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75" yWindow="120" windowWidth="12240" windowHeight="9045"/>
  </bookViews>
  <sheets>
    <sheet name="Rekapitulace" sheetId="31" r:id="rId1"/>
    <sheet name="Odbor celkem" sheetId="20" r:id="rId2"/>
    <sheet name="01 " sheetId="52" r:id="rId3"/>
    <sheet name="02" sheetId="162" r:id="rId4"/>
    <sheet name="03" sheetId="54" r:id="rId5"/>
    <sheet name="04" sheetId="5" r:id="rId6"/>
    <sheet name="05" sheetId="4" r:id="rId7"/>
    <sheet name="06" sheetId="11" r:id="rId8"/>
    <sheet name="07" sheetId="10" r:id="rId9"/>
    <sheet name="08" sheetId="9" r:id="rId10"/>
    <sheet name="OPOK" sheetId="25" state="hidden" r:id="rId11"/>
    <sheet name="SROP" sheetId="27" state="hidden" r:id="rId12"/>
    <sheet name="List1" sheetId="28" state="hidden" r:id="rId13"/>
    <sheet name="09" sheetId="8" r:id="rId14"/>
    <sheet name="10" sheetId="7" r:id="rId15"/>
    <sheet name="10 - PO" sheetId="17" r:id="rId16"/>
    <sheet name="10 - soukr.šk." sheetId="18" r:id="rId17"/>
    <sheet name="11" sheetId="13" r:id="rId18"/>
    <sheet name="12" sheetId="12" r:id="rId19"/>
    <sheet name="13 " sheetId="55" r:id="rId20"/>
    <sheet name="14" sheetId="15" r:id="rId21"/>
    <sheet name="15" sheetId="23" r:id="rId22"/>
    <sheet name="16" sheetId="26" r:id="rId23"/>
    <sheet name="17" sheetId="24" r:id="rId24"/>
    <sheet name="17-st. akce" sheetId="21" state="hidden" r:id="rId25"/>
    <sheet name="18" sheetId="190" r:id="rId26"/>
    <sheet name="30 " sheetId="191" r:id="rId27"/>
    <sheet name="32 " sheetId="192" r:id="rId28"/>
    <sheet name="37 " sheetId="107" state="hidden" r:id="rId29"/>
    <sheet name="38" sheetId="108" state="hidden" r:id="rId30"/>
    <sheet name="39 " sheetId="109" state="hidden" r:id="rId31"/>
    <sheet name="41 " sheetId="111" state="hidden" r:id="rId32"/>
    <sheet name="42 " sheetId="112" state="hidden" r:id="rId33"/>
    <sheet name="47 " sheetId="113" state="hidden" r:id="rId34"/>
    <sheet name="48 " sheetId="114" state="hidden" r:id="rId35"/>
    <sheet name="49 " sheetId="115" state="hidden" r:id="rId36"/>
    <sheet name="36" sheetId="215" r:id="rId37"/>
    <sheet name="37" sheetId="193" r:id="rId38"/>
    <sheet name="50" sheetId="196" r:id="rId39"/>
    <sheet name=" 52  " sheetId="197" r:id="rId40"/>
    <sheet name="56" sheetId="198" r:id="rId41"/>
    <sheet name="57  " sheetId="199" r:id="rId42"/>
    <sheet name="58  " sheetId="200" r:id="rId43"/>
    <sheet name="59  " sheetId="201" r:id="rId44"/>
    <sheet name="60  " sheetId="202" r:id="rId45"/>
    <sheet name="61   " sheetId="203" r:id="rId46"/>
    <sheet name="63" sheetId="204" r:id="rId47"/>
    <sheet name="64" sheetId="205" r:id="rId48"/>
    <sheet name="66  " sheetId="206" r:id="rId49"/>
    <sheet name="67 " sheetId="207" r:id="rId50"/>
    <sheet name="68 " sheetId="208" r:id="rId51"/>
    <sheet name="69 " sheetId="209" r:id="rId52"/>
    <sheet name="71 " sheetId="210" r:id="rId53"/>
    <sheet name="72 " sheetId="211" r:id="rId54"/>
    <sheet name="73 " sheetId="212" r:id="rId55"/>
    <sheet name="74 " sheetId="213" r:id="rId56"/>
    <sheet name="75" sheetId="214" r:id="rId57"/>
    <sheet name="46" sheetId="49" state="hidden" r:id="rId58"/>
    <sheet name="F - 99" sheetId="51" r:id="rId59"/>
    <sheet name="F -199 " sheetId="97" r:id="rId60"/>
    <sheet name="199" sheetId="29" state="hidden" r:id="rId61"/>
    <sheet name="99" sheetId="30" state="hidden" r:id="rId62"/>
    <sheet name="List2" sheetId="161" r:id="rId63"/>
  </sheets>
  <definedNames>
    <definedName name="_xlnm.Print_Titles" localSheetId="43">'59  '!$228:$229</definedName>
    <definedName name="_xlnm.Print_Titles" localSheetId="55">'74 '!$95:$96</definedName>
    <definedName name="_xlnm.Print_Area" localSheetId="39">' 52  '!$A$1:$H$294</definedName>
    <definedName name="_xlnm.Print_Area" localSheetId="2">'01 '!$A$1:$H$85</definedName>
    <definedName name="_xlnm.Print_Area" localSheetId="3">'02'!$A$1:$H$174</definedName>
    <definedName name="_xlnm.Print_Area" localSheetId="4">'03'!$A$1:$H$145</definedName>
    <definedName name="_xlnm.Print_Area" localSheetId="5">'04'!$A$1:$H$45</definedName>
    <definedName name="_xlnm.Print_Area" localSheetId="6">'05'!$A$1:$H$23</definedName>
    <definedName name="_xlnm.Print_Area" localSheetId="7">'06'!$A$1:$H$41</definedName>
    <definedName name="_xlnm.Print_Area" localSheetId="8">'07'!$A$1:$H$56</definedName>
    <definedName name="_xlnm.Print_Area" localSheetId="9">'08'!$A$1:$H$91</definedName>
    <definedName name="_xlnm.Print_Area" localSheetId="13">'09'!$A$1:$H$119</definedName>
    <definedName name="_xlnm.Print_Area" localSheetId="14">'10'!$A$1:$H$313</definedName>
    <definedName name="_xlnm.Print_Area" localSheetId="15">'10 - PO'!$A$1:$I$2610</definedName>
    <definedName name="_xlnm.Print_Area" localSheetId="16">'10 - soukr.šk.'!$A$1:$I$447</definedName>
    <definedName name="_xlnm.Print_Area" localSheetId="17">'11'!$A$1:$H$603</definedName>
    <definedName name="_xlnm.Print_Area" localSheetId="18">'12'!$A$1:$H$119</definedName>
    <definedName name="_xlnm.Print_Area" localSheetId="19">'13 '!$A$1:$H$303</definedName>
    <definedName name="_xlnm.Print_Area" localSheetId="20">'14'!$A$1:$H$173</definedName>
    <definedName name="_xlnm.Print_Area" localSheetId="21">'15'!$A$1:$H$15</definedName>
    <definedName name="_xlnm.Print_Area" localSheetId="22">'16'!$A$1:$H$15</definedName>
    <definedName name="_xlnm.Print_Area" localSheetId="23">'17'!$A$1:$H$135</definedName>
    <definedName name="_xlnm.Print_Area" localSheetId="24">'17-st. akce'!$A$1:$I$1228</definedName>
    <definedName name="_xlnm.Print_Area" localSheetId="25">'18'!$A$1:$H$60</definedName>
    <definedName name="_xlnm.Print_Area" localSheetId="60">'199'!$A$1:$H$67</definedName>
    <definedName name="_xlnm.Print_Area" localSheetId="26">'30 '!$A$1:$H$709</definedName>
    <definedName name="_xlnm.Print_Area" localSheetId="27">'32 '!$A$1:$H$26</definedName>
    <definedName name="_xlnm.Print_Area" localSheetId="36">'36'!$A$1:$H$22</definedName>
    <definedName name="_xlnm.Print_Area" localSheetId="37">'37'!$A$1:$H$21</definedName>
    <definedName name="_xlnm.Print_Area" localSheetId="28">'37 '!$A$1:$H$22</definedName>
    <definedName name="_xlnm.Print_Area" localSheetId="29">'38'!$A$1:$H$25</definedName>
    <definedName name="_xlnm.Print_Area" localSheetId="30">'39 '!$A$1:$H$25</definedName>
    <definedName name="_xlnm.Print_Area" localSheetId="31">'41 '!$A$1:$H$25</definedName>
    <definedName name="_xlnm.Print_Area" localSheetId="32">'42 '!$A$1:$H$25</definedName>
    <definedName name="_xlnm.Print_Area" localSheetId="33">'47 '!$A$1:$H$28</definedName>
    <definedName name="_xlnm.Print_Area" localSheetId="34">'48 '!$A$1:$H$25</definedName>
    <definedName name="_xlnm.Print_Area" localSheetId="35">'49 '!$A$1:$H$22</definedName>
    <definedName name="_xlnm.Print_Area" localSheetId="38">'50'!$A$1:$H$151</definedName>
    <definedName name="_xlnm.Print_Area" localSheetId="40">'56'!$A$1:$H$416</definedName>
    <definedName name="_xlnm.Print_Area" localSheetId="41">'57  '!$A$1:$H$238</definedName>
    <definedName name="_xlnm.Print_Area" localSheetId="42">'58  '!$A$1:$H$229</definedName>
    <definedName name="_xlnm.Print_Area" localSheetId="43">'59  '!$A$1:$H$391</definedName>
    <definedName name="_xlnm.Print_Area" localSheetId="44">'60  '!$A$1:$H$120</definedName>
    <definedName name="_xlnm.Print_Area" localSheetId="45">'61   '!$A$1:$H$46</definedName>
    <definedName name="_xlnm.Print_Area" localSheetId="46">'63'!$A$1:$H$147</definedName>
    <definedName name="_xlnm.Print_Area" localSheetId="47">'64'!$A$1:$H$231</definedName>
    <definedName name="_xlnm.Print_Area" localSheetId="48">'66  '!$A$1:$H$425</definedName>
    <definedName name="_xlnm.Print_Area" localSheetId="49">'67 '!$A$1:$H$125</definedName>
    <definedName name="_xlnm.Print_Area" localSheetId="50">'68 '!$A$1:$H$103</definedName>
    <definedName name="_xlnm.Print_Area" localSheetId="51">'69 '!$A$1:$H$73</definedName>
    <definedName name="_xlnm.Print_Area" localSheetId="52">'71 '!$A$1:$H$41</definedName>
    <definedName name="_xlnm.Print_Area" localSheetId="53">'72 '!$A$1:$H$90</definedName>
    <definedName name="_xlnm.Print_Area" localSheetId="54">'73 '!$A$1:$H$67</definedName>
    <definedName name="_xlnm.Print_Area" localSheetId="55">'74 '!$A$1:$H$179</definedName>
    <definedName name="_xlnm.Print_Area" localSheetId="56">'75'!$A$1:$H$1230</definedName>
    <definedName name="_xlnm.Print_Area" localSheetId="61">'99'!$A$1:$H$54</definedName>
    <definedName name="_xlnm.Print_Area" localSheetId="58">'F - 99'!$A$1:$H$34</definedName>
    <definedName name="_xlnm.Print_Area" localSheetId="59">'F -199 '!$A$1:$H$36</definedName>
    <definedName name="_xlnm.Print_Area" localSheetId="1">'Odbor celkem'!$A$1:$F$280</definedName>
    <definedName name="_xlnm.Print_Area" localSheetId="10">OPOK!$A$1:$I$45</definedName>
    <definedName name="_xlnm.Print_Area" localSheetId="0">Rekapitulace!$A$1:$F$37</definedName>
    <definedName name="_xlnm.Print_Area" localSheetId="11">SROP!$A$1:$H$47</definedName>
  </definedNames>
  <calcPr calcId="145621"/>
</workbook>
</file>

<file path=xl/calcChain.xml><?xml version="1.0" encoding="utf-8"?>
<calcChain xmlns="http://schemas.openxmlformats.org/spreadsheetml/2006/main">
  <c r="I8" i="20" l="1"/>
  <c r="H2589" i="17" l="1"/>
  <c r="H2592" i="17" s="1"/>
  <c r="G2589" i="17"/>
  <c r="G2592" i="17" s="1"/>
  <c r="F2589" i="17"/>
  <c r="F2592" i="17" s="1"/>
  <c r="I2577" i="17"/>
  <c r="H2574" i="17"/>
  <c r="G2574" i="17"/>
  <c r="G2584" i="17" s="1"/>
  <c r="I2563" i="17"/>
  <c r="I2562" i="17"/>
  <c r="H2552" i="17"/>
  <c r="G2552" i="17"/>
  <c r="F2552" i="17"/>
  <c r="I2553" i="17"/>
  <c r="H2531" i="17"/>
  <c r="G2531" i="17"/>
  <c r="I2533" i="17"/>
  <c r="I2523" i="17"/>
  <c r="I2522" i="17"/>
  <c r="H2495" i="17"/>
  <c r="G2495" i="17"/>
  <c r="F2495" i="17"/>
  <c r="I2452" i="17"/>
  <c r="I2451" i="17"/>
  <c r="G2432" i="17"/>
  <c r="G2437" i="17" s="1"/>
  <c r="I2424" i="17"/>
  <c r="I2423" i="17"/>
  <c r="H2295" i="17"/>
  <c r="H2301" i="17" s="1"/>
  <c r="G2295" i="17"/>
  <c r="G2301" i="17" s="1"/>
  <c r="I2299" i="17"/>
  <c r="H2288" i="17"/>
  <c r="G2288" i="17"/>
  <c r="I2287" i="17"/>
  <c r="I2286" i="17"/>
  <c r="I2262" i="17"/>
  <c r="I2261" i="17"/>
  <c r="H2190" i="17" l="1"/>
  <c r="G2190" i="17"/>
  <c r="F2190" i="17"/>
  <c r="H2174" i="17"/>
  <c r="G2174" i="17"/>
  <c r="F2174" i="17"/>
  <c r="I2176" i="17"/>
  <c r="H2133" i="17"/>
  <c r="G2133" i="17"/>
  <c r="F2133" i="17"/>
  <c r="H2102" i="17"/>
  <c r="G2102" i="17"/>
  <c r="I2106" i="17"/>
  <c r="H2068" i="17"/>
  <c r="H2073" i="17" s="1"/>
  <c r="G2068" i="17"/>
  <c r="G2073" i="17" s="1"/>
  <c r="I2069" i="17"/>
  <c r="H2046" i="17"/>
  <c r="G2046" i="17"/>
  <c r="F2046" i="17"/>
  <c r="I2048" i="17"/>
  <c r="H1994" i="17" l="1"/>
  <c r="G1994" i="17"/>
  <c r="F1994" i="17"/>
  <c r="I1996" i="17"/>
  <c r="H1952" i="17"/>
  <c r="G1952" i="17"/>
  <c r="F1952" i="17"/>
  <c r="H1937" i="17"/>
  <c r="G1937" i="17"/>
  <c r="F1937" i="17"/>
  <c r="H1908" i="17"/>
  <c r="G1908" i="17"/>
  <c r="I1912" i="17"/>
  <c r="G1861" i="17" l="1"/>
  <c r="H1856" i="17"/>
  <c r="G1856" i="17"/>
  <c r="F1856" i="17"/>
  <c r="F1869" i="17" s="1"/>
  <c r="I1860" i="17"/>
  <c r="I1859" i="17"/>
  <c r="I1837" i="17"/>
  <c r="G1822" i="17"/>
  <c r="H1822" i="17"/>
  <c r="H1816" i="17"/>
  <c r="G1816" i="17"/>
  <c r="F1816" i="17"/>
  <c r="I1818" i="17"/>
  <c r="H1802" i="17"/>
  <c r="G1802" i="17"/>
  <c r="I1803" i="17"/>
  <c r="I1779" i="17"/>
  <c r="I1778" i="17"/>
  <c r="G1768" i="17"/>
  <c r="H1762" i="17"/>
  <c r="G1762" i="17"/>
  <c r="I1766" i="17"/>
  <c r="I1765" i="17"/>
  <c r="H1736" i="17"/>
  <c r="G1736" i="17"/>
  <c r="F1736" i="17"/>
  <c r="G1716" i="17"/>
  <c r="H1709" i="17"/>
  <c r="G1709" i="17"/>
  <c r="I1699" i="17"/>
  <c r="I1698" i="17"/>
  <c r="G1869" i="17" l="1"/>
  <c r="G1846" i="17"/>
  <c r="G1780" i="17"/>
  <c r="I1602" i="17"/>
  <c r="G1533" i="17"/>
  <c r="H1528" i="17"/>
  <c r="G1528" i="17"/>
  <c r="I1530" i="17"/>
  <c r="H1490" i="17"/>
  <c r="G1490" i="17"/>
  <c r="F1490" i="17"/>
  <c r="I1492" i="17"/>
  <c r="H1474" i="17"/>
  <c r="G1474" i="17"/>
  <c r="F1474" i="17"/>
  <c r="I1483" i="17"/>
  <c r="I1465" i="17"/>
  <c r="H1458" i="17"/>
  <c r="G1458" i="17"/>
  <c r="I1466" i="17"/>
  <c r="H1438" i="17"/>
  <c r="G1438" i="17"/>
  <c r="H1429" i="17"/>
  <c r="G1429" i="17"/>
  <c r="I1430" i="17"/>
  <c r="I1427" i="17"/>
  <c r="I1426" i="17"/>
  <c r="I1421" i="17"/>
  <c r="H1347" i="17"/>
  <c r="G1347" i="17"/>
  <c r="I1370" i="17"/>
  <c r="I1369" i="17"/>
  <c r="I1349" i="17"/>
  <c r="H1334" i="17"/>
  <c r="G1334" i="17"/>
  <c r="F1334" i="17"/>
  <c r="H1310" i="17"/>
  <c r="G1310" i="17"/>
  <c r="I1312" i="17"/>
  <c r="I1297" i="17"/>
  <c r="I1296" i="17"/>
  <c r="I1294" i="17"/>
  <c r="H1280" i="17"/>
  <c r="G1280" i="17"/>
  <c r="H1247" i="17"/>
  <c r="G1247" i="17"/>
  <c r="H1225" i="17"/>
  <c r="G1225" i="17"/>
  <c r="H1218" i="17"/>
  <c r="G1218" i="17"/>
  <c r="U2222" i="17"/>
  <c r="H2222" i="17"/>
  <c r="G2222" i="17"/>
  <c r="V2222" i="17" s="1"/>
  <c r="I2221" i="17"/>
  <c r="I2220" i="17"/>
  <c r="U1330" i="17"/>
  <c r="H1330" i="17"/>
  <c r="G1330" i="17"/>
  <c r="V1330" i="17" s="1"/>
  <c r="I1329" i="17"/>
  <c r="I1328" i="17"/>
  <c r="H1177" i="17"/>
  <c r="G1177" i="17"/>
  <c r="H1170" i="17"/>
  <c r="G1170" i="17"/>
  <c r="I1176" i="17"/>
  <c r="U1206" i="17"/>
  <c r="H1206" i="17"/>
  <c r="G1206" i="17"/>
  <c r="V1206" i="17" s="1"/>
  <c r="I1205" i="17"/>
  <c r="I1204" i="17"/>
  <c r="H1155" i="17"/>
  <c r="G1155" i="17"/>
  <c r="H1137" i="17"/>
  <c r="G1137" i="17"/>
  <c r="I1140" i="17"/>
  <c r="H1122" i="17"/>
  <c r="G1122" i="17"/>
  <c r="F1122" i="17"/>
  <c r="I1106" i="17"/>
  <c r="I1105" i="17"/>
  <c r="H1078" i="17"/>
  <c r="G1078" i="17"/>
  <c r="I1083" i="17"/>
  <c r="I1082" i="17"/>
  <c r="H1050" i="17"/>
  <c r="G1050" i="17"/>
  <c r="I1053" i="17"/>
  <c r="I1052" i="17"/>
  <c r="H1040" i="17"/>
  <c r="G1040" i="17"/>
  <c r="I1042" i="17"/>
  <c r="I1330" i="17" l="1"/>
  <c r="I2222" i="17"/>
  <c r="W2222" i="17"/>
  <c r="W1330" i="17"/>
  <c r="I1206" i="17"/>
  <c r="W1206" i="17"/>
  <c r="H1006" i="17"/>
  <c r="G1006" i="17"/>
  <c r="H940" i="17"/>
  <c r="G940" i="17"/>
  <c r="F940" i="17"/>
  <c r="H928" i="17" l="1"/>
  <c r="G928" i="17"/>
  <c r="F928" i="17"/>
  <c r="I929" i="17"/>
  <c r="H915" i="17"/>
  <c r="G915" i="17"/>
  <c r="F915" i="17"/>
  <c r="I917" i="17"/>
  <c r="I916" i="17"/>
  <c r="G871" i="17"/>
  <c r="G861" i="17"/>
  <c r="H836" i="17"/>
  <c r="G836" i="17"/>
  <c r="F836" i="17"/>
  <c r="I840" i="17"/>
  <c r="I838" i="17"/>
  <c r="I801" i="17"/>
  <c r="I800" i="17"/>
  <c r="H782" i="17"/>
  <c r="G782" i="17"/>
  <c r="F782" i="17"/>
  <c r="G769" i="17"/>
  <c r="H732" i="17"/>
  <c r="H893" i="17"/>
  <c r="G893" i="17"/>
  <c r="V893" i="17" s="1"/>
  <c r="F893" i="17"/>
  <c r="U893" i="17" s="1"/>
  <c r="I891" i="17"/>
  <c r="F618" i="17"/>
  <c r="U618" i="17" s="1"/>
  <c r="I617" i="17"/>
  <c r="I616" i="17"/>
  <c r="G618" i="17"/>
  <c r="V618" i="17" s="1"/>
  <c r="H567" i="17"/>
  <c r="G567" i="17"/>
  <c r="G570" i="17" s="1"/>
  <c r="V570" i="17" s="1"/>
  <c r="I568" i="17"/>
  <c r="F570" i="17"/>
  <c r="U570" i="17" s="1"/>
  <c r="H708" i="17"/>
  <c r="G708" i="17"/>
  <c r="I681" i="17"/>
  <c r="I680" i="17"/>
  <c r="F672" i="17"/>
  <c r="H658" i="17"/>
  <c r="G658" i="17"/>
  <c r="H653" i="17"/>
  <c r="G653" i="17"/>
  <c r="F653" i="17"/>
  <c r="H640" i="17"/>
  <c r="G640" i="17"/>
  <c r="I642" i="17"/>
  <c r="I641" i="17"/>
  <c r="I636" i="17"/>
  <c r="H625" i="17"/>
  <c r="G625" i="17"/>
  <c r="F625" i="17"/>
  <c r="F646" i="17" s="1"/>
  <c r="H612" i="17"/>
  <c r="G612" i="17"/>
  <c r="I613" i="17"/>
  <c r="I598" i="17"/>
  <c r="I587" i="17"/>
  <c r="G576" i="17"/>
  <c r="H560" i="17"/>
  <c r="G560" i="17"/>
  <c r="H556" i="17"/>
  <c r="G556" i="17"/>
  <c r="F556" i="17"/>
  <c r="I546" i="17"/>
  <c r="I545" i="17"/>
  <c r="I525" i="17"/>
  <c r="I893" i="17" l="1"/>
  <c r="W893" i="17"/>
  <c r="H618" i="17"/>
  <c r="I618" i="17" s="1"/>
  <c r="H570" i="17"/>
  <c r="W570" i="17" s="1"/>
  <c r="I567" i="17"/>
  <c r="I524" i="17"/>
  <c r="I517" i="17"/>
  <c r="I516" i="17"/>
  <c r="H468" i="17"/>
  <c r="G468" i="17"/>
  <c r="I467" i="17"/>
  <c r="I466" i="17"/>
  <c r="I473" i="17"/>
  <c r="I472" i="17"/>
  <c r="I471" i="17"/>
  <c r="I470" i="17"/>
  <c r="H457" i="17"/>
  <c r="G457" i="17"/>
  <c r="G480" i="17" s="1"/>
  <c r="F457" i="17"/>
  <c r="F480" i="17" s="1"/>
  <c r="I463" i="17"/>
  <c r="I461" i="17"/>
  <c r="W618" i="17" l="1"/>
  <c r="I570" i="17"/>
  <c r="H480" i="17"/>
  <c r="H425" i="17"/>
  <c r="G425" i="17"/>
  <c r="I428" i="17"/>
  <c r="I427" i="17"/>
  <c r="H365" i="17"/>
  <c r="G365" i="17"/>
  <c r="I368" i="17"/>
  <c r="I367" i="17"/>
  <c r="H337" i="17" l="1"/>
  <c r="G337" i="17"/>
  <c r="I340" i="17"/>
  <c r="I339" i="17"/>
  <c r="I325" i="17"/>
  <c r="I324" i="17"/>
  <c r="H268" i="17"/>
  <c r="G268" i="17"/>
  <c r="I271" i="17"/>
  <c r="I270" i="17"/>
  <c r="H246" i="17"/>
  <c r="G246" i="17"/>
  <c r="I248" i="17"/>
  <c r="H233" i="17"/>
  <c r="G233" i="17"/>
  <c r="I235" i="17"/>
  <c r="I201" i="17"/>
  <c r="H197" i="17"/>
  <c r="G197" i="17"/>
  <c r="H194" i="17"/>
  <c r="G194" i="17"/>
  <c r="F194" i="17"/>
  <c r="H165" i="17"/>
  <c r="G165" i="17"/>
  <c r="F165" i="17"/>
  <c r="H99" i="17" l="1"/>
  <c r="H123" i="17" s="1"/>
  <c r="G99" i="17"/>
  <c r="G123" i="17" s="1"/>
  <c r="I120" i="17"/>
  <c r="I103" i="17"/>
  <c r="I102" i="17"/>
  <c r="I96" i="17"/>
  <c r="I95" i="17"/>
  <c r="I87" i="17"/>
  <c r="H65" i="17"/>
  <c r="G65" i="17"/>
  <c r="H51" i="17"/>
  <c r="G51" i="17"/>
  <c r="H18" i="17"/>
  <c r="G18" i="17"/>
  <c r="I21" i="17"/>
  <c r="I20" i="17"/>
  <c r="F2602" i="17"/>
  <c r="K439" i="18" l="1"/>
  <c r="F425" i="18"/>
  <c r="IV424" i="18"/>
  <c r="H422" i="18"/>
  <c r="H425" i="18" s="1"/>
  <c r="G422" i="18"/>
  <c r="G425" i="18" s="1"/>
  <c r="H456" i="18"/>
  <c r="G456" i="18"/>
  <c r="F460" i="18"/>
  <c r="I455" i="18"/>
  <c r="IV455" i="18" s="1"/>
  <c r="H453" i="18"/>
  <c r="G453" i="18"/>
  <c r="G460" i="18" s="1"/>
  <c r="H314" i="18"/>
  <c r="G314" i="18"/>
  <c r="I425" i="18" l="1"/>
  <c r="I422" i="18"/>
  <c r="IV422" i="18" s="1"/>
  <c r="IV425" i="18" s="1"/>
  <c r="H460" i="18"/>
  <c r="I460" i="18" s="1"/>
  <c r="I456" i="18"/>
  <c r="IV456" i="18" s="1"/>
  <c r="I453" i="18"/>
  <c r="IV453" i="18" s="1"/>
  <c r="IV460" i="18" s="1"/>
  <c r="I260" i="18"/>
  <c r="I259" i="18"/>
  <c r="H240" i="18"/>
  <c r="G240" i="18"/>
  <c r="I243" i="18"/>
  <c r="I242" i="18"/>
  <c r="H237" i="18"/>
  <c r="G237" i="18"/>
  <c r="I239" i="18"/>
  <c r="H222" i="18" l="1"/>
  <c r="G222" i="18"/>
  <c r="I224" i="18"/>
  <c r="I142" i="18"/>
  <c r="H124" i="18"/>
  <c r="G124" i="18"/>
  <c r="I126" i="18"/>
  <c r="H109" i="18"/>
  <c r="G109" i="18"/>
  <c r="I110" i="18"/>
  <c r="H80" i="18" l="1"/>
  <c r="G80" i="18"/>
  <c r="G85" i="18" s="1"/>
  <c r="I82" i="18"/>
  <c r="H61" i="18"/>
  <c r="G61" i="18"/>
  <c r="I63" i="18"/>
  <c r="K113" i="20" l="1"/>
  <c r="K112" i="20"/>
  <c r="K111" i="20"/>
  <c r="K110" i="20"/>
  <c r="K115" i="20" l="1"/>
  <c r="I302" i="20"/>
  <c r="H302" i="20"/>
  <c r="G302" i="20"/>
  <c r="I294" i="20"/>
  <c r="H294" i="20"/>
  <c r="G294" i="20"/>
  <c r="H293" i="20"/>
  <c r="G293" i="20"/>
  <c r="K278" i="20"/>
  <c r="K131" i="20"/>
  <c r="M134" i="20"/>
  <c r="L134" i="20"/>
  <c r="K134" i="20"/>
  <c r="M133" i="20"/>
  <c r="L133" i="20"/>
  <c r="K133" i="20"/>
  <c r="M132" i="20"/>
  <c r="L132" i="20"/>
  <c r="K132" i="20"/>
  <c r="M131" i="20"/>
  <c r="M136" i="20" s="1"/>
  <c r="L131" i="20"/>
  <c r="I119" i="20"/>
  <c r="H119" i="20"/>
  <c r="G119" i="20"/>
  <c r="I290" i="20"/>
  <c r="M114" i="20"/>
  <c r="M113" i="20"/>
  <c r="L113" i="20"/>
  <c r="M112" i="20"/>
  <c r="L112" i="20"/>
  <c r="M111" i="20"/>
  <c r="L111" i="20"/>
  <c r="M110" i="20"/>
  <c r="L110" i="20"/>
  <c r="L115" i="20" s="1"/>
  <c r="L136" i="20" l="1"/>
  <c r="K136" i="20"/>
  <c r="M115" i="20"/>
  <c r="I61" i="20"/>
  <c r="H61" i="20"/>
  <c r="K243" i="20" l="1"/>
  <c r="K273" i="20" s="1"/>
  <c r="K276" i="20" s="1"/>
  <c r="H290" i="20"/>
  <c r="G290" i="20"/>
  <c r="L241" i="20" l="1"/>
  <c r="K241" i="20"/>
  <c r="M243" i="20"/>
  <c r="M273" i="20" s="1"/>
  <c r="L243" i="20"/>
  <c r="L273" i="20" s="1"/>
  <c r="K242" i="20"/>
  <c r="M242" i="20"/>
  <c r="L242" i="20"/>
  <c r="I263" i="20"/>
  <c r="H263" i="20"/>
  <c r="G263" i="20"/>
  <c r="I203" i="20"/>
  <c r="I293" i="20" s="1"/>
  <c r="G705" i="191"/>
  <c r="I150" i="20"/>
  <c r="H150" i="20"/>
  <c r="G150" i="20"/>
  <c r="I136" i="20"/>
  <c r="H136" i="20"/>
  <c r="G136" i="20"/>
  <c r="K51" i="20"/>
  <c r="K269" i="20" s="1"/>
  <c r="L54" i="20"/>
  <c r="K52" i="20"/>
  <c r="K270" i="20" s="1"/>
  <c r="M241" i="20" l="1"/>
  <c r="M244" i="20" s="1"/>
  <c r="K244" i="20"/>
  <c r="L244" i="20"/>
  <c r="C35" i="20"/>
  <c r="E21" i="5"/>
  <c r="L704" i="191" l="1"/>
  <c r="K53" i="20" l="1"/>
  <c r="K271" i="20" s="1"/>
  <c r="K54" i="20"/>
  <c r="L51" i="20"/>
  <c r="L269" i="20" s="1"/>
  <c r="L52" i="20"/>
  <c r="L53" i="20"/>
  <c r="L271" i="20" l="1"/>
  <c r="L272" i="20"/>
  <c r="K272" i="20"/>
  <c r="K275" i="20" s="1"/>
  <c r="L37" i="203"/>
  <c r="G388" i="201"/>
  <c r="F388" i="201"/>
  <c r="G387" i="201"/>
  <c r="F387" i="201"/>
  <c r="L14" i="215"/>
  <c r="K14" i="215"/>
  <c r="J14" i="215"/>
  <c r="K274" i="20" l="1"/>
  <c r="K277" i="20" s="1"/>
  <c r="G288" i="7"/>
  <c r="T108" i="20" l="1"/>
  <c r="E302" i="20" l="1"/>
  <c r="D302" i="20"/>
  <c r="C302" i="20"/>
  <c r="E268" i="20" l="1"/>
  <c r="D268" i="20"/>
  <c r="E267" i="20"/>
  <c r="D267" i="20"/>
  <c r="C268" i="20"/>
  <c r="C267" i="20"/>
  <c r="E266" i="20"/>
  <c r="C266" i="20"/>
  <c r="D261" i="20"/>
  <c r="E261" i="20"/>
  <c r="D257" i="20"/>
  <c r="E257" i="20"/>
  <c r="D256" i="20"/>
  <c r="E256" i="20"/>
  <c r="D255" i="20"/>
  <c r="E255" i="20"/>
  <c r="C256" i="20"/>
  <c r="C257" i="20"/>
  <c r="C255" i="20"/>
  <c r="D252" i="20"/>
  <c r="E252" i="20"/>
  <c r="D251" i="20"/>
  <c r="E251" i="20"/>
  <c r="C251" i="20"/>
  <c r="C252" i="20"/>
  <c r="E250" i="20"/>
  <c r="D250" i="20"/>
  <c r="C250" i="20"/>
  <c r="E247" i="20"/>
  <c r="D247" i="20"/>
  <c r="E246" i="20"/>
  <c r="D246" i="20"/>
  <c r="C247" i="20"/>
  <c r="C246" i="20"/>
  <c r="E245" i="20"/>
  <c r="D245" i="20"/>
  <c r="C245" i="20"/>
  <c r="E241" i="20"/>
  <c r="D241" i="20"/>
  <c r="E240" i="20"/>
  <c r="D240" i="20"/>
  <c r="E239" i="20"/>
  <c r="D239" i="20"/>
  <c r="C241" i="20"/>
  <c r="C240" i="20"/>
  <c r="C239" i="20"/>
  <c r="E236" i="20"/>
  <c r="D236" i="20"/>
  <c r="E235" i="20"/>
  <c r="D235" i="20"/>
  <c r="D234" i="20"/>
  <c r="C236" i="20"/>
  <c r="C235" i="20"/>
  <c r="E234" i="20"/>
  <c r="C234" i="20"/>
  <c r="E225" i="20"/>
  <c r="D225" i="20"/>
  <c r="E224" i="20"/>
  <c r="D224" i="20"/>
  <c r="C225" i="20"/>
  <c r="C224" i="20"/>
  <c r="E223" i="20"/>
  <c r="D223" i="20"/>
  <c r="C223" i="20"/>
  <c r="E220" i="20"/>
  <c r="D220" i="20"/>
  <c r="E219" i="20"/>
  <c r="D219" i="20"/>
  <c r="E218" i="20"/>
  <c r="D218" i="20"/>
  <c r="C220" i="20"/>
  <c r="C219" i="20"/>
  <c r="C218" i="20"/>
  <c r="E215" i="20"/>
  <c r="D215" i="20"/>
  <c r="E214" i="20"/>
  <c r="D214" i="20"/>
  <c r="D213" i="20"/>
  <c r="C215" i="20"/>
  <c r="C214" i="20"/>
  <c r="E213" i="20"/>
  <c r="C213" i="20"/>
  <c r="E210" i="20"/>
  <c r="D210" i="20"/>
  <c r="E209" i="20"/>
  <c r="D209" i="20"/>
  <c r="E208" i="20"/>
  <c r="D208" i="20"/>
  <c r="C210" i="20"/>
  <c r="C209" i="20"/>
  <c r="C208" i="20"/>
  <c r="E205" i="20"/>
  <c r="D205" i="20"/>
  <c r="E204" i="20"/>
  <c r="D204" i="20"/>
  <c r="E203" i="20"/>
  <c r="D203" i="20"/>
  <c r="C205" i="20"/>
  <c r="C204" i="20"/>
  <c r="C203" i="20"/>
  <c r="E200" i="20"/>
  <c r="D200" i="20"/>
  <c r="E199" i="20"/>
  <c r="D199" i="20"/>
  <c r="C200" i="20"/>
  <c r="C199" i="20"/>
  <c r="E198" i="20"/>
  <c r="D198" i="20"/>
  <c r="C198" i="20"/>
  <c r="E194" i="20"/>
  <c r="D194" i="20"/>
  <c r="E193" i="20"/>
  <c r="D193" i="20"/>
  <c r="E191" i="20"/>
  <c r="D191" i="20"/>
  <c r="E190" i="20"/>
  <c r="D190" i="20"/>
  <c r="C191" i="20"/>
  <c r="C190" i="20"/>
  <c r="E189" i="20"/>
  <c r="D189" i="20"/>
  <c r="C189" i="20"/>
  <c r="E186" i="20"/>
  <c r="D186" i="20"/>
  <c r="E185" i="20"/>
  <c r="D185" i="20"/>
  <c r="C186" i="20"/>
  <c r="C185" i="20"/>
  <c r="E184" i="20"/>
  <c r="D184" i="20"/>
  <c r="C184" i="20"/>
  <c r="E180" i="20"/>
  <c r="D180" i="20"/>
  <c r="C180" i="20"/>
  <c r="E171" i="20"/>
  <c r="D171" i="20"/>
  <c r="C171" i="20"/>
  <c r="E170" i="20"/>
  <c r="D170" i="20"/>
  <c r="C170" i="20"/>
  <c r="E169" i="20"/>
  <c r="D169" i="20"/>
  <c r="C169" i="20"/>
  <c r="E263" i="20" l="1"/>
  <c r="C263" i="20"/>
  <c r="F267" i="20"/>
  <c r="F170" i="20"/>
  <c r="F235" i="20"/>
  <c r="E166" i="20"/>
  <c r="D166" i="20"/>
  <c r="C166" i="20"/>
  <c r="D165" i="20"/>
  <c r="C165" i="20"/>
  <c r="E164" i="20"/>
  <c r="D164" i="20"/>
  <c r="C164" i="20"/>
  <c r="E155" i="20"/>
  <c r="D155" i="20"/>
  <c r="C155" i="20"/>
  <c r="E154" i="20"/>
  <c r="D154" i="20"/>
  <c r="C154" i="20"/>
  <c r="E153" i="20"/>
  <c r="D153" i="20"/>
  <c r="C153" i="20"/>
  <c r="E161" i="20"/>
  <c r="D161" i="20"/>
  <c r="C161" i="20"/>
  <c r="E160" i="20"/>
  <c r="D160" i="20"/>
  <c r="C160" i="20"/>
  <c r="E159" i="20"/>
  <c r="D159" i="20"/>
  <c r="C159" i="20"/>
  <c r="E149" i="20"/>
  <c r="D149" i="20"/>
  <c r="C149" i="20"/>
  <c r="E148" i="20"/>
  <c r="D148" i="20"/>
  <c r="C148" i="20"/>
  <c r="E147" i="20"/>
  <c r="D147" i="20"/>
  <c r="C147" i="20"/>
  <c r="E145" i="20"/>
  <c r="D145" i="20"/>
  <c r="C145" i="20"/>
  <c r="C144" i="20"/>
  <c r="E143" i="20"/>
  <c r="C143" i="20"/>
  <c r="R168" i="20" l="1"/>
  <c r="T168" i="20"/>
  <c r="R170" i="20"/>
  <c r="R169" i="20"/>
  <c r="S170" i="20"/>
  <c r="T170" i="20"/>
  <c r="F153" i="20"/>
  <c r="C150" i="20"/>
  <c r="D150" i="20"/>
  <c r="E150" i="20"/>
  <c r="F159" i="20"/>
  <c r="G11" i="215"/>
  <c r="H11" i="215" s="1"/>
  <c r="F11" i="215"/>
  <c r="F15" i="215" s="1"/>
  <c r="F14" i="215" s="1"/>
  <c r="F19" i="215" s="1"/>
  <c r="E11" i="215"/>
  <c r="E15" i="215" s="1"/>
  <c r="E14" i="215" s="1"/>
  <c r="E19" i="215" s="1"/>
  <c r="H10" i="215"/>
  <c r="R171" i="20" l="1"/>
  <c r="F150" i="20"/>
  <c r="G15" i="215"/>
  <c r="H15" i="215" l="1"/>
  <c r="G14" i="215"/>
  <c r="H14" i="215" l="1"/>
  <c r="G19" i="215"/>
  <c r="H19" i="215" s="1"/>
  <c r="G1227" i="214" l="1"/>
  <c r="F1227" i="214"/>
  <c r="E1227" i="214"/>
  <c r="G1226" i="214"/>
  <c r="F1226" i="214"/>
  <c r="E1226" i="214"/>
  <c r="E1225" i="214"/>
  <c r="L1224" i="214"/>
  <c r="K1224" i="214"/>
  <c r="J1224" i="214"/>
  <c r="E1224" i="214"/>
  <c r="E1229" i="214" s="1"/>
  <c r="G1220" i="214"/>
  <c r="F1220" i="214"/>
  <c r="E1220" i="214"/>
  <c r="E1209" i="214"/>
  <c r="F1208" i="214"/>
  <c r="H1208" i="214" s="1"/>
  <c r="F1207" i="214"/>
  <c r="H1206" i="214"/>
  <c r="H1205" i="214"/>
  <c r="H1204" i="214"/>
  <c r="H1203" i="214"/>
  <c r="H1202" i="214"/>
  <c r="H1201" i="214"/>
  <c r="H1200" i="214"/>
  <c r="H1198" i="214"/>
  <c r="H1197" i="214"/>
  <c r="F1196" i="214"/>
  <c r="H1195" i="214"/>
  <c r="F1195" i="214"/>
  <c r="H1194" i="214"/>
  <c r="G1192" i="214"/>
  <c r="F1192" i="214"/>
  <c r="H1192" i="214" s="1"/>
  <c r="G1191" i="214"/>
  <c r="H1191" i="214" s="1"/>
  <c r="F1191" i="214"/>
  <c r="H1190" i="214"/>
  <c r="G1190" i="214"/>
  <c r="F1190" i="214"/>
  <c r="G1189" i="214"/>
  <c r="H1189" i="214" s="1"/>
  <c r="F1189" i="214"/>
  <c r="H1188" i="214"/>
  <c r="H1187" i="214"/>
  <c r="G1186" i="214"/>
  <c r="F1186" i="214"/>
  <c r="H1186" i="214" s="1"/>
  <c r="G1185" i="214"/>
  <c r="H1185" i="214" s="1"/>
  <c r="F1185" i="214"/>
  <c r="E1179" i="214"/>
  <c r="H1178" i="214"/>
  <c r="H1177" i="214"/>
  <c r="H1176" i="214"/>
  <c r="H1175" i="214"/>
  <c r="H1174" i="214"/>
  <c r="H1173" i="214"/>
  <c r="H1172" i="214"/>
  <c r="H1170" i="214"/>
  <c r="H1169" i="214"/>
  <c r="H1168" i="214"/>
  <c r="H1167" i="214"/>
  <c r="H1166" i="214"/>
  <c r="H1165" i="214"/>
  <c r="H1164" i="214"/>
  <c r="G1163" i="214"/>
  <c r="H1163" i="214" s="1"/>
  <c r="F1163" i="214"/>
  <c r="G1162" i="214"/>
  <c r="F1162" i="214"/>
  <c r="F1179" i="214" s="1"/>
  <c r="E1156" i="214"/>
  <c r="H1155" i="214"/>
  <c r="H1154" i="214"/>
  <c r="H1153" i="214"/>
  <c r="H1152" i="214"/>
  <c r="H1151" i="214"/>
  <c r="H1150" i="214"/>
  <c r="H1149" i="214"/>
  <c r="H1147" i="214"/>
  <c r="H1146" i="214"/>
  <c r="H1145" i="214"/>
  <c r="H1144" i="214"/>
  <c r="H1143" i="214"/>
  <c r="H1142" i="214"/>
  <c r="H1141" i="214"/>
  <c r="G1140" i="214"/>
  <c r="F1140" i="214"/>
  <c r="F1156" i="214" s="1"/>
  <c r="G1139" i="214"/>
  <c r="F1139" i="214"/>
  <c r="E1133" i="214"/>
  <c r="H1132" i="214"/>
  <c r="H1131" i="214"/>
  <c r="H1130" i="214"/>
  <c r="H1129" i="214"/>
  <c r="H1128" i="214"/>
  <c r="H1127" i="214"/>
  <c r="H1126" i="214"/>
  <c r="H1124" i="214"/>
  <c r="H1123" i="214"/>
  <c r="H1122" i="214"/>
  <c r="H1121" i="214"/>
  <c r="H1120" i="214"/>
  <c r="H1119" i="214"/>
  <c r="H1118" i="214"/>
  <c r="G1117" i="214"/>
  <c r="H1117" i="214" s="1"/>
  <c r="F1117" i="214"/>
  <c r="H1116" i="214"/>
  <c r="G1116" i="214"/>
  <c r="F1116" i="214"/>
  <c r="F1133" i="214" s="1"/>
  <c r="E1110" i="214"/>
  <c r="H1109" i="214"/>
  <c r="H1108" i="214"/>
  <c r="H1107" i="214"/>
  <c r="H1106" i="214"/>
  <c r="H1105" i="214"/>
  <c r="H1104" i="214"/>
  <c r="H1103" i="214"/>
  <c r="H1101" i="214"/>
  <c r="H1100" i="214"/>
  <c r="H1099" i="214"/>
  <c r="H1098" i="214"/>
  <c r="H1097" i="214"/>
  <c r="H1096" i="214"/>
  <c r="H1095" i="214"/>
  <c r="H1094" i="214"/>
  <c r="G1094" i="214"/>
  <c r="F1094" i="214"/>
  <c r="F1110" i="214" s="1"/>
  <c r="G1093" i="214"/>
  <c r="F1093" i="214"/>
  <c r="E1087" i="214"/>
  <c r="H1086" i="214"/>
  <c r="H1085" i="214"/>
  <c r="H1084" i="214"/>
  <c r="H1083" i="214"/>
  <c r="H1082" i="214"/>
  <c r="H1081" i="214"/>
  <c r="H1080" i="214"/>
  <c r="H1078" i="214"/>
  <c r="H1077" i="214"/>
  <c r="H1076" i="214"/>
  <c r="H1075" i="214"/>
  <c r="H1074" i="214"/>
  <c r="H1073" i="214"/>
  <c r="H1072" i="214"/>
  <c r="G1071" i="214"/>
  <c r="H1071" i="214" s="1"/>
  <c r="F1071" i="214"/>
  <c r="H1070" i="214"/>
  <c r="H1069" i="214"/>
  <c r="H1068" i="214"/>
  <c r="H1067" i="214"/>
  <c r="H1066" i="214"/>
  <c r="H1064" i="214"/>
  <c r="H1063" i="214"/>
  <c r="H1062" i="214"/>
  <c r="H1061" i="214"/>
  <c r="H1060" i="214"/>
  <c r="H1059" i="214"/>
  <c r="G1059" i="214"/>
  <c r="F1059" i="214"/>
  <c r="F1087" i="214" s="1"/>
  <c r="H1058" i="214"/>
  <c r="H1057" i="214"/>
  <c r="E1051" i="214"/>
  <c r="H1050" i="214"/>
  <c r="H1049" i="214"/>
  <c r="H1048" i="214"/>
  <c r="H1047" i="214"/>
  <c r="H1046" i="214"/>
  <c r="H1045" i="214"/>
  <c r="H1044" i="214"/>
  <c r="H1042" i="214"/>
  <c r="H1041" i="214"/>
  <c r="H1040" i="214"/>
  <c r="H1039" i="214"/>
  <c r="H1038" i="214"/>
  <c r="H1037" i="214"/>
  <c r="H1036" i="214"/>
  <c r="G1035" i="214"/>
  <c r="F1035" i="214"/>
  <c r="F1051" i="214" s="1"/>
  <c r="H1034" i="214"/>
  <c r="H1033" i="214"/>
  <c r="H1032" i="214"/>
  <c r="H1031" i="214"/>
  <c r="H1030" i="214"/>
  <c r="H1028" i="214"/>
  <c r="H1027" i="214"/>
  <c r="H1026" i="214"/>
  <c r="H1025" i="214"/>
  <c r="H1024" i="214"/>
  <c r="G1023" i="214"/>
  <c r="F1023" i="214"/>
  <c r="H1022" i="214"/>
  <c r="H1021" i="214"/>
  <c r="E1015" i="214"/>
  <c r="H1014" i="214"/>
  <c r="H1013" i="214"/>
  <c r="H1012" i="214"/>
  <c r="H1011" i="214"/>
  <c r="H1010" i="214"/>
  <c r="H1009" i="214"/>
  <c r="H1008" i="214"/>
  <c r="H1006" i="214"/>
  <c r="H1005" i="214"/>
  <c r="H1004" i="214"/>
  <c r="H1003" i="214"/>
  <c r="H1002" i="214"/>
  <c r="H1001" i="214"/>
  <c r="H1000" i="214"/>
  <c r="G999" i="214"/>
  <c r="H999" i="214" s="1"/>
  <c r="F999" i="214"/>
  <c r="H998" i="214"/>
  <c r="H997" i="214"/>
  <c r="H996" i="214"/>
  <c r="H995" i="214"/>
  <c r="H994" i="214"/>
  <c r="H992" i="214"/>
  <c r="H991" i="214"/>
  <c r="H990" i="214"/>
  <c r="H989" i="214"/>
  <c r="H988" i="214"/>
  <c r="G987" i="214"/>
  <c r="F987" i="214"/>
  <c r="F1015" i="214" s="1"/>
  <c r="H986" i="214"/>
  <c r="H985" i="214"/>
  <c r="E979" i="214"/>
  <c r="H978" i="214"/>
  <c r="H977" i="214"/>
  <c r="H976" i="214"/>
  <c r="H975" i="214"/>
  <c r="H974" i="214"/>
  <c r="H973" i="214"/>
  <c r="H972" i="214"/>
  <c r="H970" i="214"/>
  <c r="H969" i="214"/>
  <c r="H968" i="214"/>
  <c r="H967" i="214"/>
  <c r="H966" i="214"/>
  <c r="H965" i="214"/>
  <c r="H964" i="214"/>
  <c r="H963" i="214"/>
  <c r="G963" i="214"/>
  <c r="F963" i="214"/>
  <c r="F979" i="214" s="1"/>
  <c r="H962" i="214"/>
  <c r="H961" i="214"/>
  <c r="H960" i="214"/>
  <c r="H959" i="214"/>
  <c r="H958" i="214"/>
  <c r="H956" i="214"/>
  <c r="H955" i="214"/>
  <c r="H954" i="214"/>
  <c r="H953" i="214"/>
  <c r="H952" i="214"/>
  <c r="G951" i="214"/>
  <c r="F951" i="214"/>
  <c r="H950" i="214"/>
  <c r="H949" i="214"/>
  <c r="G943" i="214"/>
  <c r="F943" i="214"/>
  <c r="E943" i="214"/>
  <c r="H942" i="214"/>
  <c r="H941" i="214"/>
  <c r="H940" i="214"/>
  <c r="H939" i="214"/>
  <c r="H938" i="214"/>
  <c r="H937" i="214"/>
  <c r="H936" i="214"/>
  <c r="H934" i="214"/>
  <c r="H933" i="214"/>
  <c r="H932" i="214"/>
  <c r="H931" i="214"/>
  <c r="H930" i="214"/>
  <c r="H929" i="214"/>
  <c r="H928" i="214"/>
  <c r="H927" i="214"/>
  <c r="H926" i="214"/>
  <c r="H925" i="214"/>
  <c r="H924" i="214"/>
  <c r="H923" i="214"/>
  <c r="H922" i="214"/>
  <c r="H920" i="214"/>
  <c r="H919" i="214"/>
  <c r="H918" i="214"/>
  <c r="H917" i="214"/>
  <c r="H916" i="214"/>
  <c r="H914" i="214"/>
  <c r="H913" i="214"/>
  <c r="E907" i="214"/>
  <c r="H906" i="214"/>
  <c r="H905" i="214"/>
  <c r="H904" i="214"/>
  <c r="H903" i="214"/>
  <c r="H902" i="214"/>
  <c r="H901" i="214"/>
  <c r="H900" i="214"/>
  <c r="H898" i="214"/>
  <c r="H897" i="214"/>
  <c r="H896" i="214"/>
  <c r="H895" i="214"/>
  <c r="H894" i="214"/>
  <c r="H893" i="214"/>
  <c r="H892" i="214"/>
  <c r="G891" i="214"/>
  <c r="H891" i="214" s="1"/>
  <c r="F891" i="214"/>
  <c r="H890" i="214"/>
  <c r="H889" i="214"/>
  <c r="H888" i="214"/>
  <c r="H887" i="214"/>
  <c r="H886" i="214"/>
  <c r="H884" i="214"/>
  <c r="H883" i="214"/>
  <c r="H882" i="214"/>
  <c r="H881" i="214"/>
  <c r="H880" i="214"/>
  <c r="G879" i="214"/>
  <c r="F879" i="214"/>
  <c r="F907" i="214" s="1"/>
  <c r="H878" i="214"/>
  <c r="H877" i="214"/>
  <c r="E871" i="214"/>
  <c r="H870" i="214"/>
  <c r="H869" i="214"/>
  <c r="H868" i="214"/>
  <c r="H867" i="214"/>
  <c r="H866" i="214"/>
  <c r="H865" i="214"/>
  <c r="H864" i="214"/>
  <c r="H862" i="214"/>
  <c r="H861" i="214"/>
  <c r="H860" i="214"/>
  <c r="H859" i="214"/>
  <c r="H858" i="214"/>
  <c r="H857" i="214"/>
  <c r="H856" i="214"/>
  <c r="G855" i="214"/>
  <c r="F855" i="214"/>
  <c r="F871" i="214" s="1"/>
  <c r="H854" i="214"/>
  <c r="H853" i="214"/>
  <c r="H852" i="214"/>
  <c r="H851" i="214"/>
  <c r="H850" i="214"/>
  <c r="H848" i="214"/>
  <c r="H847" i="214"/>
  <c r="H846" i="214"/>
  <c r="H845" i="214"/>
  <c r="H844" i="214"/>
  <c r="G843" i="214"/>
  <c r="F843" i="214"/>
  <c r="H842" i="214"/>
  <c r="H841" i="214"/>
  <c r="E835" i="214"/>
  <c r="H834" i="214"/>
  <c r="H833" i="214"/>
  <c r="H832" i="214"/>
  <c r="H831" i="214"/>
  <c r="H830" i="214"/>
  <c r="H829" i="214"/>
  <c r="H828" i="214"/>
  <c r="H826" i="214"/>
  <c r="H825" i="214"/>
  <c r="H824" i="214"/>
  <c r="H823" i="214"/>
  <c r="H822" i="214"/>
  <c r="H821" i="214"/>
  <c r="H820" i="214"/>
  <c r="G819" i="214"/>
  <c r="H819" i="214" s="1"/>
  <c r="F819" i="214"/>
  <c r="H818" i="214"/>
  <c r="H817" i="214"/>
  <c r="H816" i="214"/>
  <c r="H815" i="214"/>
  <c r="H814" i="214"/>
  <c r="H812" i="214"/>
  <c r="H811" i="214"/>
  <c r="H810" i="214"/>
  <c r="H809" i="214"/>
  <c r="H808" i="214"/>
  <c r="H807" i="214"/>
  <c r="G807" i="214"/>
  <c r="F807" i="214"/>
  <c r="F835" i="214" s="1"/>
  <c r="H806" i="214"/>
  <c r="H805" i="214"/>
  <c r="E799" i="214"/>
  <c r="H798" i="214"/>
  <c r="H797" i="214"/>
  <c r="H796" i="214"/>
  <c r="H795" i="214"/>
  <c r="H794" i="214"/>
  <c r="H793" i="214"/>
  <c r="H792" i="214"/>
  <c r="H790" i="214"/>
  <c r="H789" i="214"/>
  <c r="H788" i="214"/>
  <c r="H787" i="214"/>
  <c r="H786" i="214"/>
  <c r="H785" i="214"/>
  <c r="H784" i="214"/>
  <c r="H783" i="214"/>
  <c r="G783" i="214"/>
  <c r="F783" i="214"/>
  <c r="F799" i="214" s="1"/>
  <c r="H782" i="214"/>
  <c r="H781" i="214"/>
  <c r="H780" i="214"/>
  <c r="H779" i="214"/>
  <c r="H778" i="214"/>
  <c r="H776" i="214"/>
  <c r="H775" i="214"/>
  <c r="H774" i="214"/>
  <c r="H773" i="214"/>
  <c r="H772" i="214"/>
  <c r="G771" i="214"/>
  <c r="F771" i="214"/>
  <c r="H770" i="214"/>
  <c r="H769" i="214"/>
  <c r="E763" i="214"/>
  <c r="H762" i="214"/>
  <c r="H761" i="214"/>
  <c r="H760" i="214"/>
  <c r="H759" i="214"/>
  <c r="H758" i="214"/>
  <c r="H757" i="214"/>
  <c r="H756" i="214"/>
  <c r="H754" i="214"/>
  <c r="H753" i="214"/>
  <c r="H752" i="214"/>
  <c r="H751" i="214"/>
  <c r="H750" i="214"/>
  <c r="H749" i="214"/>
  <c r="H748" i="214"/>
  <c r="G747" i="214"/>
  <c r="H747" i="214" s="1"/>
  <c r="F747" i="214"/>
  <c r="H746" i="214"/>
  <c r="H745" i="214"/>
  <c r="H744" i="214"/>
  <c r="H743" i="214"/>
  <c r="H742" i="214"/>
  <c r="H740" i="214"/>
  <c r="H739" i="214"/>
  <c r="H738" i="214"/>
  <c r="H737" i="214"/>
  <c r="H736" i="214"/>
  <c r="G735" i="214"/>
  <c r="F735" i="214"/>
  <c r="F763" i="214" s="1"/>
  <c r="H734" i="214"/>
  <c r="H733" i="214"/>
  <c r="E727" i="214"/>
  <c r="H726" i="214"/>
  <c r="H725" i="214"/>
  <c r="H724" i="214"/>
  <c r="H723" i="214"/>
  <c r="H722" i="214"/>
  <c r="H721" i="214"/>
  <c r="H720" i="214"/>
  <c r="H718" i="214"/>
  <c r="H717" i="214"/>
  <c r="H716" i="214"/>
  <c r="H715" i="214"/>
  <c r="H714" i="214"/>
  <c r="H713" i="214"/>
  <c r="H712" i="214"/>
  <c r="H711" i="214"/>
  <c r="G711" i="214"/>
  <c r="F711" i="214"/>
  <c r="F727" i="214" s="1"/>
  <c r="H710" i="214"/>
  <c r="H709" i="214"/>
  <c r="H708" i="214"/>
  <c r="H707" i="214"/>
  <c r="H706" i="214"/>
  <c r="H704" i="214"/>
  <c r="H703" i="214"/>
  <c r="H702" i="214"/>
  <c r="H701" i="214"/>
  <c r="H700" i="214"/>
  <c r="G699" i="214"/>
  <c r="F699" i="214"/>
  <c r="H698" i="214"/>
  <c r="H697" i="214"/>
  <c r="E691" i="214"/>
  <c r="H690" i="214"/>
  <c r="H689" i="214"/>
  <c r="H688" i="214"/>
  <c r="H687" i="214"/>
  <c r="H686" i="214"/>
  <c r="H685" i="214"/>
  <c r="H684" i="214"/>
  <c r="H682" i="214"/>
  <c r="H681" i="214"/>
  <c r="H680" i="214"/>
  <c r="H679" i="214"/>
  <c r="H678" i="214"/>
  <c r="H677" i="214"/>
  <c r="H676" i="214"/>
  <c r="G675" i="214"/>
  <c r="H675" i="214" s="1"/>
  <c r="F675" i="214"/>
  <c r="H674" i="214"/>
  <c r="H673" i="214"/>
  <c r="H672" i="214"/>
  <c r="H671" i="214"/>
  <c r="H670" i="214"/>
  <c r="H668" i="214"/>
  <c r="H667" i="214"/>
  <c r="H666" i="214"/>
  <c r="H665" i="214"/>
  <c r="H664" i="214"/>
  <c r="H663" i="214"/>
  <c r="G663" i="214"/>
  <c r="F663" i="214"/>
  <c r="F691" i="214" s="1"/>
  <c r="H662" i="214"/>
  <c r="H661" i="214"/>
  <c r="E655" i="214"/>
  <c r="H654" i="214"/>
  <c r="H653" i="214"/>
  <c r="H652" i="214"/>
  <c r="H651" i="214"/>
  <c r="H650" i="214"/>
  <c r="H649" i="214"/>
  <c r="H648" i="214"/>
  <c r="H646" i="214"/>
  <c r="H645" i="214"/>
  <c r="H644" i="214"/>
  <c r="H643" i="214"/>
  <c r="H642" i="214"/>
  <c r="H641" i="214"/>
  <c r="H640" i="214"/>
  <c r="H639" i="214"/>
  <c r="G639" i="214"/>
  <c r="F639" i="214"/>
  <c r="F655" i="214" s="1"/>
  <c r="H638" i="214"/>
  <c r="H637" i="214"/>
  <c r="H636" i="214"/>
  <c r="H635" i="214"/>
  <c r="H634" i="214"/>
  <c r="H632" i="214"/>
  <c r="H631" i="214"/>
  <c r="H630" i="214"/>
  <c r="H629" i="214"/>
  <c r="H628" i="214"/>
  <c r="G627" i="214"/>
  <c r="F627" i="214"/>
  <c r="H626" i="214"/>
  <c r="H625" i="214"/>
  <c r="E619" i="214"/>
  <c r="H618" i="214"/>
  <c r="H617" i="214"/>
  <c r="H616" i="214"/>
  <c r="H615" i="214"/>
  <c r="H614" i="214"/>
  <c r="H613" i="214"/>
  <c r="H612" i="214"/>
  <c r="H610" i="214"/>
  <c r="H609" i="214"/>
  <c r="H608" i="214"/>
  <c r="H607" i="214"/>
  <c r="H606" i="214"/>
  <c r="H605" i="214"/>
  <c r="H604" i="214"/>
  <c r="G603" i="214"/>
  <c r="H603" i="214" s="1"/>
  <c r="F603" i="214"/>
  <c r="H602" i="214"/>
  <c r="H601" i="214"/>
  <c r="H600" i="214"/>
  <c r="H599" i="214"/>
  <c r="H598" i="214"/>
  <c r="H596" i="214"/>
  <c r="H595" i="214"/>
  <c r="H594" i="214"/>
  <c r="H593" i="214"/>
  <c r="H592" i="214"/>
  <c r="G591" i="214"/>
  <c r="F591" i="214"/>
  <c r="F619" i="214" s="1"/>
  <c r="H590" i="214"/>
  <c r="H589" i="214"/>
  <c r="E583" i="214"/>
  <c r="H582" i="214"/>
  <c r="H581" i="214"/>
  <c r="H580" i="214"/>
  <c r="H579" i="214"/>
  <c r="H578" i="214"/>
  <c r="H577" i="214"/>
  <c r="H576" i="214"/>
  <c r="H574" i="214"/>
  <c r="H573" i="214"/>
  <c r="H572" i="214"/>
  <c r="H571" i="214"/>
  <c r="H570" i="214"/>
  <c r="H569" i="214"/>
  <c r="H568" i="214"/>
  <c r="H567" i="214"/>
  <c r="G567" i="214"/>
  <c r="F567" i="214"/>
  <c r="F583" i="214" s="1"/>
  <c r="H566" i="214"/>
  <c r="H565" i="214"/>
  <c r="H564" i="214"/>
  <c r="H563" i="214"/>
  <c r="H562" i="214"/>
  <c r="H560" i="214"/>
  <c r="H559" i="214"/>
  <c r="H558" i="214"/>
  <c r="H557" i="214"/>
  <c r="H556" i="214"/>
  <c r="G555" i="214"/>
  <c r="F555" i="214"/>
  <c r="H554" i="214"/>
  <c r="H553" i="214"/>
  <c r="E547" i="214"/>
  <c r="H546" i="214"/>
  <c r="H545" i="214"/>
  <c r="H544" i="214"/>
  <c r="H543" i="214"/>
  <c r="H542" i="214"/>
  <c r="H541" i="214"/>
  <c r="H540" i="214"/>
  <c r="H538" i="214"/>
  <c r="H537" i="214"/>
  <c r="H536" i="214"/>
  <c r="H535" i="214"/>
  <c r="H534" i="214"/>
  <c r="H533" i="214"/>
  <c r="H532" i="214"/>
  <c r="H531" i="214"/>
  <c r="G531" i="214"/>
  <c r="F531" i="214"/>
  <c r="F547" i="214" s="1"/>
  <c r="H530" i="214"/>
  <c r="H529" i="214"/>
  <c r="H528" i="214"/>
  <c r="H527" i="214"/>
  <c r="H526" i="214"/>
  <c r="H524" i="214"/>
  <c r="H523" i="214"/>
  <c r="H522" i="214"/>
  <c r="H521" i="214"/>
  <c r="H520" i="214"/>
  <c r="G519" i="214"/>
  <c r="F519" i="214"/>
  <c r="H518" i="214"/>
  <c r="H517" i="214"/>
  <c r="E511" i="214"/>
  <c r="H510" i="214"/>
  <c r="H509" i="214"/>
  <c r="H508" i="214"/>
  <c r="H507" i="214"/>
  <c r="H506" i="214"/>
  <c r="H505" i="214"/>
  <c r="H504" i="214"/>
  <c r="H502" i="214"/>
  <c r="H501" i="214"/>
  <c r="H500" i="214"/>
  <c r="H499" i="214"/>
  <c r="H498" i="214"/>
  <c r="H497" i="214"/>
  <c r="H496" i="214"/>
  <c r="G495" i="214"/>
  <c r="H495" i="214" s="1"/>
  <c r="F495" i="214"/>
  <c r="H494" i="214"/>
  <c r="H493" i="214"/>
  <c r="H492" i="214"/>
  <c r="H491" i="214"/>
  <c r="H490" i="214"/>
  <c r="H488" i="214"/>
  <c r="H487" i="214"/>
  <c r="H486" i="214"/>
  <c r="H485" i="214"/>
  <c r="H484" i="214"/>
  <c r="G483" i="214"/>
  <c r="F483" i="214"/>
  <c r="F511" i="214" s="1"/>
  <c r="H482" i="214"/>
  <c r="H481" i="214"/>
  <c r="F475" i="214"/>
  <c r="E475" i="214"/>
  <c r="H474" i="214"/>
  <c r="H473" i="214"/>
  <c r="H472" i="214"/>
  <c r="H471" i="214"/>
  <c r="H470" i="214"/>
  <c r="H469" i="214"/>
  <c r="H468" i="214"/>
  <c r="H466" i="214"/>
  <c r="H465" i="214"/>
  <c r="H464" i="214"/>
  <c r="H463" i="214"/>
  <c r="H462" i="214"/>
  <c r="H461" i="214"/>
  <c r="H460" i="214"/>
  <c r="H459" i="214"/>
  <c r="G459" i="214"/>
  <c r="F459" i="214"/>
  <c r="H458" i="214"/>
  <c r="H457" i="214"/>
  <c r="H456" i="214"/>
  <c r="H455" i="214"/>
  <c r="H454" i="214"/>
  <c r="H452" i="214"/>
  <c r="H451" i="214"/>
  <c r="H450" i="214"/>
  <c r="H449" i="214"/>
  <c r="H448" i="214"/>
  <c r="G447" i="214"/>
  <c r="F447" i="214"/>
  <c r="H446" i="214"/>
  <c r="H445" i="214"/>
  <c r="E439" i="214"/>
  <c r="H438" i="214"/>
  <c r="H437" i="214"/>
  <c r="H436" i="214"/>
  <c r="H435" i="214"/>
  <c r="H434" i="214"/>
  <c r="H433" i="214"/>
  <c r="H432" i="214"/>
  <c r="H430" i="214"/>
  <c r="H429" i="214"/>
  <c r="H428" i="214"/>
  <c r="H427" i="214"/>
  <c r="H426" i="214"/>
  <c r="H425" i="214"/>
  <c r="H424" i="214"/>
  <c r="G423" i="214"/>
  <c r="H423" i="214" s="1"/>
  <c r="F423" i="214"/>
  <c r="H422" i="214"/>
  <c r="H421" i="214"/>
  <c r="H420" i="214"/>
  <c r="H419" i="214"/>
  <c r="H418" i="214"/>
  <c r="H416" i="214"/>
  <c r="H415" i="214"/>
  <c r="H414" i="214"/>
  <c r="H413" i="214"/>
  <c r="H412" i="214"/>
  <c r="H411" i="214"/>
  <c r="G411" i="214"/>
  <c r="F411" i="214"/>
  <c r="F439" i="214" s="1"/>
  <c r="H410" i="214"/>
  <c r="H409" i="214"/>
  <c r="E403" i="214"/>
  <c r="H402" i="214"/>
  <c r="H401" i="214"/>
  <c r="H400" i="214"/>
  <c r="H399" i="214"/>
  <c r="H398" i="214"/>
  <c r="H397" i="214"/>
  <c r="H396" i="214"/>
  <c r="H394" i="214"/>
  <c r="H393" i="214"/>
  <c r="H392" i="214"/>
  <c r="H391" i="214"/>
  <c r="H390" i="214"/>
  <c r="H389" i="214"/>
  <c r="H388" i="214"/>
  <c r="G387" i="214"/>
  <c r="F387" i="214"/>
  <c r="F403" i="214" s="1"/>
  <c r="H386" i="214"/>
  <c r="H385" i="214"/>
  <c r="H384" i="214"/>
  <c r="H383" i="214"/>
  <c r="H382" i="214"/>
  <c r="H380" i="214"/>
  <c r="H379" i="214"/>
  <c r="H378" i="214"/>
  <c r="H377" i="214"/>
  <c r="H376" i="214"/>
  <c r="G375" i="214"/>
  <c r="F375" i="214"/>
  <c r="H374" i="214"/>
  <c r="H373" i="214"/>
  <c r="E367" i="214"/>
  <c r="H366" i="214"/>
  <c r="H365" i="214"/>
  <c r="H364" i="214"/>
  <c r="H363" i="214"/>
  <c r="H362" i="214"/>
  <c r="H361" i="214"/>
  <c r="H360" i="214"/>
  <c r="H358" i="214"/>
  <c r="H357" i="214"/>
  <c r="H356" i="214"/>
  <c r="H355" i="214"/>
  <c r="H354" i="214"/>
  <c r="H353" i="214"/>
  <c r="H352" i="214"/>
  <c r="G351" i="214"/>
  <c r="H351" i="214" s="1"/>
  <c r="F351" i="214"/>
  <c r="H350" i="214"/>
  <c r="H349" i="214"/>
  <c r="H348" i="214"/>
  <c r="H347" i="214"/>
  <c r="H346" i="214"/>
  <c r="H344" i="214"/>
  <c r="H343" i="214"/>
  <c r="H342" i="214"/>
  <c r="H341" i="214"/>
  <c r="H340" i="214"/>
  <c r="G339" i="214"/>
  <c r="F339" i="214"/>
  <c r="F367" i="214" s="1"/>
  <c r="H338" i="214"/>
  <c r="H337" i="214"/>
  <c r="E331" i="214"/>
  <c r="H330" i="214"/>
  <c r="H329" i="214"/>
  <c r="H328" i="214"/>
  <c r="H327" i="214"/>
  <c r="H326" i="214"/>
  <c r="H325" i="214"/>
  <c r="H324" i="214"/>
  <c r="H322" i="214"/>
  <c r="H321" i="214"/>
  <c r="H320" i="214"/>
  <c r="H319" i="214"/>
  <c r="H318" i="214"/>
  <c r="H317" i="214"/>
  <c r="H316" i="214"/>
  <c r="G315" i="214"/>
  <c r="F315" i="214"/>
  <c r="F331" i="214" s="1"/>
  <c r="H314" i="214"/>
  <c r="H313" i="214"/>
  <c r="H312" i="214"/>
  <c r="H311" i="214"/>
  <c r="H310" i="214"/>
  <c r="H308" i="214"/>
  <c r="H307" i="214"/>
  <c r="H306" i="214"/>
  <c r="H305" i="214"/>
  <c r="H304" i="214"/>
  <c r="G303" i="214"/>
  <c r="F303" i="214"/>
  <c r="H302" i="214"/>
  <c r="H301" i="214"/>
  <c r="E295" i="214"/>
  <c r="H294" i="214"/>
  <c r="H293" i="214"/>
  <c r="H292" i="214"/>
  <c r="H291" i="214"/>
  <c r="H290" i="214"/>
  <c r="H289" i="214"/>
  <c r="H288" i="214"/>
  <c r="H286" i="214"/>
  <c r="H285" i="214"/>
  <c r="H284" i="214"/>
  <c r="H283" i="214"/>
  <c r="H282" i="214"/>
  <c r="H281" i="214"/>
  <c r="H280" i="214"/>
  <c r="G279" i="214"/>
  <c r="H279" i="214" s="1"/>
  <c r="F279" i="214"/>
  <c r="H278" i="214"/>
  <c r="H277" i="214"/>
  <c r="H276" i="214"/>
  <c r="H275" i="214"/>
  <c r="H274" i="214"/>
  <c r="H272" i="214"/>
  <c r="H271" i="214"/>
  <c r="H270" i="214"/>
  <c r="H269" i="214"/>
  <c r="H268" i="214"/>
  <c r="H267" i="214"/>
  <c r="G267" i="214"/>
  <c r="F267" i="214"/>
  <c r="F295" i="214" s="1"/>
  <c r="H266" i="214"/>
  <c r="H265" i="214"/>
  <c r="E259" i="214"/>
  <c r="H258" i="214"/>
  <c r="H257" i="214"/>
  <c r="H256" i="214"/>
  <c r="H255" i="214"/>
  <c r="H254" i="214"/>
  <c r="H253" i="214"/>
  <c r="H252" i="214"/>
  <c r="H250" i="214"/>
  <c r="H249" i="214"/>
  <c r="H248" i="214"/>
  <c r="H247" i="214"/>
  <c r="H246" i="214"/>
  <c r="H245" i="214"/>
  <c r="H244" i="214"/>
  <c r="G243" i="214"/>
  <c r="F243" i="214"/>
  <c r="F259" i="214" s="1"/>
  <c r="H242" i="214"/>
  <c r="H241" i="214"/>
  <c r="H240" i="214"/>
  <c r="H239" i="214"/>
  <c r="H238" i="214"/>
  <c r="H236" i="214"/>
  <c r="H235" i="214"/>
  <c r="H234" i="214"/>
  <c r="H233" i="214"/>
  <c r="H232" i="214"/>
  <c r="G231" i="214"/>
  <c r="F231" i="214"/>
  <c r="H230" i="214"/>
  <c r="H229" i="214"/>
  <c r="E223" i="214"/>
  <c r="H222" i="214"/>
  <c r="H221" i="214"/>
  <c r="H220" i="214"/>
  <c r="H219" i="214"/>
  <c r="H218" i="214"/>
  <c r="H217" i="214"/>
  <c r="H216" i="214"/>
  <c r="H214" i="214"/>
  <c r="H213" i="214"/>
  <c r="H212" i="214"/>
  <c r="H211" i="214"/>
  <c r="H210" i="214"/>
  <c r="H209" i="214"/>
  <c r="H208" i="214"/>
  <c r="G207" i="214"/>
  <c r="H207" i="214" s="1"/>
  <c r="F207" i="214"/>
  <c r="H206" i="214"/>
  <c r="H205" i="214"/>
  <c r="H204" i="214"/>
  <c r="H203" i="214"/>
  <c r="H202" i="214"/>
  <c r="H200" i="214"/>
  <c r="H199" i="214"/>
  <c r="H198" i="214"/>
  <c r="H197" i="214"/>
  <c r="H196" i="214"/>
  <c r="G195" i="214"/>
  <c r="F195" i="214"/>
  <c r="F223" i="214" s="1"/>
  <c r="H194" i="214"/>
  <c r="H193" i="214"/>
  <c r="E187" i="214"/>
  <c r="H186" i="214"/>
  <c r="H185" i="214"/>
  <c r="H184" i="214"/>
  <c r="H183" i="214"/>
  <c r="H182" i="214"/>
  <c r="H181" i="214"/>
  <c r="H180" i="214"/>
  <c r="H178" i="214"/>
  <c r="H177" i="214"/>
  <c r="H176" i="214"/>
  <c r="H175" i="214"/>
  <c r="H174" i="214"/>
  <c r="H173" i="214"/>
  <c r="H172" i="214"/>
  <c r="G171" i="214"/>
  <c r="F171" i="214"/>
  <c r="F187" i="214" s="1"/>
  <c r="H170" i="214"/>
  <c r="H169" i="214"/>
  <c r="H168" i="214"/>
  <c r="H167" i="214"/>
  <c r="H166" i="214"/>
  <c r="H164" i="214"/>
  <c r="H163" i="214"/>
  <c r="H162" i="214"/>
  <c r="H161" i="214"/>
  <c r="H160" i="214"/>
  <c r="G159" i="214"/>
  <c r="F159" i="214"/>
  <c r="H158" i="214"/>
  <c r="H157" i="214"/>
  <c r="E151" i="214"/>
  <c r="H150" i="214"/>
  <c r="H149" i="214"/>
  <c r="H148" i="214"/>
  <c r="H147" i="214"/>
  <c r="H146" i="214"/>
  <c r="H145" i="214"/>
  <c r="H144" i="214"/>
  <c r="H142" i="214"/>
  <c r="H141" i="214"/>
  <c r="H140" i="214"/>
  <c r="H139" i="214"/>
  <c r="H138" i="214"/>
  <c r="H137" i="214"/>
  <c r="H136" i="214"/>
  <c r="G135" i="214"/>
  <c r="H135" i="214" s="1"/>
  <c r="F135" i="214"/>
  <c r="H134" i="214"/>
  <c r="H133" i="214"/>
  <c r="H132" i="214"/>
  <c r="H131" i="214"/>
  <c r="H130" i="214"/>
  <c r="H128" i="214"/>
  <c r="H127" i="214"/>
  <c r="H126" i="214"/>
  <c r="H125" i="214"/>
  <c r="H124" i="214"/>
  <c r="H123" i="214"/>
  <c r="G123" i="214"/>
  <c r="F123" i="214"/>
  <c r="F151" i="214" s="1"/>
  <c r="H122" i="214"/>
  <c r="H121" i="214"/>
  <c r="E115" i="214"/>
  <c r="H114" i="214"/>
  <c r="H113" i="214"/>
  <c r="H112" i="214"/>
  <c r="H111" i="214"/>
  <c r="H110" i="214"/>
  <c r="H109" i="214"/>
  <c r="H108" i="214"/>
  <c r="H106" i="214"/>
  <c r="H105" i="214"/>
  <c r="H104" i="214"/>
  <c r="H103" i="214"/>
  <c r="H102" i="214"/>
  <c r="H101" i="214"/>
  <c r="H100" i="214"/>
  <c r="H99" i="214"/>
  <c r="G99" i="214"/>
  <c r="F99" i="214"/>
  <c r="F115" i="214" s="1"/>
  <c r="H98" i="214"/>
  <c r="H97" i="214"/>
  <c r="H96" i="214"/>
  <c r="H95" i="214"/>
  <c r="H94" i="214"/>
  <c r="H92" i="214"/>
  <c r="H91" i="214"/>
  <c r="H90" i="214"/>
  <c r="H89" i="214"/>
  <c r="H88" i="214"/>
  <c r="G87" i="214"/>
  <c r="F87" i="214"/>
  <c r="H86" i="214"/>
  <c r="H85" i="214"/>
  <c r="E79" i="214"/>
  <c r="H78" i="214"/>
  <c r="H77" i="214"/>
  <c r="H76" i="214"/>
  <c r="H75" i="214"/>
  <c r="H74" i="214"/>
  <c r="H73" i="214"/>
  <c r="H72" i="214"/>
  <c r="H70" i="214"/>
  <c r="H69" i="214"/>
  <c r="H68" i="214"/>
  <c r="H67" i="214"/>
  <c r="H66" i="214"/>
  <c r="H65" i="214"/>
  <c r="H64" i="214"/>
  <c r="G63" i="214"/>
  <c r="H63" i="214" s="1"/>
  <c r="F63" i="214"/>
  <c r="H62" i="214"/>
  <c r="H61" i="214"/>
  <c r="H60" i="214"/>
  <c r="H59" i="214"/>
  <c r="H58" i="214"/>
  <c r="H56" i="214"/>
  <c r="H55" i="214"/>
  <c r="H54" i="214"/>
  <c r="H53" i="214"/>
  <c r="H52" i="214"/>
  <c r="G51" i="214"/>
  <c r="F51" i="214"/>
  <c r="F79" i="214" s="1"/>
  <c r="H50" i="214"/>
  <c r="H49" i="214"/>
  <c r="E43" i="214"/>
  <c r="H42" i="214"/>
  <c r="H41" i="214"/>
  <c r="H40" i="214"/>
  <c r="H39" i="214"/>
  <c r="H38" i="214"/>
  <c r="H37" i="214"/>
  <c r="H36" i="214"/>
  <c r="H34" i="214"/>
  <c r="H33" i="214"/>
  <c r="H32" i="214"/>
  <c r="H31" i="214"/>
  <c r="H30" i="214"/>
  <c r="H29" i="214"/>
  <c r="H28" i="214"/>
  <c r="H27" i="214"/>
  <c r="G27" i="214"/>
  <c r="F27" i="214"/>
  <c r="F43" i="214" s="1"/>
  <c r="H26" i="214"/>
  <c r="H25" i="214"/>
  <c r="H24" i="214"/>
  <c r="H23" i="214"/>
  <c r="H22" i="214"/>
  <c r="H20" i="214"/>
  <c r="H19" i="214"/>
  <c r="H18" i="214"/>
  <c r="H17" i="214"/>
  <c r="H16" i="214"/>
  <c r="G15" i="214"/>
  <c r="F15" i="214"/>
  <c r="F1225" i="214" s="1"/>
  <c r="H14" i="214"/>
  <c r="H13" i="214"/>
  <c r="G176" i="213"/>
  <c r="E262" i="20" s="1"/>
  <c r="T274" i="20" s="1"/>
  <c r="F176" i="213"/>
  <c r="D262" i="20" s="1"/>
  <c r="S274" i="20" s="1"/>
  <c r="E176" i="213"/>
  <c r="C262" i="20" s="1"/>
  <c r="R274" i="20" s="1"/>
  <c r="E175" i="213"/>
  <c r="C261" i="20" s="1"/>
  <c r="G174" i="213"/>
  <c r="E260" i="20" s="1"/>
  <c r="F174" i="213"/>
  <c r="E174" i="213"/>
  <c r="C260" i="20" s="1"/>
  <c r="L173" i="213"/>
  <c r="K173" i="213"/>
  <c r="J173" i="213"/>
  <c r="G173" i="213"/>
  <c r="G178" i="213" s="1"/>
  <c r="G169" i="213"/>
  <c r="F169" i="213"/>
  <c r="E169" i="213"/>
  <c r="G162" i="213"/>
  <c r="F162" i="213"/>
  <c r="E162" i="213"/>
  <c r="H161" i="213"/>
  <c r="H160" i="213"/>
  <c r="H159" i="213"/>
  <c r="H158" i="213"/>
  <c r="H157" i="213"/>
  <c r="H156" i="213"/>
  <c r="H155" i="213"/>
  <c r="H154" i="213"/>
  <c r="H153" i="213"/>
  <c r="H152" i="213"/>
  <c r="H151" i="213"/>
  <c r="H150" i="213"/>
  <c r="H149" i="213"/>
  <c r="H148" i="213"/>
  <c r="H147" i="213"/>
  <c r="H146" i="213"/>
  <c r="H144" i="213"/>
  <c r="H143" i="213"/>
  <c r="H142" i="213"/>
  <c r="H141" i="213"/>
  <c r="H140" i="213"/>
  <c r="H139" i="213"/>
  <c r="H138" i="213"/>
  <c r="H137" i="213"/>
  <c r="H136" i="213"/>
  <c r="G130" i="213"/>
  <c r="F130" i="213"/>
  <c r="E130" i="213"/>
  <c r="H128" i="213"/>
  <c r="H127" i="213"/>
  <c r="H126" i="213"/>
  <c r="H125" i="213"/>
  <c r="H124" i="213"/>
  <c r="H123" i="213"/>
  <c r="H122" i="213"/>
  <c r="H121" i="213"/>
  <c r="H120" i="213"/>
  <c r="H119" i="213"/>
  <c r="H118" i="213"/>
  <c r="H117" i="213"/>
  <c r="H116" i="213"/>
  <c r="H115" i="213"/>
  <c r="H114" i="213"/>
  <c r="H113" i="213"/>
  <c r="H112" i="213"/>
  <c r="H111" i="213"/>
  <c r="H110" i="213"/>
  <c r="H109" i="213"/>
  <c r="H108" i="213"/>
  <c r="H107" i="213"/>
  <c r="H106" i="213"/>
  <c r="H104" i="213"/>
  <c r="H103" i="213"/>
  <c r="H102" i="213"/>
  <c r="H101" i="213"/>
  <c r="H100" i="213"/>
  <c r="H99" i="213"/>
  <c r="H98" i="213"/>
  <c r="H97" i="213"/>
  <c r="G91" i="213"/>
  <c r="F91" i="213"/>
  <c r="E91" i="213"/>
  <c r="H90" i="213"/>
  <c r="H89" i="213"/>
  <c r="H88" i="213"/>
  <c r="H87" i="213"/>
  <c r="H86" i="213"/>
  <c r="H85" i="213"/>
  <c r="H84" i="213"/>
  <c r="H82" i="213"/>
  <c r="H81" i="213"/>
  <c r="H80" i="213"/>
  <c r="H79" i="213"/>
  <c r="H78" i="213"/>
  <c r="H77" i="213"/>
  <c r="H76" i="213"/>
  <c r="H74" i="213"/>
  <c r="H73" i="213"/>
  <c r="H72" i="213"/>
  <c r="H71" i="213"/>
  <c r="H70" i="213"/>
  <c r="H68" i="213"/>
  <c r="H67" i="213"/>
  <c r="H66" i="213"/>
  <c r="H65" i="213"/>
  <c r="H64" i="213"/>
  <c r="H62" i="213"/>
  <c r="H61" i="213"/>
  <c r="G55" i="213"/>
  <c r="F55" i="213"/>
  <c r="E55" i="213"/>
  <c r="H54" i="213"/>
  <c r="H53" i="213"/>
  <c r="H52" i="213"/>
  <c r="H51" i="213"/>
  <c r="H50" i="213"/>
  <c r="H49" i="213"/>
  <c r="H48" i="213"/>
  <c r="H46" i="213"/>
  <c r="H45" i="213"/>
  <c r="H44" i="213"/>
  <c r="H43" i="213"/>
  <c r="H42" i="213"/>
  <c r="H41" i="213"/>
  <c r="H40" i="213"/>
  <c r="H38" i="213"/>
  <c r="H37" i="213"/>
  <c r="H36" i="213"/>
  <c r="H35" i="213"/>
  <c r="H34" i="213"/>
  <c r="H32" i="213"/>
  <c r="H31" i="213"/>
  <c r="H30" i="213"/>
  <c r="H29" i="213"/>
  <c r="H28" i="213"/>
  <c r="H26" i="213"/>
  <c r="H25" i="213"/>
  <c r="G18" i="213"/>
  <c r="H18" i="213" s="1"/>
  <c r="F18" i="213"/>
  <c r="E18" i="213"/>
  <c r="H13" i="213"/>
  <c r="H12" i="213"/>
  <c r="D181" i="212"/>
  <c r="G57" i="212"/>
  <c r="F57" i="212"/>
  <c r="E57" i="212"/>
  <c r="G55" i="212"/>
  <c r="F55" i="212"/>
  <c r="F54" i="212" s="1"/>
  <c r="F59" i="212" s="1"/>
  <c r="E55" i="212"/>
  <c r="L54" i="212"/>
  <c r="K54" i="212"/>
  <c r="J54" i="212"/>
  <c r="G54" i="212"/>
  <c r="E54" i="212"/>
  <c r="E59" i="212" s="1"/>
  <c r="G48" i="212"/>
  <c r="H48" i="212" s="1"/>
  <c r="F48" i="212"/>
  <c r="E48" i="212"/>
  <c r="H45" i="212"/>
  <c r="H43" i="212"/>
  <c r="H42" i="212"/>
  <c r="H41" i="212"/>
  <c r="H40" i="212"/>
  <c r="H38" i="212"/>
  <c r="H37" i="212"/>
  <c r="H36" i="212"/>
  <c r="H35" i="212"/>
  <c r="H34" i="212"/>
  <c r="H33" i="212"/>
  <c r="H32" i="212"/>
  <c r="H31" i="212"/>
  <c r="H30" i="212"/>
  <c r="H29" i="212"/>
  <c r="H28" i="212"/>
  <c r="H27" i="212"/>
  <c r="H26" i="212"/>
  <c r="H25" i="212"/>
  <c r="H24" i="212"/>
  <c r="H23" i="212"/>
  <c r="H22" i="212"/>
  <c r="H19" i="212"/>
  <c r="H17" i="212"/>
  <c r="H16" i="212"/>
  <c r="H14" i="212"/>
  <c r="H13" i="212"/>
  <c r="H12" i="212"/>
  <c r="D191" i="211"/>
  <c r="F69" i="211"/>
  <c r="G66" i="211"/>
  <c r="F66" i="211"/>
  <c r="E66" i="211"/>
  <c r="G65" i="211"/>
  <c r="F65" i="211"/>
  <c r="E65" i="211"/>
  <c r="E64" i="211" s="1"/>
  <c r="E69" i="211" s="1"/>
  <c r="L64" i="211"/>
  <c r="K64" i="211"/>
  <c r="J64" i="211"/>
  <c r="F64" i="211"/>
  <c r="G60" i="211"/>
  <c r="F60" i="211"/>
  <c r="H60" i="211" s="1"/>
  <c r="E60" i="211"/>
  <c r="H57" i="211"/>
  <c r="H55" i="211"/>
  <c r="H54" i="211"/>
  <c r="H53" i="211"/>
  <c r="H52" i="211"/>
  <c r="H50" i="211"/>
  <c r="H49" i="211"/>
  <c r="H47" i="211"/>
  <c r="H46" i="211"/>
  <c r="H44" i="211"/>
  <c r="H43" i="211"/>
  <c r="H41" i="211"/>
  <c r="H40" i="211"/>
  <c r="H38" i="211"/>
  <c r="H37" i="211"/>
  <c r="H35" i="211"/>
  <c r="H34" i="211"/>
  <c r="H31" i="211"/>
  <c r="H29" i="211"/>
  <c r="H28" i="211"/>
  <c r="H26" i="211"/>
  <c r="H25" i="211"/>
  <c r="H24" i="211"/>
  <c r="H23" i="211"/>
  <c r="H21" i="211"/>
  <c r="H20" i="211"/>
  <c r="H18" i="211"/>
  <c r="H17" i="211"/>
  <c r="H15" i="211"/>
  <c r="H14" i="211"/>
  <c r="H12" i="211"/>
  <c r="E40" i="210"/>
  <c r="G38" i="210"/>
  <c r="L35" i="210"/>
  <c r="G36" i="210"/>
  <c r="F36" i="210"/>
  <c r="E36" i="210"/>
  <c r="E35" i="210" s="1"/>
  <c r="K35" i="210"/>
  <c r="J35" i="210"/>
  <c r="F35" i="210"/>
  <c r="F40" i="210" s="1"/>
  <c r="H29" i="210"/>
  <c r="G29" i="210"/>
  <c r="F29" i="210"/>
  <c r="E29" i="210"/>
  <c r="H27" i="210"/>
  <c r="H26" i="210"/>
  <c r="H25" i="210"/>
  <c r="H24" i="210"/>
  <c r="H23" i="210"/>
  <c r="H22" i="210"/>
  <c r="H21" i="210"/>
  <c r="H20" i="210"/>
  <c r="H19" i="210"/>
  <c r="H18" i="210"/>
  <c r="H17" i="210"/>
  <c r="H16" i="210"/>
  <c r="H15" i="210"/>
  <c r="H14" i="210"/>
  <c r="H13" i="210"/>
  <c r="H12" i="210"/>
  <c r="H11" i="210"/>
  <c r="H10" i="210"/>
  <c r="G72" i="209"/>
  <c r="G70" i="209"/>
  <c r="F70" i="209"/>
  <c r="F67" i="209" s="1"/>
  <c r="F72" i="209" s="1"/>
  <c r="E70" i="209"/>
  <c r="G69" i="209"/>
  <c r="F69" i="209"/>
  <c r="E69" i="209"/>
  <c r="G68" i="209"/>
  <c r="H68" i="209" s="1"/>
  <c r="F68" i="209"/>
  <c r="E68" i="209"/>
  <c r="E67" i="209" s="1"/>
  <c r="E72" i="209" s="1"/>
  <c r="L67" i="209"/>
  <c r="K67" i="209"/>
  <c r="J67" i="209"/>
  <c r="G67" i="209"/>
  <c r="G64" i="209"/>
  <c r="F64" i="209"/>
  <c r="E64" i="209"/>
  <c r="H62" i="209"/>
  <c r="H61" i="209"/>
  <c r="H60" i="209"/>
  <c r="H59" i="209"/>
  <c r="H58" i="209"/>
  <c r="H57" i="209"/>
  <c r="H56" i="209"/>
  <c r="H55" i="209"/>
  <c r="H54" i="209"/>
  <c r="H53" i="209"/>
  <c r="H52" i="209"/>
  <c r="H51" i="209"/>
  <c r="H50" i="209"/>
  <c r="H49" i="209"/>
  <c r="H48" i="209"/>
  <c r="H46" i="209"/>
  <c r="H45" i="209"/>
  <c r="H44" i="209"/>
  <c r="H43" i="209"/>
  <c r="H42" i="209"/>
  <c r="H41" i="209"/>
  <c r="H40" i="209"/>
  <c r="H39" i="209"/>
  <c r="G33" i="209"/>
  <c r="H33" i="209" s="1"/>
  <c r="F33" i="209"/>
  <c r="E33" i="209"/>
  <c r="H31" i="209"/>
  <c r="H30" i="209"/>
  <c r="H29" i="209"/>
  <c r="H28" i="209"/>
  <c r="H27" i="209"/>
  <c r="H26" i="209"/>
  <c r="H25" i="209"/>
  <c r="H24" i="209"/>
  <c r="H23" i="209"/>
  <c r="H22" i="209"/>
  <c r="H21" i="209"/>
  <c r="H19" i="209"/>
  <c r="H18" i="209"/>
  <c r="H17" i="209"/>
  <c r="H16" i="209"/>
  <c r="H15" i="209"/>
  <c r="H14" i="209"/>
  <c r="H13" i="209"/>
  <c r="H12" i="209"/>
  <c r="G100" i="208"/>
  <c r="F100" i="208"/>
  <c r="E100" i="208"/>
  <c r="G99" i="208"/>
  <c r="H99" i="208" s="1"/>
  <c r="F99" i="208"/>
  <c r="E99" i="208"/>
  <c r="G98" i="208"/>
  <c r="F98" i="208"/>
  <c r="E98" i="208"/>
  <c r="E97" i="208" s="1"/>
  <c r="E102" i="208" s="1"/>
  <c r="L97" i="208"/>
  <c r="K97" i="208"/>
  <c r="J97" i="208"/>
  <c r="F97" i="208"/>
  <c r="F102" i="208" s="1"/>
  <c r="G89" i="208"/>
  <c r="F89" i="208"/>
  <c r="H89" i="208" s="1"/>
  <c r="E89" i="208"/>
  <c r="H88" i="208"/>
  <c r="H87" i="208"/>
  <c r="H86" i="208"/>
  <c r="H85" i="208"/>
  <c r="G79" i="208"/>
  <c r="F79" i="208"/>
  <c r="H79" i="208" s="1"/>
  <c r="E79" i="208"/>
  <c r="H78" i="208"/>
  <c r="H77" i="208"/>
  <c r="H76" i="208"/>
  <c r="H75" i="208"/>
  <c r="G69" i="208"/>
  <c r="F69" i="208"/>
  <c r="H69" i="208" s="1"/>
  <c r="E69" i="208"/>
  <c r="H68" i="208"/>
  <c r="H67" i="208"/>
  <c r="H66" i="208"/>
  <c r="H65" i="208"/>
  <c r="G59" i="208"/>
  <c r="F59" i="208"/>
  <c r="H59" i="208" s="1"/>
  <c r="E59" i="208"/>
  <c r="H58" i="208"/>
  <c r="H57" i="208"/>
  <c r="H56" i="208"/>
  <c r="H55" i="208"/>
  <c r="G49" i="208"/>
  <c r="F49" i="208"/>
  <c r="H49" i="208" s="1"/>
  <c r="E49" i="208"/>
  <c r="H48" i="208"/>
  <c r="H47" i="208"/>
  <c r="H46" i="208"/>
  <c r="H45" i="208"/>
  <c r="G39" i="208"/>
  <c r="F39" i="208"/>
  <c r="H39" i="208" s="1"/>
  <c r="E39" i="208"/>
  <c r="H38" i="208"/>
  <c r="H37" i="208"/>
  <c r="H36" i="208"/>
  <c r="H35" i="208"/>
  <c r="G29" i="208"/>
  <c r="F29" i="208"/>
  <c r="H29" i="208" s="1"/>
  <c r="E29" i="208"/>
  <c r="H27" i="208"/>
  <c r="H26" i="208"/>
  <c r="H25" i="208"/>
  <c r="H24" i="208"/>
  <c r="H23" i="208"/>
  <c r="H22" i="208"/>
  <c r="H21" i="208"/>
  <c r="H20" i="208"/>
  <c r="H19" i="208"/>
  <c r="H18" i="208"/>
  <c r="H17" i="208"/>
  <c r="H16" i="208"/>
  <c r="H15" i="208"/>
  <c r="H14" i="208"/>
  <c r="H13" i="208"/>
  <c r="H12" i="208"/>
  <c r="H11" i="208"/>
  <c r="H10" i="208"/>
  <c r="G123" i="207"/>
  <c r="F123" i="207"/>
  <c r="E123" i="207"/>
  <c r="G122" i="207"/>
  <c r="H122" i="207" s="1"/>
  <c r="F122" i="207"/>
  <c r="E122" i="207"/>
  <c r="G121" i="207"/>
  <c r="F121" i="207"/>
  <c r="E121" i="207"/>
  <c r="M120" i="207"/>
  <c r="L120" i="207"/>
  <c r="K120" i="207"/>
  <c r="F120" i="207"/>
  <c r="F125" i="207" s="1"/>
  <c r="H113" i="207"/>
  <c r="G113" i="207"/>
  <c r="F113" i="207"/>
  <c r="E113" i="207"/>
  <c r="H112" i="207"/>
  <c r="H111" i="207"/>
  <c r="H110" i="207"/>
  <c r="G104" i="207"/>
  <c r="H104" i="207" s="1"/>
  <c r="F104" i="207"/>
  <c r="E104" i="207"/>
  <c r="H103" i="207"/>
  <c r="H102" i="207"/>
  <c r="H101" i="207"/>
  <c r="G95" i="207"/>
  <c r="F95" i="207"/>
  <c r="H95" i="207" s="1"/>
  <c r="E95" i="207"/>
  <c r="H94" i="207"/>
  <c r="H93" i="207"/>
  <c r="H92" i="207"/>
  <c r="G86" i="207"/>
  <c r="H86" i="207" s="1"/>
  <c r="F86" i="207"/>
  <c r="E86" i="207"/>
  <c r="H85" i="207"/>
  <c r="H84" i="207"/>
  <c r="H83" i="207"/>
  <c r="G77" i="207"/>
  <c r="F77" i="207"/>
  <c r="H77" i="207" s="1"/>
  <c r="E77" i="207"/>
  <c r="H76" i="207"/>
  <c r="H75" i="207"/>
  <c r="H74" i="207"/>
  <c r="H73" i="207"/>
  <c r="G67" i="207"/>
  <c r="F67" i="207"/>
  <c r="H67" i="207" s="1"/>
  <c r="E67" i="207"/>
  <c r="H66" i="207"/>
  <c r="H65" i="207"/>
  <c r="H64" i="207"/>
  <c r="H63" i="207"/>
  <c r="G57" i="207"/>
  <c r="F57" i="207"/>
  <c r="H57" i="207" s="1"/>
  <c r="E57" i="207"/>
  <c r="H56" i="207"/>
  <c r="H55" i="207"/>
  <c r="H54" i="207"/>
  <c r="H53" i="207"/>
  <c r="G47" i="207"/>
  <c r="F47" i="207"/>
  <c r="H47" i="207" s="1"/>
  <c r="E47" i="207"/>
  <c r="H46" i="207"/>
  <c r="H45" i="207"/>
  <c r="H44" i="207"/>
  <c r="H43" i="207"/>
  <c r="G37" i="207"/>
  <c r="F37" i="207"/>
  <c r="H37" i="207" s="1"/>
  <c r="E37" i="207"/>
  <c r="H36" i="207"/>
  <c r="H35" i="207"/>
  <c r="H34" i="207"/>
  <c r="H33" i="207"/>
  <c r="G27" i="207"/>
  <c r="F27" i="207"/>
  <c r="H27" i="207" s="1"/>
  <c r="E27" i="207"/>
  <c r="H25" i="207"/>
  <c r="H24" i="207"/>
  <c r="H23" i="207"/>
  <c r="H22" i="207"/>
  <c r="H21" i="207"/>
  <c r="H20" i="207"/>
  <c r="H19" i="207"/>
  <c r="H18" i="207"/>
  <c r="H17" i="207"/>
  <c r="H16" i="207"/>
  <c r="H15" i="207"/>
  <c r="H14" i="207"/>
  <c r="H13" i="207"/>
  <c r="H12" i="207"/>
  <c r="H11" i="207"/>
  <c r="H10" i="207"/>
  <c r="G422" i="206"/>
  <c r="F422" i="206"/>
  <c r="E422" i="206"/>
  <c r="G421" i="206"/>
  <c r="H421" i="206" s="1"/>
  <c r="F421" i="206"/>
  <c r="E421" i="206"/>
  <c r="G420" i="206"/>
  <c r="F420" i="206"/>
  <c r="E420" i="206"/>
  <c r="L419" i="206"/>
  <c r="K419" i="206"/>
  <c r="J419" i="206"/>
  <c r="F419" i="206"/>
  <c r="F424" i="206" s="1"/>
  <c r="H414" i="206"/>
  <c r="G414" i="206"/>
  <c r="F414" i="206"/>
  <c r="E414" i="206"/>
  <c r="H413" i="206"/>
  <c r="H412" i="206"/>
  <c r="H411" i="206"/>
  <c r="H410" i="206"/>
  <c r="H404" i="206"/>
  <c r="G404" i="206"/>
  <c r="F404" i="206"/>
  <c r="E404" i="206"/>
  <c r="H403" i="206"/>
  <c r="H402" i="206"/>
  <c r="H401" i="206"/>
  <c r="H400" i="206"/>
  <c r="H394" i="206"/>
  <c r="G394" i="206"/>
  <c r="F394" i="206"/>
  <c r="E394" i="206"/>
  <c r="H393" i="206"/>
  <c r="H392" i="206"/>
  <c r="H391" i="206"/>
  <c r="H390" i="206"/>
  <c r="H384" i="206"/>
  <c r="G384" i="206"/>
  <c r="F384" i="206"/>
  <c r="E384" i="206"/>
  <c r="H383" i="206"/>
  <c r="H382" i="206"/>
  <c r="H381" i="206"/>
  <c r="H380" i="206"/>
  <c r="H374" i="206"/>
  <c r="G374" i="206"/>
  <c r="F374" i="206"/>
  <c r="E374" i="206"/>
  <c r="H373" i="206"/>
  <c r="H372" i="206"/>
  <c r="H371" i="206"/>
  <c r="H370" i="206"/>
  <c r="H364" i="206"/>
  <c r="G364" i="206"/>
  <c r="F364" i="206"/>
  <c r="E364" i="206"/>
  <c r="H363" i="206"/>
  <c r="H362" i="206"/>
  <c r="H361" i="206"/>
  <c r="H360" i="206"/>
  <c r="H354" i="206"/>
  <c r="G354" i="206"/>
  <c r="F354" i="206"/>
  <c r="E354" i="206"/>
  <c r="H353" i="206"/>
  <c r="H352" i="206"/>
  <c r="H351" i="206"/>
  <c r="H350" i="206"/>
  <c r="H344" i="206"/>
  <c r="G344" i="206"/>
  <c r="F344" i="206"/>
  <c r="E344" i="206"/>
  <c r="H343" i="206"/>
  <c r="H342" i="206"/>
  <c r="H341" i="206"/>
  <c r="H340" i="206"/>
  <c r="H334" i="206"/>
  <c r="G334" i="206"/>
  <c r="F334" i="206"/>
  <c r="E334" i="206"/>
  <c r="H333" i="206"/>
  <c r="H332" i="206"/>
  <c r="H331" i="206"/>
  <c r="H330" i="206"/>
  <c r="H324" i="206"/>
  <c r="G324" i="206"/>
  <c r="F324" i="206"/>
  <c r="E324" i="206"/>
  <c r="H323" i="206"/>
  <c r="H322" i="206"/>
  <c r="H321" i="206"/>
  <c r="H320" i="206"/>
  <c r="H314" i="206"/>
  <c r="G314" i="206"/>
  <c r="F314" i="206"/>
  <c r="E314" i="206"/>
  <c r="H313" i="206"/>
  <c r="H312" i="206"/>
  <c r="H311" i="206"/>
  <c r="H310" i="206"/>
  <c r="H304" i="206"/>
  <c r="G304" i="206"/>
  <c r="F304" i="206"/>
  <c r="E304" i="206"/>
  <c r="H303" i="206"/>
  <c r="H302" i="206"/>
  <c r="H301" i="206"/>
  <c r="H300" i="206"/>
  <c r="H294" i="206"/>
  <c r="G294" i="206"/>
  <c r="F294" i="206"/>
  <c r="E294" i="206"/>
  <c r="H293" i="206"/>
  <c r="H292" i="206"/>
  <c r="H291" i="206"/>
  <c r="H290" i="206"/>
  <c r="H284" i="206"/>
  <c r="G284" i="206"/>
  <c r="F284" i="206"/>
  <c r="E284" i="206"/>
  <c r="H283" i="206"/>
  <c r="H282" i="206"/>
  <c r="H281" i="206"/>
  <c r="H280" i="206"/>
  <c r="H274" i="206"/>
  <c r="G274" i="206"/>
  <c r="F274" i="206"/>
  <c r="E274" i="206"/>
  <c r="H273" i="206"/>
  <c r="H272" i="206"/>
  <c r="H271" i="206"/>
  <c r="H270" i="206"/>
  <c r="H264" i="206"/>
  <c r="G264" i="206"/>
  <c r="F264" i="206"/>
  <c r="E264" i="206"/>
  <c r="H263" i="206"/>
  <c r="H262" i="206"/>
  <c r="H261" i="206"/>
  <c r="H260" i="206"/>
  <c r="H254" i="206"/>
  <c r="G254" i="206"/>
  <c r="F254" i="206"/>
  <c r="E254" i="206"/>
  <c r="H253" i="206"/>
  <c r="H252" i="206"/>
  <c r="H251" i="206"/>
  <c r="H250" i="206"/>
  <c r="H244" i="206"/>
  <c r="G244" i="206"/>
  <c r="F244" i="206"/>
  <c r="E244" i="206"/>
  <c r="H243" i="206"/>
  <c r="H242" i="206"/>
  <c r="H241" i="206"/>
  <c r="H240" i="206"/>
  <c r="H234" i="206"/>
  <c r="G234" i="206"/>
  <c r="F234" i="206"/>
  <c r="E234" i="206"/>
  <c r="H233" i="206"/>
  <c r="H232" i="206"/>
  <c r="H231" i="206"/>
  <c r="H230" i="206"/>
  <c r="H224" i="206"/>
  <c r="G224" i="206"/>
  <c r="F224" i="206"/>
  <c r="E224" i="206"/>
  <c r="H223" i="206"/>
  <c r="H222" i="206"/>
  <c r="H221" i="206"/>
  <c r="H220" i="206"/>
  <c r="H214" i="206"/>
  <c r="G214" i="206"/>
  <c r="F214" i="206"/>
  <c r="E214" i="206"/>
  <c r="H213" i="206"/>
  <c r="H212" i="206"/>
  <c r="H211" i="206"/>
  <c r="H210" i="206"/>
  <c r="H204" i="206"/>
  <c r="G204" i="206"/>
  <c r="F204" i="206"/>
  <c r="E204" i="206"/>
  <c r="H203" i="206"/>
  <c r="H202" i="206"/>
  <c r="H201" i="206"/>
  <c r="H200" i="206"/>
  <c r="H194" i="206"/>
  <c r="G194" i="206"/>
  <c r="F194" i="206"/>
  <c r="E194" i="206"/>
  <c r="H193" i="206"/>
  <c r="H192" i="206"/>
  <c r="H191" i="206"/>
  <c r="H190" i="206"/>
  <c r="H184" i="206"/>
  <c r="G184" i="206"/>
  <c r="F184" i="206"/>
  <c r="E184" i="206"/>
  <c r="H183" i="206"/>
  <c r="H182" i="206"/>
  <c r="H181" i="206"/>
  <c r="H180" i="206"/>
  <c r="H174" i="206"/>
  <c r="G174" i="206"/>
  <c r="F174" i="206"/>
  <c r="E174" i="206"/>
  <c r="H173" i="206"/>
  <c r="H172" i="206"/>
  <c r="H171" i="206"/>
  <c r="H170" i="206"/>
  <c r="H159" i="206"/>
  <c r="G159" i="206"/>
  <c r="F159" i="206"/>
  <c r="E159" i="206"/>
  <c r="H158" i="206"/>
  <c r="H157" i="206"/>
  <c r="H156" i="206"/>
  <c r="H155" i="206"/>
  <c r="H149" i="206"/>
  <c r="G149" i="206"/>
  <c r="F149" i="206"/>
  <c r="E149" i="206"/>
  <c r="H148" i="206"/>
  <c r="H147" i="206"/>
  <c r="H146" i="206"/>
  <c r="H145" i="206"/>
  <c r="H139" i="206"/>
  <c r="G139" i="206"/>
  <c r="F139" i="206"/>
  <c r="E139" i="206"/>
  <c r="H138" i="206"/>
  <c r="H137" i="206"/>
  <c r="H136" i="206"/>
  <c r="H135" i="206"/>
  <c r="H129" i="206"/>
  <c r="G129" i="206"/>
  <c r="F129" i="206"/>
  <c r="E129" i="206"/>
  <c r="H128" i="206"/>
  <c r="H127" i="206"/>
  <c r="H126" i="206"/>
  <c r="H125" i="206"/>
  <c r="H119" i="206"/>
  <c r="G119" i="206"/>
  <c r="F119" i="206"/>
  <c r="E119" i="206"/>
  <c r="H118" i="206"/>
  <c r="H117" i="206"/>
  <c r="H116" i="206"/>
  <c r="H115" i="206"/>
  <c r="H109" i="206"/>
  <c r="G109" i="206"/>
  <c r="F109" i="206"/>
  <c r="E109" i="206"/>
  <c r="H108" i="206"/>
  <c r="H107" i="206"/>
  <c r="H106" i="206"/>
  <c r="H105" i="206"/>
  <c r="H99" i="206"/>
  <c r="G99" i="206"/>
  <c r="F99" i="206"/>
  <c r="E99" i="206"/>
  <c r="H98" i="206"/>
  <c r="H97" i="206"/>
  <c r="H96" i="206"/>
  <c r="H95" i="206"/>
  <c r="H89" i="206"/>
  <c r="G89" i="206"/>
  <c r="F89" i="206"/>
  <c r="E89" i="206"/>
  <c r="H88" i="206"/>
  <c r="H87" i="206"/>
  <c r="H86" i="206"/>
  <c r="H85" i="206"/>
  <c r="H79" i="206"/>
  <c r="G79" i="206"/>
  <c r="F79" i="206"/>
  <c r="E79" i="206"/>
  <c r="H78" i="206"/>
  <c r="H77" i="206"/>
  <c r="H76" i="206"/>
  <c r="H75" i="206"/>
  <c r="H69" i="206"/>
  <c r="G69" i="206"/>
  <c r="F69" i="206"/>
  <c r="E69" i="206"/>
  <c r="H68" i="206"/>
  <c r="H67" i="206"/>
  <c r="H66" i="206"/>
  <c r="H65" i="206"/>
  <c r="H59" i="206"/>
  <c r="G59" i="206"/>
  <c r="F59" i="206"/>
  <c r="E59" i="206"/>
  <c r="H58" i="206"/>
  <c r="H57" i="206"/>
  <c r="H56" i="206"/>
  <c r="H55" i="206"/>
  <c r="H49" i="206"/>
  <c r="G49" i="206"/>
  <c r="F49" i="206"/>
  <c r="E49" i="206"/>
  <c r="H48" i="206"/>
  <c r="H47" i="206"/>
  <c r="H46" i="206"/>
  <c r="H45" i="206"/>
  <c r="H39" i="206"/>
  <c r="G39" i="206"/>
  <c r="F39" i="206"/>
  <c r="E39" i="206"/>
  <c r="H38" i="206"/>
  <c r="H37" i="206"/>
  <c r="H36" i="206"/>
  <c r="H35" i="206"/>
  <c r="H28" i="206"/>
  <c r="G28" i="206"/>
  <c r="F28" i="206"/>
  <c r="E28" i="206"/>
  <c r="H25" i="206"/>
  <c r="H24" i="206"/>
  <c r="H23" i="206"/>
  <c r="H22" i="206"/>
  <c r="H21" i="206"/>
  <c r="H20" i="206"/>
  <c r="H19" i="206"/>
  <c r="H18" i="206"/>
  <c r="H17" i="206"/>
  <c r="H16" i="206"/>
  <c r="H15" i="206"/>
  <c r="H14" i="206"/>
  <c r="H13" i="206"/>
  <c r="H12" i="206"/>
  <c r="H11" i="206"/>
  <c r="H10" i="206"/>
  <c r="D352" i="205"/>
  <c r="G228" i="205"/>
  <c r="F228" i="205"/>
  <c r="E228" i="205"/>
  <c r="G226" i="205"/>
  <c r="F226" i="205"/>
  <c r="F225" i="205" s="1"/>
  <c r="F230" i="205" s="1"/>
  <c r="E226" i="205"/>
  <c r="L225" i="205"/>
  <c r="K225" i="205"/>
  <c r="J225" i="205"/>
  <c r="G225" i="205"/>
  <c r="E225" i="205"/>
  <c r="E230" i="205" s="1"/>
  <c r="G220" i="205"/>
  <c r="H220" i="205" s="1"/>
  <c r="F220" i="205"/>
  <c r="E220" i="205"/>
  <c r="H219" i="205"/>
  <c r="G197" i="205"/>
  <c r="F197" i="205"/>
  <c r="H197" i="205" s="1"/>
  <c r="E197" i="205"/>
  <c r="H195" i="205"/>
  <c r="H194" i="205"/>
  <c r="H193" i="205"/>
  <c r="H192" i="205"/>
  <c r="H191" i="205"/>
  <c r="H189" i="205"/>
  <c r="H188" i="205"/>
  <c r="H187" i="205"/>
  <c r="H186" i="205"/>
  <c r="H185" i="205"/>
  <c r="H184" i="205"/>
  <c r="H183" i="205"/>
  <c r="H182" i="205"/>
  <c r="H181" i="205"/>
  <c r="H180" i="205"/>
  <c r="H179" i="205"/>
  <c r="H178" i="205"/>
  <c r="H177" i="205"/>
  <c r="H176" i="205"/>
  <c r="H175" i="205"/>
  <c r="H174" i="205"/>
  <c r="H173" i="205"/>
  <c r="H167" i="205"/>
  <c r="G167" i="205"/>
  <c r="F167" i="205"/>
  <c r="E167" i="205"/>
  <c r="H165" i="205"/>
  <c r="H164" i="205"/>
  <c r="H163" i="205"/>
  <c r="H162" i="205"/>
  <c r="H161" i="205"/>
  <c r="H159" i="205"/>
  <c r="H158" i="205"/>
  <c r="H157" i="205"/>
  <c r="H156" i="205"/>
  <c r="H155" i="205"/>
  <c r="H154" i="205"/>
  <c r="H153" i="205"/>
  <c r="H152" i="205"/>
  <c r="H151" i="205"/>
  <c r="H150" i="205"/>
  <c r="H149" i="205"/>
  <c r="H148" i="205"/>
  <c r="H147" i="205"/>
  <c r="H146" i="205"/>
  <c r="H145" i="205"/>
  <c r="H144" i="205"/>
  <c r="H143" i="205"/>
  <c r="G137" i="205"/>
  <c r="F137" i="205"/>
  <c r="H137" i="205" s="1"/>
  <c r="E137" i="205"/>
  <c r="H135" i="205"/>
  <c r="H134" i="205"/>
  <c r="H133" i="205"/>
  <c r="H132" i="205"/>
  <c r="H131" i="205"/>
  <c r="H130" i="205"/>
  <c r="H129" i="205"/>
  <c r="H128" i="205"/>
  <c r="H126" i="205"/>
  <c r="H125" i="205"/>
  <c r="H124" i="205"/>
  <c r="H123" i="205"/>
  <c r="H122" i="205"/>
  <c r="H121" i="205"/>
  <c r="H120" i="205"/>
  <c r="H119" i="205"/>
  <c r="H118" i="205"/>
  <c r="H117" i="205"/>
  <c r="H116" i="205"/>
  <c r="H115" i="205"/>
  <c r="H114" i="205"/>
  <c r="H113" i="205"/>
  <c r="H112" i="205"/>
  <c r="H111" i="205"/>
  <c r="H110" i="205"/>
  <c r="G104" i="205"/>
  <c r="H104" i="205" s="1"/>
  <c r="F104" i="205"/>
  <c r="E104" i="205"/>
  <c r="H102" i="205"/>
  <c r="H101" i="205"/>
  <c r="H99" i="205"/>
  <c r="H98" i="205"/>
  <c r="H97" i="205"/>
  <c r="H96" i="205"/>
  <c r="H95" i="205"/>
  <c r="H94" i="205"/>
  <c r="H93" i="205"/>
  <c r="H92" i="205"/>
  <c r="H91" i="205"/>
  <c r="H89" i="205"/>
  <c r="H88" i="205"/>
  <c r="H87" i="205"/>
  <c r="H86" i="205"/>
  <c r="H85" i="205"/>
  <c r="H84" i="205"/>
  <c r="H83" i="205"/>
  <c r="H82" i="205"/>
  <c r="H81" i="205"/>
  <c r="H80" i="205"/>
  <c r="H79" i="205"/>
  <c r="H78" i="205"/>
  <c r="H66" i="205"/>
  <c r="G66" i="205"/>
  <c r="F66" i="205"/>
  <c r="E66" i="205"/>
  <c r="H64" i="205"/>
  <c r="H63" i="205"/>
  <c r="H61" i="205"/>
  <c r="H60" i="205"/>
  <c r="H59" i="205"/>
  <c r="H58" i="205"/>
  <c r="H57" i="205"/>
  <c r="H56" i="205"/>
  <c r="H55" i="205"/>
  <c r="H53" i="205"/>
  <c r="H52" i="205"/>
  <c r="H51" i="205"/>
  <c r="H50" i="205"/>
  <c r="H49" i="205"/>
  <c r="H48" i="205"/>
  <c r="H47" i="205"/>
  <c r="H46" i="205"/>
  <c r="H45" i="205"/>
  <c r="H44" i="205"/>
  <c r="H43" i="205"/>
  <c r="H42" i="205"/>
  <c r="G36" i="205"/>
  <c r="H36" i="205" s="1"/>
  <c r="F36" i="205"/>
  <c r="E36" i="205"/>
  <c r="H35" i="205"/>
  <c r="H34" i="205"/>
  <c r="H33" i="205"/>
  <c r="H32" i="205"/>
  <c r="H31" i="205"/>
  <c r="H30" i="205"/>
  <c r="H29" i="205"/>
  <c r="H28" i="205"/>
  <c r="H27" i="205"/>
  <c r="H26" i="205"/>
  <c r="H25" i="205"/>
  <c r="H24" i="205"/>
  <c r="H23" i="205"/>
  <c r="H22" i="205"/>
  <c r="H20" i="205"/>
  <c r="H19" i="205"/>
  <c r="H18" i="205"/>
  <c r="H17" i="205"/>
  <c r="H16" i="205"/>
  <c r="H15" i="205"/>
  <c r="H14" i="205"/>
  <c r="H13" i="205"/>
  <c r="H12" i="205"/>
  <c r="H11" i="205"/>
  <c r="D265" i="204"/>
  <c r="F143" i="204"/>
  <c r="G141" i="204"/>
  <c r="G140" i="204"/>
  <c r="H140" i="204" s="1"/>
  <c r="F140" i="204"/>
  <c r="E140" i="204"/>
  <c r="G139" i="204"/>
  <c r="F139" i="204"/>
  <c r="E139" i="204"/>
  <c r="L138" i="204"/>
  <c r="K138" i="204"/>
  <c r="J138" i="204"/>
  <c r="F138" i="204"/>
  <c r="H130" i="204"/>
  <c r="G130" i="204"/>
  <c r="F130" i="204"/>
  <c r="E130" i="204"/>
  <c r="H129" i="204"/>
  <c r="H128" i="204"/>
  <c r="H127" i="204"/>
  <c r="H126" i="204"/>
  <c r="H120" i="204"/>
  <c r="G120" i="204"/>
  <c r="F120" i="204"/>
  <c r="E120" i="204"/>
  <c r="H119" i="204"/>
  <c r="H118" i="204"/>
  <c r="H117" i="204"/>
  <c r="H116" i="204"/>
  <c r="H110" i="204"/>
  <c r="G110" i="204"/>
  <c r="F110" i="204"/>
  <c r="E110" i="204"/>
  <c r="H109" i="204"/>
  <c r="H108" i="204"/>
  <c r="H107" i="204"/>
  <c r="H106" i="204"/>
  <c r="H100" i="204"/>
  <c r="G100" i="204"/>
  <c r="F100" i="204"/>
  <c r="E100" i="204"/>
  <c r="H99" i="204"/>
  <c r="H98" i="204"/>
  <c r="H97" i="204"/>
  <c r="H96" i="204"/>
  <c r="H90" i="204"/>
  <c r="G90" i="204"/>
  <c r="F90" i="204"/>
  <c r="E90" i="204"/>
  <c r="H89" i="204"/>
  <c r="H88" i="204"/>
  <c r="H87" i="204"/>
  <c r="H86" i="204"/>
  <c r="H80" i="204"/>
  <c r="G80" i="204"/>
  <c r="F80" i="204"/>
  <c r="E80" i="204"/>
  <c r="H79" i="204"/>
  <c r="H78" i="204"/>
  <c r="H77" i="204"/>
  <c r="H76" i="204"/>
  <c r="H70" i="204"/>
  <c r="G70" i="204"/>
  <c r="F70" i="204"/>
  <c r="E70" i="204"/>
  <c r="H69" i="204"/>
  <c r="H68" i="204"/>
  <c r="H67" i="204"/>
  <c r="H66" i="204"/>
  <c r="H60" i="204"/>
  <c r="G60" i="204"/>
  <c r="F60" i="204"/>
  <c r="E60" i="204"/>
  <c r="H59" i="204"/>
  <c r="H58" i="204"/>
  <c r="H57" i="204"/>
  <c r="H56" i="204"/>
  <c r="H50" i="204"/>
  <c r="G50" i="204"/>
  <c r="F50" i="204"/>
  <c r="E50" i="204"/>
  <c r="H49" i="204"/>
  <c r="H48" i="204"/>
  <c r="H47" i="204"/>
  <c r="H46" i="204"/>
  <c r="H40" i="204"/>
  <c r="G40" i="204"/>
  <c r="F40" i="204"/>
  <c r="E40" i="204"/>
  <c r="H39" i="204"/>
  <c r="H38" i="204"/>
  <c r="H37" i="204"/>
  <c r="G31" i="204"/>
  <c r="H31" i="204" s="1"/>
  <c r="F31" i="204"/>
  <c r="E31" i="204"/>
  <c r="H28" i="204"/>
  <c r="H27" i="204"/>
  <c r="H26" i="204"/>
  <c r="H25" i="204"/>
  <c r="H24" i="204"/>
  <c r="H23" i="204"/>
  <c r="H22" i="204"/>
  <c r="H21" i="204"/>
  <c r="H20" i="204"/>
  <c r="H19" i="204"/>
  <c r="H18" i="204"/>
  <c r="H17" i="204"/>
  <c r="H16" i="204"/>
  <c r="H15" i="204"/>
  <c r="H14" i="204"/>
  <c r="H13" i="204"/>
  <c r="H12" i="204"/>
  <c r="H11" i="204"/>
  <c r="H10" i="204"/>
  <c r="D166" i="203"/>
  <c r="G39" i="203"/>
  <c r="F39" i="203"/>
  <c r="E39" i="203"/>
  <c r="G38" i="203"/>
  <c r="F38" i="203"/>
  <c r="H38" i="203" s="1"/>
  <c r="E38" i="203"/>
  <c r="G37" i="203"/>
  <c r="F37" i="203"/>
  <c r="F36" i="203" s="1"/>
  <c r="F41" i="203" s="1"/>
  <c r="E37" i="203"/>
  <c r="L36" i="203"/>
  <c r="K36" i="203"/>
  <c r="J36" i="203"/>
  <c r="G36" i="203"/>
  <c r="E36" i="203"/>
  <c r="E41" i="203" s="1"/>
  <c r="G31" i="203"/>
  <c r="F31" i="203"/>
  <c r="E31" i="203"/>
  <c r="H29" i="203"/>
  <c r="G24" i="203"/>
  <c r="H24" i="203" s="1"/>
  <c r="F24" i="203"/>
  <c r="E24" i="203"/>
  <c r="H23" i="203"/>
  <c r="H22" i="203"/>
  <c r="G16" i="203"/>
  <c r="F16" i="203"/>
  <c r="E16" i="203"/>
  <c r="H14" i="203"/>
  <c r="H13" i="203"/>
  <c r="H12" i="203"/>
  <c r="D240" i="202"/>
  <c r="F117" i="202"/>
  <c r="G115" i="202"/>
  <c r="G113" i="202"/>
  <c r="F113" i="202"/>
  <c r="E113" i="202"/>
  <c r="E112" i="202" s="1"/>
  <c r="E117" i="202" s="1"/>
  <c r="L112" i="202"/>
  <c r="K112" i="202"/>
  <c r="J112" i="202"/>
  <c r="F112" i="202"/>
  <c r="G109" i="202"/>
  <c r="F109" i="202"/>
  <c r="E109" i="202"/>
  <c r="G102" i="202"/>
  <c r="H102" i="202" s="1"/>
  <c r="F102" i="202"/>
  <c r="E102" i="202"/>
  <c r="H101" i="202"/>
  <c r="H100" i="202"/>
  <c r="H99" i="202"/>
  <c r="H98" i="202"/>
  <c r="H97" i="202"/>
  <c r="H95" i="202"/>
  <c r="H94" i="202"/>
  <c r="H93" i="202"/>
  <c r="H92" i="202"/>
  <c r="H91" i="202"/>
  <c r="H90" i="202"/>
  <c r="H89" i="202"/>
  <c r="H88" i="202"/>
  <c r="H87" i="202"/>
  <c r="H86" i="202"/>
  <c r="H85" i="202"/>
  <c r="H84" i="202"/>
  <c r="H83" i="202"/>
  <c r="H82" i="202"/>
  <c r="H81" i="202"/>
  <c r="H80" i="202"/>
  <c r="H79" i="202"/>
  <c r="H78" i="202"/>
  <c r="H77" i="202"/>
  <c r="H76" i="202"/>
  <c r="H75" i="202"/>
  <c r="H74" i="202"/>
  <c r="G67" i="202"/>
  <c r="F67" i="202"/>
  <c r="H67" i="202" s="1"/>
  <c r="E67" i="202"/>
  <c r="H65" i="202"/>
  <c r="H64" i="202"/>
  <c r="H63" i="202"/>
  <c r="H62" i="202"/>
  <c r="H61" i="202"/>
  <c r="H59" i="202"/>
  <c r="H58" i="202"/>
  <c r="H57" i="202"/>
  <c r="H56" i="202"/>
  <c r="H55" i="202"/>
  <c r="H54" i="202"/>
  <c r="H53" i="202"/>
  <c r="H52" i="202"/>
  <c r="H51" i="202"/>
  <c r="H50" i="202"/>
  <c r="H49" i="202"/>
  <c r="H48" i="202"/>
  <c r="H47" i="202"/>
  <c r="H46" i="202"/>
  <c r="H45" i="202"/>
  <c r="H44" i="202"/>
  <c r="H43" i="202"/>
  <c r="H42" i="202"/>
  <c r="H41" i="202"/>
  <c r="H40" i="202"/>
  <c r="H39" i="202"/>
  <c r="H38" i="202"/>
  <c r="H37" i="202"/>
  <c r="H36" i="202"/>
  <c r="H35" i="202"/>
  <c r="H33" i="202"/>
  <c r="H29" i="202"/>
  <c r="H28" i="202"/>
  <c r="H27" i="202"/>
  <c r="H26" i="202"/>
  <c r="H25" i="202"/>
  <c r="H24" i="202"/>
  <c r="H23" i="202"/>
  <c r="H22" i="202"/>
  <c r="H21" i="202"/>
  <c r="H20" i="202"/>
  <c r="H19" i="202"/>
  <c r="H18" i="202"/>
  <c r="H17" i="202"/>
  <c r="H16" i="202"/>
  <c r="H15" i="202"/>
  <c r="H14" i="202"/>
  <c r="H13" i="202"/>
  <c r="H12" i="202"/>
  <c r="G389" i="201"/>
  <c r="E195" i="20" s="1"/>
  <c r="F389" i="201"/>
  <c r="D195" i="20" s="1"/>
  <c r="E389" i="201"/>
  <c r="C195" i="20" s="1"/>
  <c r="H388" i="201"/>
  <c r="E388" i="201"/>
  <c r="C194" i="20" s="1"/>
  <c r="F386" i="201"/>
  <c r="F391" i="201" s="1"/>
  <c r="E387" i="201"/>
  <c r="C193" i="20" s="1"/>
  <c r="L386" i="201"/>
  <c r="K386" i="201"/>
  <c r="J386" i="201"/>
  <c r="G386" i="201"/>
  <c r="G391" i="201" s="1"/>
  <c r="G380" i="201"/>
  <c r="F380" i="201"/>
  <c r="E380" i="201"/>
  <c r="K379" i="201"/>
  <c r="J379" i="201"/>
  <c r="H379" i="201"/>
  <c r="K378" i="201"/>
  <c r="J378" i="201"/>
  <c r="I378" i="201"/>
  <c r="H378" i="201"/>
  <c r="H377" i="201"/>
  <c r="H376" i="201"/>
  <c r="H375" i="201"/>
  <c r="G369" i="201"/>
  <c r="F369" i="201"/>
  <c r="E369" i="201"/>
  <c r="H368" i="201"/>
  <c r="G361" i="201"/>
  <c r="F361" i="201"/>
  <c r="E361" i="201"/>
  <c r="H360" i="201"/>
  <c r="H359" i="201"/>
  <c r="H358" i="201"/>
  <c r="H357" i="201"/>
  <c r="H356" i="201"/>
  <c r="G350" i="201"/>
  <c r="F350" i="201"/>
  <c r="E350" i="201"/>
  <c r="H349" i="201"/>
  <c r="H348" i="201"/>
  <c r="H347" i="201"/>
  <c r="H346" i="201"/>
  <c r="G340" i="201"/>
  <c r="H340" i="201" s="1"/>
  <c r="F340" i="201"/>
  <c r="E340" i="201"/>
  <c r="H339" i="201"/>
  <c r="H338" i="201"/>
  <c r="H337" i="201"/>
  <c r="H336" i="201"/>
  <c r="G330" i="201"/>
  <c r="F330" i="201"/>
  <c r="E330" i="201"/>
  <c r="H329" i="201"/>
  <c r="H328" i="201"/>
  <c r="H327" i="201"/>
  <c r="H323" i="201"/>
  <c r="H321" i="201"/>
  <c r="G314" i="201"/>
  <c r="F314" i="201"/>
  <c r="E314" i="201"/>
  <c r="H312" i="201"/>
  <c r="H311" i="201"/>
  <c r="H310" i="201"/>
  <c r="H309" i="201"/>
  <c r="H308" i="201"/>
  <c r="H307" i="201"/>
  <c r="G301" i="201"/>
  <c r="F301" i="201"/>
  <c r="E301" i="201"/>
  <c r="H300" i="201"/>
  <c r="H299" i="201"/>
  <c r="H298" i="201"/>
  <c r="H297" i="201"/>
  <c r="G291" i="201"/>
  <c r="F291" i="201"/>
  <c r="E291" i="201"/>
  <c r="H290" i="201"/>
  <c r="H289" i="201"/>
  <c r="H288" i="201"/>
  <c r="H287" i="201"/>
  <c r="G281" i="201"/>
  <c r="F281" i="201"/>
  <c r="E281" i="201"/>
  <c r="H280" i="201"/>
  <c r="H279" i="201"/>
  <c r="H278" i="201"/>
  <c r="H277" i="201"/>
  <c r="G271" i="201"/>
  <c r="H271" i="201" s="1"/>
  <c r="F271" i="201"/>
  <c r="E271" i="201"/>
  <c r="H270" i="201"/>
  <c r="H269" i="201"/>
  <c r="H268" i="201"/>
  <c r="H267" i="201"/>
  <c r="H266" i="201"/>
  <c r="H265" i="201"/>
  <c r="G259" i="201"/>
  <c r="F259" i="201"/>
  <c r="E259" i="201"/>
  <c r="H258" i="201"/>
  <c r="H257" i="201"/>
  <c r="H256" i="201"/>
  <c r="H255" i="201"/>
  <c r="H254" i="201"/>
  <c r="H253" i="201"/>
  <c r="H252" i="201"/>
  <c r="H251" i="201"/>
  <c r="H250" i="201"/>
  <c r="H249" i="201"/>
  <c r="H248" i="201"/>
  <c r="H247" i="201"/>
  <c r="H246" i="201"/>
  <c r="H245" i="201"/>
  <c r="H244" i="201"/>
  <c r="H243" i="201"/>
  <c r="H242" i="201"/>
  <c r="H241" i="201"/>
  <c r="H240" i="201"/>
  <c r="H239" i="201"/>
  <c r="H238" i="201"/>
  <c r="H237" i="201"/>
  <c r="H236" i="201"/>
  <c r="H235" i="201"/>
  <c r="H234" i="201"/>
  <c r="H233" i="201"/>
  <c r="H232" i="201"/>
  <c r="H231" i="201"/>
  <c r="H230" i="201"/>
  <c r="G224" i="201"/>
  <c r="F224" i="201"/>
  <c r="E224" i="201"/>
  <c r="H223" i="201"/>
  <c r="H222" i="201"/>
  <c r="H221" i="201"/>
  <c r="H220" i="201"/>
  <c r="H219" i="201"/>
  <c r="G213" i="201"/>
  <c r="H213" i="201" s="1"/>
  <c r="F213" i="201"/>
  <c r="E213" i="201"/>
  <c r="H212" i="201"/>
  <c r="H210" i="201"/>
  <c r="H209" i="201"/>
  <c r="G203" i="201"/>
  <c r="F203" i="201"/>
  <c r="E203" i="201"/>
  <c r="H202" i="201"/>
  <c r="H201" i="201"/>
  <c r="H200" i="201"/>
  <c r="H199" i="201"/>
  <c r="G193" i="201"/>
  <c r="F193" i="201"/>
  <c r="E193" i="201"/>
  <c r="G186" i="201"/>
  <c r="F186" i="201"/>
  <c r="E186" i="201"/>
  <c r="H183" i="201"/>
  <c r="H182" i="201"/>
  <c r="H181" i="201"/>
  <c r="H180" i="201"/>
  <c r="H179" i="201"/>
  <c r="H178" i="201"/>
  <c r="H177" i="201"/>
  <c r="G171" i="201"/>
  <c r="H171" i="201" s="1"/>
  <c r="F171" i="201"/>
  <c r="E171" i="201"/>
  <c r="H170" i="201"/>
  <c r="H169" i="201"/>
  <c r="H168" i="201"/>
  <c r="H167" i="201"/>
  <c r="H166" i="201"/>
  <c r="H165" i="201"/>
  <c r="H164" i="201"/>
  <c r="H163" i="201"/>
  <c r="H162" i="201"/>
  <c r="H161" i="201"/>
  <c r="H159" i="201"/>
  <c r="H156" i="201"/>
  <c r="H155" i="201"/>
  <c r="H154" i="201"/>
  <c r="H153" i="201"/>
  <c r="H152" i="201"/>
  <c r="H151" i="201"/>
  <c r="H150" i="201"/>
  <c r="H146" i="201"/>
  <c r="H143" i="201"/>
  <c r="H142" i="201"/>
  <c r="H141" i="201"/>
  <c r="G135" i="201"/>
  <c r="F135" i="201"/>
  <c r="H135" i="201" s="1"/>
  <c r="E135" i="201"/>
  <c r="H132" i="201"/>
  <c r="H131" i="201"/>
  <c r="G121" i="201"/>
  <c r="F121" i="201"/>
  <c r="E121" i="201"/>
  <c r="H120" i="201"/>
  <c r="H119" i="201"/>
  <c r="H118" i="201"/>
  <c r="H117" i="201"/>
  <c r="G111" i="201"/>
  <c r="F111" i="201"/>
  <c r="H111" i="201" s="1"/>
  <c r="E111" i="201"/>
  <c r="H110" i="201"/>
  <c r="H109" i="201"/>
  <c r="H108" i="201"/>
  <c r="H107" i="201"/>
  <c r="H106" i="201"/>
  <c r="H105" i="201"/>
  <c r="H104" i="201"/>
  <c r="H103" i="201"/>
  <c r="H102" i="201"/>
  <c r="G96" i="201"/>
  <c r="F96" i="201"/>
  <c r="E96" i="201"/>
  <c r="H94" i="201"/>
  <c r="H93" i="201"/>
  <c r="H92" i="201"/>
  <c r="H91" i="201"/>
  <c r="H90" i="201"/>
  <c r="H89" i="201"/>
  <c r="H88" i="201"/>
  <c r="H87" i="201"/>
  <c r="H86" i="201"/>
  <c r="G80" i="201"/>
  <c r="F80" i="201"/>
  <c r="H80" i="201" s="1"/>
  <c r="E80" i="201"/>
  <c r="H79" i="201"/>
  <c r="H78" i="201"/>
  <c r="H77" i="201"/>
  <c r="H76" i="201"/>
  <c r="H75" i="201"/>
  <c r="H74" i="201"/>
  <c r="H73" i="201"/>
  <c r="H72" i="201"/>
  <c r="H71" i="201"/>
  <c r="H70" i="201"/>
  <c r="H69" i="201"/>
  <c r="H68" i="201"/>
  <c r="H67" i="201"/>
  <c r="H66" i="201"/>
  <c r="H65" i="201"/>
  <c r="H64" i="201"/>
  <c r="H62" i="201"/>
  <c r="H61" i="201"/>
  <c r="H60" i="201"/>
  <c r="H59" i="201"/>
  <c r="H58" i="201"/>
  <c r="H57" i="201"/>
  <c r="H56" i="201"/>
  <c r="H55" i="201"/>
  <c r="H53" i="201"/>
  <c r="H52" i="201"/>
  <c r="H51" i="201"/>
  <c r="H50" i="201"/>
  <c r="G44" i="201"/>
  <c r="F44" i="201"/>
  <c r="E44" i="201"/>
  <c r="H43" i="201"/>
  <c r="G37" i="201"/>
  <c r="H37" i="201" s="1"/>
  <c r="F37" i="201"/>
  <c r="E37" i="201"/>
  <c r="H36" i="201"/>
  <c r="G30" i="201"/>
  <c r="F30" i="201"/>
  <c r="E30" i="201"/>
  <c r="H29" i="201"/>
  <c r="H28" i="201"/>
  <c r="G22" i="201"/>
  <c r="F22" i="201"/>
  <c r="E22" i="201"/>
  <c r="H21" i="201"/>
  <c r="H20" i="201"/>
  <c r="H19" i="201"/>
  <c r="G13" i="201"/>
  <c r="F13" i="201"/>
  <c r="E13" i="201"/>
  <c r="D349" i="200"/>
  <c r="E226" i="200"/>
  <c r="G223" i="200"/>
  <c r="F223" i="200"/>
  <c r="E223" i="200"/>
  <c r="H222" i="200"/>
  <c r="G222" i="200"/>
  <c r="F222" i="200"/>
  <c r="E222" i="200"/>
  <c r="L221" i="200"/>
  <c r="K221" i="200"/>
  <c r="J221" i="200"/>
  <c r="G221" i="200"/>
  <c r="F221" i="200"/>
  <c r="F226" i="200" s="1"/>
  <c r="E221" i="200"/>
  <c r="G215" i="200"/>
  <c r="H215" i="200" s="1"/>
  <c r="F215" i="200"/>
  <c r="E215" i="200"/>
  <c r="H214" i="200"/>
  <c r="H213" i="200"/>
  <c r="H212" i="200"/>
  <c r="H211" i="200"/>
  <c r="G205" i="200"/>
  <c r="F205" i="200"/>
  <c r="E205" i="200"/>
  <c r="H204" i="200"/>
  <c r="H203" i="200"/>
  <c r="H202" i="200"/>
  <c r="H201" i="200"/>
  <c r="H195" i="200"/>
  <c r="G195" i="200"/>
  <c r="F195" i="200"/>
  <c r="E195" i="200"/>
  <c r="H194" i="200"/>
  <c r="H193" i="200"/>
  <c r="H192" i="200"/>
  <c r="H191" i="200"/>
  <c r="H185" i="200"/>
  <c r="G185" i="200"/>
  <c r="F185" i="200"/>
  <c r="E185" i="200"/>
  <c r="H184" i="200"/>
  <c r="H183" i="200"/>
  <c r="H182" i="200"/>
  <c r="H181" i="200"/>
  <c r="H175" i="200"/>
  <c r="G175" i="200"/>
  <c r="F175" i="200"/>
  <c r="E175" i="200"/>
  <c r="H174" i="200"/>
  <c r="H173" i="200"/>
  <c r="H172" i="200"/>
  <c r="H171" i="200"/>
  <c r="H165" i="200"/>
  <c r="G165" i="200"/>
  <c r="F165" i="200"/>
  <c r="E165" i="200"/>
  <c r="H164" i="200"/>
  <c r="H163" i="200"/>
  <c r="H162" i="200"/>
  <c r="H161" i="200"/>
  <c r="H155" i="200"/>
  <c r="G155" i="200"/>
  <c r="F155" i="200"/>
  <c r="E155" i="200"/>
  <c r="H154" i="200"/>
  <c r="H153" i="200"/>
  <c r="H152" i="200"/>
  <c r="H151" i="200"/>
  <c r="H145" i="200"/>
  <c r="G145" i="200"/>
  <c r="F145" i="200"/>
  <c r="E145" i="200"/>
  <c r="H144" i="200"/>
  <c r="H143" i="200"/>
  <c r="H142" i="200"/>
  <c r="H141" i="200"/>
  <c r="H135" i="200"/>
  <c r="G135" i="200"/>
  <c r="F135" i="200"/>
  <c r="E135" i="200"/>
  <c r="H134" i="200"/>
  <c r="H133" i="200"/>
  <c r="H132" i="200"/>
  <c r="H131" i="200"/>
  <c r="H125" i="200"/>
  <c r="G125" i="200"/>
  <c r="F125" i="200"/>
  <c r="E125" i="200"/>
  <c r="H124" i="200"/>
  <c r="H123" i="200"/>
  <c r="H122" i="200"/>
  <c r="H121" i="200"/>
  <c r="G115" i="200"/>
  <c r="F115" i="200"/>
  <c r="G105" i="200"/>
  <c r="F105" i="200"/>
  <c r="H105" i="200" s="1"/>
  <c r="E105" i="200"/>
  <c r="H104" i="200"/>
  <c r="H103" i="200"/>
  <c r="H102" i="200"/>
  <c r="H101" i="200"/>
  <c r="G95" i="200"/>
  <c r="F95" i="200"/>
  <c r="H95" i="200" s="1"/>
  <c r="E95" i="200"/>
  <c r="H94" i="200"/>
  <c r="H93" i="200"/>
  <c r="H92" i="200"/>
  <c r="H91" i="200"/>
  <c r="G84" i="200"/>
  <c r="F84" i="200"/>
  <c r="H84" i="200" s="1"/>
  <c r="E84" i="200"/>
  <c r="H83" i="200"/>
  <c r="H82" i="200"/>
  <c r="H81" i="200"/>
  <c r="H80" i="200"/>
  <c r="G74" i="200"/>
  <c r="F74" i="200"/>
  <c r="H74" i="200" s="1"/>
  <c r="E74" i="200"/>
  <c r="H73" i="200"/>
  <c r="H72" i="200"/>
  <c r="H71" i="200"/>
  <c r="H70" i="200"/>
  <c r="G64" i="200"/>
  <c r="F64" i="200"/>
  <c r="H64" i="200" s="1"/>
  <c r="E64" i="200"/>
  <c r="H63" i="200"/>
  <c r="H62" i="200"/>
  <c r="H61" i="200"/>
  <c r="H60" i="200"/>
  <c r="G54" i="200"/>
  <c r="F54" i="200"/>
  <c r="H54" i="200" s="1"/>
  <c r="E54" i="200"/>
  <c r="H53" i="200"/>
  <c r="H52" i="200"/>
  <c r="H51" i="200"/>
  <c r="H50" i="200"/>
  <c r="G44" i="200"/>
  <c r="F44" i="200"/>
  <c r="H44" i="200" s="1"/>
  <c r="E44" i="200"/>
  <c r="H43" i="200"/>
  <c r="H42" i="200"/>
  <c r="H41" i="200"/>
  <c r="H40" i="200"/>
  <c r="G33" i="200"/>
  <c r="F33" i="200"/>
  <c r="H33" i="200" s="1"/>
  <c r="E33" i="200"/>
  <c r="H32" i="200"/>
  <c r="H31" i="200"/>
  <c r="H30" i="200"/>
  <c r="H29" i="200"/>
  <c r="H28" i="200"/>
  <c r="H27" i="200"/>
  <c r="H26" i="200"/>
  <c r="H25" i="200"/>
  <c r="H24" i="200"/>
  <c r="H23" i="200"/>
  <c r="H22" i="200"/>
  <c r="H21" i="200"/>
  <c r="H20" i="200"/>
  <c r="H19" i="200"/>
  <c r="H18" i="200"/>
  <c r="H17" i="200"/>
  <c r="H16" i="200"/>
  <c r="H15" i="200"/>
  <c r="H14" i="200"/>
  <c r="H13" i="200"/>
  <c r="H12" i="200"/>
  <c r="H11" i="200"/>
  <c r="H10" i="200"/>
  <c r="D359" i="199"/>
  <c r="H232" i="199"/>
  <c r="G232" i="199"/>
  <c r="F232" i="199"/>
  <c r="E232" i="199"/>
  <c r="H231" i="199"/>
  <c r="G231" i="199"/>
  <c r="F231" i="199"/>
  <c r="F230" i="199" s="1"/>
  <c r="F235" i="199" s="1"/>
  <c r="E231" i="199"/>
  <c r="L230" i="199"/>
  <c r="K230" i="199"/>
  <c r="J230" i="199"/>
  <c r="G230" i="199"/>
  <c r="E230" i="199"/>
  <c r="E235" i="199" s="1"/>
  <c r="G222" i="199"/>
  <c r="H222" i="199" s="1"/>
  <c r="F222" i="199"/>
  <c r="E222" i="199"/>
  <c r="H221" i="199"/>
  <c r="H220" i="199"/>
  <c r="H219" i="199"/>
  <c r="H218" i="199"/>
  <c r="G212" i="199"/>
  <c r="H212" i="199" s="1"/>
  <c r="F212" i="199"/>
  <c r="E212" i="199"/>
  <c r="H211" i="199"/>
  <c r="H210" i="199"/>
  <c r="G204" i="199"/>
  <c r="H204" i="199" s="1"/>
  <c r="F204" i="199"/>
  <c r="E204" i="199"/>
  <c r="H203" i="199"/>
  <c r="H202" i="199"/>
  <c r="H201" i="199"/>
  <c r="H200" i="199"/>
  <c r="G194" i="199"/>
  <c r="H194" i="199" s="1"/>
  <c r="F194" i="199"/>
  <c r="E194" i="199"/>
  <c r="H193" i="199"/>
  <c r="H192" i="199"/>
  <c r="G186" i="199"/>
  <c r="H186" i="199" s="1"/>
  <c r="F186" i="199"/>
  <c r="E186" i="199"/>
  <c r="H185" i="199"/>
  <c r="H184" i="199"/>
  <c r="G178" i="199"/>
  <c r="H178" i="199" s="1"/>
  <c r="F178" i="199"/>
  <c r="E178" i="199"/>
  <c r="H177" i="199"/>
  <c r="H176" i="199"/>
  <c r="G170" i="199"/>
  <c r="H170" i="199" s="1"/>
  <c r="F170" i="199"/>
  <c r="E170" i="199"/>
  <c r="H169" i="199"/>
  <c r="H168" i="199"/>
  <c r="H167" i="199"/>
  <c r="H166" i="199"/>
  <c r="G160" i="199"/>
  <c r="F160" i="199"/>
  <c r="G152" i="199"/>
  <c r="F152" i="199"/>
  <c r="G144" i="199"/>
  <c r="H144" i="199" s="1"/>
  <c r="F144" i="199"/>
  <c r="E144" i="199"/>
  <c r="H143" i="199"/>
  <c r="H142" i="199"/>
  <c r="G136" i="199"/>
  <c r="H136" i="199" s="1"/>
  <c r="F136" i="199"/>
  <c r="E136" i="199"/>
  <c r="H135" i="199"/>
  <c r="H134" i="199"/>
  <c r="G128" i="199"/>
  <c r="H128" i="199" s="1"/>
  <c r="F128" i="199"/>
  <c r="E128" i="199"/>
  <c r="H127" i="199"/>
  <c r="H126" i="199"/>
  <c r="G120" i="199"/>
  <c r="H120" i="199" s="1"/>
  <c r="F120" i="199"/>
  <c r="E120" i="199"/>
  <c r="H119" i="199"/>
  <c r="H118" i="199"/>
  <c r="G113" i="199"/>
  <c r="F113" i="199"/>
  <c r="G105" i="199"/>
  <c r="H105" i="199" s="1"/>
  <c r="F105" i="199"/>
  <c r="E105" i="199"/>
  <c r="H104" i="199"/>
  <c r="H103" i="199"/>
  <c r="G97" i="199"/>
  <c r="H97" i="199" s="1"/>
  <c r="F97" i="199"/>
  <c r="E97" i="199"/>
  <c r="H96" i="199"/>
  <c r="H95" i="199"/>
  <c r="H94" i="199"/>
  <c r="H93" i="199"/>
  <c r="G87" i="199"/>
  <c r="H87" i="199" s="1"/>
  <c r="F87" i="199"/>
  <c r="E87" i="199"/>
  <c r="H86" i="199"/>
  <c r="H85" i="199"/>
  <c r="H84" i="199"/>
  <c r="H83" i="199"/>
  <c r="G77" i="199"/>
  <c r="H77" i="199" s="1"/>
  <c r="F77" i="199"/>
  <c r="E77" i="199"/>
  <c r="H76" i="199"/>
  <c r="H75" i="199"/>
  <c r="G69" i="199"/>
  <c r="H69" i="199" s="1"/>
  <c r="F69" i="199"/>
  <c r="E69" i="199"/>
  <c r="H68" i="199"/>
  <c r="H67" i="199"/>
  <c r="H66" i="199"/>
  <c r="H65" i="199"/>
  <c r="G59" i="199"/>
  <c r="H59" i="199" s="1"/>
  <c r="F59" i="199"/>
  <c r="E59" i="199"/>
  <c r="H58" i="199"/>
  <c r="H57" i="199"/>
  <c r="G44" i="199"/>
  <c r="H44" i="199" s="1"/>
  <c r="F44" i="199"/>
  <c r="E44" i="199"/>
  <c r="H43" i="199"/>
  <c r="H42" i="199"/>
  <c r="G36" i="199"/>
  <c r="H36" i="199" s="1"/>
  <c r="F36" i="199"/>
  <c r="E36" i="199"/>
  <c r="H35" i="199"/>
  <c r="H34" i="199"/>
  <c r="H33" i="199"/>
  <c r="H32" i="199"/>
  <c r="G26" i="199"/>
  <c r="H26" i="199" s="1"/>
  <c r="F26" i="199"/>
  <c r="E26" i="199"/>
  <c r="H25" i="199"/>
  <c r="H24" i="199"/>
  <c r="H23" i="199"/>
  <c r="H22" i="199"/>
  <c r="H21" i="199"/>
  <c r="H20" i="199"/>
  <c r="H19" i="199"/>
  <c r="H18" i="199"/>
  <c r="H17" i="199"/>
  <c r="H16" i="199"/>
  <c r="H15" i="199"/>
  <c r="H14" i="199"/>
  <c r="H13" i="199"/>
  <c r="H12" i="199"/>
  <c r="H11" i="199"/>
  <c r="H10" i="199"/>
  <c r="D537" i="198"/>
  <c r="G412" i="198"/>
  <c r="E179" i="20" s="1"/>
  <c r="T223" i="20" s="1"/>
  <c r="F412" i="198"/>
  <c r="E412" i="198"/>
  <c r="C179" i="20" s="1"/>
  <c r="G411" i="198"/>
  <c r="E178" i="20" s="1"/>
  <c r="F411" i="198"/>
  <c r="E411" i="198"/>
  <c r="C178" i="20" s="1"/>
  <c r="L410" i="198"/>
  <c r="K410" i="198"/>
  <c r="J410" i="198"/>
  <c r="E410" i="198"/>
  <c r="E415" i="198" s="1"/>
  <c r="G406" i="198"/>
  <c r="F406" i="198"/>
  <c r="E406" i="198"/>
  <c r="H405" i="198"/>
  <c r="H404" i="198"/>
  <c r="H403" i="198"/>
  <c r="H402" i="198"/>
  <c r="G396" i="198"/>
  <c r="F396" i="198"/>
  <c r="E396" i="198"/>
  <c r="H395" i="198"/>
  <c r="H394" i="198"/>
  <c r="G388" i="198"/>
  <c r="H388" i="198" s="1"/>
  <c r="F388" i="198"/>
  <c r="E388" i="198"/>
  <c r="H387" i="198"/>
  <c r="H386" i="198"/>
  <c r="G380" i="198"/>
  <c r="F380" i="198"/>
  <c r="E380" i="198"/>
  <c r="H379" i="198"/>
  <c r="H378" i="198"/>
  <c r="H377" i="198"/>
  <c r="H376" i="198"/>
  <c r="G370" i="198"/>
  <c r="H370" i="198" s="1"/>
  <c r="F370" i="198"/>
  <c r="E370" i="198"/>
  <c r="H369" i="198"/>
  <c r="H368" i="198"/>
  <c r="H367" i="198"/>
  <c r="H366" i="198"/>
  <c r="G360" i="198"/>
  <c r="F360" i="198"/>
  <c r="E360" i="198"/>
  <c r="H359" i="198"/>
  <c r="H358" i="198"/>
  <c r="G352" i="198"/>
  <c r="H352" i="198" s="1"/>
  <c r="F352" i="198"/>
  <c r="E352" i="198"/>
  <c r="H351" i="198"/>
  <c r="H350" i="198"/>
  <c r="H349" i="198"/>
  <c r="H348" i="198"/>
  <c r="G342" i="198"/>
  <c r="F342" i="198"/>
  <c r="E342" i="198"/>
  <c r="H339" i="198"/>
  <c r="H338" i="198"/>
  <c r="H337" i="198"/>
  <c r="H336" i="198"/>
  <c r="G330" i="198"/>
  <c r="H330" i="198" s="1"/>
  <c r="F330" i="198"/>
  <c r="E330" i="198"/>
  <c r="H329" i="198"/>
  <c r="H328" i="198"/>
  <c r="H327" i="198"/>
  <c r="H326" i="198"/>
  <c r="G320" i="198"/>
  <c r="F320" i="198"/>
  <c r="E320" i="198"/>
  <c r="H319" i="198"/>
  <c r="H318" i="198"/>
  <c r="G312" i="198"/>
  <c r="H312" i="198" s="1"/>
  <c r="F312" i="198"/>
  <c r="E312" i="198"/>
  <c r="H311" i="198"/>
  <c r="H310" i="198"/>
  <c r="H309" i="198"/>
  <c r="H308" i="198"/>
  <c r="G302" i="198"/>
  <c r="F302" i="198"/>
  <c r="E302" i="198"/>
  <c r="H301" i="198"/>
  <c r="H300" i="198"/>
  <c r="H299" i="198"/>
  <c r="H298" i="198"/>
  <c r="G292" i="198"/>
  <c r="H292" i="198" s="1"/>
  <c r="F292" i="198"/>
  <c r="E292" i="198"/>
  <c r="H291" i="198"/>
  <c r="H290" i="198"/>
  <c r="G284" i="198"/>
  <c r="F284" i="198"/>
  <c r="E284" i="198"/>
  <c r="H283" i="198"/>
  <c r="H282" i="198"/>
  <c r="G276" i="198"/>
  <c r="H276" i="198" s="1"/>
  <c r="F276" i="198"/>
  <c r="E276" i="198"/>
  <c r="H275" i="198"/>
  <c r="H274" i="198"/>
  <c r="H273" i="198"/>
  <c r="H272" i="198"/>
  <c r="G266" i="198"/>
  <c r="F266" i="198"/>
  <c r="E266" i="198"/>
  <c r="H265" i="198"/>
  <c r="H264" i="198"/>
  <c r="G258" i="198"/>
  <c r="H258" i="198" s="1"/>
  <c r="F258" i="198"/>
  <c r="E258" i="198"/>
  <c r="H257" i="198"/>
  <c r="H256" i="198"/>
  <c r="G250" i="198"/>
  <c r="F250" i="198"/>
  <c r="E250" i="198"/>
  <c r="H249" i="198"/>
  <c r="H248" i="198"/>
  <c r="H247" i="198"/>
  <c r="H246" i="198"/>
  <c r="G240" i="198"/>
  <c r="H240" i="198" s="1"/>
  <c r="F240" i="198"/>
  <c r="E240" i="198"/>
  <c r="H239" i="198"/>
  <c r="H238" i="198"/>
  <c r="H237" i="198"/>
  <c r="H236" i="198"/>
  <c r="G230" i="198"/>
  <c r="F230" i="198"/>
  <c r="E230" i="198"/>
  <c r="H229" i="198"/>
  <c r="H228" i="198"/>
  <c r="H227" i="198"/>
  <c r="H226" i="198"/>
  <c r="G220" i="198"/>
  <c r="H220" i="198" s="1"/>
  <c r="F220" i="198"/>
  <c r="E220" i="198"/>
  <c r="H219" i="198"/>
  <c r="H218" i="198"/>
  <c r="G212" i="198"/>
  <c r="F212" i="198"/>
  <c r="E212" i="198"/>
  <c r="H211" i="198"/>
  <c r="H210" i="198"/>
  <c r="G204" i="198"/>
  <c r="H204" i="198" s="1"/>
  <c r="F204" i="198"/>
  <c r="E204" i="198"/>
  <c r="H203" i="198"/>
  <c r="H202" i="198"/>
  <c r="G196" i="198"/>
  <c r="F196" i="198"/>
  <c r="E196" i="198"/>
  <c r="H195" i="198"/>
  <c r="H194" i="198"/>
  <c r="H193" i="198"/>
  <c r="H192" i="198"/>
  <c r="G186" i="198"/>
  <c r="H186" i="198" s="1"/>
  <c r="F186" i="198"/>
  <c r="E186" i="198"/>
  <c r="H185" i="198"/>
  <c r="H184" i="198"/>
  <c r="G178" i="198"/>
  <c r="F178" i="198"/>
  <c r="E178" i="198"/>
  <c r="H177" i="198"/>
  <c r="H176" i="198"/>
  <c r="G170" i="198"/>
  <c r="H170" i="198" s="1"/>
  <c r="F170" i="198"/>
  <c r="E170" i="198"/>
  <c r="H169" i="198"/>
  <c r="H168" i="198"/>
  <c r="G162" i="198"/>
  <c r="F162" i="198"/>
  <c r="E162" i="198"/>
  <c r="H161" i="198"/>
  <c r="H160" i="198"/>
  <c r="G154" i="198"/>
  <c r="H154" i="198" s="1"/>
  <c r="F154" i="198"/>
  <c r="E154" i="198"/>
  <c r="H153" i="198"/>
  <c r="H152" i="198"/>
  <c r="H151" i="198"/>
  <c r="H150" i="198"/>
  <c r="G144" i="198"/>
  <c r="F144" i="198"/>
  <c r="E144" i="198"/>
  <c r="H143" i="198"/>
  <c r="H142" i="198"/>
  <c r="H141" i="198"/>
  <c r="H140" i="198"/>
  <c r="G134" i="198"/>
  <c r="H134" i="198" s="1"/>
  <c r="F134" i="198"/>
  <c r="E134" i="198"/>
  <c r="H133" i="198"/>
  <c r="H132" i="198"/>
  <c r="H131" i="198"/>
  <c r="H130" i="198"/>
  <c r="G124" i="198"/>
  <c r="F124" i="198"/>
  <c r="E124" i="198"/>
  <c r="H123" i="198"/>
  <c r="H122" i="198"/>
  <c r="G116" i="198"/>
  <c r="H116" i="198" s="1"/>
  <c r="F116" i="198"/>
  <c r="E116" i="198"/>
  <c r="H115" i="198"/>
  <c r="H114" i="198"/>
  <c r="G108" i="198"/>
  <c r="F108" i="198"/>
  <c r="E108" i="198"/>
  <c r="H107" i="198"/>
  <c r="H106" i="198"/>
  <c r="G100" i="198"/>
  <c r="H100" i="198" s="1"/>
  <c r="F100" i="198"/>
  <c r="E100" i="198"/>
  <c r="H99" i="198"/>
  <c r="H98" i="198"/>
  <c r="G92" i="198"/>
  <c r="F92" i="198"/>
  <c r="E92" i="198"/>
  <c r="H91" i="198"/>
  <c r="H90" i="198"/>
  <c r="G84" i="198"/>
  <c r="H84" i="198" s="1"/>
  <c r="F84" i="198"/>
  <c r="E84" i="198"/>
  <c r="H83" i="198"/>
  <c r="H82" i="198"/>
  <c r="H81" i="198"/>
  <c r="H80" i="198"/>
  <c r="G74" i="198"/>
  <c r="F74" i="198"/>
  <c r="E74" i="198"/>
  <c r="H73" i="198"/>
  <c r="H72" i="198"/>
  <c r="G66" i="198"/>
  <c r="H66" i="198" s="1"/>
  <c r="F66" i="198"/>
  <c r="E66" i="198"/>
  <c r="H65" i="198"/>
  <c r="H64" i="198"/>
  <c r="H63" i="198"/>
  <c r="H62" i="198"/>
  <c r="G56" i="198"/>
  <c r="F56" i="198"/>
  <c r="E56" i="198"/>
  <c r="H55" i="198"/>
  <c r="H54" i="198"/>
  <c r="G48" i="198"/>
  <c r="H48" i="198" s="1"/>
  <c r="F48" i="198"/>
  <c r="E48" i="198"/>
  <c r="H47" i="198"/>
  <c r="H46" i="198"/>
  <c r="H45" i="198"/>
  <c r="H44" i="198"/>
  <c r="G38" i="198"/>
  <c r="F38" i="198"/>
  <c r="E38" i="198"/>
  <c r="H37" i="198"/>
  <c r="H36" i="198"/>
  <c r="H35" i="198"/>
  <c r="H34" i="198"/>
  <c r="G27" i="198"/>
  <c r="F27" i="198"/>
  <c r="E27" i="198"/>
  <c r="H26" i="198"/>
  <c r="H25" i="198"/>
  <c r="H24" i="198"/>
  <c r="H23" i="198"/>
  <c r="H22" i="198"/>
  <c r="H21" i="198"/>
  <c r="H20" i="198"/>
  <c r="H19" i="198"/>
  <c r="H18" i="198"/>
  <c r="H17" i="198"/>
  <c r="H16" i="198"/>
  <c r="H15" i="198"/>
  <c r="H14" i="198"/>
  <c r="H13" i="198"/>
  <c r="H12" i="198"/>
  <c r="H11" i="198"/>
  <c r="H10" i="198"/>
  <c r="D417" i="197"/>
  <c r="G293" i="197"/>
  <c r="H293" i="197" s="1"/>
  <c r="G291" i="197"/>
  <c r="F291" i="197"/>
  <c r="E291" i="197"/>
  <c r="H290" i="197"/>
  <c r="G290" i="197"/>
  <c r="F290" i="197"/>
  <c r="E290" i="197"/>
  <c r="E289" i="197"/>
  <c r="E288" i="197" s="1"/>
  <c r="E293" i="197" s="1"/>
  <c r="L288" i="197"/>
  <c r="K288" i="197"/>
  <c r="J288" i="197"/>
  <c r="H288" i="197"/>
  <c r="G288" i="197"/>
  <c r="F288" i="197"/>
  <c r="F293" i="197" s="1"/>
  <c r="G284" i="197"/>
  <c r="F284" i="197"/>
  <c r="E284" i="197"/>
  <c r="G277" i="197"/>
  <c r="H277" i="197" s="1"/>
  <c r="F277" i="197"/>
  <c r="E277" i="197"/>
  <c r="H275" i="197"/>
  <c r="H274" i="197"/>
  <c r="H273" i="197"/>
  <c r="H267" i="197"/>
  <c r="G267" i="197"/>
  <c r="F267" i="197"/>
  <c r="E267" i="197"/>
  <c r="H265" i="197"/>
  <c r="H264" i="197"/>
  <c r="H263" i="197"/>
  <c r="G257" i="197"/>
  <c r="H257" i="197" s="1"/>
  <c r="F257" i="197"/>
  <c r="E257" i="197"/>
  <c r="H255" i="197"/>
  <c r="H254" i="197"/>
  <c r="H253" i="197"/>
  <c r="H247" i="197"/>
  <c r="G247" i="197"/>
  <c r="F247" i="197"/>
  <c r="E247" i="197"/>
  <c r="H245" i="197"/>
  <c r="H244" i="197"/>
  <c r="H243" i="197"/>
  <c r="G237" i="197"/>
  <c r="H237" i="197" s="1"/>
  <c r="F237" i="197"/>
  <c r="E237" i="197"/>
  <c r="H235" i="197"/>
  <c r="H234" i="197"/>
  <c r="H233" i="197"/>
  <c r="G227" i="197"/>
  <c r="F227" i="197"/>
  <c r="H227" i="197" s="1"/>
  <c r="E227" i="197"/>
  <c r="H226" i="197"/>
  <c r="H225" i="197"/>
  <c r="H224" i="197"/>
  <c r="H223" i="197"/>
  <c r="H222" i="197"/>
  <c r="H221" i="197"/>
  <c r="H215" i="197"/>
  <c r="G215" i="197"/>
  <c r="F215" i="197"/>
  <c r="E215" i="197"/>
  <c r="H214" i="197"/>
  <c r="H213" i="197"/>
  <c r="G205" i="197"/>
  <c r="F205" i="197"/>
  <c r="H205" i="197" s="1"/>
  <c r="E205" i="197"/>
  <c r="H203" i="197"/>
  <c r="H202" i="197"/>
  <c r="H201" i="197"/>
  <c r="G195" i="197"/>
  <c r="H195" i="197" s="1"/>
  <c r="F195" i="197"/>
  <c r="E195" i="197"/>
  <c r="H193" i="197"/>
  <c r="H192" i="197"/>
  <c r="H191" i="197"/>
  <c r="G185" i="197"/>
  <c r="F185" i="197"/>
  <c r="H185" i="197" s="1"/>
  <c r="E185" i="197"/>
  <c r="H184" i="197"/>
  <c r="H183" i="197"/>
  <c r="H182" i="197"/>
  <c r="H181" i="197"/>
  <c r="G175" i="197"/>
  <c r="F175" i="197"/>
  <c r="H175" i="197" s="1"/>
  <c r="E175" i="197"/>
  <c r="H174" i="197"/>
  <c r="H173" i="197"/>
  <c r="H171" i="197"/>
  <c r="G165" i="197"/>
  <c r="H165" i="197" s="1"/>
  <c r="F165" i="197"/>
  <c r="E165" i="197"/>
  <c r="H163" i="197"/>
  <c r="H162" i="197"/>
  <c r="H161" i="197"/>
  <c r="H155" i="197"/>
  <c r="G155" i="197"/>
  <c r="F155" i="197"/>
  <c r="E155" i="197"/>
  <c r="H153" i="197"/>
  <c r="H152" i="197"/>
  <c r="H151" i="197"/>
  <c r="G145" i="197"/>
  <c r="H145" i="197" s="1"/>
  <c r="F145" i="197"/>
  <c r="E145" i="197"/>
  <c r="H144" i="197"/>
  <c r="H143" i="197"/>
  <c r="H142" i="197"/>
  <c r="H141" i="197"/>
  <c r="G135" i="197"/>
  <c r="H135" i="197" s="1"/>
  <c r="F135" i="197"/>
  <c r="E135" i="197"/>
  <c r="H133" i="197"/>
  <c r="H132" i="197"/>
  <c r="H131" i="197"/>
  <c r="H125" i="197"/>
  <c r="G125" i="197"/>
  <c r="F125" i="197"/>
  <c r="E125" i="197"/>
  <c r="H123" i="197"/>
  <c r="H122" i="197"/>
  <c r="H121" i="197"/>
  <c r="G115" i="197"/>
  <c r="H115" i="197" s="1"/>
  <c r="F115" i="197"/>
  <c r="E115" i="197"/>
  <c r="H113" i="197"/>
  <c r="H112" i="197"/>
  <c r="H111" i="197"/>
  <c r="H105" i="197"/>
  <c r="G105" i="197"/>
  <c r="F105" i="197"/>
  <c r="E105" i="197"/>
  <c r="H103" i="197"/>
  <c r="H102" i="197"/>
  <c r="H101" i="197"/>
  <c r="G95" i="197"/>
  <c r="H95" i="197" s="1"/>
  <c r="F95" i="197"/>
  <c r="E95" i="197"/>
  <c r="H93" i="197"/>
  <c r="H92" i="197"/>
  <c r="H91" i="197"/>
  <c r="G85" i="197"/>
  <c r="F85" i="197"/>
  <c r="H85" i="197" s="1"/>
  <c r="E85" i="197"/>
  <c r="H83" i="197"/>
  <c r="H82" i="197"/>
  <c r="H81" i="197"/>
  <c r="G75" i="197"/>
  <c r="H75" i="197" s="1"/>
  <c r="F75" i="197"/>
  <c r="E75" i="197"/>
  <c r="H73" i="197"/>
  <c r="H72" i="197"/>
  <c r="H71" i="197"/>
  <c r="G65" i="197"/>
  <c r="F65" i="197"/>
  <c r="H65" i="197" s="1"/>
  <c r="E65" i="197"/>
  <c r="H64" i="197"/>
  <c r="H63" i="197"/>
  <c r="H62" i="197"/>
  <c r="H61" i="197"/>
  <c r="G55" i="197"/>
  <c r="F55" i="197"/>
  <c r="H55" i="197" s="1"/>
  <c r="E55" i="197"/>
  <c r="H54" i="197"/>
  <c r="H53" i="197"/>
  <c r="H52" i="197"/>
  <c r="H51" i="197"/>
  <c r="G45" i="197"/>
  <c r="F45" i="197"/>
  <c r="H45" i="197" s="1"/>
  <c r="E45" i="197"/>
  <c r="H43" i="197"/>
  <c r="H42" i="197"/>
  <c r="H41" i="197"/>
  <c r="G35" i="197"/>
  <c r="H35" i="197" s="1"/>
  <c r="F35" i="197"/>
  <c r="E35" i="197"/>
  <c r="H33" i="197"/>
  <c r="H32" i="197"/>
  <c r="H31" i="197"/>
  <c r="H25" i="197"/>
  <c r="G25" i="197"/>
  <c r="F25" i="197"/>
  <c r="E25" i="197"/>
  <c r="H23" i="197"/>
  <c r="H22" i="197"/>
  <c r="H21" i="197"/>
  <c r="G15" i="197"/>
  <c r="H15" i="197" s="1"/>
  <c r="F15" i="197"/>
  <c r="E15" i="197"/>
  <c r="H14" i="197"/>
  <c r="H13" i="197"/>
  <c r="H12" i="197"/>
  <c r="H11" i="197"/>
  <c r="F145" i="196"/>
  <c r="E145" i="196"/>
  <c r="E142" i="196" s="1"/>
  <c r="E147" i="196" s="1"/>
  <c r="G144" i="196"/>
  <c r="F144" i="196"/>
  <c r="E144" i="196"/>
  <c r="G143" i="196"/>
  <c r="F143" i="196"/>
  <c r="F142" i="196" s="1"/>
  <c r="F147" i="196" s="1"/>
  <c r="E143" i="196"/>
  <c r="M142" i="196"/>
  <c r="L142" i="196"/>
  <c r="K142" i="196"/>
  <c r="G133" i="196"/>
  <c r="F133" i="196"/>
  <c r="E133" i="196"/>
  <c r="H123" i="196"/>
  <c r="G123" i="196"/>
  <c r="F123" i="196"/>
  <c r="E123" i="196"/>
  <c r="H122" i="196"/>
  <c r="G116" i="196"/>
  <c r="H116" i="196" s="1"/>
  <c r="F116" i="196"/>
  <c r="E116" i="196"/>
  <c r="H115" i="196"/>
  <c r="H114" i="196"/>
  <c r="H113" i="196"/>
  <c r="G107" i="196"/>
  <c r="F107" i="196"/>
  <c r="H107" i="196" s="1"/>
  <c r="E107" i="196"/>
  <c r="H106" i="196"/>
  <c r="H105" i="196"/>
  <c r="H104" i="196"/>
  <c r="H103" i="196"/>
  <c r="H102" i="196"/>
  <c r="G96" i="196"/>
  <c r="H96" i="196" s="1"/>
  <c r="F96" i="196"/>
  <c r="E96" i="196"/>
  <c r="H95" i="196"/>
  <c r="H94" i="196"/>
  <c r="H93" i="196"/>
  <c r="G87" i="196"/>
  <c r="F87" i="196"/>
  <c r="H87" i="196" s="1"/>
  <c r="E87" i="196"/>
  <c r="H86" i="196"/>
  <c r="H85" i="196"/>
  <c r="H84" i="196"/>
  <c r="G77" i="196"/>
  <c r="H77" i="196" s="1"/>
  <c r="F77" i="196"/>
  <c r="E77" i="196"/>
  <c r="H76" i="196"/>
  <c r="H75" i="196"/>
  <c r="H74" i="196"/>
  <c r="H73" i="196"/>
  <c r="H72" i="196"/>
  <c r="H65" i="196"/>
  <c r="G65" i="196"/>
  <c r="F65" i="196"/>
  <c r="E65" i="196"/>
  <c r="H64" i="196"/>
  <c r="H62" i="196"/>
  <c r="G55" i="196"/>
  <c r="F55" i="196"/>
  <c r="H55" i="196" s="1"/>
  <c r="E55" i="196"/>
  <c r="H54" i="196"/>
  <c r="G45" i="196"/>
  <c r="H45" i="196" s="1"/>
  <c r="F45" i="196"/>
  <c r="E45" i="196"/>
  <c r="H44" i="196"/>
  <c r="H43" i="196"/>
  <c r="H42" i="196"/>
  <c r="H41" i="196"/>
  <c r="G35" i="196"/>
  <c r="H35" i="196" s="1"/>
  <c r="F35" i="196"/>
  <c r="E35" i="196"/>
  <c r="H34" i="196"/>
  <c r="H33" i="196"/>
  <c r="H32" i="196"/>
  <c r="H26" i="196"/>
  <c r="G26" i="196"/>
  <c r="F26" i="196"/>
  <c r="E26" i="196"/>
  <c r="H25" i="196"/>
  <c r="H24" i="196"/>
  <c r="H23" i="196"/>
  <c r="H22" i="196"/>
  <c r="H21" i="196"/>
  <c r="G15" i="196"/>
  <c r="H15" i="196" s="1"/>
  <c r="F15" i="196"/>
  <c r="E15" i="196"/>
  <c r="H14" i="196"/>
  <c r="H13" i="196"/>
  <c r="H12" i="196"/>
  <c r="H11" i="196"/>
  <c r="H11" i="193"/>
  <c r="E12" i="193"/>
  <c r="F12" i="193"/>
  <c r="G12" i="193"/>
  <c r="E15" i="193"/>
  <c r="E20" i="193" s="1"/>
  <c r="G15" i="193"/>
  <c r="G20" i="193" s="1"/>
  <c r="J15" i="193"/>
  <c r="K15" i="193"/>
  <c r="L15" i="193"/>
  <c r="E16" i="193"/>
  <c r="F16" i="193"/>
  <c r="F15" i="193" s="1"/>
  <c r="F20" i="193" s="1"/>
  <c r="G16" i="193"/>
  <c r="H16" i="193"/>
  <c r="E173" i="213" l="1"/>
  <c r="E178" i="213" s="1"/>
  <c r="F173" i="213"/>
  <c r="F178" i="213" s="1"/>
  <c r="H178" i="213" s="1"/>
  <c r="D260" i="20"/>
  <c r="H30" i="201"/>
  <c r="H121" i="201"/>
  <c r="H203" i="201"/>
  <c r="H291" i="201"/>
  <c r="H314" i="201"/>
  <c r="H330" i="201"/>
  <c r="H350" i="201"/>
  <c r="H224" i="201"/>
  <c r="R224" i="20"/>
  <c r="R267" i="20"/>
  <c r="T224" i="20"/>
  <c r="T267" i="20"/>
  <c r="H22" i="201"/>
  <c r="H44" i="201"/>
  <c r="H96" i="201"/>
  <c r="H186" i="201"/>
  <c r="H259" i="201"/>
  <c r="H281" i="201"/>
  <c r="H301" i="201"/>
  <c r="J380" i="201"/>
  <c r="H361" i="201"/>
  <c r="E386" i="201"/>
  <c r="E391" i="201" s="1"/>
  <c r="S224" i="20"/>
  <c r="S267" i="20"/>
  <c r="H406" i="198"/>
  <c r="R223" i="20"/>
  <c r="R266" i="20"/>
  <c r="H38" i="198"/>
  <c r="H56" i="198"/>
  <c r="H74" i="198"/>
  <c r="H92" i="198"/>
  <c r="H108" i="198"/>
  <c r="H124" i="198"/>
  <c r="H144" i="198"/>
  <c r="H162" i="198"/>
  <c r="H178" i="198"/>
  <c r="H196" i="198"/>
  <c r="H212" i="198"/>
  <c r="H230" i="198"/>
  <c r="H250" i="198"/>
  <c r="H266" i="198"/>
  <c r="H284" i="198"/>
  <c r="H302" i="198"/>
  <c r="H320" i="198"/>
  <c r="H342" i="198"/>
  <c r="H360" i="198"/>
  <c r="H380" i="198"/>
  <c r="H396" i="198"/>
  <c r="R222" i="20"/>
  <c r="R265" i="20"/>
  <c r="R268" i="20" s="1"/>
  <c r="H412" i="198"/>
  <c r="D179" i="20"/>
  <c r="S223" i="20" s="1"/>
  <c r="H386" i="201"/>
  <c r="H391" i="201"/>
  <c r="H144" i="196"/>
  <c r="E165" i="20"/>
  <c r="G142" i="196"/>
  <c r="H142" i="196" s="1"/>
  <c r="T265" i="20"/>
  <c r="T222" i="20"/>
  <c r="G410" i="198"/>
  <c r="H27" i="198"/>
  <c r="F410" i="198"/>
  <c r="F415" i="198" s="1"/>
  <c r="D178" i="20"/>
  <c r="S222" i="20" s="1"/>
  <c r="F1224" i="214"/>
  <c r="F1229" i="214" s="1"/>
  <c r="D266" i="20"/>
  <c r="H411" i="198"/>
  <c r="H37" i="203"/>
  <c r="E419" i="206"/>
  <c r="E424" i="206" s="1"/>
  <c r="E120" i="207"/>
  <c r="E125" i="207" s="1"/>
  <c r="H55" i="212"/>
  <c r="H1035" i="214"/>
  <c r="G1209" i="214"/>
  <c r="G147" i="196"/>
  <c r="H147" i="196" s="1"/>
  <c r="H113" i="202"/>
  <c r="G112" i="202"/>
  <c r="H226" i="205"/>
  <c r="H171" i="214"/>
  <c r="H243" i="214"/>
  <c r="G1225" i="214"/>
  <c r="G1224" i="214" s="1"/>
  <c r="G1229" i="214" s="1"/>
  <c r="H420" i="206"/>
  <c r="G419" i="206"/>
  <c r="H121" i="207"/>
  <c r="G120" i="207"/>
  <c r="H315" i="214"/>
  <c r="H387" i="214"/>
  <c r="H855" i="214"/>
  <c r="H1140" i="214"/>
  <c r="F1209" i="214"/>
  <c r="G235" i="199"/>
  <c r="H235" i="199" s="1"/>
  <c r="H230" i="199"/>
  <c r="H98" i="208"/>
  <c r="G97" i="208"/>
  <c r="H65" i="211"/>
  <c r="G64" i="211"/>
  <c r="H205" i="200"/>
  <c r="H387" i="201"/>
  <c r="H36" i="203"/>
  <c r="G41" i="203"/>
  <c r="H41" i="203" s="1"/>
  <c r="E138" i="204"/>
  <c r="E143" i="204" s="1"/>
  <c r="H36" i="210"/>
  <c r="G35" i="210"/>
  <c r="H51" i="214"/>
  <c r="G79" i="214"/>
  <c r="H87" i="214"/>
  <c r="G115" i="214"/>
  <c r="H195" i="214"/>
  <c r="G223" i="214"/>
  <c r="H231" i="214"/>
  <c r="G259" i="214"/>
  <c r="H339" i="214"/>
  <c r="G367" i="214"/>
  <c r="H375" i="214"/>
  <c r="G403" i="214"/>
  <c r="H483" i="214"/>
  <c r="G511" i="214"/>
  <c r="H519" i="214"/>
  <c r="G547" i="214"/>
  <c r="H547" i="214" s="1"/>
  <c r="H591" i="214"/>
  <c r="G619" i="214"/>
  <c r="G655" i="214"/>
  <c r="H627" i="214"/>
  <c r="H735" i="214"/>
  <c r="G763" i="214"/>
  <c r="G799" i="214"/>
  <c r="H771" i="214"/>
  <c r="H879" i="214"/>
  <c r="G907" i="214"/>
  <c r="H987" i="214"/>
  <c r="G1015" i="214"/>
  <c r="G1051" i="214"/>
  <c r="H1023" i="214"/>
  <c r="G1110" i="214"/>
  <c r="H1093" i="214"/>
  <c r="G1133" i="214"/>
  <c r="H1162" i="214"/>
  <c r="H221" i="200"/>
  <c r="G226" i="200"/>
  <c r="H226" i="200" s="1"/>
  <c r="H380" i="201"/>
  <c r="K380" i="201"/>
  <c r="H139" i="204"/>
  <c r="G138" i="204"/>
  <c r="H225" i="205"/>
  <c r="G230" i="205"/>
  <c r="H230" i="205" s="1"/>
  <c r="H54" i="212"/>
  <c r="G59" i="212"/>
  <c r="H59" i="212" s="1"/>
  <c r="G43" i="214"/>
  <c r="H15" i="214"/>
  <c r="G151" i="214"/>
  <c r="G187" i="214"/>
  <c r="H159" i="214"/>
  <c r="G295" i="214"/>
  <c r="G331" i="214"/>
  <c r="H303" i="214"/>
  <c r="G439" i="214"/>
  <c r="G475" i="214"/>
  <c r="H447" i="214"/>
  <c r="H555" i="214"/>
  <c r="G583" i="214"/>
  <c r="G691" i="214"/>
  <c r="H699" i="214"/>
  <c r="G727" i="214"/>
  <c r="G835" i="214"/>
  <c r="H843" i="214"/>
  <c r="G871" i="214"/>
  <c r="H951" i="214"/>
  <c r="G979" i="214"/>
  <c r="G1087" i="214"/>
  <c r="G1156" i="214"/>
  <c r="H1139" i="214"/>
  <c r="G1179" i="214"/>
  <c r="H20" i="193"/>
  <c r="H15" i="193"/>
  <c r="G16" i="192"/>
  <c r="F16" i="192"/>
  <c r="F15" i="192" s="1"/>
  <c r="F20" i="192" s="1"/>
  <c r="E16" i="192"/>
  <c r="E15" i="192" s="1"/>
  <c r="E20" i="192" s="1"/>
  <c r="L15" i="192"/>
  <c r="K15" i="192"/>
  <c r="J15" i="192"/>
  <c r="G15" i="192"/>
  <c r="G20" i="192" s="1"/>
  <c r="G12" i="192"/>
  <c r="F12" i="192"/>
  <c r="E12" i="192"/>
  <c r="G707" i="191"/>
  <c r="F707" i="191"/>
  <c r="E707" i="191"/>
  <c r="G706" i="191"/>
  <c r="E144" i="20" s="1"/>
  <c r="F706" i="191"/>
  <c r="E706" i="191"/>
  <c r="F705" i="191"/>
  <c r="D143" i="20" s="1"/>
  <c r="S168" i="20" s="1"/>
  <c r="E705" i="191"/>
  <c r="K704" i="191"/>
  <c r="J704" i="191"/>
  <c r="E704" i="191"/>
  <c r="E709" i="191" s="1"/>
  <c r="G702" i="191"/>
  <c r="F702" i="191"/>
  <c r="E702" i="191"/>
  <c r="H699" i="191"/>
  <c r="H697" i="191"/>
  <c r="H694" i="191"/>
  <c r="H687" i="191"/>
  <c r="G687" i="191"/>
  <c r="F687" i="191"/>
  <c r="E687" i="191"/>
  <c r="H686" i="191"/>
  <c r="H684" i="191"/>
  <c r="G678" i="191"/>
  <c r="F678" i="191"/>
  <c r="H678" i="191" s="1"/>
  <c r="E678" i="191"/>
  <c r="H677" i="191"/>
  <c r="H675" i="191"/>
  <c r="H669" i="191"/>
  <c r="G669" i="191"/>
  <c r="F669" i="191"/>
  <c r="E669" i="191"/>
  <c r="H668" i="191"/>
  <c r="H666" i="191"/>
  <c r="G660" i="191"/>
  <c r="F660" i="191"/>
  <c r="H660" i="191" s="1"/>
  <c r="E660" i="191"/>
  <c r="H659" i="191"/>
  <c r="H657" i="191"/>
  <c r="H651" i="191"/>
  <c r="G651" i="191"/>
  <c r="F651" i="191"/>
  <c r="E651" i="191"/>
  <c r="H650" i="191"/>
  <c r="H648" i="191"/>
  <c r="G642" i="191"/>
  <c r="F642" i="191"/>
  <c r="H642" i="191" s="1"/>
  <c r="E642" i="191"/>
  <c r="H641" i="191"/>
  <c r="H639" i="191"/>
  <c r="H633" i="191"/>
  <c r="G633" i="191"/>
  <c r="F633" i="191"/>
  <c r="E633" i="191"/>
  <c r="H632" i="191"/>
  <c r="H630" i="191"/>
  <c r="G624" i="191"/>
  <c r="F624" i="191"/>
  <c r="H624" i="191" s="1"/>
  <c r="E624" i="191"/>
  <c r="H623" i="191"/>
  <c r="H621" i="191"/>
  <c r="H615" i="191"/>
  <c r="G615" i="191"/>
  <c r="F615" i="191"/>
  <c r="E615" i="191"/>
  <c r="H614" i="191"/>
  <c r="H612" i="191"/>
  <c r="G606" i="191"/>
  <c r="F606" i="191"/>
  <c r="H606" i="191" s="1"/>
  <c r="E606" i="191"/>
  <c r="H605" i="191"/>
  <c r="H604" i="191"/>
  <c r="H598" i="191"/>
  <c r="G598" i="191"/>
  <c r="F598" i="191"/>
  <c r="E598" i="191"/>
  <c r="H597" i="191"/>
  <c r="H595" i="191"/>
  <c r="G589" i="191"/>
  <c r="F589" i="191"/>
  <c r="H589" i="191" s="1"/>
  <c r="E589" i="191"/>
  <c r="H588" i="191"/>
  <c r="G582" i="191"/>
  <c r="H582" i="191" s="1"/>
  <c r="F582" i="191"/>
  <c r="E582" i="191"/>
  <c r="H581" i="191"/>
  <c r="H580" i="191"/>
  <c r="G574" i="191"/>
  <c r="H574" i="191" s="1"/>
  <c r="F574" i="191"/>
  <c r="E574" i="191"/>
  <c r="H573" i="191"/>
  <c r="G567" i="191"/>
  <c r="F567" i="191"/>
  <c r="H567" i="191" s="1"/>
  <c r="E567" i="191"/>
  <c r="H566" i="191"/>
  <c r="H565" i="191"/>
  <c r="H559" i="191"/>
  <c r="G559" i="191"/>
  <c r="F559" i="191"/>
  <c r="E559" i="191"/>
  <c r="H558" i="191"/>
  <c r="G552" i="191"/>
  <c r="H552" i="191" s="1"/>
  <c r="F552" i="191"/>
  <c r="E552" i="191"/>
  <c r="H551" i="191"/>
  <c r="H550" i="191"/>
  <c r="G544" i="191"/>
  <c r="H544" i="191" s="1"/>
  <c r="F544" i="191"/>
  <c r="E544" i="191"/>
  <c r="H543" i="191"/>
  <c r="H542" i="191"/>
  <c r="G536" i="191"/>
  <c r="H536" i="191" s="1"/>
  <c r="F536" i="191"/>
  <c r="E536" i="191"/>
  <c r="H535" i="191"/>
  <c r="G529" i="191"/>
  <c r="F529" i="191"/>
  <c r="H529" i="191" s="1"/>
  <c r="E529" i="191"/>
  <c r="H528" i="191"/>
  <c r="H527" i="191"/>
  <c r="H521" i="191"/>
  <c r="G521" i="191"/>
  <c r="F521" i="191"/>
  <c r="E521" i="191"/>
  <c r="H520" i="191"/>
  <c r="G514" i="191"/>
  <c r="H514" i="191" s="1"/>
  <c r="F514" i="191"/>
  <c r="E514" i="191"/>
  <c r="H513" i="191"/>
  <c r="G507" i="191"/>
  <c r="F507" i="191"/>
  <c r="H507" i="191" s="1"/>
  <c r="E507" i="191"/>
  <c r="H506" i="191"/>
  <c r="H505" i="191"/>
  <c r="H504" i="191"/>
  <c r="G498" i="191"/>
  <c r="H498" i="191" s="1"/>
  <c r="F498" i="191"/>
  <c r="E498" i="191"/>
  <c r="H497" i="191"/>
  <c r="H496" i="191"/>
  <c r="G490" i="191"/>
  <c r="H490" i="191" s="1"/>
  <c r="F490" i="191"/>
  <c r="E490" i="191"/>
  <c r="H489" i="191"/>
  <c r="H488" i="191"/>
  <c r="G482" i="191"/>
  <c r="H482" i="191" s="1"/>
  <c r="F482" i="191"/>
  <c r="E482" i="191"/>
  <c r="H481" i="191"/>
  <c r="H480" i="191"/>
  <c r="G474" i="191"/>
  <c r="H474" i="191" s="1"/>
  <c r="F474" i="191"/>
  <c r="E474" i="191"/>
  <c r="H473" i="191"/>
  <c r="H472" i="191"/>
  <c r="G466" i="191"/>
  <c r="H466" i="191" s="1"/>
  <c r="F466" i="191"/>
  <c r="E466" i="191"/>
  <c r="H465" i="191"/>
  <c r="H464" i="191"/>
  <c r="G458" i="191"/>
  <c r="H458" i="191" s="1"/>
  <c r="F458" i="191"/>
  <c r="E458" i="191"/>
  <c r="H457" i="191"/>
  <c r="H456" i="191"/>
  <c r="G450" i="191"/>
  <c r="H450" i="191" s="1"/>
  <c r="F450" i="191"/>
  <c r="E450" i="191"/>
  <c r="H449" i="191"/>
  <c r="H448" i="191"/>
  <c r="G442" i="191"/>
  <c r="H442" i="191" s="1"/>
  <c r="F442" i="191"/>
  <c r="E442" i="191"/>
  <c r="H441" i="191"/>
  <c r="H435" i="191"/>
  <c r="G435" i="191"/>
  <c r="F435" i="191"/>
  <c r="E435" i="191"/>
  <c r="H434" i="191"/>
  <c r="G428" i="191"/>
  <c r="H428" i="191" s="1"/>
  <c r="F428" i="191"/>
  <c r="E428" i="191"/>
  <c r="H427" i="191"/>
  <c r="G421" i="191"/>
  <c r="F421" i="191"/>
  <c r="H421" i="191" s="1"/>
  <c r="E421" i="191"/>
  <c r="H420" i="191"/>
  <c r="G414" i="191"/>
  <c r="H414" i="191" s="1"/>
  <c r="F414" i="191"/>
  <c r="E414" i="191"/>
  <c r="H413" i="191"/>
  <c r="G407" i="191"/>
  <c r="F407" i="191"/>
  <c r="E407" i="191"/>
  <c r="G399" i="191"/>
  <c r="H399" i="191" s="1"/>
  <c r="F399" i="191"/>
  <c r="E399" i="191"/>
  <c r="H398" i="191"/>
  <c r="H392" i="191"/>
  <c r="G392" i="191"/>
  <c r="F392" i="191"/>
  <c r="E392" i="191"/>
  <c r="H391" i="191"/>
  <c r="G385" i="191"/>
  <c r="H385" i="191" s="1"/>
  <c r="F385" i="191"/>
  <c r="E385" i="191"/>
  <c r="H384" i="191"/>
  <c r="G378" i="191"/>
  <c r="F378" i="191"/>
  <c r="H378" i="191" s="1"/>
  <c r="E378" i="191"/>
  <c r="H377" i="191"/>
  <c r="G371" i="191"/>
  <c r="H371" i="191" s="1"/>
  <c r="F371" i="191"/>
  <c r="E371" i="191"/>
  <c r="H370" i="191"/>
  <c r="H364" i="191"/>
  <c r="G364" i="191"/>
  <c r="F364" i="191"/>
  <c r="E364" i="191"/>
  <c r="H363" i="191"/>
  <c r="G357" i="191"/>
  <c r="H357" i="191" s="1"/>
  <c r="F357" i="191"/>
  <c r="E357" i="191"/>
  <c r="H356" i="191"/>
  <c r="G350" i="191"/>
  <c r="F350" i="191"/>
  <c r="H350" i="191" s="1"/>
  <c r="E350" i="191"/>
  <c r="H349" i="191"/>
  <c r="H348" i="191"/>
  <c r="H342" i="191"/>
  <c r="G342" i="191"/>
  <c r="F342" i="191"/>
  <c r="E342" i="191"/>
  <c r="H341" i="191"/>
  <c r="G335" i="191"/>
  <c r="H335" i="191" s="1"/>
  <c r="F335" i="191"/>
  <c r="E335" i="191"/>
  <c r="H334" i="191"/>
  <c r="G328" i="191"/>
  <c r="F328" i="191"/>
  <c r="H328" i="191" s="1"/>
  <c r="E328" i="191"/>
  <c r="H327" i="191"/>
  <c r="G321" i="191"/>
  <c r="H321" i="191" s="1"/>
  <c r="F321" i="191"/>
  <c r="E321" i="191"/>
  <c r="H320" i="191"/>
  <c r="H319" i="191"/>
  <c r="G312" i="191"/>
  <c r="H312" i="191" s="1"/>
  <c r="F312" i="191"/>
  <c r="E312" i="191"/>
  <c r="H311" i="191"/>
  <c r="G305" i="191"/>
  <c r="F305" i="191"/>
  <c r="H305" i="191" s="1"/>
  <c r="E305" i="191"/>
  <c r="H304" i="191"/>
  <c r="G297" i="191"/>
  <c r="H297" i="191" s="1"/>
  <c r="F297" i="191"/>
  <c r="E297" i="191"/>
  <c r="H296" i="191"/>
  <c r="H290" i="191"/>
  <c r="G290" i="191"/>
  <c r="F290" i="191"/>
  <c r="E290" i="191"/>
  <c r="H289" i="191"/>
  <c r="G283" i="191"/>
  <c r="H283" i="191" s="1"/>
  <c r="F283" i="191"/>
  <c r="E283" i="191"/>
  <c r="H282" i="191"/>
  <c r="G276" i="191"/>
  <c r="F276" i="191"/>
  <c r="H276" i="191" s="1"/>
  <c r="E276" i="191"/>
  <c r="H275" i="191"/>
  <c r="G269" i="191"/>
  <c r="H269" i="191" s="1"/>
  <c r="F269" i="191"/>
  <c r="E269" i="191"/>
  <c r="H268" i="191"/>
  <c r="H262" i="191"/>
  <c r="G262" i="191"/>
  <c r="F262" i="191"/>
  <c r="E262" i="191"/>
  <c r="H261" i="191"/>
  <c r="G255" i="191"/>
  <c r="H255" i="191" s="1"/>
  <c r="F255" i="191"/>
  <c r="E255" i="191"/>
  <c r="H254" i="191"/>
  <c r="G248" i="191"/>
  <c r="F248" i="191"/>
  <c r="H248" i="191" s="1"/>
  <c r="E248" i="191"/>
  <c r="H247" i="191"/>
  <c r="G241" i="191"/>
  <c r="H241" i="191" s="1"/>
  <c r="F241" i="191"/>
  <c r="E241" i="191"/>
  <c r="H240" i="191"/>
  <c r="H234" i="191"/>
  <c r="G234" i="191"/>
  <c r="F234" i="191"/>
  <c r="E234" i="191"/>
  <c r="H233" i="191"/>
  <c r="G227" i="191"/>
  <c r="H227" i="191" s="1"/>
  <c r="F227" i="191"/>
  <c r="E227" i="191"/>
  <c r="H226" i="191"/>
  <c r="G220" i="191"/>
  <c r="F220" i="191"/>
  <c r="H220" i="191" s="1"/>
  <c r="E220" i="191"/>
  <c r="H219" i="191"/>
  <c r="G213" i="191"/>
  <c r="H213" i="191" s="1"/>
  <c r="F213" i="191"/>
  <c r="E213" i="191"/>
  <c r="H212" i="191"/>
  <c r="H206" i="191"/>
  <c r="G206" i="191"/>
  <c r="F206" i="191"/>
  <c r="E206" i="191"/>
  <c r="H205" i="191"/>
  <c r="G199" i="191"/>
  <c r="H199" i="191" s="1"/>
  <c r="F199" i="191"/>
  <c r="E199" i="191"/>
  <c r="H198" i="191"/>
  <c r="G192" i="191"/>
  <c r="F192" i="191"/>
  <c r="H192" i="191" s="1"/>
  <c r="E192" i="191"/>
  <c r="H191" i="191"/>
  <c r="G185" i="191"/>
  <c r="H185" i="191" s="1"/>
  <c r="F185" i="191"/>
  <c r="E185" i="191"/>
  <c r="H184" i="191"/>
  <c r="H178" i="191"/>
  <c r="G178" i="191"/>
  <c r="F178" i="191"/>
  <c r="E178" i="191"/>
  <c r="H177" i="191"/>
  <c r="G171" i="191"/>
  <c r="H171" i="191" s="1"/>
  <c r="F171" i="191"/>
  <c r="E171" i="191"/>
  <c r="H170" i="191"/>
  <c r="G164" i="191"/>
  <c r="F164" i="191"/>
  <c r="H164" i="191" s="1"/>
  <c r="E164" i="191"/>
  <c r="H163" i="191"/>
  <c r="G157" i="191"/>
  <c r="H157" i="191" s="1"/>
  <c r="F157" i="191"/>
  <c r="E157" i="191"/>
  <c r="H156" i="191"/>
  <c r="H150" i="191"/>
  <c r="G150" i="191"/>
  <c r="F150" i="191"/>
  <c r="E150" i="191"/>
  <c r="H149" i="191"/>
  <c r="G143" i="191"/>
  <c r="H143" i="191" s="1"/>
  <c r="F143" i="191"/>
  <c r="E143" i="191"/>
  <c r="H142" i="191"/>
  <c r="G136" i="191"/>
  <c r="F136" i="191"/>
  <c r="H136" i="191" s="1"/>
  <c r="E136" i="191"/>
  <c r="H135" i="191"/>
  <c r="G129" i="191"/>
  <c r="H129" i="191" s="1"/>
  <c r="F129" i="191"/>
  <c r="E129" i="191"/>
  <c r="H128" i="191"/>
  <c r="H122" i="191"/>
  <c r="G122" i="191"/>
  <c r="F122" i="191"/>
  <c r="E122" i="191"/>
  <c r="H121" i="191"/>
  <c r="G115" i="191"/>
  <c r="H115" i="191" s="1"/>
  <c r="F115" i="191"/>
  <c r="E115" i="191"/>
  <c r="H114" i="191"/>
  <c r="G108" i="191"/>
  <c r="F108" i="191"/>
  <c r="H108" i="191" s="1"/>
  <c r="E108" i="191"/>
  <c r="H107" i="191"/>
  <c r="H106" i="191"/>
  <c r="H100" i="191"/>
  <c r="G100" i="191"/>
  <c r="F100" i="191"/>
  <c r="E100" i="191"/>
  <c r="H99" i="191"/>
  <c r="G93" i="191"/>
  <c r="H93" i="191" s="1"/>
  <c r="F93" i="191"/>
  <c r="E93" i="191"/>
  <c r="H92" i="191"/>
  <c r="G86" i="191"/>
  <c r="F86" i="191"/>
  <c r="H86" i="191" s="1"/>
  <c r="E86" i="191"/>
  <c r="H85" i="191"/>
  <c r="G79" i="191"/>
  <c r="H79" i="191" s="1"/>
  <c r="F79" i="191"/>
  <c r="E79" i="191"/>
  <c r="H78" i="191"/>
  <c r="H72" i="191"/>
  <c r="G72" i="191"/>
  <c r="F72" i="191"/>
  <c r="E72" i="191"/>
  <c r="H71" i="191"/>
  <c r="G65" i="191"/>
  <c r="H65" i="191" s="1"/>
  <c r="F65" i="191"/>
  <c r="E65" i="191"/>
  <c r="H64" i="191"/>
  <c r="G58" i="191"/>
  <c r="F58" i="191"/>
  <c r="H58" i="191" s="1"/>
  <c r="E58" i="191"/>
  <c r="H57" i="191"/>
  <c r="G51" i="191"/>
  <c r="H51" i="191" s="1"/>
  <c r="F51" i="191"/>
  <c r="E51" i="191"/>
  <c r="H50" i="191"/>
  <c r="H44" i="191"/>
  <c r="G44" i="191"/>
  <c r="F44" i="191"/>
  <c r="E44" i="191"/>
  <c r="H43" i="191"/>
  <c r="G37" i="191"/>
  <c r="H37" i="191" s="1"/>
  <c r="F37" i="191"/>
  <c r="E37" i="191"/>
  <c r="H36" i="191"/>
  <c r="H35" i="191"/>
  <c r="G29" i="191"/>
  <c r="H29" i="191" s="1"/>
  <c r="F29" i="191"/>
  <c r="E29" i="191"/>
  <c r="H28" i="191"/>
  <c r="H22" i="191"/>
  <c r="G22" i="191"/>
  <c r="F22" i="191"/>
  <c r="E22" i="191"/>
  <c r="H21" i="191"/>
  <c r="G15" i="191"/>
  <c r="H15" i="191" s="1"/>
  <c r="F15" i="191"/>
  <c r="E15" i="191"/>
  <c r="H14" i="191"/>
  <c r="H13" i="191"/>
  <c r="S225" i="20" l="1"/>
  <c r="R225" i="20"/>
  <c r="H410" i="198"/>
  <c r="H702" i="191"/>
  <c r="G704" i="191"/>
  <c r="G709" i="191" s="1"/>
  <c r="H706" i="191"/>
  <c r="D144" i="20"/>
  <c r="F704" i="191"/>
  <c r="F709" i="191" s="1"/>
  <c r="T266" i="20"/>
  <c r="T268" i="20" s="1"/>
  <c r="T169" i="20"/>
  <c r="T225" i="20"/>
  <c r="G415" i="198"/>
  <c r="H415" i="198" s="1"/>
  <c r="H1229" i="214"/>
  <c r="S265" i="20"/>
  <c r="D263" i="20"/>
  <c r="F266" i="20"/>
  <c r="G69" i="211"/>
  <c r="H69" i="211" s="1"/>
  <c r="H64" i="211"/>
  <c r="G125" i="207"/>
  <c r="H125" i="207" s="1"/>
  <c r="H120" i="207"/>
  <c r="G117" i="202"/>
  <c r="H117" i="202" s="1"/>
  <c r="H112" i="202"/>
  <c r="G143" i="204"/>
  <c r="H143" i="204" s="1"/>
  <c r="H138" i="204"/>
  <c r="G40" i="210"/>
  <c r="H40" i="210" s="1"/>
  <c r="H35" i="210"/>
  <c r="G102" i="208"/>
  <c r="H102" i="208" s="1"/>
  <c r="H97" i="208"/>
  <c r="G424" i="206"/>
  <c r="H424" i="206" s="1"/>
  <c r="H419" i="206"/>
  <c r="H705" i="191"/>
  <c r="H709" i="191" l="1"/>
  <c r="H704" i="191"/>
  <c r="S169" i="20"/>
  <c r="S171" i="20" s="1"/>
  <c r="S266" i="20"/>
  <c r="S268" i="20" s="1"/>
  <c r="T171" i="20"/>
  <c r="F263" i="20"/>
  <c r="G96" i="7"/>
  <c r="F96" i="7"/>
  <c r="H97" i="7"/>
  <c r="H11" i="7"/>
  <c r="H10" i="7"/>
  <c r="F103" i="7"/>
  <c r="G86" i="7"/>
  <c r="F86" i="7"/>
  <c r="G80" i="7"/>
  <c r="F80" i="7"/>
  <c r="F75" i="7"/>
  <c r="G60" i="7"/>
  <c r="F60" i="7"/>
  <c r="G50" i="7"/>
  <c r="F50" i="7"/>
  <c r="G36" i="7"/>
  <c r="F36" i="7"/>
  <c r="G32" i="7"/>
  <c r="F32" i="7"/>
  <c r="G27" i="7"/>
  <c r="F27" i="7"/>
  <c r="G22" i="7"/>
  <c r="F22" i="7"/>
  <c r="K89" i="7"/>
  <c r="J89" i="7"/>
  <c r="J126" i="7" l="1"/>
  <c r="G75" i="7"/>
  <c r="H94" i="7" l="1"/>
  <c r="G291" i="7" l="1"/>
  <c r="F291" i="7"/>
  <c r="H98" i="7"/>
  <c r="H96" i="7"/>
  <c r="H48" i="7"/>
  <c r="H47" i="7"/>
  <c r="G103" i="7"/>
  <c r="K126" i="7" s="1"/>
  <c r="H95" i="7"/>
  <c r="H93" i="7"/>
  <c r="H92" i="7"/>
  <c r="H91" i="7"/>
  <c r="H90" i="7"/>
  <c r="H89" i="7"/>
  <c r="H78" i="7"/>
  <c r="H65" i="7" l="1"/>
  <c r="H64" i="7"/>
  <c r="H57" i="7"/>
  <c r="H56" i="7"/>
  <c r="H55" i="7"/>
  <c r="H54" i="7"/>
  <c r="H41" i="7"/>
  <c r="E36" i="7"/>
  <c r="H39" i="7"/>
  <c r="E32" i="7"/>
  <c r="H35" i="7"/>
  <c r="H31" i="7"/>
  <c r="H30" i="7"/>
  <c r="E22" i="7"/>
  <c r="H25" i="7"/>
  <c r="H24" i="7"/>
  <c r="H23" i="7"/>
  <c r="H21" i="7"/>
  <c r="H20" i="7"/>
  <c r="H19" i="7"/>
  <c r="H18" i="7"/>
  <c r="H17" i="7"/>
  <c r="H16" i="7"/>
  <c r="H15" i="7"/>
  <c r="H14" i="7"/>
  <c r="G153" i="7" l="1"/>
  <c r="F153" i="7"/>
  <c r="H148" i="7"/>
  <c r="H147" i="7"/>
  <c r="G297" i="7"/>
  <c r="F297" i="7"/>
  <c r="G309" i="7" l="1"/>
  <c r="F309" i="7"/>
  <c r="G303" i="7"/>
  <c r="F303" i="7"/>
  <c r="G267" i="7"/>
  <c r="F267" i="7"/>
  <c r="F285" i="7" s="1"/>
  <c r="H274" i="7"/>
  <c r="H273" i="7"/>
  <c r="H271" i="7"/>
  <c r="K311" i="7" l="1"/>
  <c r="G251" i="7"/>
  <c r="F251" i="7"/>
  <c r="G241" i="7"/>
  <c r="F241" i="7"/>
  <c r="H250" i="7"/>
  <c r="F165" i="7"/>
  <c r="F181" i="7"/>
  <c r="G206" i="7"/>
  <c r="F206" i="7"/>
  <c r="E165" i="7"/>
  <c r="H207" i="7"/>
  <c r="H198" i="7"/>
  <c r="H192" i="7"/>
  <c r="H191" i="7"/>
  <c r="L157" i="15" l="1"/>
  <c r="F163" i="15"/>
  <c r="M157" i="15"/>
  <c r="K157" i="15"/>
  <c r="G169" i="15"/>
  <c r="F169" i="15"/>
  <c r="E169" i="15"/>
  <c r="G133" i="15"/>
  <c r="G141" i="15" s="1"/>
  <c r="F133" i="15"/>
  <c r="F141" i="15" s="1"/>
  <c r="H137" i="15"/>
  <c r="H139" i="15"/>
  <c r="H138" i="15"/>
  <c r="G118" i="15"/>
  <c r="G125" i="15" s="1"/>
  <c r="F118" i="15"/>
  <c r="F125" i="15" s="1"/>
  <c r="H122" i="15"/>
  <c r="G104" i="15"/>
  <c r="G111" i="15" s="1"/>
  <c r="F104" i="15"/>
  <c r="F111" i="15" s="1"/>
  <c r="H108" i="15"/>
  <c r="G93" i="15"/>
  <c r="F93" i="15"/>
  <c r="E93" i="15"/>
  <c r="G89" i="15"/>
  <c r="F89" i="15"/>
  <c r="H91" i="15"/>
  <c r="G77" i="15"/>
  <c r="F77" i="15"/>
  <c r="E77" i="15"/>
  <c r="H79" i="15"/>
  <c r="G73" i="15"/>
  <c r="F73" i="15"/>
  <c r="H75" i="15"/>
  <c r="F154" i="15"/>
  <c r="G65" i="15"/>
  <c r="F65" i="15"/>
  <c r="H53" i="15"/>
  <c r="H46" i="15"/>
  <c r="H45" i="15"/>
  <c r="F41" i="15"/>
  <c r="K169" i="15" l="1"/>
  <c r="H34" i="15"/>
  <c r="H33" i="15"/>
  <c r="H32" i="15"/>
  <c r="H31" i="15"/>
  <c r="H23" i="15"/>
  <c r="H22" i="15"/>
  <c r="G297" i="55" l="1"/>
  <c r="F297" i="55"/>
  <c r="F267" i="55"/>
  <c r="E267" i="55"/>
  <c r="G253" i="55"/>
  <c r="F253" i="55"/>
  <c r="E253" i="55"/>
  <c r="H258" i="55"/>
  <c r="H256" i="55"/>
  <c r="G238" i="55"/>
  <c r="F238" i="55"/>
  <c r="E238" i="55"/>
  <c r="H240" i="55"/>
  <c r="G226" i="55"/>
  <c r="F226" i="55"/>
  <c r="E226" i="55"/>
  <c r="G219" i="55"/>
  <c r="F219" i="55"/>
  <c r="E219" i="55"/>
  <c r="H223" i="55"/>
  <c r="H221" i="55"/>
  <c r="G203" i="55"/>
  <c r="F203" i="55"/>
  <c r="E203" i="55"/>
  <c r="G188" i="55"/>
  <c r="F188" i="55"/>
  <c r="E188" i="55"/>
  <c r="H189" i="55"/>
  <c r="G179" i="55"/>
  <c r="G187" i="55" s="1"/>
  <c r="F179" i="55"/>
  <c r="F187" i="55" s="1"/>
  <c r="E179" i="55"/>
  <c r="E187" i="55" s="1"/>
  <c r="H184" i="55"/>
  <c r="H182" i="55"/>
  <c r="H181" i="55"/>
  <c r="G159" i="55"/>
  <c r="G167" i="55" s="1"/>
  <c r="G169" i="55" s="1"/>
  <c r="F159" i="55"/>
  <c r="F167" i="55" s="1"/>
  <c r="F169" i="55" s="1"/>
  <c r="E159" i="55"/>
  <c r="G111" i="55"/>
  <c r="F111" i="55"/>
  <c r="H113" i="55"/>
  <c r="H112" i="55"/>
  <c r="G147" i="55"/>
  <c r="F147" i="55"/>
  <c r="H144" i="55"/>
  <c r="H143" i="55"/>
  <c r="E136" i="55"/>
  <c r="K147" i="55" s="1"/>
  <c r="G133" i="55"/>
  <c r="F133" i="55"/>
  <c r="H135" i="55"/>
  <c r="G126" i="55"/>
  <c r="F126" i="55"/>
  <c r="G123" i="55"/>
  <c r="F123" i="55"/>
  <c r="H125" i="55"/>
  <c r="G118" i="55"/>
  <c r="F118" i="55"/>
  <c r="G114" i="55"/>
  <c r="F114" i="55"/>
  <c r="G104" i="55"/>
  <c r="F104" i="55"/>
  <c r="G98" i="55"/>
  <c r="F98" i="55"/>
  <c r="H99" i="55"/>
  <c r="G93" i="55"/>
  <c r="F93" i="55"/>
  <c r="H96" i="55"/>
  <c r="H111" i="55" l="1"/>
  <c r="H78" i="55"/>
  <c r="H75" i="55"/>
  <c r="H74" i="55"/>
  <c r="H69" i="55"/>
  <c r="H68" i="55"/>
  <c r="H63" i="55"/>
  <c r="H58" i="55"/>
  <c r="H57" i="55"/>
  <c r="H53" i="55"/>
  <c r="H49" i="55"/>
  <c r="G44" i="55"/>
  <c r="F44" i="55"/>
  <c r="H46" i="55"/>
  <c r="H37" i="55"/>
  <c r="G32" i="55"/>
  <c r="F32" i="55"/>
  <c r="H25" i="55"/>
  <c r="H24" i="55"/>
  <c r="H16" i="55"/>
  <c r="H15" i="55"/>
  <c r="L110" i="12"/>
  <c r="G114" i="12"/>
  <c r="F114" i="12"/>
  <c r="E113" i="12"/>
  <c r="E114" i="12"/>
  <c r="G116" i="12"/>
  <c r="F116" i="12"/>
  <c r="E116" i="12"/>
  <c r="G115" i="12"/>
  <c r="G113" i="12" s="1"/>
  <c r="F115" i="12"/>
  <c r="E115" i="12"/>
  <c r="G94" i="12"/>
  <c r="F94" i="12"/>
  <c r="H96" i="12"/>
  <c r="G88" i="12"/>
  <c r="G93" i="12" s="1"/>
  <c r="G100" i="12" s="1"/>
  <c r="F88" i="12"/>
  <c r="F93" i="12" s="1"/>
  <c r="F113" i="12" s="1"/>
  <c r="E88" i="12"/>
  <c r="H92" i="12"/>
  <c r="H91" i="12"/>
  <c r="H42" i="12"/>
  <c r="H41" i="12"/>
  <c r="H40" i="12"/>
  <c r="H39" i="12"/>
  <c r="G37" i="12"/>
  <c r="G43" i="12" s="1"/>
  <c r="F37" i="12"/>
  <c r="F43" i="12" s="1"/>
  <c r="H28" i="12"/>
  <c r="H24" i="12"/>
  <c r="H23" i="12"/>
  <c r="G13" i="12"/>
  <c r="F13" i="12"/>
  <c r="E13" i="12"/>
  <c r="H16" i="12"/>
  <c r="F100" i="12" l="1"/>
  <c r="G600" i="13"/>
  <c r="F600" i="13"/>
  <c r="K593" i="13" s="1"/>
  <c r="J576" i="13"/>
  <c r="L574" i="13"/>
  <c r="K574" i="13"/>
  <c r="J573" i="13"/>
  <c r="L324" i="13"/>
  <c r="K324" i="13"/>
  <c r="J324" i="13"/>
  <c r="L323" i="13"/>
  <c r="K323" i="13"/>
  <c r="J323" i="13"/>
  <c r="G570" i="13"/>
  <c r="F570" i="13"/>
  <c r="E521" i="13"/>
  <c r="G505" i="13"/>
  <c r="G508" i="13"/>
  <c r="F508" i="13"/>
  <c r="F505" i="13"/>
  <c r="E505" i="13"/>
  <c r="H510" i="13"/>
  <c r="H509" i="13"/>
  <c r="G459" i="13"/>
  <c r="G462" i="13" s="1"/>
  <c r="G464" i="13" s="1"/>
  <c r="F459" i="13"/>
  <c r="F462" i="13" s="1"/>
  <c r="F464" i="13" s="1"/>
  <c r="E429" i="13"/>
  <c r="E396" i="13"/>
  <c r="G372" i="13"/>
  <c r="F372" i="13"/>
  <c r="E372" i="13"/>
  <c r="H371" i="13"/>
  <c r="H370" i="13"/>
  <c r="H372" i="13" s="1"/>
  <c r="H368" i="13"/>
  <c r="H367" i="13"/>
  <c r="G366" i="13"/>
  <c r="F366" i="13"/>
  <c r="H295" i="13"/>
  <c r="H294" i="13"/>
  <c r="G293" i="13"/>
  <c r="F293" i="13"/>
  <c r="G277" i="13"/>
  <c r="G280" i="13" s="1"/>
  <c r="F277" i="13"/>
  <c r="F280" i="13" s="1"/>
  <c r="E277" i="13"/>
  <c r="E280" i="13" s="1"/>
  <c r="H275" i="13"/>
  <c r="H274" i="13"/>
  <c r="G261" i="13"/>
  <c r="F261" i="13"/>
  <c r="H262" i="13"/>
  <c r="H570" i="13" l="1"/>
  <c r="F511" i="13"/>
  <c r="G511" i="13"/>
  <c r="H508" i="13"/>
  <c r="H366" i="13"/>
  <c r="H293" i="13"/>
  <c r="F241" i="13"/>
  <c r="F211" i="13"/>
  <c r="H155" i="13"/>
  <c r="G154" i="13"/>
  <c r="F154" i="13"/>
  <c r="F156" i="13" s="1"/>
  <c r="E154" i="13"/>
  <c r="E156" i="13" s="1"/>
  <c r="G109" i="13"/>
  <c r="F109" i="13"/>
  <c r="E109" i="13"/>
  <c r="G105" i="13"/>
  <c r="F105" i="13"/>
  <c r="H107" i="13"/>
  <c r="H106" i="13"/>
  <c r="G594" i="13"/>
  <c r="F594" i="13"/>
  <c r="G76" i="13"/>
  <c r="F76" i="13"/>
  <c r="H61" i="13"/>
  <c r="H60" i="13"/>
  <c r="G41" i="13"/>
  <c r="F41" i="13"/>
  <c r="E41" i="13"/>
  <c r="G513" i="13" l="1"/>
  <c r="L573" i="13"/>
  <c r="F513" i="13"/>
  <c r="K573" i="13"/>
  <c r="H154" i="13"/>
  <c r="H156" i="13" s="1"/>
  <c r="G156" i="13"/>
  <c r="H105" i="13"/>
  <c r="G30" i="13"/>
  <c r="F30" i="13"/>
  <c r="H32" i="13"/>
  <c r="G16" i="13"/>
  <c r="F16" i="13"/>
  <c r="E16" i="13"/>
  <c r="H13" i="13"/>
  <c r="H12" i="13"/>
  <c r="G21" i="51"/>
  <c r="F21" i="51"/>
  <c r="G16" i="51"/>
  <c r="F16" i="51"/>
  <c r="E16" i="51"/>
  <c r="E140" i="20"/>
  <c r="D140" i="20"/>
  <c r="E139" i="20"/>
  <c r="D139" i="20"/>
  <c r="E138" i="20"/>
  <c r="D138" i="20"/>
  <c r="C140" i="20"/>
  <c r="C139" i="20"/>
  <c r="C138" i="20"/>
  <c r="E137" i="20"/>
  <c r="D137" i="20"/>
  <c r="C137" i="20"/>
  <c r="G50" i="190"/>
  <c r="F50" i="190"/>
  <c r="E50" i="190"/>
  <c r="G44" i="190"/>
  <c r="H44" i="190" s="1"/>
  <c r="F44" i="190"/>
  <c r="F42" i="190" s="1"/>
  <c r="E44" i="190"/>
  <c r="E42" i="190" s="1"/>
  <c r="G45" i="190"/>
  <c r="F45" i="190"/>
  <c r="E45" i="190"/>
  <c r="F38" i="190"/>
  <c r="E38" i="190"/>
  <c r="H32" i="190"/>
  <c r="H31" i="190"/>
  <c r="G25" i="190"/>
  <c r="G38" i="190" s="1"/>
  <c r="F25" i="190"/>
  <c r="H37" i="190"/>
  <c r="H36" i="190"/>
  <c r="H34" i="190"/>
  <c r="H33" i="190"/>
  <c r="H29" i="190"/>
  <c r="H28" i="190"/>
  <c r="H26" i="190"/>
  <c r="G21" i="190"/>
  <c r="F21" i="190"/>
  <c r="H24" i="190"/>
  <c r="H23" i="190"/>
  <c r="H22" i="190"/>
  <c r="H20" i="190"/>
  <c r="H19" i="190"/>
  <c r="H18" i="190"/>
  <c r="H17" i="190"/>
  <c r="H16" i="190"/>
  <c r="H14" i="190"/>
  <c r="H13" i="190"/>
  <c r="H12" i="190"/>
  <c r="H11" i="190"/>
  <c r="H10" i="190"/>
  <c r="H35" i="190"/>
  <c r="H30" i="190"/>
  <c r="E136" i="20" l="1"/>
  <c r="D136" i="20"/>
  <c r="C136" i="20"/>
  <c r="F137" i="20"/>
  <c r="H50" i="190"/>
  <c r="H38" i="190"/>
  <c r="G42" i="190"/>
  <c r="H42" i="190" s="1"/>
  <c r="H25" i="190"/>
  <c r="H21" i="190"/>
  <c r="G106" i="24"/>
  <c r="G121" i="24" s="1"/>
  <c r="F75" i="24"/>
  <c r="F121" i="24"/>
  <c r="M118" i="24"/>
  <c r="L118" i="24"/>
  <c r="K118" i="24"/>
  <c r="K121" i="24" s="1"/>
  <c r="H110" i="24"/>
  <c r="H109" i="24"/>
  <c r="F87" i="24"/>
  <c r="M120" i="24"/>
  <c r="L120" i="24"/>
  <c r="K120" i="24"/>
  <c r="G118" i="24"/>
  <c r="F118" i="24"/>
  <c r="F115" i="24"/>
  <c r="G111" i="24"/>
  <c r="F111" i="24"/>
  <c r="E111" i="24"/>
  <c r="H114" i="24"/>
  <c r="H112" i="24"/>
  <c r="H107" i="24"/>
  <c r="F106" i="24"/>
  <c r="E106" i="24"/>
  <c r="G97" i="24"/>
  <c r="F97" i="24"/>
  <c r="E97" i="24"/>
  <c r="G87" i="24"/>
  <c r="H90" i="24"/>
  <c r="H88" i="24"/>
  <c r="G83" i="24"/>
  <c r="F83" i="24"/>
  <c r="E83" i="24"/>
  <c r="G75" i="24"/>
  <c r="E75" i="24"/>
  <c r="E121" i="24" s="1"/>
  <c r="L53" i="24"/>
  <c r="N53" i="24"/>
  <c r="M53" i="24"/>
  <c r="N52" i="24"/>
  <c r="M52" i="24"/>
  <c r="L121" i="24" s="1"/>
  <c r="H46" i="24"/>
  <c r="H45" i="24"/>
  <c r="H44" i="24"/>
  <c r="H43" i="24"/>
  <c r="G40" i="24"/>
  <c r="F40" i="24"/>
  <c r="E40" i="24"/>
  <c r="H42" i="24"/>
  <c r="H29" i="24"/>
  <c r="H28" i="24"/>
  <c r="H25" i="24"/>
  <c r="H24" i="24"/>
  <c r="H23" i="24"/>
  <c r="H22" i="24"/>
  <c r="H16" i="24"/>
  <c r="H15" i="24"/>
  <c r="H14" i="24"/>
  <c r="H13" i="24"/>
  <c r="G11" i="24"/>
  <c r="F11" i="24"/>
  <c r="G11" i="23"/>
  <c r="G115" i="8"/>
  <c r="F115" i="8"/>
  <c r="F116" i="8"/>
  <c r="G89" i="8"/>
  <c r="F89" i="8"/>
  <c r="E89" i="8"/>
  <c r="J67" i="8"/>
  <c r="J89" i="8"/>
  <c r="G109" i="8"/>
  <c r="F109" i="8"/>
  <c r="L89" i="8"/>
  <c r="K89" i="8"/>
  <c r="H86" i="8"/>
  <c r="H83" i="8"/>
  <c r="H82" i="8"/>
  <c r="H81" i="8"/>
  <c r="H68" i="8"/>
  <c r="H67" i="8"/>
  <c r="H63" i="8"/>
  <c r="H62" i="8"/>
  <c r="H57" i="8"/>
  <c r="H56" i="8"/>
  <c r="H54" i="8"/>
  <c r="H50" i="8"/>
  <c r="H49" i="8"/>
  <c r="G24" i="8"/>
  <c r="L67" i="8" s="1"/>
  <c r="F24" i="8"/>
  <c r="K67" i="8" s="1"/>
  <c r="H26" i="8"/>
  <c r="F136" i="20" l="1"/>
  <c r="H40" i="24"/>
  <c r="H21" i="8"/>
  <c r="H20" i="8"/>
  <c r="H15" i="8"/>
  <c r="G83" i="9"/>
  <c r="F83" i="9"/>
  <c r="E83" i="9"/>
  <c r="H60" i="9"/>
  <c r="G59" i="9"/>
  <c r="F59" i="9"/>
  <c r="E59" i="9"/>
  <c r="G47" i="9"/>
  <c r="F47" i="9"/>
  <c r="E47" i="9"/>
  <c r="H49" i="9"/>
  <c r="H44" i="9"/>
  <c r="H43" i="9"/>
  <c r="H42" i="9"/>
  <c r="H41" i="9"/>
  <c r="H40" i="9"/>
  <c r="H39" i="9"/>
  <c r="G36" i="9"/>
  <c r="F36" i="9"/>
  <c r="F66" i="9" s="1"/>
  <c r="H37" i="9"/>
  <c r="G66" i="9" l="1"/>
  <c r="E66" i="9"/>
  <c r="H59" i="9"/>
  <c r="H36" i="9"/>
  <c r="L38" i="10"/>
  <c r="G39" i="10"/>
  <c r="E39" i="10"/>
  <c r="F39" i="10"/>
  <c r="G35" i="10"/>
  <c r="F35" i="10"/>
  <c r="F31" i="11" l="1"/>
  <c r="F40" i="5"/>
  <c r="F36" i="5"/>
  <c r="G36" i="5"/>
  <c r="F31" i="5"/>
  <c r="G15" i="5"/>
  <c r="F15" i="5"/>
  <c r="G12" i="5"/>
  <c r="F12" i="5"/>
  <c r="G126" i="54"/>
  <c r="F126" i="54"/>
  <c r="G141" i="54"/>
  <c r="E21" i="20" s="1"/>
  <c r="F141" i="54"/>
  <c r="G129" i="54" l="1"/>
  <c r="F129" i="54"/>
  <c r="E129" i="54"/>
  <c r="G97" i="54"/>
  <c r="F97" i="54"/>
  <c r="G94" i="54"/>
  <c r="F94" i="54"/>
  <c r="E94" i="54"/>
  <c r="H96" i="54"/>
  <c r="H95" i="54"/>
  <c r="G88" i="54"/>
  <c r="F88" i="54"/>
  <c r="G77" i="54"/>
  <c r="F77" i="54"/>
  <c r="G64" i="54"/>
  <c r="H66" i="54"/>
  <c r="H65" i="54"/>
  <c r="G57" i="54" l="1"/>
  <c r="F57" i="54"/>
  <c r="G53" i="54"/>
  <c r="F53" i="54"/>
  <c r="G45" i="54"/>
  <c r="F45" i="54"/>
  <c r="G42" i="54"/>
  <c r="L74" i="54" s="1"/>
  <c r="F42" i="54"/>
  <c r="K74" i="54" l="1"/>
  <c r="H41" i="54"/>
  <c r="H40" i="54"/>
  <c r="H39" i="54"/>
  <c r="H38" i="54"/>
  <c r="H37" i="54"/>
  <c r="H36" i="54"/>
  <c r="H35" i="54"/>
  <c r="H34" i="54"/>
  <c r="H33" i="54"/>
  <c r="H31" i="54"/>
  <c r="H30" i="54"/>
  <c r="H29" i="54"/>
  <c r="H28" i="54"/>
  <c r="H27" i="54"/>
  <c r="H26" i="54"/>
  <c r="H25" i="54"/>
  <c r="H24" i="54"/>
  <c r="H23" i="54"/>
  <c r="H22" i="54"/>
  <c r="H21" i="54"/>
  <c r="H20" i="54"/>
  <c r="H19" i="54"/>
  <c r="H18" i="54"/>
  <c r="H17" i="54"/>
  <c r="H16" i="54"/>
  <c r="H15" i="54"/>
  <c r="H14" i="54"/>
  <c r="H12" i="54"/>
  <c r="H11" i="54"/>
  <c r="H10" i="54"/>
  <c r="J67" i="162"/>
  <c r="G169" i="162"/>
  <c r="F169" i="162"/>
  <c r="G162" i="162"/>
  <c r="F162" i="162"/>
  <c r="H159" i="162"/>
  <c r="H161" i="162"/>
  <c r="H156" i="162"/>
  <c r="H155" i="162"/>
  <c r="L146" i="162"/>
  <c r="K146" i="162"/>
  <c r="J146" i="162"/>
  <c r="J138" i="162"/>
  <c r="H135" i="162"/>
  <c r="H131" i="162"/>
  <c r="H130" i="162"/>
  <c r="G122" i="162"/>
  <c r="F122" i="162"/>
  <c r="H126" i="162"/>
  <c r="G118" i="162"/>
  <c r="F118" i="162"/>
  <c r="H117" i="162"/>
  <c r="H116" i="162"/>
  <c r="H114" i="162"/>
  <c r="G113" i="162"/>
  <c r="F113" i="162"/>
  <c r="H112" i="162"/>
  <c r="H111" i="162"/>
  <c r="H109" i="162"/>
  <c r="G97" i="162" l="1"/>
  <c r="H96" i="162"/>
  <c r="H95" i="162"/>
  <c r="H93" i="162"/>
  <c r="H92" i="162"/>
  <c r="H91" i="162"/>
  <c r="G88" i="162"/>
  <c r="F88" i="162"/>
  <c r="G54" i="162"/>
  <c r="F54" i="162"/>
  <c r="H56" i="162"/>
  <c r="H43" i="162"/>
  <c r="H42" i="162"/>
  <c r="F37" i="162"/>
  <c r="G37" i="162"/>
  <c r="H38" i="162"/>
  <c r="G18" i="162"/>
  <c r="F18" i="162"/>
  <c r="E18" i="162"/>
  <c r="H21" i="162"/>
  <c r="G81" i="52"/>
  <c r="G71" i="52"/>
  <c r="F71" i="52"/>
  <c r="H43" i="52"/>
  <c r="F446" i="18" l="1"/>
  <c r="I445" i="18"/>
  <c r="IV445" i="18" s="1"/>
  <c r="H444" i="18"/>
  <c r="H446" i="18" s="1"/>
  <c r="G444" i="18"/>
  <c r="G446" i="18" s="1"/>
  <c r="F439" i="18"/>
  <c r="I438" i="18"/>
  <c r="IV438" i="18" s="1"/>
  <c r="H437" i="18"/>
  <c r="H439" i="18" s="1"/>
  <c r="G437" i="18"/>
  <c r="G439" i="18" s="1"/>
  <c r="F432" i="18"/>
  <c r="I431" i="18"/>
  <c r="IV431" i="18" s="1"/>
  <c r="H430" i="18"/>
  <c r="H432" i="18" s="1"/>
  <c r="G430" i="18"/>
  <c r="G432" i="18" s="1"/>
  <c r="F416" i="18"/>
  <c r="IV415" i="18"/>
  <c r="H413" i="18"/>
  <c r="G413" i="18"/>
  <c r="G416" i="18" s="1"/>
  <c r="F408" i="18"/>
  <c r="I407" i="18"/>
  <c r="IV407" i="18" s="1"/>
  <c r="H406" i="18"/>
  <c r="H408" i="18" s="1"/>
  <c r="G406" i="18"/>
  <c r="G408" i="18" s="1"/>
  <c r="F401" i="18"/>
  <c r="I400" i="18"/>
  <c r="IV400" i="18" s="1"/>
  <c r="H398" i="18"/>
  <c r="H401" i="18" s="1"/>
  <c r="G398" i="18"/>
  <c r="G401" i="18" s="1"/>
  <c r="F393" i="18"/>
  <c r="I392" i="18"/>
  <c r="IV392" i="18" s="1"/>
  <c r="H390" i="18"/>
  <c r="G390" i="18"/>
  <c r="I389" i="18"/>
  <c r="IV389" i="18" s="1"/>
  <c r="H387" i="18"/>
  <c r="G387" i="18"/>
  <c r="F382" i="18"/>
  <c r="I381" i="18"/>
  <c r="IV381" i="18" s="1"/>
  <c r="H380" i="18"/>
  <c r="G380" i="18"/>
  <c r="I379" i="18"/>
  <c r="IV379" i="18" s="1"/>
  <c r="H378" i="18"/>
  <c r="G378" i="18"/>
  <c r="I377" i="18"/>
  <c r="IV377" i="18" s="1"/>
  <c r="H376" i="18"/>
  <c r="G376" i="18"/>
  <c r="F370" i="18"/>
  <c r="I369" i="18"/>
  <c r="H368" i="18"/>
  <c r="G368" i="18"/>
  <c r="G370" i="18" s="1"/>
  <c r="F362" i="18"/>
  <c r="I361" i="18"/>
  <c r="IV361" i="18" s="1"/>
  <c r="H360" i="18"/>
  <c r="H362" i="18" s="1"/>
  <c r="G360" i="18"/>
  <c r="G362" i="18" s="1"/>
  <c r="F354" i="18"/>
  <c r="I353" i="18"/>
  <c r="H352" i="18"/>
  <c r="H354" i="18" s="1"/>
  <c r="G352" i="18"/>
  <c r="G354" i="18" s="1"/>
  <c r="F346" i="18"/>
  <c r="I345" i="18"/>
  <c r="H344" i="18"/>
  <c r="H346" i="18" s="1"/>
  <c r="G344" i="18"/>
  <c r="G346" i="18" s="1"/>
  <c r="F338" i="18"/>
  <c r="I337" i="18"/>
  <c r="H336" i="18"/>
  <c r="I336" i="18" s="1"/>
  <c r="I335" i="18"/>
  <c r="IV335" i="18" s="1"/>
  <c r="H334" i="18"/>
  <c r="G334" i="18"/>
  <c r="G338" i="18" s="1"/>
  <c r="I332" i="18"/>
  <c r="F328" i="18"/>
  <c r="H326" i="18"/>
  <c r="G326" i="18"/>
  <c r="I325" i="18"/>
  <c r="IV325" i="18" s="1"/>
  <c r="H324" i="18"/>
  <c r="G324" i="18"/>
  <c r="H317" i="18"/>
  <c r="G317" i="18"/>
  <c r="F309" i="18"/>
  <c r="I308" i="18"/>
  <c r="I307" i="18"/>
  <c r="I306" i="18"/>
  <c r="I305" i="18"/>
  <c r="I304" i="18"/>
  <c r="H303" i="18"/>
  <c r="G303" i="18"/>
  <c r="I302" i="18"/>
  <c r="IV302" i="18" s="1"/>
  <c r="H301" i="18"/>
  <c r="G301" i="18"/>
  <c r="F296" i="18"/>
  <c r="I295" i="18"/>
  <c r="IV295" i="18" s="1"/>
  <c r="I294" i="18"/>
  <c r="H293" i="18"/>
  <c r="H296" i="18" s="1"/>
  <c r="G293" i="18"/>
  <c r="G296" i="18" s="1"/>
  <c r="F287" i="18"/>
  <c r="I286" i="18"/>
  <c r="H285" i="18"/>
  <c r="H287" i="18" s="1"/>
  <c r="L439" i="18" s="1"/>
  <c r="G285" i="18"/>
  <c r="G287" i="18" s="1"/>
  <c r="F279" i="18"/>
  <c r="I278" i="18"/>
  <c r="H277" i="18"/>
  <c r="H279" i="18" s="1"/>
  <c r="G277" i="18"/>
  <c r="G279" i="18" s="1"/>
  <c r="F271" i="18"/>
  <c r="I270" i="18"/>
  <c r="H267" i="18"/>
  <c r="H271" i="18" s="1"/>
  <c r="G267" i="18"/>
  <c r="G271" i="18" s="1"/>
  <c r="F261" i="18"/>
  <c r="I258" i="18"/>
  <c r="H257" i="18"/>
  <c r="G257" i="18"/>
  <c r="I256" i="18"/>
  <c r="H255" i="18"/>
  <c r="G255" i="18"/>
  <c r="F249" i="18"/>
  <c r="I248" i="18"/>
  <c r="H247" i="18"/>
  <c r="H249" i="18" s="1"/>
  <c r="G247" i="18"/>
  <c r="G249" i="18" s="1"/>
  <c r="I246" i="18"/>
  <c r="I245" i="18"/>
  <c r="I241" i="18"/>
  <c r="I238" i="18"/>
  <c r="F231" i="18"/>
  <c r="I230" i="18"/>
  <c r="I229" i="18"/>
  <c r="I228" i="18"/>
  <c r="I227" i="18"/>
  <c r="I226" i="18"/>
  <c r="I225" i="18"/>
  <c r="I223" i="18"/>
  <c r="I221" i="18"/>
  <c r="I220" i="18"/>
  <c r="H219" i="18"/>
  <c r="G219" i="18"/>
  <c r="G231" i="18" s="1"/>
  <c r="F213" i="18"/>
  <c r="I212" i="18"/>
  <c r="H211" i="18"/>
  <c r="G211" i="18"/>
  <c r="I210" i="18"/>
  <c r="H209" i="18"/>
  <c r="G209" i="18"/>
  <c r="I208" i="18"/>
  <c r="H207" i="18"/>
  <c r="G207" i="18"/>
  <c r="I206" i="18"/>
  <c r="I205" i="18"/>
  <c r="H204" i="18"/>
  <c r="G204" i="18"/>
  <c r="I203" i="18"/>
  <c r="H202" i="18"/>
  <c r="G202" i="18"/>
  <c r="F195" i="18"/>
  <c r="I194" i="18"/>
  <c r="H193" i="18"/>
  <c r="G193" i="18"/>
  <c r="I192" i="18"/>
  <c r="I191" i="18"/>
  <c r="H190" i="18"/>
  <c r="G190" i="18"/>
  <c r="G195" i="18" s="1"/>
  <c r="F184" i="18"/>
  <c r="H182" i="18"/>
  <c r="G182" i="18"/>
  <c r="I181" i="18"/>
  <c r="H180" i="18"/>
  <c r="G180" i="18"/>
  <c r="I179" i="18"/>
  <c r="H178" i="18"/>
  <c r="G178" i="18"/>
  <c r="I177" i="18"/>
  <c r="H176" i="18"/>
  <c r="G176" i="18"/>
  <c r="I175" i="18"/>
  <c r="H174" i="18"/>
  <c r="G174" i="18"/>
  <c r="F168" i="18"/>
  <c r="I167" i="18"/>
  <c r="H166" i="18"/>
  <c r="G166" i="18"/>
  <c r="I165" i="18"/>
  <c r="H164" i="18"/>
  <c r="G164" i="18"/>
  <c r="I163" i="18"/>
  <c r="I162" i="18"/>
  <c r="H161" i="18"/>
  <c r="G161" i="18"/>
  <c r="I160" i="18"/>
  <c r="I159" i="18"/>
  <c r="H158" i="18"/>
  <c r="G158" i="18"/>
  <c r="I157" i="18"/>
  <c r="H156" i="18"/>
  <c r="G156" i="18"/>
  <c r="F150" i="18"/>
  <c r="I149" i="18"/>
  <c r="H148" i="18"/>
  <c r="G148" i="18"/>
  <c r="I147" i="18"/>
  <c r="H146" i="18"/>
  <c r="G146" i="18"/>
  <c r="I145" i="18"/>
  <c r="I144" i="18"/>
  <c r="H143" i="18"/>
  <c r="G143" i="18"/>
  <c r="I141" i="18"/>
  <c r="H140" i="18"/>
  <c r="G140" i="18"/>
  <c r="I139" i="18"/>
  <c r="I138" i="18"/>
  <c r="H137" i="18"/>
  <c r="G137" i="18"/>
  <c r="F130" i="18"/>
  <c r="I128" i="18"/>
  <c r="I127" i="18"/>
  <c r="I125" i="18"/>
  <c r="I123" i="18"/>
  <c r="I122" i="18"/>
  <c r="H121" i="18"/>
  <c r="H130" i="18" s="1"/>
  <c r="G121" i="18"/>
  <c r="G130" i="18" s="1"/>
  <c r="F115" i="18"/>
  <c r="I114" i="18"/>
  <c r="I113" i="18"/>
  <c r="I112" i="18"/>
  <c r="I111" i="18"/>
  <c r="G115" i="18"/>
  <c r="I102" i="18"/>
  <c r="H101" i="18"/>
  <c r="G101" i="18"/>
  <c r="I100" i="18"/>
  <c r="I99" i="18"/>
  <c r="I98" i="18"/>
  <c r="H97" i="18"/>
  <c r="G97" i="18"/>
  <c r="I96" i="18"/>
  <c r="I95" i="18"/>
  <c r="H94" i="18"/>
  <c r="G94" i="18"/>
  <c r="I93" i="18"/>
  <c r="I92" i="18"/>
  <c r="H91" i="18"/>
  <c r="G91" i="18"/>
  <c r="F85" i="18"/>
  <c r="I84" i="18"/>
  <c r="I83" i="18"/>
  <c r="I81" i="18"/>
  <c r="H85" i="18"/>
  <c r="F74" i="18"/>
  <c r="I73" i="18"/>
  <c r="I72" i="18"/>
  <c r="I71" i="18"/>
  <c r="H70" i="18"/>
  <c r="H74" i="18" s="1"/>
  <c r="G70" i="18"/>
  <c r="G74" i="18" s="1"/>
  <c r="F66" i="18"/>
  <c r="I65" i="18"/>
  <c r="I64" i="18"/>
  <c r="I62" i="18"/>
  <c r="H66" i="18"/>
  <c r="G66" i="18"/>
  <c r="I54" i="18"/>
  <c r="I53" i="18"/>
  <c r="I52" i="18"/>
  <c r="H51" i="18"/>
  <c r="H55" i="18" s="1"/>
  <c r="G51" i="18"/>
  <c r="G55" i="18" s="1"/>
  <c r="F45" i="18"/>
  <c r="I44" i="18"/>
  <c r="H43" i="18"/>
  <c r="G43" i="18"/>
  <c r="I42" i="18"/>
  <c r="I41" i="18"/>
  <c r="H40" i="18"/>
  <c r="G40" i="18"/>
  <c r="G45" i="18" s="1"/>
  <c r="I33" i="18"/>
  <c r="H32" i="18"/>
  <c r="G32" i="18"/>
  <c r="I31" i="18"/>
  <c r="I30" i="18"/>
  <c r="H29" i="18"/>
  <c r="H34" i="18" s="1"/>
  <c r="G29" i="18"/>
  <c r="F23" i="18"/>
  <c r="I22" i="18"/>
  <c r="H21" i="18"/>
  <c r="G21" i="18"/>
  <c r="I20" i="18"/>
  <c r="I19" i="18"/>
  <c r="H18" i="18"/>
  <c r="H23" i="18" s="1"/>
  <c r="G18" i="18"/>
  <c r="G23" i="18" s="1"/>
  <c r="F12" i="18"/>
  <c r="I11" i="18"/>
  <c r="H10" i="18"/>
  <c r="H12" i="18" s="1"/>
  <c r="G10" i="18"/>
  <c r="G12" i="18" s="1"/>
  <c r="H2609" i="17"/>
  <c r="T2609" i="17" s="1"/>
  <c r="G2602" i="17"/>
  <c r="G2609" i="17" s="1"/>
  <c r="S2609" i="17" s="1"/>
  <c r="F2609" i="17"/>
  <c r="R2609" i="17" s="1"/>
  <c r="I2591" i="17"/>
  <c r="I2590" i="17"/>
  <c r="I2583" i="17"/>
  <c r="I2582" i="17"/>
  <c r="I2581" i="17"/>
  <c r="I2580" i="17"/>
  <c r="I2579" i="17"/>
  <c r="I2578" i="17"/>
  <c r="I2576" i="17"/>
  <c r="I2575" i="17"/>
  <c r="H2584" i="17"/>
  <c r="S2584" i="17"/>
  <c r="F2574" i="17"/>
  <c r="F2584" i="17" s="1"/>
  <c r="R2584" i="17" s="1"/>
  <c r="I2568" i="17"/>
  <c r="I2567" i="17"/>
  <c r="I2566" i="17"/>
  <c r="I2565" i="17"/>
  <c r="H2564" i="17"/>
  <c r="H2569" i="17" s="1"/>
  <c r="G2564" i="17"/>
  <c r="F2564" i="17"/>
  <c r="F2569" i="17" s="1"/>
  <c r="R2569" i="17" s="1"/>
  <c r="H2557" i="17"/>
  <c r="T2557" i="17" s="1"/>
  <c r="G2557" i="17"/>
  <c r="S2557" i="17" s="1"/>
  <c r="F2557" i="17"/>
  <c r="R2557" i="17" s="1"/>
  <c r="I2556" i="17"/>
  <c r="I2555" i="17"/>
  <c r="I2554" i="17"/>
  <c r="I2546" i="17"/>
  <c r="I2545" i="17"/>
  <c r="I2544" i="17"/>
  <c r="I2543" i="17"/>
  <c r="H2542" i="17"/>
  <c r="H2547" i="17" s="1"/>
  <c r="G2542" i="17"/>
  <c r="G2547" i="17" s="1"/>
  <c r="S2547" i="17" s="1"/>
  <c r="F2542" i="17"/>
  <c r="F2547" i="17" s="1"/>
  <c r="R2547" i="17" s="1"/>
  <c r="I2536" i="17"/>
  <c r="I2535" i="17"/>
  <c r="I2534" i="17"/>
  <c r="I2532" i="17"/>
  <c r="H2537" i="17"/>
  <c r="G2537" i="17"/>
  <c r="S2537" i="17" s="1"/>
  <c r="F2531" i="17"/>
  <c r="F2537" i="17" s="1"/>
  <c r="R2537" i="17" s="1"/>
  <c r="I2521" i="17"/>
  <c r="I2520" i="17"/>
  <c r="I2519" i="17"/>
  <c r="I2518" i="17"/>
  <c r="H2517" i="17"/>
  <c r="G2517" i="17"/>
  <c r="F2517" i="17"/>
  <c r="F2525" i="17" s="1"/>
  <c r="R2525" i="17" s="1"/>
  <c r="I2510" i="17"/>
  <c r="I2509" i="17"/>
  <c r="I2508" i="17"/>
  <c r="I2507" i="17"/>
  <c r="H2506" i="17"/>
  <c r="H2511" i="17" s="1"/>
  <c r="T2511" i="17" s="1"/>
  <c r="G2506" i="17"/>
  <c r="G2511" i="17" s="1"/>
  <c r="S2511" i="17" s="1"/>
  <c r="F2506" i="17"/>
  <c r="F2511" i="17" s="1"/>
  <c r="R2511" i="17" s="1"/>
  <c r="I2499" i="17"/>
  <c r="I2498" i="17"/>
  <c r="I2497" i="17"/>
  <c r="I2496" i="17"/>
  <c r="H2500" i="17"/>
  <c r="G2500" i="17"/>
  <c r="S2500" i="17" s="1"/>
  <c r="F2500" i="17"/>
  <c r="R2500" i="17" s="1"/>
  <c r="I2488" i="17"/>
  <c r="I2487" i="17"/>
  <c r="I2486" i="17"/>
  <c r="I2485" i="17"/>
  <c r="H2484" i="17"/>
  <c r="H2489" i="17" s="1"/>
  <c r="G2484" i="17"/>
  <c r="G2489" i="17" s="1"/>
  <c r="S2489" i="17" s="1"/>
  <c r="F2484" i="17"/>
  <c r="F2489" i="17" s="1"/>
  <c r="R2489" i="17" s="1"/>
  <c r="I2477" i="17"/>
  <c r="I2476" i="17"/>
  <c r="I2475" i="17"/>
  <c r="I2474" i="17"/>
  <c r="H2473" i="17"/>
  <c r="H2478" i="17" s="1"/>
  <c r="G2473" i="17"/>
  <c r="G2478" i="17" s="1"/>
  <c r="S2478" i="17" s="1"/>
  <c r="F2473" i="17"/>
  <c r="F2478" i="17" s="1"/>
  <c r="R2478" i="17" s="1"/>
  <c r="I2471" i="17"/>
  <c r="I2464" i="17"/>
  <c r="I2463" i="17"/>
  <c r="I2462" i="17"/>
  <c r="I2461" i="17"/>
  <c r="H2460" i="17"/>
  <c r="H2465" i="17" s="1"/>
  <c r="G2460" i="17"/>
  <c r="G2465" i="17" s="1"/>
  <c r="S2465" i="17" s="1"/>
  <c r="F2460" i="17"/>
  <c r="F2465" i="17" s="1"/>
  <c r="R2465" i="17" s="1"/>
  <c r="I2450" i="17"/>
  <c r="I2449" i="17"/>
  <c r="I2448" i="17"/>
  <c r="I2447" i="17"/>
  <c r="I2446" i="17"/>
  <c r="I2445" i="17"/>
  <c r="H2444" i="17"/>
  <c r="H2453" i="17" s="1"/>
  <c r="G2444" i="17"/>
  <c r="F2444" i="17"/>
  <c r="F2453" i="17" s="1"/>
  <c r="R2453" i="17" s="1"/>
  <c r="I2436" i="17"/>
  <c r="I2435" i="17"/>
  <c r="I2434" i="17"/>
  <c r="I2433" i="17"/>
  <c r="H2432" i="17"/>
  <c r="H2437" i="17" s="1"/>
  <c r="S2437" i="17"/>
  <c r="F2432" i="17"/>
  <c r="I2422" i="17"/>
  <c r="I2421" i="17"/>
  <c r="I2420" i="17"/>
  <c r="I2419" i="17"/>
  <c r="H2418" i="17"/>
  <c r="H2425" i="17" s="1"/>
  <c r="G2418" i="17"/>
  <c r="F2418" i="17"/>
  <c r="F2425" i="17" s="1"/>
  <c r="R2425" i="17" s="1"/>
  <c r="I2405" i="17"/>
  <c r="I2404" i="17"/>
  <c r="I2403" i="17"/>
  <c r="I2402" i="17"/>
  <c r="I2401" i="17"/>
  <c r="I2400" i="17"/>
  <c r="H2399" i="17"/>
  <c r="H2411" i="17" s="1"/>
  <c r="G2399" i="17"/>
  <c r="G2411" i="17" s="1"/>
  <c r="S2411" i="17" s="1"/>
  <c r="F2399" i="17"/>
  <c r="F2411" i="17" s="1"/>
  <c r="R2411" i="17" s="1"/>
  <c r="I2390" i="17"/>
  <c r="I2389" i="17"/>
  <c r="I2388" i="17"/>
  <c r="I2387" i="17"/>
  <c r="H2386" i="17"/>
  <c r="G2386" i="17"/>
  <c r="G2391" i="17" s="1"/>
  <c r="S2391" i="17" s="1"/>
  <c r="F2386" i="17"/>
  <c r="F2391" i="17" s="1"/>
  <c r="R2391" i="17" s="1"/>
  <c r="I2378" i="17"/>
  <c r="I2377" i="17"/>
  <c r="I2376" i="17"/>
  <c r="I2375" i="17"/>
  <c r="H2374" i="17"/>
  <c r="H2379" i="17" s="1"/>
  <c r="T2379" i="17" s="1"/>
  <c r="G2374" i="17"/>
  <c r="F2374" i="17"/>
  <c r="F2379" i="17" s="1"/>
  <c r="R2379" i="17" s="1"/>
  <c r="I2366" i="17"/>
  <c r="I2365" i="17"/>
  <c r="I2364" i="17"/>
  <c r="I2363" i="17"/>
  <c r="H2362" i="17"/>
  <c r="H2367" i="17" s="1"/>
  <c r="G2362" i="17"/>
  <c r="G2367" i="17" s="1"/>
  <c r="S2367" i="17" s="1"/>
  <c r="F2362" i="17"/>
  <c r="F2367" i="17" s="1"/>
  <c r="R2367" i="17" s="1"/>
  <c r="I2354" i="17"/>
  <c r="I2353" i="17"/>
  <c r="I2352" i="17"/>
  <c r="I2351" i="17"/>
  <c r="H2350" i="17"/>
  <c r="H2355" i="17" s="1"/>
  <c r="G2350" i="17"/>
  <c r="G2355" i="17" s="1"/>
  <c r="S2355" i="17" s="1"/>
  <c r="F2350" i="17"/>
  <c r="F2355" i="17" s="1"/>
  <c r="R2355" i="17" s="1"/>
  <c r="H2343" i="17"/>
  <c r="T2343" i="17" s="1"/>
  <c r="G2343" i="17"/>
  <c r="S2343" i="17" s="1"/>
  <c r="I2342" i="17"/>
  <c r="I2341" i="17"/>
  <c r="I2340" i="17"/>
  <c r="I2339" i="17"/>
  <c r="F2343" i="17"/>
  <c r="R2343" i="17" s="1"/>
  <c r="I2331" i="17"/>
  <c r="I2330" i="17"/>
  <c r="I2329" i="17"/>
  <c r="I2328" i="17"/>
  <c r="H2327" i="17"/>
  <c r="H2332" i="17" s="1"/>
  <c r="G2327" i="17"/>
  <c r="G2332" i="17" s="1"/>
  <c r="S2332" i="17" s="1"/>
  <c r="F2327" i="17"/>
  <c r="F2332" i="17" s="1"/>
  <c r="R2332" i="17" s="1"/>
  <c r="I2322" i="17"/>
  <c r="I2321" i="17"/>
  <c r="I2320" i="17"/>
  <c r="I2319" i="17"/>
  <c r="H2318" i="17"/>
  <c r="H2323" i="17" s="1"/>
  <c r="G2318" i="17"/>
  <c r="G2323" i="17" s="1"/>
  <c r="S2323" i="17" s="1"/>
  <c r="F2318" i="17"/>
  <c r="F2323" i="17" s="1"/>
  <c r="R2323" i="17" s="1"/>
  <c r="H2312" i="17"/>
  <c r="T2312" i="17" s="1"/>
  <c r="G2312" i="17"/>
  <c r="S2312" i="17" s="1"/>
  <c r="I2311" i="17"/>
  <c r="I2308" i="17"/>
  <c r="F2308" i="17"/>
  <c r="F2312" i="17" s="1"/>
  <c r="R2312" i="17" s="1"/>
  <c r="I2300" i="17"/>
  <c r="I2298" i="17"/>
  <c r="I2297" i="17"/>
  <c r="I2296" i="17"/>
  <c r="T2301" i="17"/>
  <c r="F2295" i="17"/>
  <c r="F2301" i="17" s="1"/>
  <c r="R2301" i="17" s="1"/>
  <c r="T2288" i="17"/>
  <c r="S2288" i="17"/>
  <c r="I2285" i="17"/>
  <c r="I2284" i="17"/>
  <c r="I2283" i="17"/>
  <c r="I2282" i="17"/>
  <c r="F2282" i="17"/>
  <c r="F2288" i="17" s="1"/>
  <c r="R2288" i="17" s="1"/>
  <c r="I2274" i="17"/>
  <c r="I2273" i="17"/>
  <c r="I2272" i="17"/>
  <c r="I2271" i="17"/>
  <c r="H2270" i="17"/>
  <c r="H2275" i="17" s="1"/>
  <c r="G2270" i="17"/>
  <c r="G2275" i="17" s="1"/>
  <c r="S2275" i="17" s="1"/>
  <c r="F2270" i="17"/>
  <c r="F2275" i="17" s="1"/>
  <c r="R2275" i="17" s="1"/>
  <c r="I2260" i="17"/>
  <c r="I2259" i="17"/>
  <c r="I2258" i="17"/>
  <c r="I2257" i="17"/>
  <c r="H2256" i="17"/>
  <c r="H2263" i="17" s="1"/>
  <c r="G2256" i="17"/>
  <c r="F2256" i="17"/>
  <c r="F2263" i="17" s="1"/>
  <c r="R2263" i="17" s="1"/>
  <c r="H2252" i="17"/>
  <c r="T2252" i="17" s="1"/>
  <c r="G2252" i="17"/>
  <c r="S2252" i="17" s="1"/>
  <c r="I2251" i="17"/>
  <c r="I2250" i="17"/>
  <c r="I2249" i="17"/>
  <c r="I2248" i="17"/>
  <c r="F2252" i="17"/>
  <c r="R2252" i="17" s="1"/>
  <c r="I2242" i="17"/>
  <c r="I2241" i="17"/>
  <c r="I2240" i="17"/>
  <c r="H2243" i="17"/>
  <c r="G2243" i="17"/>
  <c r="S2243" i="17" s="1"/>
  <c r="F2243" i="17"/>
  <c r="R2243" i="17" s="1"/>
  <c r="I2232" i="17"/>
  <c r="I2231" i="17"/>
  <c r="I2230" i="17"/>
  <c r="I2229" i="17"/>
  <c r="H2228" i="17"/>
  <c r="H2233" i="17" s="1"/>
  <c r="G2228" i="17"/>
  <c r="G2233" i="17" s="1"/>
  <c r="S2233" i="17" s="1"/>
  <c r="F2228" i="17"/>
  <c r="F2233" i="17" s="1"/>
  <c r="R2233" i="17" s="1"/>
  <c r="I2218" i="17"/>
  <c r="I2217" i="17"/>
  <c r="I2216" i="17"/>
  <c r="H2219" i="17"/>
  <c r="T2219" i="17" s="1"/>
  <c r="F2219" i="17"/>
  <c r="R2219" i="17" s="1"/>
  <c r="I2208" i="17"/>
  <c r="I2207" i="17"/>
  <c r="I2206" i="17"/>
  <c r="H2202" i="17"/>
  <c r="G2202" i="17"/>
  <c r="F2202" i="17"/>
  <c r="I2201" i="17"/>
  <c r="I2200" i="17"/>
  <c r="I2199" i="17"/>
  <c r="I2198" i="17"/>
  <c r="H2197" i="17"/>
  <c r="G2197" i="17"/>
  <c r="F2197" i="17"/>
  <c r="I2196" i="17"/>
  <c r="I2195" i="17"/>
  <c r="I2194" i="17"/>
  <c r="I2193" i="17"/>
  <c r="I2192" i="17"/>
  <c r="I2191" i="17"/>
  <c r="H2186" i="17"/>
  <c r="G2186" i="17"/>
  <c r="I2180" i="17"/>
  <c r="I2179" i="17"/>
  <c r="I2178" i="17"/>
  <c r="I2177" i="17"/>
  <c r="I2175" i="17"/>
  <c r="I2169" i="17"/>
  <c r="H2168" i="17"/>
  <c r="G2168" i="17"/>
  <c r="F2168" i="17"/>
  <c r="H2164" i="17"/>
  <c r="G2164" i="17"/>
  <c r="I2161" i="17"/>
  <c r="H2160" i="17"/>
  <c r="G2160" i="17"/>
  <c r="F2160" i="17"/>
  <c r="I2158" i="17"/>
  <c r="I2151" i="17"/>
  <c r="I2150" i="17"/>
  <c r="I2149" i="17"/>
  <c r="I2148" i="17"/>
  <c r="I2147" i="17"/>
  <c r="I2146" i="17"/>
  <c r="I2145" i="17"/>
  <c r="I2144" i="17"/>
  <c r="I2143" i="17"/>
  <c r="I2142" i="17"/>
  <c r="H2141" i="17"/>
  <c r="G2141" i="17"/>
  <c r="F2141" i="17"/>
  <c r="F2152" i="17" s="1"/>
  <c r="R2152" i="17" s="1"/>
  <c r="I2140" i="17"/>
  <c r="I2139" i="17"/>
  <c r="I2138" i="17"/>
  <c r="H2137" i="17"/>
  <c r="G2137" i="17"/>
  <c r="I2136" i="17"/>
  <c r="I2135" i="17"/>
  <c r="I2134" i="17"/>
  <c r="I2124" i="17"/>
  <c r="I2123" i="17"/>
  <c r="I2122" i="17"/>
  <c r="I2121" i="17"/>
  <c r="I2120" i="17"/>
  <c r="I2119" i="17"/>
  <c r="I2118" i="17"/>
  <c r="I2117" i="17"/>
  <c r="I2116" i="17"/>
  <c r="I2112" i="17"/>
  <c r="I2111" i="17"/>
  <c r="I2110" i="17"/>
  <c r="F2109" i="17"/>
  <c r="I2108" i="17"/>
  <c r="I2107" i="17"/>
  <c r="I2105" i="17"/>
  <c r="I2104" i="17"/>
  <c r="I2103" i="17"/>
  <c r="F2102" i="17"/>
  <c r="I2101" i="17"/>
  <c r="I2100" i="17"/>
  <c r="I2099" i="17"/>
  <c r="H2098" i="17"/>
  <c r="G2098" i="17"/>
  <c r="I2095" i="17"/>
  <c r="I2094" i="17"/>
  <c r="H2093" i="17"/>
  <c r="G2093" i="17"/>
  <c r="F2093" i="17"/>
  <c r="I2086" i="17"/>
  <c r="I2085" i="17"/>
  <c r="I2084" i="17"/>
  <c r="H2083" i="17"/>
  <c r="G2083" i="17"/>
  <c r="I2082" i="17"/>
  <c r="I2081" i="17"/>
  <c r="I2080" i="17"/>
  <c r="H2079" i="17"/>
  <c r="G2079" i="17"/>
  <c r="F2079" i="17"/>
  <c r="F2087" i="17" s="1"/>
  <c r="R2087" i="17" s="1"/>
  <c r="U2073" i="17"/>
  <c r="V2073" i="17"/>
  <c r="I2066" i="17"/>
  <c r="I2065" i="17"/>
  <c r="I2064" i="17"/>
  <c r="I2063" i="17"/>
  <c r="H2062" i="17"/>
  <c r="G2062" i="17"/>
  <c r="F2062" i="17"/>
  <c r="I2061" i="17"/>
  <c r="I2060" i="17"/>
  <c r="I2059" i="17"/>
  <c r="I2058" i="17"/>
  <c r="I2057" i="17"/>
  <c r="H2056" i="17"/>
  <c r="G2056" i="17"/>
  <c r="I2054" i="17"/>
  <c r="I2053" i="17"/>
  <c r="H2052" i="17"/>
  <c r="G2052" i="17"/>
  <c r="F2052" i="17"/>
  <c r="I2051" i="17"/>
  <c r="I2050" i="17"/>
  <c r="I2049" i="17"/>
  <c r="I2047" i="17"/>
  <c r="I2039" i="17"/>
  <c r="I2038" i="17"/>
  <c r="I2037" i="17"/>
  <c r="I2036" i="17"/>
  <c r="I2035" i="17"/>
  <c r="I2034" i="17"/>
  <c r="H2033" i="17"/>
  <c r="G2033" i="17"/>
  <c r="F2033" i="17"/>
  <c r="I2031" i="17"/>
  <c r="I2030" i="17"/>
  <c r="I2029" i="17"/>
  <c r="H2028" i="17"/>
  <c r="G2028" i="17"/>
  <c r="F2028" i="17"/>
  <c r="I2027" i="17"/>
  <c r="I2026" i="17"/>
  <c r="I2025" i="17"/>
  <c r="I2024" i="17"/>
  <c r="I2023" i="17"/>
  <c r="H2022" i="17"/>
  <c r="G2022" i="17"/>
  <c r="I2021" i="17"/>
  <c r="I2020" i="17"/>
  <c r="I2019" i="17"/>
  <c r="H2018" i="17"/>
  <c r="G2018" i="17"/>
  <c r="F2018" i="17"/>
  <c r="I2011" i="17"/>
  <c r="I2010" i="17"/>
  <c r="I2009" i="17"/>
  <c r="I2008" i="17"/>
  <c r="I2007" i="17"/>
  <c r="I2006" i="17"/>
  <c r="I2005" i="17"/>
  <c r="I2004" i="17"/>
  <c r="H2003" i="17"/>
  <c r="G2003" i="17"/>
  <c r="F2003" i="17"/>
  <c r="I2002" i="17"/>
  <c r="I2001" i="17"/>
  <c r="I2000" i="17"/>
  <c r="H1999" i="17"/>
  <c r="G1999" i="17"/>
  <c r="I1998" i="17"/>
  <c r="I1997" i="17"/>
  <c r="I1995" i="17"/>
  <c r="I1987" i="17"/>
  <c r="I1986" i="17"/>
  <c r="I1985" i="17"/>
  <c r="I1984" i="17"/>
  <c r="I1983" i="17"/>
  <c r="I1982" i="17"/>
  <c r="I1981" i="17"/>
  <c r="H1980" i="17"/>
  <c r="G1980" i="17"/>
  <c r="I1979" i="17"/>
  <c r="I1978" i="17"/>
  <c r="I1977" i="17"/>
  <c r="H1976" i="17"/>
  <c r="G1976" i="17"/>
  <c r="F1976" i="17"/>
  <c r="F1988" i="17" s="1"/>
  <c r="R1988" i="17" s="1"/>
  <c r="I1975" i="17"/>
  <c r="I1974" i="17"/>
  <c r="I1960" i="17"/>
  <c r="I1958" i="17"/>
  <c r="I1957" i="17"/>
  <c r="I1956" i="17"/>
  <c r="I1955" i="17"/>
  <c r="I1954" i="17"/>
  <c r="I1953" i="17"/>
  <c r="I1950" i="17"/>
  <c r="H1947" i="17"/>
  <c r="G1947" i="17"/>
  <c r="F1947" i="17"/>
  <c r="I1946" i="17"/>
  <c r="I1945" i="17"/>
  <c r="I1944" i="17"/>
  <c r="I1943" i="17"/>
  <c r="I1942" i="17"/>
  <c r="H1941" i="17"/>
  <c r="G1941" i="17"/>
  <c r="I1940" i="17"/>
  <c r="I1939" i="17"/>
  <c r="I1938" i="17"/>
  <c r="I1936" i="17"/>
  <c r="I1935" i="17"/>
  <c r="I1926" i="17"/>
  <c r="I1925" i="17"/>
  <c r="I1924" i="17"/>
  <c r="I1923" i="17"/>
  <c r="H1922" i="17"/>
  <c r="G1922" i="17"/>
  <c r="F1922" i="17"/>
  <c r="I1921" i="17"/>
  <c r="I1920" i="17"/>
  <c r="I1919" i="17"/>
  <c r="I1918" i="17"/>
  <c r="H1917" i="17"/>
  <c r="G1917" i="17"/>
  <c r="F1917" i="17"/>
  <c r="I1916" i="17"/>
  <c r="I1915" i="17"/>
  <c r="I1914" i="17"/>
  <c r="H1913" i="17"/>
  <c r="G1913" i="17"/>
  <c r="I1911" i="17"/>
  <c r="I1910" i="17"/>
  <c r="I1909" i="17"/>
  <c r="F1908" i="17"/>
  <c r="I1907" i="17"/>
  <c r="I1906" i="17"/>
  <c r="I1903" i="17"/>
  <c r="I1902" i="17"/>
  <c r="I1893" i="17"/>
  <c r="I1892" i="17"/>
  <c r="I1891" i="17"/>
  <c r="I1890" i="17"/>
  <c r="I1889" i="17"/>
  <c r="I1887" i="17"/>
  <c r="I1886" i="17"/>
  <c r="I1885" i="17"/>
  <c r="H1884" i="17"/>
  <c r="G1884" i="17"/>
  <c r="I1883" i="17"/>
  <c r="I1881" i="17"/>
  <c r="I1880" i="17"/>
  <c r="H1879" i="17"/>
  <c r="G1879" i="17"/>
  <c r="F1879" i="17"/>
  <c r="I1878" i="17"/>
  <c r="I1877" i="17"/>
  <c r="I1868" i="17"/>
  <c r="I1867" i="17"/>
  <c r="I1866" i="17"/>
  <c r="I1865" i="17"/>
  <c r="I1864" i="17"/>
  <c r="I1863" i="17"/>
  <c r="I1862" i="17"/>
  <c r="H1861" i="17"/>
  <c r="H1869" i="17" s="1"/>
  <c r="K1869" i="17"/>
  <c r="I1858" i="17"/>
  <c r="I1857" i="17"/>
  <c r="R1869" i="17"/>
  <c r="I1855" i="17"/>
  <c r="I1854" i="17"/>
  <c r="I1845" i="17"/>
  <c r="I1844" i="17"/>
  <c r="I1843" i="17"/>
  <c r="I1842" i="17"/>
  <c r="I1841" i="17"/>
  <c r="I1840" i="17"/>
  <c r="I1839" i="17"/>
  <c r="I1838" i="17"/>
  <c r="I1836" i="17"/>
  <c r="I1835" i="17"/>
  <c r="F1835" i="17"/>
  <c r="F1846" i="17" s="1"/>
  <c r="I1834" i="17"/>
  <c r="I1833" i="17"/>
  <c r="I1832" i="17"/>
  <c r="I1831" i="17"/>
  <c r="I1827" i="17"/>
  <c r="I1826" i="17"/>
  <c r="I1825" i="17"/>
  <c r="I1824" i="17"/>
  <c r="I1823" i="17"/>
  <c r="I1821" i="17"/>
  <c r="I1820" i="17"/>
  <c r="I1819" i="17"/>
  <c r="I1817" i="17"/>
  <c r="I1815" i="17"/>
  <c r="I1814" i="17"/>
  <c r="I1806" i="17"/>
  <c r="I1805" i="17"/>
  <c r="I1804" i="17"/>
  <c r="I1802" i="17"/>
  <c r="I1801" i="17"/>
  <c r="I1800" i="17"/>
  <c r="I1799" i="17"/>
  <c r="I1798" i="17"/>
  <c r="I1797" i="17"/>
  <c r="I1796" i="17"/>
  <c r="I1795" i="17"/>
  <c r="I1794" i="17"/>
  <c r="I1793" i="17"/>
  <c r="H1792" i="17"/>
  <c r="G1792" i="17"/>
  <c r="I1789" i="17"/>
  <c r="I1788" i="17"/>
  <c r="I1787" i="17"/>
  <c r="H1786" i="17"/>
  <c r="G1786" i="17"/>
  <c r="F1786" i="17"/>
  <c r="F1807" i="17" s="1"/>
  <c r="R1807" i="17" s="1"/>
  <c r="I1777" i="17"/>
  <c r="I1776" i="17"/>
  <c r="I1775" i="17"/>
  <c r="F1774" i="17"/>
  <c r="I1773" i="17"/>
  <c r="I1772" i="17"/>
  <c r="I1771" i="17"/>
  <c r="I1770" i="17"/>
  <c r="I1769" i="17"/>
  <c r="H1768" i="17"/>
  <c r="H1780" i="17" s="1"/>
  <c r="I1767" i="17"/>
  <c r="I1764" i="17"/>
  <c r="I1763" i="17"/>
  <c r="F1762" i="17"/>
  <c r="I1761" i="17"/>
  <c r="I1760" i="17"/>
  <c r="I1749" i="17"/>
  <c r="I1748" i="17"/>
  <c r="I1747" i="17"/>
  <c r="I1746" i="17"/>
  <c r="H1745" i="17"/>
  <c r="G1745" i="17"/>
  <c r="F1745" i="17"/>
  <c r="I1744" i="17"/>
  <c r="I1743" i="17"/>
  <c r="I1742" i="17"/>
  <c r="H1741" i="17"/>
  <c r="G1741" i="17"/>
  <c r="I1740" i="17"/>
  <c r="I1739" i="17"/>
  <c r="I1738" i="17"/>
  <c r="I1737" i="17"/>
  <c r="I1735" i="17"/>
  <c r="I1734" i="17"/>
  <c r="I1726" i="17"/>
  <c r="I1724" i="17"/>
  <c r="I1723" i="17"/>
  <c r="I1722" i="17"/>
  <c r="I1721" i="17"/>
  <c r="H1720" i="17"/>
  <c r="G1720" i="17"/>
  <c r="F1720" i="17"/>
  <c r="H1716" i="17"/>
  <c r="I1710" i="17"/>
  <c r="F1709" i="17"/>
  <c r="I1701" i="17"/>
  <c r="I1700" i="17"/>
  <c r="I1697" i="17"/>
  <c r="I1696" i="17"/>
  <c r="I1695" i="17"/>
  <c r="I1693" i="17"/>
  <c r="I1692" i="17"/>
  <c r="I1691" i="17"/>
  <c r="I1690" i="17"/>
  <c r="I1689" i="17"/>
  <c r="H1688" i="17"/>
  <c r="G1688" i="17"/>
  <c r="I1684" i="17"/>
  <c r="I1683" i="17"/>
  <c r="I1682" i="17"/>
  <c r="I1681" i="17"/>
  <c r="H1680" i="17"/>
  <c r="G1680" i="17"/>
  <c r="F1680" i="17"/>
  <c r="I1679" i="17"/>
  <c r="I1678" i="17"/>
  <c r="I1672" i="17"/>
  <c r="I1671" i="17"/>
  <c r="I1670" i="17"/>
  <c r="I1669" i="17"/>
  <c r="I1668" i="17"/>
  <c r="I1667" i="17"/>
  <c r="I1666" i="17"/>
  <c r="I1665" i="17"/>
  <c r="I1664" i="17"/>
  <c r="I1662" i="17"/>
  <c r="I1661" i="17"/>
  <c r="I1660" i="17"/>
  <c r="I1659" i="17"/>
  <c r="I1658" i="17"/>
  <c r="I1657" i="17"/>
  <c r="I1656" i="17"/>
  <c r="H1655" i="17"/>
  <c r="G1655" i="17"/>
  <c r="I1654" i="17"/>
  <c r="I1653" i="17"/>
  <c r="I1652" i="17"/>
  <c r="I1651" i="17"/>
  <c r="H1650" i="17"/>
  <c r="G1650" i="17"/>
  <c r="F1650" i="17"/>
  <c r="I1649" i="17"/>
  <c r="I1648" i="17"/>
  <c r="I1647" i="17"/>
  <c r="I1646" i="17"/>
  <c r="H1635" i="17"/>
  <c r="G1635" i="17"/>
  <c r="F1635" i="17"/>
  <c r="I1633" i="17"/>
  <c r="H1630" i="17"/>
  <c r="G1630" i="17"/>
  <c r="F1630" i="17"/>
  <c r="H1622" i="17"/>
  <c r="G1622" i="17"/>
  <c r="F1622" i="17"/>
  <c r="O1618" i="17"/>
  <c r="N1618" i="17"/>
  <c r="M1618" i="17"/>
  <c r="L1618" i="17"/>
  <c r="K1618" i="17"/>
  <c r="J1618" i="17"/>
  <c r="I1618" i="17"/>
  <c r="H1618" i="17"/>
  <c r="G1618" i="17"/>
  <c r="I1616" i="17"/>
  <c r="I1605" i="17"/>
  <c r="I1604" i="17"/>
  <c r="I1603" i="17"/>
  <c r="I1601" i="17"/>
  <c r="I1600" i="17"/>
  <c r="I1599" i="17"/>
  <c r="I1598" i="17"/>
  <c r="I1596" i="17"/>
  <c r="I1595" i="17"/>
  <c r="I1594" i="17"/>
  <c r="H1593" i="17"/>
  <c r="G1593" i="17"/>
  <c r="I1592" i="17"/>
  <c r="I1591" i="17"/>
  <c r="H1590" i="17"/>
  <c r="H1606" i="17" s="1"/>
  <c r="G1590" i="17"/>
  <c r="G1606" i="17" s="1"/>
  <c r="F1590" i="17"/>
  <c r="F1606" i="17" s="1"/>
  <c r="I1582" i="17"/>
  <c r="I1581" i="17"/>
  <c r="I1580" i="17"/>
  <c r="H1579" i="17"/>
  <c r="G1579" i="17"/>
  <c r="I1578" i="17"/>
  <c r="I1577" i="17"/>
  <c r="I1576" i="17"/>
  <c r="H1575" i="17"/>
  <c r="G1575" i="17"/>
  <c r="F1575" i="17"/>
  <c r="F1583" i="17" s="1"/>
  <c r="R1583" i="17" s="1"/>
  <c r="I1567" i="17"/>
  <c r="I1566" i="17"/>
  <c r="I1565" i="17"/>
  <c r="H1564" i="17"/>
  <c r="G1564" i="17"/>
  <c r="I1563" i="17"/>
  <c r="I1562" i="17"/>
  <c r="I1561" i="17"/>
  <c r="H1560" i="17"/>
  <c r="G1560" i="17"/>
  <c r="F1560" i="17"/>
  <c r="F1568" i="17" s="1"/>
  <c r="R1568" i="17" s="1"/>
  <c r="I1552" i="17"/>
  <c r="I1551" i="17"/>
  <c r="I1550" i="17"/>
  <c r="I1549" i="17"/>
  <c r="I1548" i="17"/>
  <c r="I1547" i="17"/>
  <c r="I1546" i="17"/>
  <c r="I1545" i="17"/>
  <c r="I1541" i="17"/>
  <c r="I1540" i="17"/>
  <c r="I1539" i="17"/>
  <c r="I1538" i="17"/>
  <c r="H1537" i="17"/>
  <c r="G1537" i="17"/>
  <c r="F1537" i="17"/>
  <c r="I1535" i="17"/>
  <c r="I1534" i="17"/>
  <c r="H1533" i="17"/>
  <c r="I1532" i="17"/>
  <c r="I1531" i="17"/>
  <c r="I1529" i="17"/>
  <c r="F1528" i="17"/>
  <c r="I1521" i="17"/>
  <c r="I1520" i="17"/>
  <c r="I1519" i="17"/>
  <c r="H1518" i="17"/>
  <c r="G1518" i="17"/>
  <c r="I1517" i="17"/>
  <c r="I1516" i="17"/>
  <c r="I1515" i="17"/>
  <c r="H1514" i="17"/>
  <c r="G1514" i="17"/>
  <c r="F1514" i="17"/>
  <c r="F1522" i="17" s="1"/>
  <c r="R1522" i="17" s="1"/>
  <c r="I1507" i="17"/>
  <c r="I1506" i="17"/>
  <c r="I1505" i="17"/>
  <c r="I1504" i="17"/>
  <c r="H1503" i="17"/>
  <c r="G1503" i="17"/>
  <c r="F1503" i="17"/>
  <c r="I1502" i="17"/>
  <c r="I1501" i="17"/>
  <c r="I1500" i="17"/>
  <c r="I1499" i="17"/>
  <c r="H1498" i="17"/>
  <c r="G1498" i="17"/>
  <c r="F1498" i="17"/>
  <c r="I1497" i="17"/>
  <c r="I1496" i="17"/>
  <c r="I1495" i="17"/>
  <c r="H1494" i="17"/>
  <c r="G1494" i="17"/>
  <c r="I1493" i="17"/>
  <c r="I1491" i="17"/>
  <c r="I1482" i="17"/>
  <c r="I1481" i="17"/>
  <c r="I1480" i="17"/>
  <c r="I1479" i="17"/>
  <c r="H1478" i="17"/>
  <c r="G1478" i="17"/>
  <c r="I1477" i="17"/>
  <c r="I1476" i="17"/>
  <c r="I1475" i="17"/>
  <c r="F1484" i="17"/>
  <c r="R1484" i="17" s="1"/>
  <c r="I1464" i="17"/>
  <c r="I1463" i="17"/>
  <c r="I1462" i="17"/>
  <c r="H1461" i="17"/>
  <c r="H1470" i="17" s="1"/>
  <c r="G1461" i="17"/>
  <c r="G1470" i="17" s="1"/>
  <c r="I1460" i="17"/>
  <c r="I1459" i="17"/>
  <c r="F1458" i="17"/>
  <c r="F1470" i="17" s="1"/>
  <c r="R1470" i="17" s="1"/>
  <c r="I1451" i="17"/>
  <c r="I1450" i="17"/>
  <c r="I1449" i="17"/>
  <c r="I1448" i="17"/>
  <c r="I1447" i="17"/>
  <c r="I1446" i="17"/>
  <c r="H1442" i="17"/>
  <c r="G1442" i="17"/>
  <c r="G1452" i="17" s="1"/>
  <c r="I1441" i="17"/>
  <c r="I1440" i="17"/>
  <c r="I1439" i="17"/>
  <c r="F1438" i="17"/>
  <c r="F1452" i="17" s="1"/>
  <c r="R1452" i="17" s="1"/>
  <c r="U1432" i="17"/>
  <c r="H1432" i="17"/>
  <c r="W1432" i="17" s="1"/>
  <c r="G1432" i="17"/>
  <c r="V1432" i="17" s="1"/>
  <c r="I1431" i="17"/>
  <c r="I1429" i="17"/>
  <c r="I1425" i="17"/>
  <c r="I1424" i="17"/>
  <c r="I1423" i="17"/>
  <c r="I1422" i="17"/>
  <c r="I1420" i="17"/>
  <c r="I1419" i="17"/>
  <c r="F1419" i="17"/>
  <c r="I1418" i="17"/>
  <c r="I1417" i="17"/>
  <c r="I1416" i="17"/>
  <c r="I1415" i="17"/>
  <c r="I1414" i="17"/>
  <c r="I1413" i="17"/>
  <c r="I1412" i="17"/>
  <c r="I1411" i="17"/>
  <c r="I1410" i="17"/>
  <c r="H1409" i="17"/>
  <c r="G1409" i="17"/>
  <c r="I1408" i="17"/>
  <c r="I1407" i="17"/>
  <c r="I1406" i="17"/>
  <c r="I1405" i="17"/>
  <c r="H1404" i="17"/>
  <c r="G1404" i="17"/>
  <c r="F1404" i="17"/>
  <c r="I1400" i="17"/>
  <c r="I1399" i="17"/>
  <c r="I1398" i="17"/>
  <c r="H1397" i="17"/>
  <c r="G1397" i="17"/>
  <c r="I1396" i="17"/>
  <c r="I1395" i="17"/>
  <c r="F1395" i="17"/>
  <c r="I1388" i="17"/>
  <c r="I1386" i="17"/>
  <c r="I1385" i="17"/>
  <c r="I1384" i="17"/>
  <c r="H1383" i="17"/>
  <c r="G1383" i="17"/>
  <c r="I1382" i="17"/>
  <c r="I1381" i="17"/>
  <c r="I1380" i="17"/>
  <c r="H1379" i="17"/>
  <c r="G1379" i="17"/>
  <c r="F1379" i="17"/>
  <c r="F1389" i="17" s="1"/>
  <c r="I1378" i="17"/>
  <c r="I1377" i="17"/>
  <c r="I1368" i="17"/>
  <c r="I1367" i="17"/>
  <c r="I1366" i="17"/>
  <c r="I1365" i="17"/>
  <c r="I1364" i="17"/>
  <c r="H1363" i="17"/>
  <c r="G1363" i="17"/>
  <c r="F1363" i="17"/>
  <c r="I1362" i="17"/>
  <c r="I1361" i="17"/>
  <c r="I1360" i="17"/>
  <c r="I1359" i="17"/>
  <c r="H1358" i="17"/>
  <c r="G1358" i="17"/>
  <c r="F1358" i="17"/>
  <c r="I1357" i="17"/>
  <c r="I1356" i="17"/>
  <c r="I1355" i="17"/>
  <c r="I1354" i="17"/>
  <c r="I1353" i="17"/>
  <c r="H1352" i="17"/>
  <c r="G1352" i="17"/>
  <c r="I1351" i="17"/>
  <c r="I1350" i="17"/>
  <c r="I1348" i="17"/>
  <c r="F1347" i="17"/>
  <c r="I1340" i="17"/>
  <c r="I1339" i="17"/>
  <c r="I1338" i="17"/>
  <c r="H1337" i="17"/>
  <c r="G1337" i="17"/>
  <c r="I1336" i="17"/>
  <c r="I1335" i="17"/>
  <c r="F1341" i="17"/>
  <c r="R1341" i="17" s="1"/>
  <c r="I1326" i="17"/>
  <c r="I1325" i="17"/>
  <c r="I1324" i="17"/>
  <c r="I1323" i="17"/>
  <c r="I1322" i="17"/>
  <c r="I1321" i="17"/>
  <c r="I1320" i="17"/>
  <c r="I1319" i="17"/>
  <c r="I1318" i="17"/>
  <c r="I1317" i="17"/>
  <c r="I1316" i="17"/>
  <c r="I1315" i="17"/>
  <c r="I1314" i="17"/>
  <c r="I1313" i="17"/>
  <c r="I1311" i="17"/>
  <c r="I1310" i="17"/>
  <c r="F1310" i="17"/>
  <c r="I1309" i="17"/>
  <c r="I1308" i="17"/>
  <c r="I1307" i="17"/>
  <c r="H1306" i="17"/>
  <c r="G1306" i="17"/>
  <c r="I1305" i="17"/>
  <c r="I1304" i="17"/>
  <c r="H1303" i="17"/>
  <c r="G1303" i="17"/>
  <c r="F1303" i="17"/>
  <c r="I1295" i="17"/>
  <c r="I1293" i="17"/>
  <c r="I1292" i="17"/>
  <c r="I1291" i="17"/>
  <c r="I1290" i="17"/>
  <c r="I1289" i="17"/>
  <c r="I1288" i="17"/>
  <c r="I1287" i="17"/>
  <c r="I1286" i="17"/>
  <c r="I1284" i="17"/>
  <c r="I1283" i="17"/>
  <c r="I1282" i="17"/>
  <c r="I1281" i="17"/>
  <c r="I1279" i="17"/>
  <c r="I1276" i="17"/>
  <c r="I1275" i="17"/>
  <c r="I1274" i="17"/>
  <c r="H1273" i="17"/>
  <c r="H1298" i="17" s="1"/>
  <c r="G1273" i="17"/>
  <c r="G1298" i="17" s="1"/>
  <c r="F1273" i="17"/>
  <c r="F1298" i="17" s="1"/>
  <c r="R1298" i="17" s="1"/>
  <c r="I1266" i="17"/>
  <c r="I1265" i="17"/>
  <c r="I1264" i="17"/>
  <c r="I1263" i="17"/>
  <c r="I1259" i="17"/>
  <c r="I1258" i="17"/>
  <c r="I1257" i="17"/>
  <c r="I1256" i="17"/>
  <c r="I1255" i="17"/>
  <c r="I1254" i="17"/>
  <c r="I1253" i="17"/>
  <c r="I1252" i="17"/>
  <c r="H1251" i="17"/>
  <c r="G1251" i="17"/>
  <c r="F1251" i="17"/>
  <c r="I1250" i="17"/>
  <c r="I1249" i="17"/>
  <c r="I1248" i="17"/>
  <c r="I1246" i="17"/>
  <c r="I1245" i="17"/>
  <c r="H1244" i="17"/>
  <c r="G1244" i="17"/>
  <c r="F1244" i="17"/>
  <c r="I1237" i="17"/>
  <c r="I1236" i="17"/>
  <c r="I1235" i="17"/>
  <c r="I1234" i="17"/>
  <c r="I1233" i="17"/>
  <c r="I1232" i="17"/>
  <c r="H1231" i="17"/>
  <c r="G1231" i="17"/>
  <c r="F1231" i="17"/>
  <c r="I1230" i="17"/>
  <c r="I1229" i="17"/>
  <c r="I1228" i="17"/>
  <c r="I1227" i="17"/>
  <c r="I1226" i="17"/>
  <c r="I1222" i="17"/>
  <c r="I1221" i="17"/>
  <c r="I1220" i="17"/>
  <c r="I1219" i="17"/>
  <c r="F1218" i="17"/>
  <c r="I1217" i="17"/>
  <c r="I1216" i="17"/>
  <c r="I1215" i="17"/>
  <c r="I1214" i="17"/>
  <c r="I1213" i="17"/>
  <c r="H1212" i="17"/>
  <c r="G1212" i="17"/>
  <c r="F1212" i="17"/>
  <c r="H1194" i="17"/>
  <c r="G1194" i="17"/>
  <c r="F1194" i="17"/>
  <c r="I1188" i="17"/>
  <c r="I1187" i="17"/>
  <c r="I1186" i="17"/>
  <c r="I1185" i="17"/>
  <c r="H1184" i="17"/>
  <c r="G1184" i="17"/>
  <c r="F1184" i="17"/>
  <c r="I1183" i="17"/>
  <c r="I1182" i="17"/>
  <c r="H1181" i="17"/>
  <c r="G1181" i="17"/>
  <c r="F1181" i="17"/>
  <c r="I1180" i="17"/>
  <c r="I1179" i="17"/>
  <c r="I1178" i="17"/>
  <c r="I1173" i="17"/>
  <c r="I1172" i="17"/>
  <c r="I1171" i="17"/>
  <c r="F1170" i="17"/>
  <c r="I1163" i="17"/>
  <c r="I1162" i="17"/>
  <c r="I1161" i="17"/>
  <c r="I1160" i="17"/>
  <c r="I1159" i="17"/>
  <c r="H1158" i="17"/>
  <c r="G1158" i="17"/>
  <c r="I1157" i="17"/>
  <c r="I1156" i="17"/>
  <c r="F1155" i="17"/>
  <c r="F1164" i="17" s="1"/>
  <c r="R1164" i="17" s="1"/>
  <c r="I1154" i="17"/>
  <c r="I1153" i="17"/>
  <c r="I1146" i="17"/>
  <c r="I1144" i="17"/>
  <c r="I1143" i="17"/>
  <c r="I1142" i="17"/>
  <c r="H1141" i="17"/>
  <c r="H1147" i="17" s="1"/>
  <c r="G1141" i="17"/>
  <c r="G1147" i="17" s="1"/>
  <c r="I1139" i="17"/>
  <c r="I1138" i="17"/>
  <c r="F1137" i="17"/>
  <c r="I1130" i="17"/>
  <c r="I1128" i="17"/>
  <c r="I1127" i="17"/>
  <c r="I1126" i="17"/>
  <c r="H1125" i="17"/>
  <c r="H1131" i="17" s="1"/>
  <c r="G1125" i="17"/>
  <c r="G1131" i="17" s="1"/>
  <c r="I1124" i="17"/>
  <c r="I1123" i="17"/>
  <c r="F1131" i="17"/>
  <c r="R1131" i="17" s="1"/>
  <c r="I1104" i="17"/>
  <c r="I1103" i="17"/>
  <c r="I1102" i="17"/>
  <c r="I1101" i="17"/>
  <c r="H1100" i="17"/>
  <c r="G1100" i="17"/>
  <c r="F1100" i="17"/>
  <c r="I1099" i="17"/>
  <c r="I1098" i="17"/>
  <c r="I1097" i="17"/>
  <c r="I1096" i="17"/>
  <c r="H1095" i="17"/>
  <c r="G1095" i="17"/>
  <c r="F1095" i="17"/>
  <c r="I1094" i="17"/>
  <c r="I1093" i="17"/>
  <c r="I1092" i="17"/>
  <c r="I1091" i="17"/>
  <c r="I1090" i="17"/>
  <c r="H1089" i="17"/>
  <c r="G1089" i="17"/>
  <c r="F1089" i="17"/>
  <c r="I1088" i="17"/>
  <c r="I1087" i="17"/>
  <c r="I1086" i="17"/>
  <c r="H1085" i="17"/>
  <c r="G1085" i="17"/>
  <c r="I1081" i="17"/>
  <c r="I1080" i="17"/>
  <c r="I1079" i="17"/>
  <c r="F1078" i="17"/>
  <c r="I1069" i="17"/>
  <c r="I1068" i="17"/>
  <c r="I1067" i="17"/>
  <c r="I1066" i="17"/>
  <c r="H1065" i="17"/>
  <c r="G1065" i="17"/>
  <c r="F1065" i="17"/>
  <c r="I1064" i="17"/>
  <c r="I1063" i="17"/>
  <c r="I1062" i="17"/>
  <c r="I1061" i="17"/>
  <c r="H1060" i="17"/>
  <c r="G1060" i="17"/>
  <c r="F1060" i="17"/>
  <c r="I1059" i="17"/>
  <c r="I1058" i="17"/>
  <c r="I1057" i="17"/>
  <c r="I1056" i="17"/>
  <c r="I1055" i="17"/>
  <c r="I1054" i="17"/>
  <c r="F1054" i="17"/>
  <c r="I1051" i="17"/>
  <c r="I1050" i="17"/>
  <c r="I1045" i="17"/>
  <c r="I1044" i="17"/>
  <c r="I1043" i="17"/>
  <c r="I1041" i="17"/>
  <c r="F1040" i="17"/>
  <c r="I1039" i="17"/>
  <c r="I1038" i="17"/>
  <c r="I1037" i="17"/>
  <c r="I1036" i="17"/>
  <c r="I1035" i="17"/>
  <c r="H1034" i="17"/>
  <c r="G1034" i="17"/>
  <c r="I1031" i="17"/>
  <c r="H1030" i="17"/>
  <c r="G1030" i="17"/>
  <c r="F1030" i="17"/>
  <c r="I1024" i="17"/>
  <c r="I1023" i="17"/>
  <c r="I1022" i="17"/>
  <c r="I1021" i="17"/>
  <c r="I1020" i="17"/>
  <c r="I1019" i="17"/>
  <c r="I1018" i="17"/>
  <c r="H1017" i="17"/>
  <c r="G1017" i="17"/>
  <c r="F1017" i="17"/>
  <c r="I1016" i="17"/>
  <c r="I1015" i="17"/>
  <c r="I1014" i="17"/>
  <c r="H1013" i="17"/>
  <c r="G1013" i="17"/>
  <c r="I1012" i="17"/>
  <c r="I1009" i="17"/>
  <c r="I1008" i="17"/>
  <c r="I1007" i="17"/>
  <c r="F1006" i="17"/>
  <c r="I999" i="17"/>
  <c r="I998" i="17"/>
  <c r="I997" i="17"/>
  <c r="I996" i="17"/>
  <c r="H995" i="17"/>
  <c r="G995" i="17"/>
  <c r="F995" i="17"/>
  <c r="I994" i="17"/>
  <c r="I993" i="17"/>
  <c r="I992" i="17"/>
  <c r="I991" i="17"/>
  <c r="I990" i="17"/>
  <c r="H989" i="17"/>
  <c r="G989" i="17"/>
  <c r="I988" i="17"/>
  <c r="I987" i="17"/>
  <c r="H986" i="17"/>
  <c r="G986" i="17"/>
  <c r="F986" i="17"/>
  <c r="I980" i="17"/>
  <c r="I979" i="17"/>
  <c r="H978" i="17"/>
  <c r="H981" i="17" s="1"/>
  <c r="T981" i="17" s="1"/>
  <c r="G978" i="17"/>
  <c r="G981" i="17" s="1"/>
  <c r="S981" i="17" s="1"/>
  <c r="F978" i="17"/>
  <c r="F981" i="17" s="1"/>
  <c r="R981" i="17" s="1"/>
  <c r="I968" i="17"/>
  <c r="I967" i="17"/>
  <c r="I966" i="17"/>
  <c r="I965" i="17"/>
  <c r="H964" i="17"/>
  <c r="G964" i="17"/>
  <c r="F964" i="17"/>
  <c r="I963" i="17"/>
  <c r="I962" i="17"/>
  <c r="I961" i="17"/>
  <c r="I960" i="17"/>
  <c r="H959" i="17"/>
  <c r="G959" i="17"/>
  <c r="F959" i="17"/>
  <c r="I958" i="17"/>
  <c r="I957" i="17"/>
  <c r="I956" i="17"/>
  <c r="I955" i="17"/>
  <c r="H954" i="17"/>
  <c r="G954" i="17"/>
  <c r="F954" i="17"/>
  <c r="I953" i="17"/>
  <c r="I952" i="17"/>
  <c r="I950" i="17"/>
  <c r="I949" i="17"/>
  <c r="H948" i="17"/>
  <c r="G948" i="17"/>
  <c r="F948" i="17"/>
  <c r="I947" i="17"/>
  <c r="I946" i="17"/>
  <c r="I945" i="17"/>
  <c r="H944" i="17"/>
  <c r="G944" i="17"/>
  <c r="I943" i="17"/>
  <c r="I942" i="17"/>
  <c r="I941" i="17"/>
  <c r="I932" i="17"/>
  <c r="I931" i="17"/>
  <c r="I930" i="17"/>
  <c r="I928" i="17"/>
  <c r="I927" i="17"/>
  <c r="I926" i="17"/>
  <c r="I925" i="17"/>
  <c r="I924" i="17"/>
  <c r="H923" i="17"/>
  <c r="G923" i="17"/>
  <c r="F923" i="17"/>
  <c r="I922" i="17"/>
  <c r="I921" i="17"/>
  <c r="I920" i="17"/>
  <c r="I918" i="17"/>
  <c r="I915" i="17"/>
  <c r="I914" i="17"/>
  <c r="I913" i="17"/>
  <c r="I912" i="17"/>
  <c r="H911" i="17"/>
  <c r="G911" i="17"/>
  <c r="I910" i="17"/>
  <c r="I909" i="17"/>
  <c r="I908" i="17"/>
  <c r="H907" i="17"/>
  <c r="G907" i="17"/>
  <c r="F907" i="17"/>
  <c r="I889" i="17"/>
  <c r="I888" i="17"/>
  <c r="I887" i="17"/>
  <c r="H886" i="17"/>
  <c r="G886" i="17"/>
  <c r="I885" i="17"/>
  <c r="I884" i="17"/>
  <c r="I883" i="17"/>
  <c r="H882" i="17"/>
  <c r="G882" i="17"/>
  <c r="F882" i="17"/>
  <c r="F890" i="17" s="1"/>
  <c r="R890" i="17" s="1"/>
  <c r="I874" i="17"/>
  <c r="I873" i="17"/>
  <c r="I872" i="17"/>
  <c r="H871" i="17"/>
  <c r="I870" i="17"/>
  <c r="I869" i="17"/>
  <c r="I868" i="17"/>
  <c r="I867" i="17"/>
  <c r="I866" i="17"/>
  <c r="I865" i="17"/>
  <c r="I864" i="17"/>
  <c r="I863" i="17"/>
  <c r="I862" i="17"/>
  <c r="H861" i="17"/>
  <c r="I860" i="17"/>
  <c r="I859" i="17"/>
  <c r="I858" i="17"/>
  <c r="H857" i="17"/>
  <c r="G857" i="17"/>
  <c r="F857" i="17"/>
  <c r="I849" i="17"/>
  <c r="I848" i="17"/>
  <c r="I847" i="17"/>
  <c r="I846" i="17"/>
  <c r="I845" i="17"/>
  <c r="I844" i="17"/>
  <c r="I843" i="17"/>
  <c r="H842" i="17"/>
  <c r="H850" i="17" s="1"/>
  <c r="G842" i="17"/>
  <c r="G850" i="17" s="1"/>
  <c r="I841" i="17"/>
  <c r="I839" i="17"/>
  <c r="I837" i="17"/>
  <c r="F850" i="17"/>
  <c r="R850" i="17" s="1"/>
  <c r="I822" i="17"/>
  <c r="I821" i="17"/>
  <c r="I820" i="17"/>
  <c r="I818" i="17"/>
  <c r="I817" i="17"/>
  <c r="I816" i="17"/>
  <c r="I815" i="17"/>
  <c r="I814" i="17"/>
  <c r="H813" i="17"/>
  <c r="G813" i="17"/>
  <c r="I810" i="17"/>
  <c r="H809" i="17"/>
  <c r="G809" i="17"/>
  <c r="F809" i="17"/>
  <c r="F823" i="17" s="1"/>
  <c r="I799" i="17"/>
  <c r="I798" i="17"/>
  <c r="I797" i="17"/>
  <c r="I796" i="17"/>
  <c r="I795" i="17"/>
  <c r="I794" i="17"/>
  <c r="I793" i="17"/>
  <c r="H792" i="17"/>
  <c r="G792" i="17"/>
  <c r="F792" i="17"/>
  <c r="I791" i="17"/>
  <c r="H790" i="17"/>
  <c r="G790" i="17"/>
  <c r="I789" i="17"/>
  <c r="I788" i="17"/>
  <c r="I787" i="17"/>
  <c r="H786" i="17"/>
  <c r="G786" i="17"/>
  <c r="I785" i="17"/>
  <c r="I784" i="17"/>
  <c r="I783" i="17"/>
  <c r="M775" i="17"/>
  <c r="L775" i="17"/>
  <c r="K775" i="17"/>
  <c r="I774" i="17"/>
  <c r="I772" i="17"/>
  <c r="I771" i="17"/>
  <c r="I770" i="17"/>
  <c r="H769" i="17"/>
  <c r="I768" i="17"/>
  <c r="I767" i="17"/>
  <c r="I766" i="17"/>
  <c r="H765" i="17"/>
  <c r="G765" i="17"/>
  <c r="G775" i="17" s="1"/>
  <c r="F765" i="17"/>
  <c r="H757" i="17"/>
  <c r="G757" i="17"/>
  <c r="I756" i="17"/>
  <c r="I754" i="17"/>
  <c r="I753" i="17"/>
  <c r="I752" i="17"/>
  <c r="H751" i="17"/>
  <c r="G751" i="17"/>
  <c r="I750" i="17"/>
  <c r="I749" i="17"/>
  <c r="I748" i="17"/>
  <c r="H747" i="17"/>
  <c r="G747" i="17"/>
  <c r="F747" i="17"/>
  <c r="I741" i="17"/>
  <c r="H738" i="17"/>
  <c r="G738" i="17"/>
  <c r="F738" i="17"/>
  <c r="I737" i="17"/>
  <c r="I736" i="17"/>
  <c r="I735" i="17"/>
  <c r="I734" i="17"/>
  <c r="I733" i="17"/>
  <c r="G732" i="17"/>
  <c r="I731" i="17"/>
  <c r="I730" i="17"/>
  <c r="I729" i="17"/>
  <c r="H728" i="17"/>
  <c r="G728" i="17"/>
  <c r="F728" i="17"/>
  <c r="H721" i="17"/>
  <c r="W721" i="17" s="1"/>
  <c r="G721" i="17"/>
  <c r="V721" i="17" s="1"/>
  <c r="F721" i="17"/>
  <c r="U721" i="17" s="1"/>
  <c r="I719" i="17"/>
  <c r="I717" i="17"/>
  <c r="I716" i="17"/>
  <c r="I715" i="17"/>
  <c r="I714" i="17"/>
  <c r="I713" i="17"/>
  <c r="H712" i="17"/>
  <c r="G712" i="17"/>
  <c r="I711" i="17"/>
  <c r="I710" i="17"/>
  <c r="I709" i="17"/>
  <c r="F708" i="17"/>
  <c r="F718" i="17" s="1"/>
  <c r="R718" i="17" s="1"/>
  <c r="I702" i="17"/>
  <c r="I701" i="17"/>
  <c r="I700" i="17"/>
  <c r="H699" i="17"/>
  <c r="G699" i="17"/>
  <c r="I698" i="17"/>
  <c r="I697" i="17"/>
  <c r="I696" i="17"/>
  <c r="H695" i="17"/>
  <c r="G695" i="17"/>
  <c r="F695" i="17"/>
  <c r="I679" i="17"/>
  <c r="I678" i="17"/>
  <c r="I677" i="17"/>
  <c r="H676" i="17"/>
  <c r="G676" i="17"/>
  <c r="I675" i="17"/>
  <c r="I674" i="17"/>
  <c r="I673" i="17"/>
  <c r="H672" i="17"/>
  <c r="G672" i="17"/>
  <c r="F682" i="17"/>
  <c r="R682" i="17" s="1"/>
  <c r="I664" i="17"/>
  <c r="I663" i="17"/>
  <c r="I661" i="17"/>
  <c r="I660" i="17"/>
  <c r="I659" i="17"/>
  <c r="I657" i="17"/>
  <c r="I656" i="17"/>
  <c r="I655" i="17"/>
  <c r="I654" i="17"/>
  <c r="F665" i="17"/>
  <c r="R665" i="17" s="1"/>
  <c r="I645" i="17"/>
  <c r="I644" i="17"/>
  <c r="I643" i="17"/>
  <c r="I639" i="17"/>
  <c r="I638" i="17"/>
  <c r="I637" i="17"/>
  <c r="I635" i="17"/>
  <c r="I634" i="17"/>
  <c r="I633" i="17"/>
  <c r="I632" i="17"/>
  <c r="I631" i="17"/>
  <c r="H630" i="17"/>
  <c r="H646" i="17" s="1"/>
  <c r="G630" i="17"/>
  <c r="G646" i="17" s="1"/>
  <c r="I629" i="17"/>
  <c r="I628" i="17"/>
  <c r="I627" i="17"/>
  <c r="I626" i="17"/>
  <c r="I614" i="17"/>
  <c r="I612" i="17"/>
  <c r="I610" i="17"/>
  <c r="I609" i="17"/>
  <c r="I608" i="17"/>
  <c r="H607" i="17"/>
  <c r="G607" i="17"/>
  <c r="F607" i="17"/>
  <c r="I606" i="17"/>
  <c r="I605" i="17"/>
  <c r="I604" i="17"/>
  <c r="I603" i="17"/>
  <c r="I602" i="17"/>
  <c r="H601" i="17"/>
  <c r="G601" i="17"/>
  <c r="I600" i="17"/>
  <c r="I599" i="17"/>
  <c r="I597" i="17"/>
  <c r="I596" i="17"/>
  <c r="H595" i="17"/>
  <c r="G595" i="17"/>
  <c r="F595" i="17"/>
  <c r="H585" i="17"/>
  <c r="G585" i="17"/>
  <c r="F585" i="17"/>
  <c r="I584" i="17"/>
  <c r="I583" i="17"/>
  <c r="I582" i="17"/>
  <c r="H581" i="17"/>
  <c r="G581" i="17"/>
  <c r="I580" i="17"/>
  <c r="I579" i="17"/>
  <c r="I578" i="17"/>
  <c r="I577" i="17"/>
  <c r="H576" i="17"/>
  <c r="F576" i="17"/>
  <c r="I565" i="17"/>
  <c r="I563" i="17"/>
  <c r="I562" i="17"/>
  <c r="I561" i="17"/>
  <c r="I559" i="17"/>
  <c r="I558" i="17"/>
  <c r="I557" i="17"/>
  <c r="F566" i="17"/>
  <c r="R566" i="17" s="1"/>
  <c r="I544" i="17"/>
  <c r="I543" i="17"/>
  <c r="I542" i="17"/>
  <c r="I540" i="17"/>
  <c r="I539" i="17"/>
  <c r="I538" i="17"/>
  <c r="I537" i="17"/>
  <c r="I536" i="17"/>
  <c r="I535" i="17"/>
  <c r="I534" i="17"/>
  <c r="I533" i="17"/>
  <c r="I532" i="17"/>
  <c r="I531" i="17"/>
  <c r="I530" i="17"/>
  <c r="I528" i="17"/>
  <c r="I527" i="17"/>
  <c r="H526" i="17"/>
  <c r="H548" i="17" s="1"/>
  <c r="G526" i="17"/>
  <c r="G548" i="17" s="1"/>
  <c r="F526" i="17"/>
  <c r="F548" i="17" s="1"/>
  <c r="I515" i="17"/>
  <c r="I514" i="17"/>
  <c r="I513" i="17"/>
  <c r="I512" i="17"/>
  <c r="I511" i="17"/>
  <c r="I510" i="17"/>
  <c r="I509" i="17"/>
  <c r="I508" i="17"/>
  <c r="I507" i="17"/>
  <c r="I506" i="17"/>
  <c r="F506" i="17"/>
  <c r="I505" i="17"/>
  <c r="I504" i="17"/>
  <c r="I503" i="17"/>
  <c r="I502" i="17"/>
  <c r="F502" i="17"/>
  <c r="I501" i="17"/>
  <c r="I500" i="17"/>
  <c r="I499" i="17"/>
  <c r="I498" i="17"/>
  <c r="I497" i="17"/>
  <c r="H496" i="17"/>
  <c r="G496" i="17"/>
  <c r="I495" i="17"/>
  <c r="I494" i="17"/>
  <c r="I493" i="17"/>
  <c r="I491" i="17"/>
  <c r="I490" i="17"/>
  <c r="H489" i="17"/>
  <c r="G489" i="17"/>
  <c r="F489" i="17"/>
  <c r="I488" i="17"/>
  <c r="I487" i="17"/>
  <c r="I486" i="17"/>
  <c r="I485" i="17"/>
  <c r="I479" i="17"/>
  <c r="I478" i="17"/>
  <c r="I477" i="17"/>
  <c r="I476" i="17"/>
  <c r="I475" i="17"/>
  <c r="I474" i="17"/>
  <c r="I469" i="17"/>
  <c r="I468" i="17"/>
  <c r="I465" i="17"/>
  <c r="I460" i="17"/>
  <c r="I459" i="17"/>
  <c r="I458" i="17"/>
  <c r="R480" i="17"/>
  <c r="I451" i="17"/>
  <c r="I450" i="17"/>
  <c r="I449" i="17"/>
  <c r="I448" i="17"/>
  <c r="I447" i="17"/>
  <c r="I445" i="17"/>
  <c r="F444" i="17"/>
  <c r="F452" i="17" s="1"/>
  <c r="R452" i="17" s="1"/>
  <c r="I443" i="17"/>
  <c r="I442" i="17"/>
  <c r="I436" i="17"/>
  <c r="I435" i="17"/>
  <c r="I434" i="17"/>
  <c r="I433" i="17"/>
  <c r="I432" i="17"/>
  <c r="I431" i="17"/>
  <c r="I430" i="17"/>
  <c r="I429" i="17"/>
  <c r="I426" i="17"/>
  <c r="I425" i="17"/>
  <c r="I424" i="17"/>
  <c r="I423" i="17"/>
  <c r="I422" i="17"/>
  <c r="H421" i="17"/>
  <c r="H437" i="17" s="1"/>
  <c r="G421" i="17"/>
  <c r="G437" i="17" s="1"/>
  <c r="S437" i="17" s="1"/>
  <c r="F421" i="17"/>
  <c r="F437" i="17" s="1"/>
  <c r="R437" i="17" s="1"/>
  <c r="I420" i="17"/>
  <c r="I419" i="17"/>
  <c r="I418" i="17"/>
  <c r="I417" i="17"/>
  <c r="M408" i="17"/>
  <c r="L408" i="17"/>
  <c r="K408" i="17"/>
  <c r="I407" i="17"/>
  <c r="I406" i="17"/>
  <c r="I405" i="17"/>
  <c r="I404" i="17"/>
  <c r="I403" i="17"/>
  <c r="H402" i="17"/>
  <c r="H408" i="17" s="1"/>
  <c r="G402" i="17"/>
  <c r="I401" i="17"/>
  <c r="F408" i="17"/>
  <c r="R408" i="17" s="1"/>
  <c r="I392" i="17"/>
  <c r="I391" i="17"/>
  <c r="I390" i="17"/>
  <c r="I389" i="17"/>
  <c r="H388" i="17"/>
  <c r="H393" i="17" s="1"/>
  <c r="G388" i="17"/>
  <c r="G393" i="17" s="1"/>
  <c r="S393" i="17" s="1"/>
  <c r="F388" i="17"/>
  <c r="I387" i="17"/>
  <c r="I386" i="17"/>
  <c r="I385" i="17"/>
  <c r="I384" i="17"/>
  <c r="I383" i="17"/>
  <c r="I382" i="17"/>
  <c r="I381" i="17"/>
  <c r="I380" i="17"/>
  <c r="I372" i="17"/>
  <c r="I371" i="17"/>
  <c r="I370" i="17"/>
  <c r="I369" i="17"/>
  <c r="I366" i="17"/>
  <c r="I365" i="17"/>
  <c r="I364" i="17"/>
  <c r="I363" i="17"/>
  <c r="H362" i="17"/>
  <c r="H373" i="17" s="1"/>
  <c r="G362" i="17"/>
  <c r="G373" i="17" s="1"/>
  <c r="S373" i="17" s="1"/>
  <c r="F362" i="17"/>
  <c r="F373" i="17" s="1"/>
  <c r="R373" i="17" s="1"/>
  <c r="I354" i="17"/>
  <c r="I353" i="17"/>
  <c r="I351" i="17"/>
  <c r="I350" i="17"/>
  <c r="I348" i="17"/>
  <c r="I347" i="17"/>
  <c r="H346" i="17"/>
  <c r="H355" i="17" s="1"/>
  <c r="G346" i="17"/>
  <c r="F346" i="17"/>
  <c r="F355" i="17" s="1"/>
  <c r="R355" i="17" s="1"/>
  <c r="H341" i="17"/>
  <c r="T341" i="17" s="1"/>
  <c r="G341" i="17"/>
  <c r="S341" i="17" s="1"/>
  <c r="I338" i="17"/>
  <c r="I337" i="17"/>
  <c r="I336" i="17"/>
  <c r="I335" i="17"/>
  <c r="I334" i="17"/>
  <c r="I333" i="17"/>
  <c r="I332" i="17"/>
  <c r="I331" i="17"/>
  <c r="F341" i="17"/>
  <c r="R341" i="17" s="1"/>
  <c r="I323" i="17"/>
  <c r="I321" i="17"/>
  <c r="I320" i="17"/>
  <c r="H319" i="17"/>
  <c r="H326" i="17" s="1"/>
  <c r="G319" i="17"/>
  <c r="G326" i="17" s="1"/>
  <c r="F319" i="17"/>
  <c r="F326" i="17" s="1"/>
  <c r="I318" i="17"/>
  <c r="I317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7" i="17"/>
  <c r="I296" i="17"/>
  <c r="I295" i="17"/>
  <c r="H294" i="17"/>
  <c r="G294" i="17"/>
  <c r="F294" i="17"/>
  <c r="I293" i="17"/>
  <c r="I292" i="17"/>
  <c r="I291" i="17"/>
  <c r="I290" i="17"/>
  <c r="I284" i="17"/>
  <c r="H285" i="17"/>
  <c r="G285" i="17"/>
  <c r="S285" i="17" s="1"/>
  <c r="I282" i="17"/>
  <c r="I281" i="17"/>
  <c r="I280" i="17"/>
  <c r="I279" i="17"/>
  <c r="I278" i="17"/>
  <c r="I277" i="17"/>
  <c r="F277" i="17"/>
  <c r="F285" i="17" s="1"/>
  <c r="R285" i="17" s="1"/>
  <c r="H272" i="17"/>
  <c r="T272" i="17" s="1"/>
  <c r="G272" i="17"/>
  <c r="S272" i="17" s="1"/>
  <c r="I269" i="17"/>
  <c r="I268" i="17"/>
  <c r="I267" i="17"/>
  <c r="I266" i="17"/>
  <c r="F272" i="17"/>
  <c r="R272" i="17" s="1"/>
  <c r="I265" i="17"/>
  <c r="I264" i="17"/>
  <c r="I263" i="17"/>
  <c r="I262" i="17"/>
  <c r="I255" i="17"/>
  <c r="I254" i="17"/>
  <c r="I253" i="17"/>
  <c r="I252" i="17"/>
  <c r="H251" i="17"/>
  <c r="H256" i="17" s="1"/>
  <c r="G251" i="17"/>
  <c r="G256" i="17" s="1"/>
  <c r="F251" i="17"/>
  <c r="I250" i="17"/>
  <c r="I249" i="17"/>
  <c r="I247" i="17"/>
  <c r="I246" i="17"/>
  <c r="F246" i="17"/>
  <c r="I245" i="17"/>
  <c r="I244" i="17"/>
  <c r="I243" i="17"/>
  <c r="I242" i="17"/>
  <c r="F242" i="17"/>
  <c r="I241" i="17"/>
  <c r="I240" i="17"/>
  <c r="I239" i="17"/>
  <c r="I238" i="17"/>
  <c r="I237" i="17"/>
  <c r="I234" i="17"/>
  <c r="I233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H209" i="17"/>
  <c r="G209" i="17"/>
  <c r="I200" i="17"/>
  <c r="I199" i="17"/>
  <c r="F199" i="17"/>
  <c r="I198" i="17"/>
  <c r="I196" i="17"/>
  <c r="I195" i="17"/>
  <c r="I193" i="17"/>
  <c r="I192" i="17"/>
  <c r="I191" i="17"/>
  <c r="I190" i="17"/>
  <c r="H189" i="17"/>
  <c r="H227" i="17" s="1"/>
  <c r="G189" i="17"/>
  <c r="G227" i="17" s="1"/>
  <c r="F189" i="17"/>
  <c r="I183" i="17"/>
  <c r="I182" i="17"/>
  <c r="I181" i="17"/>
  <c r="I180" i="17"/>
  <c r="I179" i="17"/>
  <c r="I178" i="17"/>
  <c r="F178" i="17"/>
  <c r="I177" i="17"/>
  <c r="I176" i="17"/>
  <c r="I175" i="17"/>
  <c r="I174" i="17"/>
  <c r="I173" i="17"/>
  <c r="H172" i="17"/>
  <c r="G172" i="17"/>
  <c r="F172" i="17"/>
  <c r="F184" i="17" s="1"/>
  <c r="I171" i="17"/>
  <c r="I170" i="17"/>
  <c r="I169" i="17"/>
  <c r="H168" i="17"/>
  <c r="G168" i="17"/>
  <c r="I167" i="17"/>
  <c r="I166" i="17"/>
  <c r="I159" i="17"/>
  <c r="I158" i="17"/>
  <c r="I157" i="17"/>
  <c r="I156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4" i="17"/>
  <c r="I133" i="17"/>
  <c r="I132" i="17"/>
  <c r="H131" i="17"/>
  <c r="G131" i="17"/>
  <c r="I130" i="17"/>
  <c r="I129" i="17"/>
  <c r="H128" i="17"/>
  <c r="H160" i="17" s="1"/>
  <c r="G128" i="17"/>
  <c r="G160" i="17" s="1"/>
  <c r="F128" i="17"/>
  <c r="F160" i="17" s="1"/>
  <c r="I122" i="17"/>
  <c r="I121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1" i="17"/>
  <c r="I100" i="17"/>
  <c r="F99" i="17"/>
  <c r="F123" i="17" s="1"/>
  <c r="I98" i="17"/>
  <c r="I97" i="17"/>
  <c r="I89" i="17"/>
  <c r="I88" i="17"/>
  <c r="I86" i="17"/>
  <c r="F85" i="17"/>
  <c r="I84" i="17"/>
  <c r="I83" i="17"/>
  <c r="I82" i="17"/>
  <c r="H81" i="17"/>
  <c r="G81" i="17"/>
  <c r="F81" i="17"/>
  <c r="I80" i="17"/>
  <c r="I79" i="17"/>
  <c r="I78" i="17"/>
  <c r="I77" i="17"/>
  <c r="I76" i="17"/>
  <c r="H75" i="17"/>
  <c r="G75" i="17"/>
  <c r="F75" i="17"/>
  <c r="I74" i="17"/>
  <c r="I66" i="17"/>
  <c r="I64" i="17"/>
  <c r="I63" i="17"/>
  <c r="H62" i="17"/>
  <c r="G62" i="17"/>
  <c r="F62" i="17"/>
  <c r="I61" i="17"/>
  <c r="I60" i="17"/>
  <c r="I59" i="17"/>
  <c r="I58" i="17"/>
  <c r="I52" i="17"/>
  <c r="I50" i="17"/>
  <c r="H49" i="17"/>
  <c r="G49" i="17"/>
  <c r="F49" i="17"/>
  <c r="I48" i="17"/>
  <c r="I47" i="17"/>
  <c r="I46" i="17"/>
  <c r="H45" i="17"/>
  <c r="G45" i="17"/>
  <c r="F45" i="17"/>
  <c r="I39" i="17"/>
  <c r="I37" i="17"/>
  <c r="I36" i="17"/>
  <c r="I35" i="17"/>
  <c r="I34" i="17"/>
  <c r="H33" i="17"/>
  <c r="G33" i="17"/>
  <c r="F33" i="17"/>
  <c r="F40" i="17" s="1"/>
  <c r="R40" i="17" s="1"/>
  <c r="R28" i="17"/>
  <c r="I27" i="17"/>
  <c r="I26" i="17"/>
  <c r="I25" i="17"/>
  <c r="I24" i="17"/>
  <c r="I23" i="17"/>
  <c r="I22" i="17"/>
  <c r="I19" i="17"/>
  <c r="I18" i="17"/>
  <c r="I17" i="17"/>
  <c r="H16" i="17"/>
  <c r="G16" i="17"/>
  <c r="I15" i="17"/>
  <c r="I14" i="17"/>
  <c r="I13" i="17"/>
  <c r="H12" i="17"/>
  <c r="G12" i="17"/>
  <c r="V2593" i="17" l="1"/>
  <c r="G2569" i="17"/>
  <c r="S2569" i="17" s="1"/>
  <c r="H2525" i="17"/>
  <c r="T2525" i="17" s="1"/>
  <c r="G2525" i="17"/>
  <c r="S2525" i="17" s="1"/>
  <c r="F2437" i="17"/>
  <c r="R2437" i="17" s="1"/>
  <c r="G2453" i="17"/>
  <c r="I2453" i="17" s="1"/>
  <c r="G2425" i="17"/>
  <c r="S2425" i="17" s="1"/>
  <c r="G2263" i="17"/>
  <c r="S2263" i="17" s="1"/>
  <c r="G2152" i="17"/>
  <c r="S2152" i="17" s="1"/>
  <c r="H2152" i="17"/>
  <c r="H1927" i="17"/>
  <c r="G1927" i="17"/>
  <c r="S1927" i="17" s="1"/>
  <c r="G1702" i="17"/>
  <c r="S1702" i="17" s="1"/>
  <c r="G1673" i="17"/>
  <c r="S1673" i="17" s="1"/>
  <c r="H1702" i="17"/>
  <c r="T1702" i="17" s="1"/>
  <c r="F1702" i="17"/>
  <c r="R1702" i="17" s="1"/>
  <c r="H1673" i="17"/>
  <c r="G1389" i="17"/>
  <c r="S1389" i="17" s="1"/>
  <c r="G1428" i="17"/>
  <c r="S1428" i="17" s="1"/>
  <c r="H1389" i="17"/>
  <c r="H1428" i="17"/>
  <c r="T1428" i="17" s="1"/>
  <c r="H1371" i="17"/>
  <c r="G1371" i="17"/>
  <c r="S1371" i="17" s="1"/>
  <c r="F1327" i="17"/>
  <c r="R1327" i="17" s="1"/>
  <c r="G1327" i="17"/>
  <c r="S1327" i="17" s="1"/>
  <c r="H1327" i="17"/>
  <c r="H1203" i="17"/>
  <c r="T1203" i="17" s="1"/>
  <c r="G1238" i="17"/>
  <c r="S1238" i="17" s="1"/>
  <c r="G1203" i="17"/>
  <c r="S1203" i="17" s="1"/>
  <c r="G1107" i="17"/>
  <c r="S1107" i="17" s="1"/>
  <c r="H1107" i="17"/>
  <c r="T1107" i="17" s="1"/>
  <c r="F1070" i="17"/>
  <c r="R1070" i="17" s="1"/>
  <c r="G1070" i="17"/>
  <c r="S1070" i="17" s="1"/>
  <c r="H1070" i="17"/>
  <c r="T1070" i="17" s="1"/>
  <c r="G969" i="17"/>
  <c r="S969" i="17" s="1"/>
  <c r="F969" i="17"/>
  <c r="R969" i="17" s="1"/>
  <c r="H969" i="17"/>
  <c r="H1000" i="17"/>
  <c r="T1000" i="17" s="1"/>
  <c r="G933" i="17"/>
  <c r="S933" i="17" s="1"/>
  <c r="H933" i="17"/>
  <c r="F933" i="17"/>
  <c r="R933" i="17" s="1"/>
  <c r="H823" i="17"/>
  <c r="H802" i="17"/>
  <c r="G823" i="17"/>
  <c r="S823" i="17" s="1"/>
  <c r="G802" i="17"/>
  <c r="S802" i="17" s="1"/>
  <c r="H703" i="17"/>
  <c r="T703" i="17" s="1"/>
  <c r="F703" i="17"/>
  <c r="R703" i="17" s="1"/>
  <c r="G703" i="17"/>
  <c r="S703" i="17" s="1"/>
  <c r="H682" i="17"/>
  <c r="G682" i="17"/>
  <c r="S682" i="17" s="1"/>
  <c r="G589" i="17"/>
  <c r="S589" i="17" s="1"/>
  <c r="R646" i="17"/>
  <c r="F615" i="17"/>
  <c r="R615" i="17" s="1"/>
  <c r="H615" i="17"/>
  <c r="T615" i="17" s="1"/>
  <c r="H589" i="17"/>
  <c r="T589" i="17" s="1"/>
  <c r="F589" i="17"/>
  <c r="R589" i="17" s="1"/>
  <c r="G518" i="17"/>
  <c r="S518" i="17" s="1"/>
  <c r="F518" i="17"/>
  <c r="R518" i="17" s="1"/>
  <c r="H518" i="17"/>
  <c r="T518" i="17" s="1"/>
  <c r="G718" i="17"/>
  <c r="S718" i="17" s="1"/>
  <c r="F1750" i="17"/>
  <c r="R1750" i="17" s="1"/>
  <c r="S123" i="17"/>
  <c r="H40" i="17"/>
  <c r="T40" i="17" s="1"/>
  <c r="T1147" i="17"/>
  <c r="S1298" i="17"/>
  <c r="F1428" i="17"/>
  <c r="R1428" i="17" s="1"/>
  <c r="S1470" i="17"/>
  <c r="G1484" i="17"/>
  <c r="S1484" i="17" s="1"/>
  <c r="S1846" i="17"/>
  <c r="S480" i="17"/>
  <c r="H718" i="17"/>
  <c r="T718" i="17" s="1"/>
  <c r="F1238" i="17"/>
  <c r="R1238" i="17" s="1"/>
  <c r="S1606" i="17"/>
  <c r="G1750" i="17"/>
  <c r="S1750" i="17" s="1"/>
  <c r="T480" i="17"/>
  <c r="S1452" i="17"/>
  <c r="F1727" i="17"/>
  <c r="R1727" i="17" s="1"/>
  <c r="H1961" i="17"/>
  <c r="T1961" i="17" s="1"/>
  <c r="G309" i="18"/>
  <c r="H261" i="18"/>
  <c r="G261" i="18"/>
  <c r="G184" i="18"/>
  <c r="G319" i="18"/>
  <c r="H338" i="18"/>
  <c r="I338" i="18" s="1"/>
  <c r="H319" i="18"/>
  <c r="I222" i="18"/>
  <c r="I247" i="18"/>
  <c r="G382" i="18"/>
  <c r="H328" i="18"/>
  <c r="I326" i="18"/>
  <c r="I368" i="18"/>
  <c r="IV368" i="18" s="1"/>
  <c r="IV370" i="18" s="1"/>
  <c r="I376" i="18"/>
  <c r="IV376" i="18" s="1"/>
  <c r="IV382" i="18" s="1"/>
  <c r="I378" i="18"/>
  <c r="IV378" i="18" s="1"/>
  <c r="H393" i="18"/>
  <c r="I390" i="18"/>
  <c r="IV390" i="18" s="1"/>
  <c r="I446" i="18"/>
  <c r="I23" i="18"/>
  <c r="I21" i="18"/>
  <c r="H103" i="18"/>
  <c r="I97" i="18"/>
  <c r="I124" i="18"/>
  <c r="G150" i="18"/>
  <c r="I146" i="18"/>
  <c r="G168" i="18"/>
  <c r="I158" i="18"/>
  <c r="I164" i="18"/>
  <c r="I176" i="18"/>
  <c r="I180" i="18"/>
  <c r="I193" i="18"/>
  <c r="I202" i="18"/>
  <c r="I207" i="18"/>
  <c r="I211" i="18"/>
  <c r="I257" i="18"/>
  <c r="H309" i="18"/>
  <c r="I303" i="18"/>
  <c r="IV303" i="18" s="1"/>
  <c r="I401" i="18"/>
  <c r="G34" i="18"/>
  <c r="I34" i="18" s="1"/>
  <c r="I40" i="18"/>
  <c r="I74" i="18"/>
  <c r="H382" i="18"/>
  <c r="I432" i="18"/>
  <c r="I43" i="18"/>
  <c r="I66" i="18"/>
  <c r="I85" i="18"/>
  <c r="G103" i="18"/>
  <c r="I101" i="18"/>
  <c r="I109" i="18"/>
  <c r="I140" i="18"/>
  <c r="I161" i="18"/>
  <c r="I166" i="18"/>
  <c r="I182" i="18"/>
  <c r="I190" i="18"/>
  <c r="H213" i="18"/>
  <c r="I204" i="18"/>
  <c r="I209" i="18"/>
  <c r="G213" i="18"/>
  <c r="I219" i="18"/>
  <c r="I240" i="18"/>
  <c r="I296" i="18"/>
  <c r="I301" i="18"/>
  <c r="IV301" i="18" s="1"/>
  <c r="IV309" i="18" s="1"/>
  <c r="G328" i="18"/>
  <c r="G393" i="18"/>
  <c r="I413" i="18"/>
  <c r="IV413" i="18" s="1"/>
  <c r="IV416" i="18" s="1"/>
  <c r="R123" i="17"/>
  <c r="G1000" i="17"/>
  <c r="S1000" i="17" s="1"/>
  <c r="H665" i="17"/>
  <c r="T665" i="17" s="1"/>
  <c r="F1000" i="17"/>
  <c r="R1000" i="17" s="1"/>
  <c r="U2593" i="17"/>
  <c r="G90" i="17"/>
  <c r="S90" i="17" s="1"/>
  <c r="G355" i="17"/>
  <c r="S355" i="17" s="1"/>
  <c r="G40" i="17"/>
  <c r="S40" i="17" s="1"/>
  <c r="G408" i="17"/>
  <c r="S408" i="17" s="1"/>
  <c r="S548" i="17"/>
  <c r="T123" i="17"/>
  <c r="L2592" i="17"/>
  <c r="F90" i="17"/>
  <c r="R90" i="17" s="1"/>
  <c r="H90" i="17"/>
  <c r="T90" i="17" s="1"/>
  <c r="I73" i="17"/>
  <c r="I81" i="17"/>
  <c r="I104" i="17"/>
  <c r="T160" i="17"/>
  <c r="I131" i="17"/>
  <c r="H452" i="17"/>
  <c r="T452" i="17" s="1"/>
  <c r="I322" i="17"/>
  <c r="I489" i="17"/>
  <c r="I496" i="17"/>
  <c r="I699" i="17"/>
  <c r="I819" i="17"/>
  <c r="G890" i="17"/>
  <c r="S890" i="17" s="1"/>
  <c r="I886" i="17"/>
  <c r="I1145" i="17"/>
  <c r="H1164" i="17"/>
  <c r="T1164" i="17" s="1"/>
  <c r="H1341" i="17"/>
  <c r="T1341" i="17" s="1"/>
  <c r="I1337" i="17"/>
  <c r="I1358" i="17"/>
  <c r="F1371" i="17"/>
  <c r="R1371" i="17" s="1"/>
  <c r="R1389" i="17"/>
  <c r="I1404" i="17"/>
  <c r="I1438" i="17"/>
  <c r="I1461" i="17"/>
  <c r="G1508" i="17"/>
  <c r="S1508" i="17" s="1"/>
  <c r="I1494" i="17"/>
  <c r="I1503" i="17"/>
  <c r="H1522" i="17"/>
  <c r="T1522" i="17" s="1"/>
  <c r="I1518" i="17"/>
  <c r="G1553" i="17"/>
  <c r="S1553" i="17" s="1"/>
  <c r="F1553" i="17"/>
  <c r="R1553" i="17" s="1"/>
  <c r="I1537" i="17"/>
  <c r="G1568" i="17"/>
  <c r="S1568" i="17" s="1"/>
  <c r="R1606" i="17"/>
  <c r="I1725" i="17"/>
  <c r="I1736" i="17"/>
  <c r="I1745" i="17"/>
  <c r="S1780" i="17"/>
  <c r="F1780" i="17"/>
  <c r="R1780" i="17" s="1"/>
  <c r="I1774" i="17"/>
  <c r="G1807" i="17"/>
  <c r="S1807" i="17" s="1"/>
  <c r="F1894" i="17"/>
  <c r="R1894" i="17" s="1"/>
  <c r="F1927" i="17"/>
  <c r="R1927" i="17" s="1"/>
  <c r="I1917" i="17"/>
  <c r="I1947" i="17"/>
  <c r="G1988" i="17"/>
  <c r="S1988" i="17" s="1"/>
  <c r="I2137" i="17"/>
  <c r="G2209" i="17"/>
  <c r="S2209" i="17" s="1"/>
  <c r="F2209" i="17"/>
  <c r="R2209" i="17" s="1"/>
  <c r="I2190" i="17"/>
  <c r="I2202" i="17"/>
  <c r="I2215" i="17"/>
  <c r="I2374" i="17"/>
  <c r="I2386" i="17"/>
  <c r="G28" i="17"/>
  <c r="S28" i="17" s="1"/>
  <c r="I16" i="17"/>
  <c r="G53" i="17"/>
  <c r="S53" i="17" s="1"/>
  <c r="I49" i="17"/>
  <c r="I168" i="17"/>
  <c r="I194" i="17"/>
  <c r="I236" i="17"/>
  <c r="T256" i="17"/>
  <c r="H312" i="17"/>
  <c r="T312" i="17" s="1"/>
  <c r="I298" i="17"/>
  <c r="I349" i="17"/>
  <c r="I402" i="17"/>
  <c r="I444" i="17"/>
  <c r="R548" i="17"/>
  <c r="I529" i="17"/>
  <c r="G566" i="17"/>
  <c r="S566" i="17" s="1"/>
  <c r="I560" i="17"/>
  <c r="I581" i="17"/>
  <c r="I630" i="17"/>
  <c r="I676" i="17"/>
  <c r="I712" i="17"/>
  <c r="G742" i="17"/>
  <c r="S742" i="17" s="1"/>
  <c r="I740" i="17"/>
  <c r="F759" i="17"/>
  <c r="R759" i="17" s="1"/>
  <c r="H759" i="17"/>
  <c r="T759" i="17" s="1"/>
  <c r="S775" i="17"/>
  <c r="I769" i="17"/>
  <c r="I790" i="17"/>
  <c r="F802" i="17"/>
  <c r="R802" i="17" s="1"/>
  <c r="S850" i="17"/>
  <c r="F875" i="17"/>
  <c r="R875" i="17" s="1"/>
  <c r="G875" i="17"/>
  <c r="S875" i="17" s="1"/>
  <c r="I871" i="17"/>
  <c r="I911" i="17"/>
  <c r="I959" i="17"/>
  <c r="I995" i="17"/>
  <c r="F1025" i="17"/>
  <c r="R1025" i="17" s="1"/>
  <c r="H1025" i="17"/>
  <c r="T1025" i="17" s="1"/>
  <c r="I1013" i="17"/>
  <c r="I1017" i="17"/>
  <c r="I1030" i="17"/>
  <c r="F1107" i="17"/>
  <c r="R1107" i="17" s="1"/>
  <c r="I1085" i="17"/>
  <c r="I1095" i="17"/>
  <c r="S1131" i="17"/>
  <c r="I1125" i="17"/>
  <c r="G1164" i="17"/>
  <c r="S1164" i="17" s="1"/>
  <c r="I1181" i="17"/>
  <c r="I1231" i="17"/>
  <c r="F1267" i="17"/>
  <c r="R1267" i="17" s="1"/>
  <c r="I1251" i="17"/>
  <c r="I1273" i="17"/>
  <c r="I1306" i="17"/>
  <c r="I1387" i="17"/>
  <c r="H1568" i="17"/>
  <c r="T1568" i="17" s="1"/>
  <c r="H1583" i="17"/>
  <c r="T1583" i="17" s="1"/>
  <c r="I1579" i="17"/>
  <c r="I1597" i="17"/>
  <c r="I1630" i="17"/>
  <c r="I1655" i="17"/>
  <c r="I1688" i="17"/>
  <c r="H1807" i="17"/>
  <c r="J1846" i="17"/>
  <c r="I1822" i="17"/>
  <c r="I1861" i="17"/>
  <c r="H1988" i="17"/>
  <c r="T1988" i="17" s="1"/>
  <c r="I2028" i="17"/>
  <c r="I2056" i="17"/>
  <c r="I2073" i="17"/>
  <c r="H2087" i="17"/>
  <c r="T2087" i="17" s="1"/>
  <c r="I2083" i="17"/>
  <c r="I2093" i="17"/>
  <c r="I2102" i="17"/>
  <c r="I2295" i="17"/>
  <c r="T227" i="17"/>
  <c r="F256" i="17"/>
  <c r="R256" i="17" s="1"/>
  <c r="G615" i="17"/>
  <c r="S615" i="17" s="1"/>
  <c r="G759" i="17"/>
  <c r="S759" i="17" s="1"/>
  <c r="I12" i="17"/>
  <c r="I38" i="17"/>
  <c r="F53" i="17"/>
  <c r="R53" i="17" s="1"/>
  <c r="H53" i="17"/>
  <c r="T53" i="17" s="1"/>
  <c r="I51" i="17"/>
  <c r="I65" i="17"/>
  <c r="I75" i="17"/>
  <c r="I85" i="17"/>
  <c r="I128" i="17"/>
  <c r="R160" i="17"/>
  <c r="I165" i="17"/>
  <c r="R184" i="17"/>
  <c r="H184" i="17"/>
  <c r="T184" i="17" s="1"/>
  <c r="I189" i="17"/>
  <c r="I197" i="17"/>
  <c r="F227" i="17"/>
  <c r="R227" i="17" s="1"/>
  <c r="S256" i="17"/>
  <c r="F312" i="17"/>
  <c r="R312" i="17" s="1"/>
  <c r="I294" i="17"/>
  <c r="F393" i="17"/>
  <c r="R393" i="17" s="1"/>
  <c r="I446" i="17"/>
  <c r="I492" i="17"/>
  <c r="I541" i="17"/>
  <c r="H566" i="17"/>
  <c r="I564" i="17"/>
  <c r="I585" i="17"/>
  <c r="I607" i="17"/>
  <c r="T646" i="17"/>
  <c r="S646" i="17"/>
  <c r="G665" i="17"/>
  <c r="S665" i="17" s="1"/>
  <c r="F742" i="17"/>
  <c r="R742" i="17" s="1"/>
  <c r="H742" i="17"/>
  <c r="T742" i="17" s="1"/>
  <c r="I732" i="17"/>
  <c r="I751" i="17"/>
  <c r="I757" i="17"/>
  <c r="F775" i="17"/>
  <c r="R775" i="17" s="1"/>
  <c r="H775" i="17"/>
  <c r="I773" i="17"/>
  <c r="I786" i="17"/>
  <c r="I792" i="17"/>
  <c r="I813" i="17"/>
  <c r="I842" i="17"/>
  <c r="I861" i="17"/>
  <c r="I907" i="17"/>
  <c r="I919" i="17"/>
  <c r="I944" i="17"/>
  <c r="I954" i="17"/>
  <c r="I964" i="17"/>
  <c r="I989" i="17"/>
  <c r="G1025" i="17"/>
  <c r="S1025" i="17" s="1"/>
  <c r="I1040" i="17"/>
  <c r="I1065" i="17"/>
  <c r="I1089" i="17"/>
  <c r="I1100" i="17"/>
  <c r="T1131" i="17"/>
  <c r="I1129" i="17"/>
  <c r="S1147" i="17"/>
  <c r="I1158" i="17"/>
  <c r="F1203" i="17"/>
  <c r="R1203" i="17" s="1"/>
  <c r="I1177" i="17"/>
  <c r="I1184" i="17"/>
  <c r="I1225" i="17"/>
  <c r="F1147" i="17"/>
  <c r="R1147" i="17" s="1"/>
  <c r="G1894" i="17"/>
  <c r="S1894" i="17" s="1"/>
  <c r="G2012" i="17"/>
  <c r="K2012" i="17" s="1"/>
  <c r="F2181" i="17"/>
  <c r="R2181" i="17" s="1"/>
  <c r="H2181" i="17"/>
  <c r="T2181" i="17" s="1"/>
  <c r="G1267" i="17"/>
  <c r="S1267" i="17" s="1"/>
  <c r="I1280" i="17"/>
  <c r="G1341" i="17"/>
  <c r="S1341" i="17" s="1"/>
  <c r="I1352" i="17"/>
  <c r="I1363" i="17"/>
  <c r="I1383" i="17"/>
  <c r="I1409" i="17"/>
  <c r="I1442" i="17"/>
  <c r="I1458" i="17"/>
  <c r="I1478" i="17"/>
  <c r="I1490" i="17"/>
  <c r="F1508" i="17"/>
  <c r="R1508" i="17" s="1"/>
  <c r="I1498" i="17"/>
  <c r="G1522" i="17"/>
  <c r="S1522" i="17" s="1"/>
  <c r="I1533" i="17"/>
  <c r="I1564" i="17"/>
  <c r="G1583" i="17"/>
  <c r="S1583" i="17" s="1"/>
  <c r="I1593" i="17"/>
  <c r="I1635" i="17"/>
  <c r="F1673" i="17"/>
  <c r="R1673" i="17" s="1"/>
  <c r="I1663" i="17"/>
  <c r="I1680" i="17"/>
  <c r="I1694" i="17"/>
  <c r="G1727" i="17"/>
  <c r="S1727" i="17" s="1"/>
  <c r="I1741" i="17"/>
  <c r="I1768" i="17"/>
  <c r="I1792" i="17"/>
  <c r="I1884" i="17"/>
  <c r="I1913" i="17"/>
  <c r="I1941" i="17"/>
  <c r="F1961" i="17"/>
  <c r="R1961" i="17" s="1"/>
  <c r="I1952" i="17"/>
  <c r="I1980" i="17"/>
  <c r="F2012" i="17"/>
  <c r="J2012" i="17" s="1"/>
  <c r="I2003" i="17"/>
  <c r="F2040" i="17"/>
  <c r="R2040" i="17" s="1"/>
  <c r="H2040" i="17"/>
  <c r="T2040" i="17" s="1"/>
  <c r="I2022" i="17"/>
  <c r="I2033" i="17"/>
  <c r="F2067" i="17"/>
  <c r="J2067" i="17" s="1"/>
  <c r="H2067" i="17"/>
  <c r="L2067" i="17" s="1"/>
  <c r="G2067" i="17"/>
  <c r="S2067" i="17" s="1"/>
  <c r="I2062" i="17"/>
  <c r="G2087" i="17"/>
  <c r="S2087" i="17" s="1"/>
  <c r="H2126" i="17"/>
  <c r="T2126" i="17" s="1"/>
  <c r="F2126" i="17"/>
  <c r="R2126" i="17" s="1"/>
  <c r="I2109" i="17"/>
  <c r="I2141" i="17"/>
  <c r="I2160" i="17"/>
  <c r="I2174" i="17"/>
  <c r="H2209" i="17"/>
  <c r="T2209" i="17" s="1"/>
  <c r="I2197" i="17"/>
  <c r="S2592" i="17"/>
  <c r="I55" i="18"/>
  <c r="I12" i="18"/>
  <c r="I10" i="18"/>
  <c r="I18" i="18"/>
  <c r="I32" i="18"/>
  <c r="H45" i="18"/>
  <c r="I45" i="18" s="1"/>
  <c r="I51" i="18"/>
  <c r="I94" i="18"/>
  <c r="H115" i="18"/>
  <c r="I115" i="18" s="1"/>
  <c r="I121" i="18"/>
  <c r="I130" i="18"/>
  <c r="I137" i="18"/>
  <c r="H150" i="18"/>
  <c r="H184" i="18"/>
  <c r="I174" i="18"/>
  <c r="I178" i="18"/>
  <c r="H195" i="18"/>
  <c r="I195" i="18" s="1"/>
  <c r="I237" i="18"/>
  <c r="I255" i="18"/>
  <c r="I267" i="18"/>
  <c r="I277" i="18"/>
  <c r="I285" i="18"/>
  <c r="I293" i="18"/>
  <c r="IV293" i="18" s="1"/>
  <c r="IV296" i="18" s="1"/>
  <c r="I314" i="18"/>
  <c r="IV314" i="18" s="1"/>
  <c r="IV319" i="18" s="1"/>
  <c r="I362" i="18"/>
  <c r="I29" i="18"/>
  <c r="I61" i="18"/>
  <c r="I70" i="18"/>
  <c r="I80" i="18"/>
  <c r="I91" i="18"/>
  <c r="H168" i="18"/>
  <c r="I156" i="18"/>
  <c r="H231" i="18"/>
  <c r="I231" i="18" s="1"/>
  <c r="I271" i="18"/>
  <c r="I279" i="18"/>
  <c r="I287" i="18"/>
  <c r="I324" i="18"/>
  <c r="IV324" i="18" s="1"/>
  <c r="IV328" i="18" s="1"/>
  <c r="I346" i="18"/>
  <c r="I354" i="18"/>
  <c r="I408" i="18"/>
  <c r="I334" i="18"/>
  <c r="IV334" i="18" s="1"/>
  <c r="IV338" i="18" s="1"/>
  <c r="I344" i="18"/>
  <c r="IV344" i="18" s="1"/>
  <c r="IV346" i="18" s="1"/>
  <c r="I352" i="18"/>
  <c r="IV352" i="18" s="1"/>
  <c r="IV354" i="18" s="1"/>
  <c r="I360" i="18"/>
  <c r="IV360" i="18" s="1"/>
  <c r="IV362" i="18" s="1"/>
  <c r="H370" i="18"/>
  <c r="I370" i="18" s="1"/>
  <c r="I387" i="18"/>
  <c r="IV387" i="18" s="1"/>
  <c r="IV393" i="18" s="1"/>
  <c r="I406" i="18"/>
  <c r="IV406" i="18" s="1"/>
  <c r="IV408" i="18" s="1"/>
  <c r="H416" i="18"/>
  <c r="I416" i="18" s="1"/>
  <c r="I437" i="18"/>
  <c r="IV437" i="18" s="1"/>
  <c r="IV439" i="18" s="1"/>
  <c r="I380" i="18"/>
  <c r="IV380" i="18" s="1"/>
  <c r="I398" i="18"/>
  <c r="IV398" i="18" s="1"/>
  <c r="IV401" i="18" s="1"/>
  <c r="I430" i="18"/>
  <c r="IV430" i="18" s="1"/>
  <c r="IV432" i="18" s="1"/>
  <c r="I439" i="18"/>
  <c r="I444" i="18"/>
  <c r="IV444" i="18" s="1"/>
  <c r="IV446" i="18" s="1"/>
  <c r="K326" i="17"/>
  <c r="S326" i="17"/>
  <c r="T408" i="17"/>
  <c r="I285" i="17"/>
  <c r="T285" i="17"/>
  <c r="R326" i="17"/>
  <c r="J326" i="17"/>
  <c r="T326" i="17"/>
  <c r="I326" i="17"/>
  <c r="L326" i="17"/>
  <c r="T355" i="17"/>
  <c r="I373" i="17"/>
  <c r="T373" i="17"/>
  <c r="I393" i="17"/>
  <c r="T393" i="17"/>
  <c r="T437" i="17"/>
  <c r="I437" i="17"/>
  <c r="T548" i="17"/>
  <c r="H28" i="17"/>
  <c r="I33" i="17"/>
  <c r="I45" i="17"/>
  <c r="I62" i="17"/>
  <c r="I99" i="17"/>
  <c r="S160" i="17"/>
  <c r="I172" i="17"/>
  <c r="G184" i="17"/>
  <c r="S184" i="17" s="1"/>
  <c r="I209" i="17"/>
  <c r="S227" i="17"/>
  <c r="I283" i="17"/>
  <c r="G312" i="17"/>
  <c r="S312" i="17" s="1"/>
  <c r="I341" i="17"/>
  <c r="I362" i="17"/>
  <c r="I400" i="17"/>
  <c r="I421" i="17"/>
  <c r="G452" i="17"/>
  <c r="S452" i="17" s="1"/>
  <c r="I556" i="17"/>
  <c r="I595" i="17"/>
  <c r="I625" i="17"/>
  <c r="I653" i="17"/>
  <c r="I672" i="17"/>
  <c r="I695" i="17"/>
  <c r="I708" i="17"/>
  <c r="I721" i="17"/>
  <c r="I747" i="17"/>
  <c r="I765" i="17"/>
  <c r="I782" i="17"/>
  <c r="R823" i="17"/>
  <c r="I836" i="17"/>
  <c r="H875" i="17"/>
  <c r="I857" i="17"/>
  <c r="I923" i="17"/>
  <c r="I251" i="17"/>
  <c r="I272" i="17"/>
  <c r="I319" i="17"/>
  <c r="I346" i="17"/>
  <c r="I388" i="17"/>
  <c r="I457" i="17"/>
  <c r="I526" i="17"/>
  <c r="I576" i="17"/>
  <c r="I601" i="17"/>
  <c r="I658" i="17"/>
  <c r="I728" i="17"/>
  <c r="I755" i="17"/>
  <c r="I809" i="17"/>
  <c r="H890" i="17"/>
  <c r="I882" i="17"/>
  <c r="I940" i="17"/>
  <c r="I948" i="17"/>
  <c r="I981" i="17"/>
  <c r="I1006" i="17"/>
  <c r="I1060" i="17"/>
  <c r="I1122" i="17"/>
  <c r="I1137" i="17"/>
  <c r="I1155" i="17"/>
  <c r="I1218" i="17"/>
  <c r="I1247" i="17"/>
  <c r="I1347" i="17"/>
  <c r="I1379" i="17"/>
  <c r="I1397" i="17"/>
  <c r="H1452" i="17"/>
  <c r="H1484" i="17"/>
  <c r="H1508" i="17"/>
  <c r="I1514" i="17"/>
  <c r="I1575" i="17"/>
  <c r="F1640" i="17"/>
  <c r="R1640" i="17" s="1"/>
  <c r="G1640" i="17"/>
  <c r="S1640" i="17" s="1"/>
  <c r="H1727" i="17"/>
  <c r="I1709" i="17"/>
  <c r="I1816" i="17"/>
  <c r="I1856" i="17"/>
  <c r="H1894" i="17"/>
  <c r="I1879" i="17"/>
  <c r="I1888" i="17"/>
  <c r="I1908" i="17"/>
  <c r="H2012" i="17"/>
  <c r="I1994" i="17"/>
  <c r="I986" i="17"/>
  <c r="I1078" i="17"/>
  <c r="I1141" i="17"/>
  <c r="H1238" i="17"/>
  <c r="I1212" i="17"/>
  <c r="H1267" i="17"/>
  <c r="I1244" i="17"/>
  <c r="I1303" i="17"/>
  <c r="I1334" i="17"/>
  <c r="I1432" i="17"/>
  <c r="I1474" i="17"/>
  <c r="I1528" i="17"/>
  <c r="H1553" i="17"/>
  <c r="I1560" i="17"/>
  <c r="I1590" i="17"/>
  <c r="H1640" i="17"/>
  <c r="I1622" i="17"/>
  <c r="I1650" i="17"/>
  <c r="I1720" i="17"/>
  <c r="H1750" i="17"/>
  <c r="I1762" i="17"/>
  <c r="I1786" i="17"/>
  <c r="H1846" i="17"/>
  <c r="J1869" i="17"/>
  <c r="S1869" i="17"/>
  <c r="I1976" i="17"/>
  <c r="G2040" i="17"/>
  <c r="S2040" i="17" s="1"/>
  <c r="I2052" i="17"/>
  <c r="W2073" i="17"/>
  <c r="I2079" i="17"/>
  <c r="I2233" i="17"/>
  <c r="T2233" i="17"/>
  <c r="T2263" i="17"/>
  <c r="I2323" i="17"/>
  <c r="T2323" i="17"/>
  <c r="I2355" i="17"/>
  <c r="T2355" i="17"/>
  <c r="I1922" i="17"/>
  <c r="G1961" i="17"/>
  <c r="S1961" i="17" s="1"/>
  <c r="I1937" i="17"/>
  <c r="I1999" i="17"/>
  <c r="I2018" i="17"/>
  <c r="T2243" i="17"/>
  <c r="I2243" i="17"/>
  <c r="T2275" i="17"/>
  <c r="I2275" i="17"/>
  <c r="T2332" i="17"/>
  <c r="I2332" i="17"/>
  <c r="T2367" i="17"/>
  <c r="I2367" i="17"/>
  <c r="I2098" i="17"/>
  <c r="G2126" i="17"/>
  <c r="S2126" i="17" s="1"/>
  <c r="I2168" i="17"/>
  <c r="G2181" i="17"/>
  <c r="S2181" i="17" s="1"/>
  <c r="I2186" i="17"/>
  <c r="G2219" i="17"/>
  <c r="S2219" i="17" s="1"/>
  <c r="I2239" i="17"/>
  <c r="I2252" i="17"/>
  <c r="I2270" i="17"/>
  <c r="I2288" i="17"/>
  <c r="S2301" i="17"/>
  <c r="I2312" i="17"/>
  <c r="I2327" i="17"/>
  <c r="I2343" i="17"/>
  <c r="I2362" i="17"/>
  <c r="G2379" i="17"/>
  <c r="T2547" i="17"/>
  <c r="I2547" i="17"/>
  <c r="T2584" i="17"/>
  <c r="I2584" i="17"/>
  <c r="I2133" i="17"/>
  <c r="I2228" i="17"/>
  <c r="I2256" i="17"/>
  <c r="I2318" i="17"/>
  <c r="I2350" i="17"/>
  <c r="H2391" i="17"/>
  <c r="I2411" i="17"/>
  <c r="T2411" i="17"/>
  <c r="T2425" i="17"/>
  <c r="I2437" i="17"/>
  <c r="T2437" i="17"/>
  <c r="T2453" i="17"/>
  <c r="I2465" i="17"/>
  <c r="T2465" i="17"/>
  <c r="I2478" i="17"/>
  <c r="T2478" i="17"/>
  <c r="I2489" i="17"/>
  <c r="T2489" i="17"/>
  <c r="T2500" i="17"/>
  <c r="I2500" i="17"/>
  <c r="I2537" i="17"/>
  <c r="T2537" i="17"/>
  <c r="I2569" i="17"/>
  <c r="T2569" i="17"/>
  <c r="R2592" i="17"/>
  <c r="J2592" i="17"/>
  <c r="I2511" i="17"/>
  <c r="I2542" i="17"/>
  <c r="I2557" i="17"/>
  <c r="I2574" i="17"/>
  <c r="I2531" i="17"/>
  <c r="I2564" i="17"/>
  <c r="I2589" i="17"/>
  <c r="I2425" i="17" l="1"/>
  <c r="I2525" i="17"/>
  <c r="I2263" i="17"/>
  <c r="S2453" i="17"/>
  <c r="I1807" i="17"/>
  <c r="I2152" i="17"/>
  <c r="I775" i="17"/>
  <c r="T2152" i="17"/>
  <c r="K1846" i="17"/>
  <c r="I480" i="17"/>
  <c r="I718" i="17"/>
  <c r="I1428" i="17"/>
  <c r="I408" i="17"/>
  <c r="I355" i="17"/>
  <c r="K184" i="18"/>
  <c r="I393" i="18"/>
  <c r="I319" i="18"/>
  <c r="I150" i="18"/>
  <c r="I103" i="18"/>
  <c r="I382" i="18"/>
  <c r="I168" i="18"/>
  <c r="I309" i="18"/>
  <c r="I249" i="18"/>
  <c r="I261" i="18"/>
  <c r="I328" i="18"/>
  <c r="I213" i="18"/>
  <c r="I1000" i="17"/>
  <c r="I759" i="17"/>
  <c r="I665" i="17"/>
  <c r="T2592" i="17"/>
  <c r="R2067" i="17"/>
  <c r="S2012" i="17"/>
  <c r="I1702" i="17"/>
  <c r="I1341" i="17"/>
  <c r="K2592" i="17"/>
  <c r="I2087" i="17"/>
  <c r="R2012" i="17"/>
  <c r="K2067" i="17"/>
  <c r="T1807" i="17"/>
  <c r="I589" i="17"/>
  <c r="I548" i="17"/>
  <c r="I703" i="17"/>
  <c r="I256" i="17"/>
  <c r="I2592" i="17"/>
  <c r="I40" i="17"/>
  <c r="I682" i="17"/>
  <c r="I566" i="17"/>
  <c r="I123" i="17"/>
  <c r="I1131" i="17"/>
  <c r="I2209" i="17"/>
  <c r="R1846" i="17"/>
  <c r="I742" i="17"/>
  <c r="I1164" i="17"/>
  <c r="I1988" i="17"/>
  <c r="I1568" i="17"/>
  <c r="I53" i="17"/>
  <c r="I615" i="17"/>
  <c r="I1107" i="17"/>
  <c r="I2301" i="17"/>
  <c r="I2219" i="17"/>
  <c r="T2067" i="17"/>
  <c r="I1203" i="17"/>
  <c r="I2067" i="17"/>
  <c r="I1147" i="17"/>
  <c r="I1025" i="17"/>
  <c r="T775" i="17"/>
  <c r="T682" i="17"/>
  <c r="T566" i="17"/>
  <c r="I160" i="17"/>
  <c r="I90" i="17"/>
  <c r="I646" i="17"/>
  <c r="I1583" i="17"/>
  <c r="I1522" i="17"/>
  <c r="I184" i="18"/>
  <c r="L184" i="18"/>
  <c r="I1780" i="17"/>
  <c r="T1780" i="17"/>
  <c r="I1750" i="17"/>
  <c r="T1750" i="17"/>
  <c r="T1640" i="17"/>
  <c r="I1640" i="17"/>
  <c r="I1961" i="17"/>
  <c r="I1927" i="17"/>
  <c r="T1927" i="17"/>
  <c r="T1869" i="17"/>
  <c r="I1869" i="17"/>
  <c r="L1869" i="17"/>
  <c r="T1727" i="17"/>
  <c r="I1727" i="17"/>
  <c r="I1673" i="17"/>
  <c r="T1673" i="17"/>
  <c r="I1508" i="17"/>
  <c r="T1508" i="17"/>
  <c r="I1452" i="17"/>
  <c r="T1452" i="17"/>
  <c r="I1389" i="17"/>
  <c r="T1389" i="17"/>
  <c r="I1371" i="17"/>
  <c r="T1371" i="17"/>
  <c r="I1070" i="17"/>
  <c r="T823" i="17"/>
  <c r="I823" i="17"/>
  <c r="I518" i="17"/>
  <c r="I452" i="17"/>
  <c r="I312" i="17"/>
  <c r="T28" i="17"/>
  <c r="I28" i="17"/>
  <c r="I184" i="17"/>
  <c r="I2391" i="17"/>
  <c r="T2391" i="17"/>
  <c r="L1846" i="17"/>
  <c r="I1846" i="17"/>
  <c r="T1846" i="17"/>
  <c r="I2379" i="17"/>
  <c r="S2379" i="17"/>
  <c r="I2181" i="17"/>
  <c r="I2126" i="17"/>
  <c r="I2040" i="17"/>
  <c r="I1606" i="17"/>
  <c r="T1606" i="17"/>
  <c r="I1553" i="17"/>
  <c r="T1553" i="17"/>
  <c r="I1470" i="17"/>
  <c r="T1470" i="17"/>
  <c r="I1327" i="17"/>
  <c r="T1327" i="17"/>
  <c r="I1298" i="17"/>
  <c r="T1298" i="17"/>
  <c r="T1267" i="17"/>
  <c r="I1267" i="17"/>
  <c r="T1238" i="17"/>
  <c r="I1238" i="17"/>
  <c r="L2012" i="17"/>
  <c r="T2012" i="17"/>
  <c r="I2012" i="17"/>
  <c r="T1894" i="17"/>
  <c r="I1894" i="17"/>
  <c r="T1484" i="17"/>
  <c r="I1484" i="17"/>
  <c r="W2593" i="17"/>
  <c r="T969" i="17"/>
  <c r="I969" i="17"/>
  <c r="I933" i="17"/>
  <c r="T933" i="17"/>
  <c r="T890" i="17"/>
  <c r="I890" i="17"/>
  <c r="I802" i="17"/>
  <c r="T802" i="17"/>
  <c r="T875" i="17"/>
  <c r="I875" i="17"/>
  <c r="T850" i="17"/>
  <c r="I850" i="17"/>
  <c r="I227" i="17"/>
  <c r="R2593" i="17" l="1"/>
  <c r="K446" i="18"/>
  <c r="K460" i="18" s="1"/>
  <c r="K462" i="18" s="1"/>
  <c r="S2593" i="17"/>
  <c r="S2600" i="17" s="1"/>
  <c r="S2610" i="17" s="1"/>
  <c r="L446" i="18"/>
  <c r="L460" i="18" s="1"/>
  <c r="L462" i="18" s="1"/>
  <c r="T2593" i="17"/>
  <c r="T2600" i="17" s="1"/>
  <c r="T2610" i="17" s="1"/>
  <c r="R2600" i="17" l="1"/>
  <c r="R2610" i="17" s="1"/>
  <c r="H67" i="20"/>
  <c r="H253" i="20" l="1"/>
  <c r="I248" i="20"/>
  <c r="D253" i="20"/>
  <c r="I253" i="20"/>
  <c r="C258" i="20"/>
  <c r="D258" i="20"/>
  <c r="I258" i="20"/>
  <c r="F245" i="20"/>
  <c r="G248" i="20"/>
  <c r="H248" i="20"/>
  <c r="H258" i="20"/>
  <c r="C248" i="20"/>
  <c r="D248" i="20"/>
  <c r="E253" i="20"/>
  <c r="G253" i="20"/>
  <c r="F260" i="20"/>
  <c r="F250" i="20"/>
  <c r="C253" i="20"/>
  <c r="G258" i="20"/>
  <c r="E248" i="20"/>
  <c r="F255" i="20"/>
  <c r="E258" i="20"/>
  <c r="F258" i="20" s="1"/>
  <c r="F253" i="20" l="1"/>
  <c r="F248" i="20"/>
  <c r="F239" i="20"/>
  <c r="H124" i="20"/>
  <c r="L270" i="20" l="1"/>
  <c r="L276" i="20"/>
  <c r="H121" i="7"/>
  <c r="H120" i="7"/>
  <c r="H113" i="7"/>
  <c r="H112" i="7"/>
  <c r="H109" i="7"/>
  <c r="H108" i="7"/>
  <c r="H58" i="7"/>
  <c r="E64" i="20"/>
  <c r="H62" i="7"/>
  <c r="H61" i="7"/>
  <c r="H52" i="7"/>
  <c r="H13" i="7"/>
  <c r="H12" i="7"/>
  <c r="H22" i="7"/>
  <c r="E153" i="7"/>
  <c r="H152" i="7"/>
  <c r="H151" i="7"/>
  <c r="L275" i="20" l="1"/>
  <c r="L274" i="20"/>
  <c r="L277" i="20" s="1"/>
  <c r="L278" i="20" s="1"/>
  <c r="F219" i="20"/>
  <c r="H214" i="7"/>
  <c r="H213" i="7"/>
  <c r="H211" i="7"/>
  <c r="H210" i="7"/>
  <c r="H209" i="7"/>
  <c r="F161" i="7"/>
  <c r="F218" i="7" s="1"/>
  <c r="E161" i="7"/>
  <c r="E218" i="7" s="1"/>
  <c r="G165" i="7"/>
  <c r="G181" i="7"/>
  <c r="H183" i="7"/>
  <c r="H180" i="7"/>
  <c r="G218" i="7" l="1"/>
  <c r="I181" i="7"/>
  <c r="J181" i="7"/>
  <c r="H247" i="7"/>
  <c r="H240" i="7"/>
  <c r="H239" i="7"/>
  <c r="H284" i="7"/>
  <c r="H283" i="7"/>
  <c r="H276" i="7"/>
  <c r="H272" i="7"/>
  <c r="F295" i="7" l="1"/>
  <c r="H280" i="7"/>
  <c r="G285" i="7"/>
  <c r="H64" i="15"/>
  <c r="H63" i="15"/>
  <c r="G13" i="15" l="1"/>
  <c r="F13" i="15"/>
  <c r="G142" i="15" l="1"/>
  <c r="F142" i="15"/>
  <c r="E142" i="15"/>
  <c r="F290" i="55" l="1"/>
  <c r="H124" i="55"/>
  <c r="H123" i="55"/>
  <c r="H122" i="55"/>
  <c r="H121" i="55"/>
  <c r="H115" i="55"/>
  <c r="H103" i="55"/>
  <c r="H102" i="55"/>
  <c r="G86" i="55"/>
  <c r="F86" i="55"/>
  <c r="G82" i="55"/>
  <c r="F82" i="55"/>
  <c r="G39" i="55"/>
  <c r="F39" i="55"/>
  <c r="H40" i="55"/>
  <c r="F29" i="55"/>
  <c r="G29" i="55"/>
  <c r="G17" i="55"/>
  <c r="F17" i="55"/>
  <c r="H18" i="55"/>
  <c r="J69" i="55" l="1"/>
  <c r="K69" i="55"/>
  <c r="F228" i="55"/>
  <c r="H227" i="55"/>
  <c r="G109" i="12" l="1"/>
  <c r="F109" i="12"/>
  <c r="G20" i="12"/>
  <c r="G29" i="12" s="1"/>
  <c r="F20" i="12"/>
  <c r="F29" i="12" s="1"/>
  <c r="F107" i="12" s="1"/>
  <c r="E20" i="12"/>
  <c r="E29" i="12" s="1"/>
  <c r="M111" i="12"/>
  <c r="L111" i="12"/>
  <c r="G98" i="12"/>
  <c r="F98" i="12"/>
  <c r="F73" i="12"/>
  <c r="F77" i="12" s="1"/>
  <c r="F79" i="12" s="1"/>
  <c r="H97" i="12"/>
  <c r="H95" i="12"/>
  <c r="G73" i="12"/>
  <c r="G77" i="12" s="1"/>
  <c r="G79" i="12" s="1"/>
  <c r="E73" i="12"/>
  <c r="E77" i="12" s="1"/>
  <c r="E79" i="12" s="1"/>
  <c r="H76" i="12"/>
  <c r="H75" i="12"/>
  <c r="H74" i="12"/>
  <c r="G593" i="13"/>
  <c r="F593" i="13"/>
  <c r="H74" i="13"/>
  <c r="H75" i="13"/>
  <c r="G53" i="13"/>
  <c r="F53" i="13"/>
  <c r="G49" i="13"/>
  <c r="F49" i="13"/>
  <c r="H48" i="13"/>
  <c r="G44" i="13"/>
  <c r="F44" i="13"/>
  <c r="F25" i="13"/>
  <c r="F19" i="13"/>
  <c r="G25" i="13"/>
  <c r="H28" i="13"/>
  <c r="G19" i="13"/>
  <c r="H23" i="13"/>
  <c r="F258" i="13"/>
  <c r="F264" i="13" s="1"/>
  <c r="F266" i="13" s="1"/>
  <c r="G241" i="13"/>
  <c r="F247" i="13"/>
  <c r="H244" i="13"/>
  <c r="K588" i="13"/>
  <c r="H575" i="13"/>
  <c r="G107" i="12" l="1"/>
  <c r="G66" i="13"/>
  <c r="L112" i="12"/>
  <c r="M110" i="12"/>
  <c r="M112" i="12" s="1"/>
  <c r="H77" i="12"/>
  <c r="H73" i="12"/>
  <c r="H593" i="13"/>
  <c r="H76" i="13"/>
  <c r="E348" i="13"/>
  <c r="H263" i="13"/>
  <c r="H261" i="13"/>
  <c r="G211" i="13"/>
  <c r="H214" i="13"/>
  <c r="G112" i="12" l="1"/>
  <c r="H79" i="12"/>
  <c r="F112" i="12"/>
  <c r="I272" i="20"/>
  <c r="H272" i="20"/>
  <c r="G272" i="20"/>
  <c r="E17" i="20" l="1"/>
  <c r="D17" i="20"/>
  <c r="C17" i="20"/>
  <c r="C16" i="20"/>
  <c r="E10" i="20"/>
  <c r="D10" i="20"/>
  <c r="C10" i="20"/>
  <c r="H82" i="24" l="1"/>
  <c r="H81" i="24"/>
  <c r="H119" i="24"/>
  <c r="G115" i="24"/>
  <c r="H108" i="24"/>
  <c r="H99" i="24"/>
  <c r="H98" i="24"/>
  <c r="H97" i="24"/>
  <c r="H96" i="24"/>
  <c r="H95" i="24"/>
  <c r="H94" i="24"/>
  <c r="H89" i="24"/>
  <c r="H87" i="24"/>
  <c r="H86" i="24"/>
  <c r="H85" i="24"/>
  <c r="H84" i="24"/>
  <c r="G35" i="24"/>
  <c r="F35" i="24"/>
  <c r="H32" i="24"/>
  <c r="G17" i="24"/>
  <c r="F17" i="24"/>
  <c r="E17" i="24"/>
  <c r="E53" i="24" s="1"/>
  <c r="H12" i="24"/>
  <c r="N38" i="10"/>
  <c r="M38" i="10"/>
  <c r="F53" i="24" l="1"/>
  <c r="G53" i="24"/>
  <c r="L122" i="24"/>
  <c r="K122" i="24"/>
  <c r="M122" i="24"/>
  <c r="H93" i="24"/>
  <c r="H83" i="24"/>
  <c r="F11" i="23"/>
  <c r="E11" i="23"/>
  <c r="G22" i="51"/>
  <c r="F22" i="51"/>
  <c r="G15" i="97"/>
  <c r="G21" i="97" s="1"/>
  <c r="F15" i="97"/>
  <c r="F21" i="97" s="1"/>
  <c r="E15" i="97"/>
  <c r="E21" i="97" s="1"/>
  <c r="E109" i="8"/>
  <c r="H106" i="8"/>
  <c r="H103" i="8"/>
  <c r="H102" i="8"/>
  <c r="H66" i="8"/>
  <c r="H65" i="8"/>
  <c r="H55" i="8"/>
  <c r="H53" i="8"/>
  <c r="H52" i="8"/>
  <c r="H51" i="8"/>
  <c r="H37" i="8"/>
  <c r="H38" i="8"/>
  <c r="H36" i="8"/>
  <c r="H19" i="8"/>
  <c r="H10" i="8" l="1"/>
  <c r="H58" i="9"/>
  <c r="H54" i="9"/>
  <c r="H50" i="9"/>
  <c r="H48" i="9"/>
  <c r="H38" i="9"/>
  <c r="H25" i="9"/>
  <c r="H23" i="9"/>
  <c r="H22" i="9"/>
  <c r="H15" i="9"/>
  <c r="H14" i="9"/>
  <c r="F87" i="9" l="1"/>
  <c r="F53" i="10"/>
  <c r="F52" i="10"/>
  <c r="G52" i="10"/>
  <c r="H46" i="10"/>
  <c r="H47" i="10" l="1"/>
  <c r="H21" i="10" l="1"/>
  <c r="G16" i="10"/>
  <c r="F16" i="10"/>
  <c r="E16" i="10"/>
  <c r="H128" i="54"/>
  <c r="H127" i="54"/>
  <c r="H104" i="54"/>
  <c r="H103" i="54"/>
  <c r="H102" i="54"/>
  <c r="H101" i="54"/>
  <c r="H100" i="54"/>
  <c r="G84" i="54"/>
  <c r="F84" i="54"/>
  <c r="K115" i="54" s="1"/>
  <c r="F117" i="54" s="1"/>
  <c r="H80" i="54"/>
  <c r="H79" i="54"/>
  <c r="E42" i="54"/>
  <c r="H51" i="54"/>
  <c r="H50" i="54"/>
  <c r="H48" i="54"/>
  <c r="E16" i="20"/>
  <c r="D16" i="20"/>
  <c r="F145" i="54" l="1"/>
  <c r="L115" i="54"/>
  <c r="G117" i="54" s="1"/>
  <c r="H26" i="10"/>
  <c r="H143" i="162"/>
  <c r="H145" i="162"/>
  <c r="H124" i="162"/>
  <c r="H110" i="162"/>
  <c r="G103" i="162"/>
  <c r="F103" i="162"/>
  <c r="H105" i="162"/>
  <c r="H104" i="162"/>
  <c r="G100" i="162"/>
  <c r="F100" i="162"/>
  <c r="H102" i="162"/>
  <c r="H101" i="162"/>
  <c r="H90" i="162"/>
  <c r="H89" i="162"/>
  <c r="H81" i="162"/>
  <c r="H80" i="162"/>
  <c r="H66" i="162"/>
  <c r="H65" i="162"/>
  <c r="G60" i="162"/>
  <c r="F60" i="162"/>
  <c r="H59" i="162"/>
  <c r="H58" i="162"/>
  <c r="H55" i="162"/>
  <c r="H53" i="162"/>
  <c r="H52" i="162"/>
  <c r="E37" i="162"/>
  <c r="H41" i="162"/>
  <c r="H40" i="162"/>
  <c r="G33" i="162"/>
  <c r="F33" i="162"/>
  <c r="E33" i="162"/>
  <c r="E147" i="162" l="1"/>
  <c r="G27" i="162"/>
  <c r="F27" i="162"/>
  <c r="H28" i="162"/>
  <c r="H32" i="162"/>
  <c r="H31" i="162"/>
  <c r="H26" i="162"/>
  <c r="G22" i="162"/>
  <c r="F22" i="162"/>
  <c r="H23" i="162"/>
  <c r="H18" i="162"/>
  <c r="H20" i="162"/>
  <c r="E174" i="162"/>
  <c r="H10" i="162"/>
  <c r="H11" i="162"/>
  <c r="H12" i="162"/>
  <c r="H13" i="162"/>
  <c r="H14" i="162"/>
  <c r="H15" i="162"/>
  <c r="H16" i="162"/>
  <c r="H17" i="162"/>
  <c r="H19" i="162"/>
  <c r="H24" i="162"/>
  <c r="H29" i="162"/>
  <c r="H30" i="162"/>
  <c r="H33" i="162"/>
  <c r="H34" i="162"/>
  <c r="H35" i="162"/>
  <c r="H36" i="162"/>
  <c r="H37" i="162"/>
  <c r="H44" i="162"/>
  <c r="H45" i="162"/>
  <c r="H46" i="162"/>
  <c r="H47" i="162"/>
  <c r="H48" i="162"/>
  <c r="H50" i="162"/>
  <c r="H51" i="162"/>
  <c r="H54" i="162"/>
  <c r="H57" i="162"/>
  <c r="H60" i="162"/>
  <c r="H61" i="162"/>
  <c r="H62" i="162"/>
  <c r="H63" i="162"/>
  <c r="H64" i="162"/>
  <c r="H74" i="162"/>
  <c r="H75" i="162"/>
  <c r="H76" i="162"/>
  <c r="H77" i="162"/>
  <c r="H78" i="162"/>
  <c r="H79" i="162"/>
  <c r="H82" i="162"/>
  <c r="H83" i="162"/>
  <c r="H84" i="162"/>
  <c r="H85" i="162"/>
  <c r="H86" i="162"/>
  <c r="H87" i="162"/>
  <c r="H88" i="162"/>
  <c r="H94" i="162"/>
  <c r="H97" i="162"/>
  <c r="H98" i="162"/>
  <c r="H99" i="162"/>
  <c r="H100" i="162"/>
  <c r="H103" i="162"/>
  <c r="H106" i="162"/>
  <c r="H113" i="162"/>
  <c r="H115" i="162"/>
  <c r="H118" i="162"/>
  <c r="H119" i="162"/>
  <c r="H120" i="162"/>
  <c r="H121" i="162"/>
  <c r="H122" i="162"/>
  <c r="H123" i="162"/>
  <c r="H125" i="162"/>
  <c r="H127" i="162"/>
  <c r="H128" i="162"/>
  <c r="H129" i="162"/>
  <c r="H132" i="162"/>
  <c r="H133" i="162"/>
  <c r="F134" i="162"/>
  <c r="K138" i="162" s="1"/>
  <c r="G134" i="162"/>
  <c r="L138" i="162" s="1"/>
  <c r="H136" i="162"/>
  <c r="H146" i="162"/>
  <c r="H157" i="162"/>
  <c r="H158" i="162"/>
  <c r="H160" i="162"/>
  <c r="H162" i="162"/>
  <c r="E168" i="162"/>
  <c r="C15" i="20" s="1"/>
  <c r="F168" i="162"/>
  <c r="D15" i="20" s="1"/>
  <c r="G168" i="162"/>
  <c r="E15" i="20" s="1"/>
  <c r="H169" i="162"/>
  <c r="K67" i="162" l="1"/>
  <c r="L67" i="162"/>
  <c r="G147" i="162" s="1"/>
  <c r="H27" i="162"/>
  <c r="H22" i="162"/>
  <c r="H168" i="162"/>
  <c r="H25" i="162"/>
  <c r="H134" i="162"/>
  <c r="E167" i="162"/>
  <c r="C14" i="20" s="1"/>
  <c r="F147" i="162" l="1"/>
  <c r="E166" i="162"/>
  <c r="G174" i="162"/>
  <c r="G167" i="162"/>
  <c r="E14" i="20" s="1"/>
  <c r="F81" i="52"/>
  <c r="H51" i="52"/>
  <c r="H49" i="52"/>
  <c r="H48" i="52"/>
  <c r="H47" i="52"/>
  <c r="H46" i="52"/>
  <c r="H34" i="52"/>
  <c r="H35" i="52"/>
  <c r="H37" i="52"/>
  <c r="H38" i="52"/>
  <c r="H39" i="52"/>
  <c r="G33" i="52"/>
  <c r="H147" i="162" l="1"/>
  <c r="F167" i="162"/>
  <c r="F166" i="162" s="1"/>
  <c r="F174" i="162"/>
  <c r="H174" i="162" s="1"/>
  <c r="D14" i="20"/>
  <c r="G52" i="52"/>
  <c r="G77" i="52" s="1"/>
  <c r="E8" i="20" s="1"/>
  <c r="G166" i="162"/>
  <c r="E81" i="52"/>
  <c r="E78" i="52"/>
  <c r="C9" i="20" s="1"/>
  <c r="F33" i="52"/>
  <c r="H31" i="52"/>
  <c r="H167" i="162" l="1"/>
  <c r="H166" i="162"/>
  <c r="F77" i="52"/>
  <c r="D8" i="20" s="1"/>
  <c r="F52" i="52"/>
  <c r="F84" i="52"/>
  <c r="F78" i="52"/>
  <c r="D9" i="20" s="1"/>
  <c r="E40" i="52"/>
  <c r="E77" i="52" l="1"/>
  <c r="E76" i="52" s="1"/>
  <c r="E52" i="52"/>
  <c r="F76" i="52"/>
  <c r="C8" i="20" l="1"/>
  <c r="G287" i="20"/>
  <c r="H287" i="20"/>
  <c r="I287" i="20"/>
  <c r="G288" i="20" l="1"/>
  <c r="E80" i="7"/>
  <c r="E126" i="7" s="1"/>
  <c r="K306" i="7" s="1"/>
  <c r="H85" i="7"/>
  <c r="H84" i="7"/>
  <c r="G68" i="7"/>
  <c r="K69" i="7" s="1"/>
  <c r="G126" i="7" s="1"/>
  <c r="F68" i="7"/>
  <c r="J69" i="7" s="1"/>
  <c r="F126" i="7" s="1"/>
  <c r="H67" i="7"/>
  <c r="H66" i="7"/>
  <c r="H37" i="7"/>
  <c r="H33" i="7"/>
  <c r="H28" i="7"/>
  <c r="G290" i="7"/>
  <c r="E63" i="20" s="1"/>
  <c r="F290" i="7"/>
  <c r="E290" i="7"/>
  <c r="C63" i="20" s="1"/>
  <c r="D71" i="20"/>
  <c r="H215" i="7"/>
  <c r="H212" i="7"/>
  <c r="G226" i="7"/>
  <c r="G229" i="7" s="1"/>
  <c r="M305" i="7" s="1"/>
  <c r="F226" i="7"/>
  <c r="F229" i="7" s="1"/>
  <c r="L305" i="7" s="1"/>
  <c r="H228" i="7"/>
  <c r="H195" i="7"/>
  <c r="H190" i="7"/>
  <c r="H188" i="7"/>
  <c r="H186" i="7"/>
  <c r="H173" i="7"/>
  <c r="D75" i="20"/>
  <c r="G256" i="7"/>
  <c r="F256" i="7"/>
  <c r="F260" i="7" s="1"/>
  <c r="H259" i="7"/>
  <c r="H245" i="7"/>
  <c r="E80" i="20"/>
  <c r="D80" i="20"/>
  <c r="G163" i="15"/>
  <c r="D122" i="20"/>
  <c r="E163" i="15"/>
  <c r="C122" i="20" s="1"/>
  <c r="G162" i="15"/>
  <c r="F162" i="15"/>
  <c r="D121" i="20" s="1"/>
  <c r="H49" i="15"/>
  <c r="H47" i="15"/>
  <c r="G41" i="15"/>
  <c r="E41" i="15"/>
  <c r="H38" i="15"/>
  <c r="H39" i="15"/>
  <c r="H36" i="15"/>
  <c r="H40" i="15"/>
  <c r="G10" i="15"/>
  <c r="F10" i="15"/>
  <c r="F56" i="15" s="1"/>
  <c r="E10" i="15"/>
  <c r="E127" i="20"/>
  <c r="G95" i="15"/>
  <c r="F95" i="15"/>
  <c r="F80" i="15"/>
  <c r="H78" i="15"/>
  <c r="E133" i="15"/>
  <c r="E141" i="15" s="1"/>
  <c r="G127" i="15"/>
  <c r="E118" i="15"/>
  <c r="E125" i="15" s="1"/>
  <c r="E127" i="15" s="1"/>
  <c r="F112" i="15"/>
  <c r="G92" i="15"/>
  <c r="F92" i="15"/>
  <c r="E290" i="55"/>
  <c r="C107" i="20" s="1"/>
  <c r="G267" i="55"/>
  <c r="G272" i="55" s="1"/>
  <c r="G274" i="55" s="1"/>
  <c r="F272" i="55"/>
  <c r="F274" i="55" s="1"/>
  <c r="E272" i="55"/>
  <c r="E274" i="55" s="1"/>
  <c r="H271" i="55"/>
  <c r="H269" i="55"/>
  <c r="E259" i="55"/>
  <c r="E261" i="55" s="1"/>
  <c r="G243" i="55"/>
  <c r="G245" i="55" s="1"/>
  <c r="F243" i="55"/>
  <c r="F245" i="55" s="1"/>
  <c r="E243" i="55"/>
  <c r="E245" i="55" s="1"/>
  <c r="G290" i="55"/>
  <c r="H290" i="55" s="1"/>
  <c r="D107" i="20"/>
  <c r="G130" i="55"/>
  <c r="F130" i="55"/>
  <c r="H117" i="55"/>
  <c r="E282" i="55"/>
  <c r="E285" i="55" s="1"/>
  <c r="H108" i="55"/>
  <c r="H101" i="55"/>
  <c r="H56" i="55"/>
  <c r="H45" i="55"/>
  <c r="H43" i="55"/>
  <c r="H35" i="55"/>
  <c r="H23" i="55"/>
  <c r="H22" i="55"/>
  <c r="H21" i="55"/>
  <c r="E108" i="12"/>
  <c r="C96" i="20" s="1"/>
  <c r="E109" i="12"/>
  <c r="C97" i="20" s="1"/>
  <c r="G108" i="12"/>
  <c r="E96" i="20" s="1"/>
  <c r="E107" i="12"/>
  <c r="C95" i="20" s="1"/>
  <c r="I244" i="20"/>
  <c r="I233" i="20"/>
  <c r="H233" i="20"/>
  <c r="G233" i="20"/>
  <c r="I222" i="20"/>
  <c r="H222" i="20"/>
  <c r="G222" i="20"/>
  <c r="I217" i="20"/>
  <c r="H217" i="20"/>
  <c r="H244" i="20"/>
  <c r="G244" i="20"/>
  <c r="H238" i="20"/>
  <c r="G238" i="20"/>
  <c r="G217" i="20"/>
  <c r="G207" i="20"/>
  <c r="H207" i="20"/>
  <c r="I207" i="20"/>
  <c r="I202" i="20"/>
  <c r="G202" i="20"/>
  <c r="I197" i="20"/>
  <c r="H197" i="20"/>
  <c r="G197" i="20"/>
  <c r="I183" i="20"/>
  <c r="H183" i="20"/>
  <c r="G183" i="20"/>
  <c r="I177" i="20"/>
  <c r="H177" i="20"/>
  <c r="M54" i="20"/>
  <c r="M53" i="20"/>
  <c r="M52" i="20"/>
  <c r="M51" i="20"/>
  <c r="M269" i="20" s="1"/>
  <c r="I168" i="20"/>
  <c r="H168" i="20"/>
  <c r="G168" i="20"/>
  <c r="I163" i="20"/>
  <c r="H163" i="20"/>
  <c r="G163" i="20"/>
  <c r="I156" i="20"/>
  <c r="H156" i="20"/>
  <c r="G156" i="20"/>
  <c r="E156" i="20"/>
  <c r="D156" i="20"/>
  <c r="C156" i="20"/>
  <c r="I146" i="20"/>
  <c r="E146" i="20"/>
  <c r="D146" i="20"/>
  <c r="C146" i="20"/>
  <c r="D141" i="20"/>
  <c r="C141" i="20"/>
  <c r="L593" i="13"/>
  <c r="H45" i="13"/>
  <c r="H43" i="13"/>
  <c r="H21" i="13"/>
  <c r="H17" i="13"/>
  <c r="H539" i="13"/>
  <c r="H541" i="13" s="1"/>
  <c r="G567" i="13"/>
  <c r="G573" i="13" s="1"/>
  <c r="F567" i="13"/>
  <c r="F573" i="13" s="1"/>
  <c r="F578" i="13" s="1"/>
  <c r="E567" i="13"/>
  <c r="E573" i="13" s="1"/>
  <c r="H572" i="13"/>
  <c r="G551" i="13"/>
  <c r="G554" i="13" s="1"/>
  <c r="G556" i="13" s="1"/>
  <c r="F551" i="13"/>
  <c r="F554" i="13" s="1"/>
  <c r="F556" i="13" s="1"/>
  <c r="E551" i="13"/>
  <c r="E554" i="13" s="1"/>
  <c r="E556" i="13" s="1"/>
  <c r="G535" i="13"/>
  <c r="G538" i="13" s="1"/>
  <c r="F535" i="13"/>
  <c r="E535" i="13"/>
  <c r="E538" i="13" s="1"/>
  <c r="G521" i="13"/>
  <c r="G524" i="13" s="1"/>
  <c r="G526" i="13" s="1"/>
  <c r="F521" i="13"/>
  <c r="F524" i="13" s="1"/>
  <c r="F526" i="13" s="1"/>
  <c r="E524" i="13"/>
  <c r="E526" i="13" s="1"/>
  <c r="G489" i="13"/>
  <c r="G492" i="13" s="1"/>
  <c r="F489" i="13"/>
  <c r="F492" i="13" s="1"/>
  <c r="F494" i="13" s="1"/>
  <c r="E489" i="13"/>
  <c r="E492" i="13" s="1"/>
  <c r="E494" i="13" s="1"/>
  <c r="G474" i="13"/>
  <c r="G477" i="13" s="1"/>
  <c r="G479" i="13" s="1"/>
  <c r="F474" i="13"/>
  <c r="F477" i="13" s="1"/>
  <c r="F479" i="13" s="1"/>
  <c r="E474" i="13"/>
  <c r="E477" i="13" s="1"/>
  <c r="E479" i="13" s="1"/>
  <c r="E459" i="13"/>
  <c r="E462" i="13" s="1"/>
  <c r="E464" i="13" s="1"/>
  <c r="G444" i="13"/>
  <c r="F444" i="13"/>
  <c r="F447" i="13" s="1"/>
  <c r="F449" i="13" s="1"/>
  <c r="E444" i="13"/>
  <c r="E447" i="13" s="1"/>
  <c r="E449" i="13" s="1"/>
  <c r="G429" i="13"/>
  <c r="G432" i="13" s="1"/>
  <c r="G434" i="13" s="1"/>
  <c r="F429" i="13"/>
  <c r="F432" i="13" s="1"/>
  <c r="F434" i="13" s="1"/>
  <c r="E432" i="13"/>
  <c r="E434" i="13" s="1"/>
  <c r="G414" i="13"/>
  <c r="G417" i="13" s="1"/>
  <c r="G419" i="13" s="1"/>
  <c r="F414" i="13"/>
  <c r="E414" i="13"/>
  <c r="E417" i="13" s="1"/>
  <c r="E419" i="13" s="1"/>
  <c r="G396" i="13"/>
  <c r="G399" i="13" s="1"/>
  <c r="F396" i="13"/>
  <c r="F399" i="13" s="1"/>
  <c r="E399" i="13"/>
  <c r="G382" i="13"/>
  <c r="G385" i="13" s="1"/>
  <c r="F382" i="13"/>
  <c r="F385" i="13" s="1"/>
  <c r="F387" i="13" s="1"/>
  <c r="E382" i="13"/>
  <c r="E385" i="13" s="1"/>
  <c r="E387" i="13" s="1"/>
  <c r="G363" i="13"/>
  <c r="G369" i="13" s="1"/>
  <c r="G374" i="13" s="1"/>
  <c r="F363" i="13"/>
  <c r="F369" i="13" s="1"/>
  <c r="F374" i="13" s="1"/>
  <c r="E363" i="13"/>
  <c r="E369" i="13" s="1"/>
  <c r="E374" i="13" s="1"/>
  <c r="G348" i="13"/>
  <c r="G351" i="13" s="1"/>
  <c r="G353" i="13" s="1"/>
  <c r="F348" i="13"/>
  <c r="F351" i="13" s="1"/>
  <c r="F353" i="13" s="1"/>
  <c r="G334" i="13"/>
  <c r="G337" i="13" s="1"/>
  <c r="F334" i="13"/>
  <c r="F337" i="13" s="1"/>
  <c r="E334" i="13"/>
  <c r="E339" i="13" s="1"/>
  <c r="G320" i="13"/>
  <c r="G323" i="13" s="1"/>
  <c r="G325" i="13" s="1"/>
  <c r="F320" i="13"/>
  <c r="E320" i="13"/>
  <c r="E323" i="13" s="1"/>
  <c r="E325" i="13" s="1"/>
  <c r="G306" i="13"/>
  <c r="G309" i="13" s="1"/>
  <c r="G311" i="13" s="1"/>
  <c r="F306" i="13"/>
  <c r="F309" i="13" s="1"/>
  <c r="F311" i="13" s="1"/>
  <c r="E306" i="13"/>
  <c r="E309" i="13" s="1"/>
  <c r="E311" i="13" s="1"/>
  <c r="G290" i="13"/>
  <c r="G296" i="13" s="1"/>
  <c r="G298" i="13" s="1"/>
  <c r="F290" i="13"/>
  <c r="F296" i="13" s="1"/>
  <c r="F298" i="13" s="1"/>
  <c r="E290" i="13"/>
  <c r="E296" i="13" s="1"/>
  <c r="E298" i="13" s="1"/>
  <c r="H277" i="13"/>
  <c r="E282" i="13"/>
  <c r="G258" i="13"/>
  <c r="G264" i="13" s="1"/>
  <c r="G266" i="13" s="1"/>
  <c r="E258" i="13"/>
  <c r="E264" i="13" s="1"/>
  <c r="E266" i="13" s="1"/>
  <c r="H246" i="13"/>
  <c r="H245" i="13"/>
  <c r="G247" i="13"/>
  <c r="H247" i="13" s="1"/>
  <c r="F249" i="13"/>
  <c r="E241" i="13"/>
  <c r="E247" i="13" s="1"/>
  <c r="E249" i="13" s="1"/>
  <c r="G227" i="13"/>
  <c r="G230" i="13" s="1"/>
  <c r="G232" i="13" s="1"/>
  <c r="F227" i="13"/>
  <c r="F230" i="13" s="1"/>
  <c r="F232" i="13" s="1"/>
  <c r="E227" i="13"/>
  <c r="E230" i="13" s="1"/>
  <c r="E232" i="13" s="1"/>
  <c r="G215" i="13"/>
  <c r="G217" i="13" s="1"/>
  <c r="F215" i="13"/>
  <c r="F217" i="13" s="1"/>
  <c r="E211" i="13"/>
  <c r="E215" i="13" s="1"/>
  <c r="E217" i="13" s="1"/>
  <c r="G197" i="13"/>
  <c r="G200" i="13" s="1"/>
  <c r="G202" i="13" s="1"/>
  <c r="F197" i="13"/>
  <c r="F200" i="13" s="1"/>
  <c r="F202" i="13" s="1"/>
  <c r="E197" i="13"/>
  <c r="E200" i="13" s="1"/>
  <c r="E202" i="13" s="1"/>
  <c r="G181" i="13"/>
  <c r="G184" i="13" s="1"/>
  <c r="G186" i="13" s="1"/>
  <c r="F181" i="13"/>
  <c r="F184" i="13" s="1"/>
  <c r="F186" i="13" s="1"/>
  <c r="E181" i="13"/>
  <c r="E184" i="13" s="1"/>
  <c r="E186" i="13" s="1"/>
  <c r="G167" i="13"/>
  <c r="G170" i="13" s="1"/>
  <c r="G172" i="13" s="1"/>
  <c r="F167" i="13"/>
  <c r="F170" i="13" s="1"/>
  <c r="F172" i="13" s="1"/>
  <c r="E167" i="13"/>
  <c r="E170" i="13" s="1"/>
  <c r="E172" i="13" s="1"/>
  <c r="G150" i="13"/>
  <c r="G153" i="13" s="1"/>
  <c r="G158" i="13" s="1"/>
  <c r="F150" i="13"/>
  <c r="F153" i="13" s="1"/>
  <c r="F158" i="13" s="1"/>
  <c r="E150" i="13"/>
  <c r="E153" i="13" s="1"/>
  <c r="E158" i="13" s="1"/>
  <c r="G136" i="13"/>
  <c r="F136" i="13"/>
  <c r="F139" i="13" s="1"/>
  <c r="F141" i="13" s="1"/>
  <c r="E136" i="13"/>
  <c r="E139" i="13" s="1"/>
  <c r="E141" i="13" s="1"/>
  <c r="G122" i="13"/>
  <c r="F122" i="13"/>
  <c r="F125" i="13" s="1"/>
  <c r="F127" i="13" s="1"/>
  <c r="E122" i="13"/>
  <c r="E125" i="13" s="1"/>
  <c r="E127" i="13" s="1"/>
  <c r="G102" i="13"/>
  <c r="G108" i="13" s="1"/>
  <c r="F102" i="13"/>
  <c r="F108" i="13" s="1"/>
  <c r="E102" i="13"/>
  <c r="E108" i="13" s="1"/>
  <c r="G89" i="13"/>
  <c r="G92" i="13" s="1"/>
  <c r="G94" i="13" s="1"/>
  <c r="F89" i="13"/>
  <c r="E89" i="13"/>
  <c r="E92" i="13" s="1"/>
  <c r="E94" i="13" s="1"/>
  <c r="M121" i="24"/>
  <c r="H117" i="24"/>
  <c r="H105" i="24"/>
  <c r="H101" i="24"/>
  <c r="H92" i="24"/>
  <c r="H39" i="24"/>
  <c r="H37" i="24"/>
  <c r="H27" i="24"/>
  <c r="H21" i="24"/>
  <c r="H19" i="24"/>
  <c r="F125" i="24"/>
  <c r="F25" i="97"/>
  <c r="H16" i="97"/>
  <c r="H35" i="8"/>
  <c r="H34" i="8"/>
  <c r="F114" i="8"/>
  <c r="H80" i="8"/>
  <c r="H79" i="8"/>
  <c r="H105" i="8"/>
  <c r="H104" i="8"/>
  <c r="H43" i="8"/>
  <c r="H42" i="8"/>
  <c r="H41" i="8"/>
  <c r="H40" i="8"/>
  <c r="H61" i="9"/>
  <c r="H56" i="9"/>
  <c r="H55" i="9"/>
  <c r="H45" i="9"/>
  <c r="H29" i="9"/>
  <c r="H28" i="9"/>
  <c r="G53" i="10"/>
  <c r="H53" i="10" s="1"/>
  <c r="E35" i="10"/>
  <c r="G31" i="10"/>
  <c r="F31" i="10"/>
  <c r="E31" i="10"/>
  <c r="E56" i="10" s="1"/>
  <c r="H19" i="10"/>
  <c r="G18" i="11"/>
  <c r="F18" i="11"/>
  <c r="H16" i="5"/>
  <c r="G21" i="5"/>
  <c r="G39" i="5" s="1"/>
  <c r="E25" i="20" s="1"/>
  <c r="F21" i="5"/>
  <c r="H13" i="5"/>
  <c r="I13" i="20"/>
  <c r="H90" i="54"/>
  <c r="H89" i="54"/>
  <c r="E77" i="54"/>
  <c r="J115" i="54" s="1"/>
  <c r="H40" i="52"/>
  <c r="E57" i="54"/>
  <c r="E53" i="54"/>
  <c r="H49" i="54"/>
  <c r="H47" i="54"/>
  <c r="I7" i="20"/>
  <c r="H7" i="20"/>
  <c r="G7" i="20"/>
  <c r="G78" i="52"/>
  <c r="H68" i="52"/>
  <c r="H44" i="13"/>
  <c r="H46" i="13"/>
  <c r="H46" i="7"/>
  <c r="H34" i="7"/>
  <c r="H29" i="7"/>
  <c r="H27" i="7"/>
  <c r="H17" i="8"/>
  <c r="H16" i="8"/>
  <c r="H82" i="9"/>
  <c r="H63" i="9"/>
  <c r="H33" i="9"/>
  <c r="H34" i="9"/>
  <c r="H32" i="9"/>
  <c r="H30" i="9"/>
  <c r="H22" i="10"/>
  <c r="H20" i="10"/>
  <c r="H18" i="10"/>
  <c r="H17" i="10"/>
  <c r="H17" i="11"/>
  <c r="H16" i="11"/>
  <c r="H15" i="11"/>
  <c r="H11" i="11"/>
  <c r="H12" i="5"/>
  <c r="H11" i="5"/>
  <c r="H60" i="54"/>
  <c r="H44" i="52"/>
  <c r="H42" i="52"/>
  <c r="H26" i="52"/>
  <c r="H27" i="52"/>
  <c r="H28" i="52"/>
  <c r="H30" i="52"/>
  <c r="H32" i="52"/>
  <c r="H33" i="52"/>
  <c r="H25" i="52"/>
  <c r="H23" i="52"/>
  <c r="H22" i="52"/>
  <c r="H21" i="52"/>
  <c r="H20" i="52"/>
  <c r="H19" i="52"/>
  <c r="H18" i="52"/>
  <c r="H17" i="52"/>
  <c r="H16" i="52"/>
  <c r="H15" i="52"/>
  <c r="H14" i="52"/>
  <c r="H13" i="52"/>
  <c r="H12" i="52"/>
  <c r="H11" i="52"/>
  <c r="D274" i="20"/>
  <c r="E274" i="20"/>
  <c r="D92" i="20"/>
  <c r="D128" i="20"/>
  <c r="E92" i="20"/>
  <c r="E128" i="20"/>
  <c r="D11" i="20"/>
  <c r="D27" i="20"/>
  <c r="D32" i="20"/>
  <c r="D33" i="20"/>
  <c r="D37" i="20"/>
  <c r="D38" i="20"/>
  <c r="D41" i="20"/>
  <c r="D43" i="20"/>
  <c r="D48" i="20"/>
  <c r="D49" i="20"/>
  <c r="D64" i="20"/>
  <c r="D65" i="20"/>
  <c r="D74" i="20"/>
  <c r="D76" i="20"/>
  <c r="D79" i="20"/>
  <c r="D81" i="20"/>
  <c r="D85" i="20"/>
  <c r="D87" i="20"/>
  <c r="D98" i="20"/>
  <c r="D108" i="20"/>
  <c r="D109" i="20"/>
  <c r="D123" i="20"/>
  <c r="E11" i="20"/>
  <c r="E27" i="20"/>
  <c r="E32" i="20"/>
  <c r="E33" i="20"/>
  <c r="E37" i="20"/>
  <c r="E38" i="20"/>
  <c r="E41" i="20"/>
  <c r="E43" i="20"/>
  <c r="E48" i="20"/>
  <c r="E49" i="20"/>
  <c r="E65" i="20"/>
  <c r="E74" i="20"/>
  <c r="E76" i="20"/>
  <c r="E79" i="20"/>
  <c r="E81" i="20"/>
  <c r="E85" i="20"/>
  <c r="E87" i="20"/>
  <c r="E98" i="20"/>
  <c r="E108" i="20"/>
  <c r="E109" i="20"/>
  <c r="E123" i="20"/>
  <c r="C70" i="20"/>
  <c r="C71" i="20"/>
  <c r="C91" i="20"/>
  <c r="C92" i="20"/>
  <c r="C102" i="20"/>
  <c r="C103" i="20"/>
  <c r="C113" i="20"/>
  <c r="C114" i="20"/>
  <c r="C128" i="20"/>
  <c r="C274" i="20"/>
  <c r="C11" i="20"/>
  <c r="C21" i="20"/>
  <c r="C22" i="20"/>
  <c r="C27" i="20"/>
  <c r="C28" i="20"/>
  <c r="C32" i="20"/>
  <c r="C33" i="20"/>
  <c r="C37" i="20"/>
  <c r="C38" i="20"/>
  <c r="C41" i="20"/>
  <c r="C42" i="20"/>
  <c r="C43" i="20"/>
  <c r="C48" i="20"/>
  <c r="C49" i="20"/>
  <c r="C53" i="20"/>
  <c r="C54" i="20"/>
  <c r="C64" i="20"/>
  <c r="C65" i="20"/>
  <c r="C74" i="20"/>
  <c r="C75" i="20"/>
  <c r="C76" i="20"/>
  <c r="C79" i="20"/>
  <c r="C80" i="20"/>
  <c r="C81" i="20"/>
  <c r="C85" i="20"/>
  <c r="C86" i="20"/>
  <c r="C87" i="20"/>
  <c r="C98" i="20"/>
  <c r="C108" i="20"/>
  <c r="C109" i="20"/>
  <c r="C123" i="20"/>
  <c r="C134" i="20"/>
  <c r="C135" i="20"/>
  <c r="H269" i="20"/>
  <c r="H212" i="20"/>
  <c r="H202" i="20"/>
  <c r="H146" i="20"/>
  <c r="H131" i="20"/>
  <c r="H105" i="20"/>
  <c r="H110" i="20"/>
  <c r="H94" i="20"/>
  <c r="H99" i="20"/>
  <c r="H83" i="20"/>
  <c r="H88" i="20"/>
  <c r="H285" i="20" s="1"/>
  <c r="H72" i="20"/>
  <c r="H77" i="20"/>
  <c r="H50" i="20"/>
  <c r="H45" i="20"/>
  <c r="H39" i="20"/>
  <c r="H34" i="20"/>
  <c r="H29" i="20"/>
  <c r="H24" i="20"/>
  <c r="H18" i="20"/>
  <c r="H13" i="20"/>
  <c r="I39" i="20"/>
  <c r="I50" i="20"/>
  <c r="I45" i="20"/>
  <c r="I34" i="20"/>
  <c r="I29" i="20"/>
  <c r="I24" i="20"/>
  <c r="I18" i="20"/>
  <c r="I269" i="20"/>
  <c r="I131" i="20"/>
  <c r="I124" i="20"/>
  <c r="I105" i="20"/>
  <c r="I110" i="20"/>
  <c r="I94" i="20"/>
  <c r="I99" i="20"/>
  <c r="I83" i="20"/>
  <c r="I88" i="20"/>
  <c r="I67" i="20"/>
  <c r="I72" i="20"/>
  <c r="I77" i="20"/>
  <c r="G177" i="20"/>
  <c r="G146" i="20"/>
  <c r="G131" i="20"/>
  <c r="G124" i="20"/>
  <c r="G105" i="20"/>
  <c r="G110" i="20"/>
  <c r="G94" i="20"/>
  <c r="G99" i="20"/>
  <c r="G83" i="20"/>
  <c r="G88" i="20"/>
  <c r="G61" i="20"/>
  <c r="G67" i="20"/>
  <c r="G72" i="20"/>
  <c r="G77" i="20"/>
  <c r="G50" i="20"/>
  <c r="G45" i="20"/>
  <c r="G39" i="20"/>
  <c r="G34" i="20"/>
  <c r="G29" i="20"/>
  <c r="G24" i="20"/>
  <c r="G18" i="20"/>
  <c r="G13" i="20"/>
  <c r="F157" i="15"/>
  <c r="E104" i="15"/>
  <c r="E111" i="15" s="1"/>
  <c r="E112" i="15" s="1"/>
  <c r="E89" i="15"/>
  <c r="E92" i="15" s="1"/>
  <c r="E73" i="15"/>
  <c r="E76" i="15" s="1"/>
  <c r="E154" i="15"/>
  <c r="E157" i="15" s="1"/>
  <c r="H157" i="15"/>
  <c r="G157" i="15"/>
  <c r="H285" i="55"/>
  <c r="G285" i="55"/>
  <c r="F285" i="55"/>
  <c r="E511" i="13"/>
  <c r="E513" i="13" s="1"/>
  <c r="E351" i="13"/>
  <c r="E353" i="13" s="1"/>
  <c r="E588" i="13"/>
  <c r="J588" i="13" s="1"/>
  <c r="L588" i="13"/>
  <c r="H588" i="13"/>
  <c r="G588" i="13"/>
  <c r="F588" i="13"/>
  <c r="E35" i="13"/>
  <c r="E66" i="13" s="1"/>
  <c r="G143" i="54"/>
  <c r="F143" i="54"/>
  <c r="E143" i="54"/>
  <c r="C23" i="20" s="1"/>
  <c r="D12" i="20"/>
  <c r="C12" i="20"/>
  <c r="E86" i="20"/>
  <c r="G140" i="54"/>
  <c r="E20" i="20" s="1"/>
  <c r="E91" i="20"/>
  <c r="G576" i="13"/>
  <c r="G402" i="13"/>
  <c r="G541" i="13"/>
  <c r="G111" i="13"/>
  <c r="G207" i="55"/>
  <c r="G225" i="55"/>
  <c r="G259" i="55"/>
  <c r="G261" i="55" s="1"/>
  <c r="E113" i="20"/>
  <c r="G228" i="55"/>
  <c r="G191" i="55"/>
  <c r="E114" i="20"/>
  <c r="G76" i="15"/>
  <c r="F282" i="13"/>
  <c r="D91" i="20"/>
  <c r="F576" i="13"/>
  <c r="F402" i="13"/>
  <c r="F541" i="13"/>
  <c r="F111" i="13"/>
  <c r="F207" i="55"/>
  <c r="F225" i="55"/>
  <c r="F230" i="55" s="1"/>
  <c r="F259" i="55"/>
  <c r="F261" i="55" s="1"/>
  <c r="D113" i="20"/>
  <c r="F191" i="55"/>
  <c r="D114" i="20"/>
  <c r="F76" i="15"/>
  <c r="F144" i="15"/>
  <c r="E576" i="13"/>
  <c r="E402" i="13"/>
  <c r="J574" i="13" s="1"/>
  <c r="E541" i="13"/>
  <c r="E111" i="13"/>
  <c r="E167" i="55"/>
  <c r="E207" i="55"/>
  <c r="E209" i="55" s="1"/>
  <c r="E225" i="55"/>
  <c r="E228" i="55"/>
  <c r="E191" i="55"/>
  <c r="E95" i="15"/>
  <c r="E80" i="15"/>
  <c r="E144" i="15"/>
  <c r="C127" i="20"/>
  <c r="F35" i="13"/>
  <c r="F66" i="13" s="1"/>
  <c r="D86" i="20"/>
  <c r="D21" i="20"/>
  <c r="F21" i="20" s="1"/>
  <c r="F140" i="54"/>
  <c r="D20" i="20" s="1"/>
  <c r="E162" i="15"/>
  <c r="C121" i="20" s="1"/>
  <c r="E140" i="54"/>
  <c r="C20" i="20" s="1"/>
  <c r="H10" i="30"/>
  <c r="F13" i="30"/>
  <c r="H13" i="30"/>
  <c r="H18" i="30"/>
  <c r="F21" i="30"/>
  <c r="F33" i="30"/>
  <c r="H33" i="30"/>
  <c r="E39" i="30"/>
  <c r="F39" i="30"/>
  <c r="G39" i="30"/>
  <c r="H39" i="30"/>
  <c r="F9" i="29"/>
  <c r="H9" i="29"/>
  <c r="F12" i="29"/>
  <c r="H12" i="29"/>
  <c r="H16" i="29"/>
  <c r="H22" i="29"/>
  <c r="F23" i="29"/>
  <c r="H23" i="29"/>
  <c r="F26" i="29"/>
  <c r="H26" i="29"/>
  <c r="H33" i="29"/>
  <c r="F36" i="29"/>
  <c r="H36" i="29"/>
  <c r="F39" i="29"/>
  <c r="H39" i="29"/>
  <c r="F57" i="29"/>
  <c r="E65" i="29"/>
  <c r="F65" i="29"/>
  <c r="G65" i="29"/>
  <c r="H65" i="29"/>
  <c r="H9" i="97"/>
  <c r="H10" i="97"/>
  <c r="H12" i="97"/>
  <c r="H13" i="97"/>
  <c r="H14" i="97"/>
  <c r="H15" i="97"/>
  <c r="H17" i="97"/>
  <c r="H18" i="97"/>
  <c r="H19" i="97"/>
  <c r="H20" i="97"/>
  <c r="E25" i="97"/>
  <c r="E21" i="51"/>
  <c r="C270" i="20"/>
  <c r="D270" i="20"/>
  <c r="E270" i="20"/>
  <c r="H21" i="51"/>
  <c r="E22" i="51"/>
  <c r="E19" i="51" s="1"/>
  <c r="E24" i="51" s="1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E25" i="49"/>
  <c r="F25" i="49"/>
  <c r="G25" i="49"/>
  <c r="H25" i="49"/>
  <c r="G26" i="49"/>
  <c r="E27" i="49"/>
  <c r="F27" i="49"/>
  <c r="G27" i="49"/>
  <c r="H27" i="49"/>
  <c r="E30" i="49"/>
  <c r="E29" i="49"/>
  <c r="E34" i="49"/>
  <c r="F30" i="49"/>
  <c r="F29" i="49"/>
  <c r="F34" i="49"/>
  <c r="G30" i="49"/>
  <c r="G29" i="49"/>
  <c r="H30" i="49"/>
  <c r="E32" i="49"/>
  <c r="F32" i="49"/>
  <c r="G32" i="49"/>
  <c r="E11" i="115"/>
  <c r="F11" i="115"/>
  <c r="E14" i="115"/>
  <c r="E13" i="115"/>
  <c r="E18" i="115"/>
  <c r="F14" i="115"/>
  <c r="F13" i="115"/>
  <c r="F18" i="115"/>
  <c r="G14" i="115"/>
  <c r="G13" i="115"/>
  <c r="G18" i="115"/>
  <c r="E13" i="114"/>
  <c r="F13" i="114"/>
  <c r="G13" i="114"/>
  <c r="E16" i="114"/>
  <c r="E15" i="114"/>
  <c r="E20" i="114"/>
  <c r="F16" i="114"/>
  <c r="F15" i="114"/>
  <c r="F20" i="114"/>
  <c r="G16" i="114"/>
  <c r="G15" i="114"/>
  <c r="G20" i="114"/>
  <c r="E18" i="114"/>
  <c r="F18" i="114"/>
  <c r="G18" i="114"/>
  <c r="E11" i="113"/>
  <c r="F11" i="113"/>
  <c r="G11" i="113"/>
  <c r="G12" i="113"/>
  <c r="E13" i="113"/>
  <c r="F13" i="113"/>
  <c r="G13" i="113"/>
  <c r="E23" i="113"/>
  <c r="E20" i="113"/>
  <c r="E25" i="113"/>
  <c r="F23" i="113"/>
  <c r="F20" i="113"/>
  <c r="F25" i="113"/>
  <c r="G23" i="113"/>
  <c r="G20" i="113"/>
  <c r="G25" i="113"/>
  <c r="E10" i="112"/>
  <c r="F10" i="112"/>
  <c r="G10" i="112"/>
  <c r="E14" i="112"/>
  <c r="E13" i="112"/>
  <c r="E18" i="112"/>
  <c r="F14" i="112"/>
  <c r="F13" i="112"/>
  <c r="F18" i="112"/>
  <c r="G14" i="112"/>
  <c r="G13" i="112"/>
  <c r="G18" i="112"/>
  <c r="H18" i="112"/>
  <c r="E11" i="111"/>
  <c r="F11" i="111"/>
  <c r="G11" i="111"/>
  <c r="E15" i="111"/>
  <c r="E14" i="111"/>
  <c r="E19" i="111"/>
  <c r="F15" i="111"/>
  <c r="F14" i="111"/>
  <c r="F19" i="111"/>
  <c r="G15" i="111"/>
  <c r="G14" i="111"/>
  <c r="G19" i="111"/>
  <c r="E11" i="109"/>
  <c r="F11" i="109"/>
  <c r="G11" i="109"/>
  <c r="E15" i="109"/>
  <c r="E14" i="109"/>
  <c r="E19" i="109"/>
  <c r="F15" i="109"/>
  <c r="F14" i="109"/>
  <c r="F19" i="109"/>
  <c r="G15" i="109"/>
  <c r="G14" i="109"/>
  <c r="G19" i="109"/>
  <c r="E11" i="108"/>
  <c r="F11" i="108"/>
  <c r="G11" i="108"/>
  <c r="E12" i="108"/>
  <c r="F12" i="108"/>
  <c r="G12" i="108"/>
  <c r="E13" i="108"/>
  <c r="F13" i="108"/>
  <c r="G13" i="108"/>
  <c r="E17" i="108"/>
  <c r="E16" i="108"/>
  <c r="E21" i="108"/>
  <c r="F17" i="108"/>
  <c r="F16" i="108"/>
  <c r="F21" i="108"/>
  <c r="G17" i="108"/>
  <c r="G16" i="108"/>
  <c r="G21" i="108"/>
  <c r="E19" i="108"/>
  <c r="F19" i="108"/>
  <c r="G19" i="108"/>
  <c r="E11" i="107"/>
  <c r="F11" i="107"/>
  <c r="G11" i="107"/>
  <c r="E15" i="107"/>
  <c r="E14" i="107"/>
  <c r="E19" i="107"/>
  <c r="F15" i="107"/>
  <c r="F14" i="107"/>
  <c r="F19" i="107"/>
  <c r="G15" i="107"/>
  <c r="G14" i="107"/>
  <c r="G19" i="107"/>
  <c r="G14" i="21"/>
  <c r="H14" i="21"/>
  <c r="I20" i="21"/>
  <c r="G21" i="21"/>
  <c r="H21" i="21"/>
  <c r="I21" i="21"/>
  <c r="I27" i="21"/>
  <c r="I28" i="21"/>
  <c r="G29" i="21"/>
  <c r="H29" i="21"/>
  <c r="I29" i="21"/>
  <c r="I31" i="21"/>
  <c r="I32" i="21"/>
  <c r="F33" i="21"/>
  <c r="G33" i="21"/>
  <c r="H33" i="21"/>
  <c r="I33" i="21"/>
  <c r="I40" i="21"/>
  <c r="F41" i="21"/>
  <c r="G41" i="21"/>
  <c r="H41" i="21"/>
  <c r="I41" i="21"/>
  <c r="I47" i="21"/>
  <c r="F48" i="21"/>
  <c r="G48" i="21"/>
  <c r="H48" i="21"/>
  <c r="I48" i="21"/>
  <c r="I54" i="21"/>
  <c r="I55" i="21"/>
  <c r="F56" i="21"/>
  <c r="G56" i="21"/>
  <c r="H56" i="21"/>
  <c r="I56" i="21"/>
  <c r="I62" i="21"/>
  <c r="F63" i="21"/>
  <c r="G63" i="21"/>
  <c r="H63" i="21"/>
  <c r="I63" i="21"/>
  <c r="I71" i="21"/>
  <c r="F72" i="21"/>
  <c r="G72" i="21"/>
  <c r="H72" i="21"/>
  <c r="I72" i="21"/>
  <c r="I78" i="21"/>
  <c r="F79" i="21"/>
  <c r="G79" i="21"/>
  <c r="H79" i="21"/>
  <c r="I79" i="21"/>
  <c r="I85" i="21"/>
  <c r="F86" i="21"/>
  <c r="G86" i="21"/>
  <c r="H86" i="21"/>
  <c r="I86" i="21"/>
  <c r="I92" i="21"/>
  <c r="I93" i="21"/>
  <c r="F94" i="21"/>
  <c r="G94" i="21"/>
  <c r="H94" i="21"/>
  <c r="I94" i="21"/>
  <c r="I100" i="21"/>
  <c r="F101" i="21"/>
  <c r="G101" i="21"/>
  <c r="H101" i="21"/>
  <c r="I101" i="21"/>
  <c r="I107" i="21"/>
  <c r="F108" i="21"/>
  <c r="G108" i="21"/>
  <c r="H108" i="21"/>
  <c r="I108" i="21"/>
  <c r="I114" i="21"/>
  <c r="F115" i="21"/>
  <c r="G115" i="21"/>
  <c r="H115" i="21"/>
  <c r="I115" i="21"/>
  <c r="I121" i="21"/>
  <c r="F122" i="21"/>
  <c r="G122" i="21"/>
  <c r="H122" i="21"/>
  <c r="I122" i="21"/>
  <c r="L122" i="21"/>
  <c r="M122" i="21"/>
  <c r="I128" i="21"/>
  <c r="F129" i="21"/>
  <c r="G129" i="21"/>
  <c r="H129" i="21"/>
  <c r="I129" i="21"/>
  <c r="I138" i="21"/>
  <c r="F139" i="21"/>
  <c r="G139" i="21"/>
  <c r="H139" i="21"/>
  <c r="I139" i="21"/>
  <c r="I145" i="21"/>
  <c r="F146" i="21"/>
  <c r="G146" i="21"/>
  <c r="H146" i="21"/>
  <c r="I146" i="21"/>
  <c r="I152" i="21"/>
  <c r="F153" i="21"/>
  <c r="G153" i="21"/>
  <c r="H153" i="21"/>
  <c r="I153" i="21"/>
  <c r="I159" i="21"/>
  <c r="G160" i="21"/>
  <c r="H160" i="21"/>
  <c r="I160" i="21"/>
  <c r="I161" i="21"/>
  <c r="I162" i="21"/>
  <c r="F163" i="21"/>
  <c r="G163" i="21"/>
  <c r="H163" i="21"/>
  <c r="I163" i="21"/>
  <c r="I169" i="21"/>
  <c r="F170" i="21"/>
  <c r="G170" i="21"/>
  <c r="H170" i="21"/>
  <c r="I170" i="21"/>
  <c r="I176" i="21"/>
  <c r="F177" i="21"/>
  <c r="G177" i="21"/>
  <c r="H177" i="21"/>
  <c r="I177" i="21"/>
  <c r="I183" i="21"/>
  <c r="F184" i="21"/>
  <c r="G184" i="21"/>
  <c r="H184" i="21"/>
  <c r="I184" i="21"/>
  <c r="I190" i="21"/>
  <c r="F191" i="21"/>
  <c r="G191" i="21"/>
  <c r="H191" i="21"/>
  <c r="I191" i="21"/>
  <c r="I197" i="21"/>
  <c r="F198" i="21"/>
  <c r="G198" i="21"/>
  <c r="H198" i="21"/>
  <c r="I198" i="21"/>
  <c r="I204" i="21"/>
  <c r="F205" i="21"/>
  <c r="G205" i="21"/>
  <c r="H205" i="21"/>
  <c r="I205" i="21"/>
  <c r="I211" i="21"/>
  <c r="F212" i="21"/>
  <c r="G212" i="21"/>
  <c r="H212" i="21"/>
  <c r="I212" i="21"/>
  <c r="I218" i="21"/>
  <c r="F219" i="21"/>
  <c r="G219" i="21"/>
  <c r="H219" i="21"/>
  <c r="I219" i="21"/>
  <c r="I225" i="21"/>
  <c r="I226" i="21"/>
  <c r="G227" i="21"/>
  <c r="H227" i="21"/>
  <c r="I227" i="21"/>
  <c r="I228" i="21"/>
  <c r="I229" i="21"/>
  <c r="F230" i="21"/>
  <c r="G230" i="21"/>
  <c r="H230" i="21"/>
  <c r="I230" i="21"/>
  <c r="I236" i="21"/>
  <c r="F237" i="21"/>
  <c r="G237" i="21"/>
  <c r="H237" i="21"/>
  <c r="I237" i="21"/>
  <c r="I243" i="21"/>
  <c r="F244" i="21"/>
  <c r="G244" i="21"/>
  <c r="H244" i="21"/>
  <c r="I244" i="21"/>
  <c r="I250" i="21"/>
  <c r="F251" i="21"/>
  <c r="G251" i="21"/>
  <c r="H251" i="21"/>
  <c r="I251" i="21"/>
  <c r="I257" i="21"/>
  <c r="G258" i="21"/>
  <c r="H258" i="21"/>
  <c r="I258" i="21"/>
  <c r="I259" i="21"/>
  <c r="I260" i="21"/>
  <c r="F261" i="21"/>
  <c r="G261" i="21"/>
  <c r="H261" i="21"/>
  <c r="I261" i="21"/>
  <c r="L261" i="21"/>
  <c r="M261" i="21"/>
  <c r="I271" i="21"/>
  <c r="F272" i="21"/>
  <c r="G272" i="21"/>
  <c r="H272" i="21"/>
  <c r="I272" i="21"/>
  <c r="I278" i="21"/>
  <c r="F279" i="21"/>
  <c r="G279" i="21"/>
  <c r="H279" i="21"/>
  <c r="I279" i="21"/>
  <c r="I285" i="21"/>
  <c r="F286" i="21"/>
  <c r="G286" i="21"/>
  <c r="H286" i="21"/>
  <c r="I286" i="21"/>
  <c r="I293" i="21"/>
  <c r="F294" i="21"/>
  <c r="G294" i="21"/>
  <c r="H294" i="21"/>
  <c r="I294" i="21"/>
  <c r="I300" i="21"/>
  <c r="F301" i="21"/>
  <c r="G301" i="21"/>
  <c r="H301" i="21"/>
  <c r="I301" i="21"/>
  <c r="I307" i="21"/>
  <c r="F308" i="21"/>
  <c r="G308" i="21"/>
  <c r="H308" i="21"/>
  <c r="I308" i="21"/>
  <c r="I314" i="21"/>
  <c r="F315" i="21"/>
  <c r="G315" i="21"/>
  <c r="H315" i="21"/>
  <c r="I315" i="21"/>
  <c r="I321" i="21"/>
  <c r="F322" i="21"/>
  <c r="G322" i="21"/>
  <c r="H322" i="21"/>
  <c r="I322" i="21"/>
  <c r="I328" i="21"/>
  <c r="F329" i="21"/>
  <c r="G329" i="21"/>
  <c r="H329" i="21"/>
  <c r="I329" i="21"/>
  <c r="I338" i="21"/>
  <c r="F339" i="21"/>
  <c r="G339" i="21"/>
  <c r="H339" i="21"/>
  <c r="I339" i="21"/>
  <c r="I345" i="21"/>
  <c r="F346" i="21"/>
  <c r="G346" i="21"/>
  <c r="H346" i="21"/>
  <c r="I346" i="21"/>
  <c r="I353" i="21"/>
  <c r="F354" i="21"/>
  <c r="G354" i="21"/>
  <c r="H354" i="21"/>
  <c r="I354" i="21"/>
  <c r="I360" i="21"/>
  <c r="F361" i="21"/>
  <c r="G361" i="21"/>
  <c r="H361" i="21"/>
  <c r="I361" i="21"/>
  <c r="I367" i="21"/>
  <c r="I368" i="21"/>
  <c r="G369" i="21"/>
  <c r="H369" i="21"/>
  <c r="I369" i="21"/>
  <c r="I370" i="21"/>
  <c r="F371" i="21"/>
  <c r="G371" i="21"/>
  <c r="H371" i="21"/>
  <c r="I371" i="21"/>
  <c r="I377" i="21"/>
  <c r="I378" i="21"/>
  <c r="F379" i="21"/>
  <c r="G379" i="21"/>
  <c r="H379" i="21"/>
  <c r="I379" i="21"/>
  <c r="I385" i="21"/>
  <c r="I386" i="21"/>
  <c r="F387" i="21"/>
  <c r="G387" i="21"/>
  <c r="H387" i="21"/>
  <c r="I387" i="21"/>
  <c r="I393" i="21"/>
  <c r="F394" i="21"/>
  <c r="G394" i="21"/>
  <c r="H394" i="21"/>
  <c r="I394" i="21"/>
  <c r="I405" i="21"/>
  <c r="F406" i="21"/>
  <c r="G406" i="21"/>
  <c r="H406" i="21"/>
  <c r="I406" i="21"/>
  <c r="I412" i="21"/>
  <c r="F413" i="21"/>
  <c r="G413" i="21"/>
  <c r="L412" i="21"/>
  <c r="L413" i="21"/>
  <c r="L1229" i="21"/>
  <c r="H413" i="21"/>
  <c r="M412" i="21"/>
  <c r="M413" i="21"/>
  <c r="M1229" i="21"/>
  <c r="I413" i="21"/>
  <c r="K413" i="21"/>
  <c r="I419" i="21"/>
  <c r="F420" i="21"/>
  <c r="G420" i="21"/>
  <c r="H420" i="21"/>
  <c r="I420" i="21"/>
  <c r="I426" i="21"/>
  <c r="F427" i="21"/>
  <c r="G427" i="21"/>
  <c r="H427" i="21"/>
  <c r="I427" i="21"/>
  <c r="I433" i="21"/>
  <c r="F434" i="21"/>
  <c r="G434" i="21"/>
  <c r="H434" i="21"/>
  <c r="I434" i="21"/>
  <c r="I440" i="21"/>
  <c r="F441" i="21"/>
  <c r="G441" i="21"/>
  <c r="H441" i="21"/>
  <c r="I441" i="21"/>
  <c r="I447" i="21"/>
  <c r="F448" i="21"/>
  <c r="G448" i="21"/>
  <c r="H448" i="21"/>
  <c r="I448" i="21"/>
  <c r="I454" i="21"/>
  <c r="F455" i="21"/>
  <c r="G455" i="21"/>
  <c r="H455" i="21"/>
  <c r="I455" i="21"/>
  <c r="I461" i="21"/>
  <c r="F462" i="21"/>
  <c r="G462" i="21"/>
  <c r="H462" i="21"/>
  <c r="I462" i="21"/>
  <c r="I472" i="21"/>
  <c r="F473" i="21"/>
  <c r="G473" i="21"/>
  <c r="H473" i="21"/>
  <c r="I473" i="21"/>
  <c r="I474" i="21"/>
  <c r="I475" i="21"/>
  <c r="F476" i="21"/>
  <c r="G476" i="21"/>
  <c r="H476" i="21"/>
  <c r="I476" i="21"/>
  <c r="I482" i="21"/>
  <c r="F483" i="21"/>
  <c r="G483" i="21"/>
  <c r="H483" i="21"/>
  <c r="I483" i="21"/>
  <c r="I489" i="21"/>
  <c r="F490" i="21"/>
  <c r="G490" i="21"/>
  <c r="H490" i="21"/>
  <c r="I490" i="21"/>
  <c r="I496" i="21"/>
  <c r="F497" i="21"/>
  <c r="G497" i="21"/>
  <c r="H497" i="21"/>
  <c r="I497" i="21"/>
  <c r="I503" i="21"/>
  <c r="F504" i="21"/>
  <c r="G504" i="21"/>
  <c r="H504" i="21"/>
  <c r="I504" i="21"/>
  <c r="I510" i="21"/>
  <c r="F511" i="21"/>
  <c r="G511" i="21"/>
  <c r="H511" i="21"/>
  <c r="I511" i="21"/>
  <c r="I517" i="21"/>
  <c r="F518" i="21"/>
  <c r="G518" i="21"/>
  <c r="H518" i="21"/>
  <c r="I518" i="21"/>
  <c r="I524" i="21"/>
  <c r="F525" i="21"/>
  <c r="G525" i="21"/>
  <c r="H525" i="21"/>
  <c r="I525" i="21"/>
  <c r="I531" i="21"/>
  <c r="F532" i="21"/>
  <c r="G532" i="21"/>
  <c r="H532" i="21"/>
  <c r="I532" i="21"/>
  <c r="I538" i="21"/>
  <c r="F539" i="21"/>
  <c r="G539" i="21"/>
  <c r="H539" i="21"/>
  <c r="I539" i="21"/>
  <c r="I545" i="21"/>
  <c r="F546" i="21"/>
  <c r="G546" i="21"/>
  <c r="H546" i="21"/>
  <c r="I546" i="21"/>
  <c r="I552" i="21"/>
  <c r="F553" i="21"/>
  <c r="G553" i="21"/>
  <c r="H553" i="21"/>
  <c r="I553" i="21"/>
  <c r="I559" i="21"/>
  <c r="F560" i="21"/>
  <c r="G560" i="21"/>
  <c r="H560" i="21"/>
  <c r="I560" i="21"/>
  <c r="I566" i="21"/>
  <c r="F567" i="21"/>
  <c r="G567" i="21"/>
  <c r="H567" i="21"/>
  <c r="I567" i="21"/>
  <c r="I573" i="21"/>
  <c r="F574" i="21"/>
  <c r="G574" i="21"/>
  <c r="H574" i="21"/>
  <c r="I574" i="21"/>
  <c r="I580" i="21"/>
  <c r="F581" i="21"/>
  <c r="G581" i="21"/>
  <c r="H581" i="21"/>
  <c r="I581" i="21"/>
  <c r="I587" i="21"/>
  <c r="I588" i="21"/>
  <c r="F589" i="21"/>
  <c r="G589" i="21"/>
  <c r="H589" i="21"/>
  <c r="I589" i="21"/>
  <c r="I595" i="21"/>
  <c r="F596" i="21"/>
  <c r="G596" i="21"/>
  <c r="H596" i="21"/>
  <c r="I596" i="21"/>
  <c r="I605" i="21"/>
  <c r="F606" i="21"/>
  <c r="G606" i="21"/>
  <c r="H606" i="21"/>
  <c r="I606" i="21"/>
  <c r="I612" i="21"/>
  <c r="F613" i="21"/>
  <c r="G613" i="21"/>
  <c r="H613" i="21"/>
  <c r="I613" i="21"/>
  <c r="I619" i="21"/>
  <c r="F620" i="21"/>
  <c r="G620" i="21"/>
  <c r="H620" i="21"/>
  <c r="I620" i="21"/>
  <c r="I626" i="21"/>
  <c r="F627" i="21"/>
  <c r="G627" i="21"/>
  <c r="H627" i="21"/>
  <c r="I627" i="21"/>
  <c r="I633" i="21"/>
  <c r="F634" i="21"/>
  <c r="G634" i="21"/>
  <c r="H634" i="21"/>
  <c r="I634" i="21"/>
  <c r="I640" i="21"/>
  <c r="F641" i="21"/>
  <c r="K640" i="21"/>
  <c r="K1231" i="21"/>
  <c r="K1234" i="21"/>
  <c r="F1224" i="21"/>
  <c r="G641" i="21"/>
  <c r="L640" i="21"/>
  <c r="L1231" i="21"/>
  <c r="H641" i="21"/>
  <c r="M640" i="21"/>
  <c r="M1231" i="21"/>
  <c r="I641" i="21"/>
  <c r="I647" i="21"/>
  <c r="F648" i="21"/>
  <c r="G648" i="21"/>
  <c r="H648" i="21"/>
  <c r="I648" i="21"/>
  <c r="I654" i="21"/>
  <c r="F655" i="21"/>
  <c r="G655" i="21"/>
  <c r="H655" i="21"/>
  <c r="I655" i="21"/>
  <c r="F662" i="21"/>
  <c r="G662" i="21"/>
  <c r="H662" i="21"/>
  <c r="I663" i="21"/>
  <c r="F664" i="21"/>
  <c r="G664" i="21"/>
  <c r="H664" i="21"/>
  <c r="I664" i="21"/>
  <c r="I672" i="21"/>
  <c r="G673" i="21"/>
  <c r="H673" i="21"/>
  <c r="I673" i="21"/>
  <c r="I675" i="21"/>
  <c r="I676" i="21"/>
  <c r="F678" i="21"/>
  <c r="G678" i="21"/>
  <c r="H678" i="21"/>
  <c r="I678" i="21"/>
  <c r="I684" i="21"/>
  <c r="F685" i="21"/>
  <c r="G685" i="21"/>
  <c r="H685" i="21"/>
  <c r="I685" i="21"/>
  <c r="I691" i="21"/>
  <c r="F692" i="21"/>
  <c r="G692" i="21"/>
  <c r="H692" i="21"/>
  <c r="I692" i="21"/>
  <c r="I698" i="21"/>
  <c r="F699" i="21"/>
  <c r="G699" i="21"/>
  <c r="H699" i="21"/>
  <c r="I699" i="21"/>
  <c r="I705" i="21"/>
  <c r="F706" i="21"/>
  <c r="G706" i="21"/>
  <c r="H706" i="21"/>
  <c r="I706" i="21"/>
  <c r="I712" i="21"/>
  <c r="F713" i="21"/>
  <c r="G713" i="21"/>
  <c r="H713" i="21"/>
  <c r="I713" i="21"/>
  <c r="I719" i="21"/>
  <c r="F720" i="21"/>
  <c r="G720" i="21"/>
  <c r="H720" i="21"/>
  <c r="I720" i="21"/>
  <c r="I726" i="21"/>
  <c r="F727" i="21"/>
  <c r="G727" i="21"/>
  <c r="H727" i="21"/>
  <c r="I727" i="21"/>
  <c r="I733" i="21"/>
  <c r="F734" i="21"/>
  <c r="G734" i="21"/>
  <c r="H734" i="21"/>
  <c r="I734" i="21"/>
  <c r="I738" i="21"/>
  <c r="F739" i="21"/>
  <c r="G739" i="21"/>
  <c r="H739" i="21"/>
  <c r="I739" i="21"/>
  <c r="I745" i="21"/>
  <c r="G746" i="21"/>
  <c r="H746" i="21"/>
  <c r="I746" i="21"/>
  <c r="I747" i="21"/>
  <c r="F748" i="21"/>
  <c r="G748" i="21"/>
  <c r="H748" i="21"/>
  <c r="I748" i="21"/>
  <c r="I754" i="21"/>
  <c r="I755" i="21"/>
  <c r="F756" i="21"/>
  <c r="G756" i="21"/>
  <c r="H756" i="21"/>
  <c r="I756" i="21"/>
  <c r="I762" i="21"/>
  <c r="I763" i="21"/>
  <c r="F764" i="21"/>
  <c r="G764" i="21"/>
  <c r="H764" i="21"/>
  <c r="I764" i="21"/>
  <c r="K764" i="21"/>
  <c r="L764" i="21"/>
  <c r="M764" i="21"/>
  <c r="I770" i="21"/>
  <c r="I771" i="21"/>
  <c r="F772" i="21"/>
  <c r="G772" i="21"/>
  <c r="H772" i="21"/>
  <c r="I772" i="21"/>
  <c r="I778" i="21"/>
  <c r="F779" i="21"/>
  <c r="G779" i="21"/>
  <c r="H779" i="21"/>
  <c r="I779" i="21"/>
  <c r="F786" i="21"/>
  <c r="G786" i="21"/>
  <c r="H786" i="21"/>
  <c r="I792" i="21"/>
  <c r="F793" i="21"/>
  <c r="G793" i="21"/>
  <c r="H793" i="21"/>
  <c r="I793" i="21"/>
  <c r="I799" i="21"/>
  <c r="F800" i="21"/>
  <c r="G800" i="21"/>
  <c r="H800" i="21"/>
  <c r="I800" i="21"/>
  <c r="I804" i="21"/>
  <c r="F805" i="21"/>
  <c r="G805" i="21"/>
  <c r="H805" i="21"/>
  <c r="I805" i="21"/>
  <c r="I811" i="21"/>
  <c r="F812" i="21"/>
  <c r="G812" i="21"/>
  <c r="H812" i="21"/>
  <c r="I812" i="21"/>
  <c r="I818" i="21"/>
  <c r="I819" i="21"/>
  <c r="F820" i="21"/>
  <c r="G820" i="21"/>
  <c r="H820" i="21"/>
  <c r="I820" i="21"/>
  <c r="I826" i="21"/>
  <c r="F827" i="21"/>
  <c r="G827" i="21"/>
  <c r="H827" i="21"/>
  <c r="I827" i="21"/>
  <c r="I834" i="21"/>
  <c r="F835" i="21"/>
  <c r="G835" i="21"/>
  <c r="H835" i="21"/>
  <c r="I835" i="21"/>
  <c r="I842" i="21"/>
  <c r="F843" i="21"/>
  <c r="G843" i="21"/>
  <c r="H843" i="21"/>
  <c r="F850" i="21"/>
  <c r="G850" i="21"/>
  <c r="H850" i="21"/>
  <c r="I856" i="21"/>
  <c r="F857" i="21"/>
  <c r="G857" i="21"/>
  <c r="H857" i="21"/>
  <c r="I857" i="21"/>
  <c r="I863" i="21"/>
  <c r="F864" i="21"/>
  <c r="G864" i="21"/>
  <c r="H864" i="21"/>
  <c r="I864" i="21"/>
  <c r="I871" i="21"/>
  <c r="F872" i="21"/>
  <c r="G872" i="21"/>
  <c r="H872" i="21"/>
  <c r="I872" i="21"/>
  <c r="I878" i="21"/>
  <c r="I879" i="21"/>
  <c r="F880" i="21"/>
  <c r="G880" i="21"/>
  <c r="H880" i="21"/>
  <c r="I880" i="21"/>
  <c r="I886" i="21"/>
  <c r="I887" i="21"/>
  <c r="F888" i="21"/>
  <c r="G888" i="21"/>
  <c r="H888" i="21"/>
  <c r="I888" i="21"/>
  <c r="I895" i="21"/>
  <c r="F896" i="21"/>
  <c r="G896" i="21"/>
  <c r="H896" i="21"/>
  <c r="I896" i="21"/>
  <c r="I902" i="21"/>
  <c r="F903" i="21"/>
  <c r="G903" i="21"/>
  <c r="H903" i="21"/>
  <c r="I903" i="21"/>
  <c r="I904" i="21"/>
  <c r="I905" i="21"/>
  <c r="I906" i="21"/>
  <c r="F907" i="21"/>
  <c r="G907" i="21"/>
  <c r="H907" i="21"/>
  <c r="I907" i="21"/>
  <c r="I913" i="21"/>
  <c r="F914" i="21"/>
  <c r="G914" i="21"/>
  <c r="H914" i="21"/>
  <c r="I914" i="21"/>
  <c r="I920" i="21"/>
  <c r="F921" i="21"/>
  <c r="G921" i="21"/>
  <c r="H921" i="21"/>
  <c r="I921" i="21"/>
  <c r="I927" i="21"/>
  <c r="F928" i="21"/>
  <c r="G928" i="21"/>
  <c r="H928" i="21"/>
  <c r="I928" i="21"/>
  <c r="I938" i="21"/>
  <c r="F939" i="21"/>
  <c r="G939" i="21"/>
  <c r="H939" i="21"/>
  <c r="I939" i="21"/>
  <c r="I945" i="21"/>
  <c r="F946" i="21"/>
  <c r="G946" i="21"/>
  <c r="H946" i="21"/>
  <c r="I946" i="21"/>
  <c r="I952" i="21"/>
  <c r="F953" i="21"/>
  <c r="G953" i="21"/>
  <c r="H953" i="21"/>
  <c r="I953" i="21"/>
  <c r="I959" i="21"/>
  <c r="F960" i="21"/>
  <c r="G960" i="21"/>
  <c r="H960" i="21"/>
  <c r="I960" i="21"/>
  <c r="I966" i="21"/>
  <c r="F967" i="21"/>
  <c r="G967" i="21"/>
  <c r="H967" i="21"/>
  <c r="I967" i="21"/>
  <c r="I973" i="21"/>
  <c r="F974" i="21"/>
  <c r="G974" i="21"/>
  <c r="H974" i="21"/>
  <c r="I974" i="21"/>
  <c r="I980" i="21"/>
  <c r="F981" i="21"/>
  <c r="G981" i="21"/>
  <c r="H981" i="21"/>
  <c r="I981" i="21"/>
  <c r="I987" i="21"/>
  <c r="G988" i="21"/>
  <c r="H988" i="21"/>
  <c r="I988" i="21"/>
  <c r="I989" i="21"/>
  <c r="F990" i="21"/>
  <c r="G990" i="21"/>
  <c r="H990" i="21"/>
  <c r="I990" i="21"/>
  <c r="I996" i="21"/>
  <c r="F997" i="21"/>
  <c r="G997" i="21"/>
  <c r="H997" i="21"/>
  <c r="I997" i="21"/>
  <c r="I1005" i="21"/>
  <c r="F1006" i="21"/>
  <c r="G1006" i="21"/>
  <c r="H1006" i="21"/>
  <c r="I1006" i="21"/>
  <c r="I1012" i="21"/>
  <c r="F1013" i="21"/>
  <c r="G1013" i="21"/>
  <c r="H1013" i="21"/>
  <c r="I1013" i="21"/>
  <c r="I1019" i="21"/>
  <c r="F1020" i="21"/>
  <c r="G1020" i="21"/>
  <c r="H1020" i="21"/>
  <c r="I1020" i="21"/>
  <c r="I1026" i="21"/>
  <c r="F1027" i="21"/>
  <c r="G1027" i="21"/>
  <c r="H1027" i="21"/>
  <c r="I1027" i="21"/>
  <c r="K1027" i="21"/>
  <c r="L1027" i="21"/>
  <c r="M1027" i="21"/>
  <c r="I1033" i="21"/>
  <c r="F1034" i="21"/>
  <c r="G1034" i="21"/>
  <c r="H1034" i="21"/>
  <c r="I1034" i="21"/>
  <c r="I1040" i="21"/>
  <c r="F1041" i="21"/>
  <c r="G1041" i="21"/>
  <c r="H1041" i="21"/>
  <c r="I1041" i="21"/>
  <c r="I1047" i="21"/>
  <c r="I1048" i="21"/>
  <c r="G1049" i="21"/>
  <c r="H1049" i="21"/>
  <c r="I1049" i="21"/>
  <c r="I1050" i="21"/>
  <c r="I1051" i="21"/>
  <c r="I1052" i="21"/>
  <c r="I1053" i="21"/>
  <c r="F1054" i="21"/>
  <c r="G1054" i="21"/>
  <c r="H1054" i="21"/>
  <c r="I1054" i="21"/>
  <c r="I1060" i="21"/>
  <c r="F1061" i="21"/>
  <c r="G1061" i="21"/>
  <c r="H1061" i="21"/>
  <c r="I1061" i="21"/>
  <c r="I1072" i="21"/>
  <c r="F1073" i="21"/>
  <c r="G1073" i="21"/>
  <c r="H1073" i="21"/>
  <c r="I1073" i="21"/>
  <c r="I1079" i="21"/>
  <c r="F1080" i="21"/>
  <c r="G1080" i="21"/>
  <c r="H1080" i="21"/>
  <c r="I1080" i="21"/>
  <c r="I1086" i="21"/>
  <c r="F1087" i="21"/>
  <c r="G1087" i="21"/>
  <c r="H1087" i="21"/>
  <c r="I1087" i="21"/>
  <c r="I1093" i="21"/>
  <c r="F1094" i="21"/>
  <c r="G1094" i="21"/>
  <c r="H1094" i="21"/>
  <c r="I1094" i="21"/>
  <c r="I1100" i="21"/>
  <c r="F1101" i="21"/>
  <c r="G1101" i="21"/>
  <c r="H1101" i="21"/>
  <c r="I1101" i="21"/>
  <c r="I1107" i="21"/>
  <c r="F1108" i="21"/>
  <c r="G1108" i="21"/>
  <c r="H1108" i="21"/>
  <c r="I1108" i="21"/>
  <c r="I1114" i="21"/>
  <c r="F1115" i="21"/>
  <c r="G1115" i="21"/>
  <c r="H1115" i="21"/>
  <c r="I1115" i="21"/>
  <c r="I1121" i="21"/>
  <c r="F1122" i="21"/>
  <c r="G1122" i="21"/>
  <c r="H1122" i="21"/>
  <c r="I1122" i="21"/>
  <c r="I1128" i="21"/>
  <c r="F1129" i="21"/>
  <c r="G1129" i="21"/>
  <c r="H1129" i="21"/>
  <c r="I1129" i="21"/>
  <c r="I1139" i="21"/>
  <c r="F1140" i="21"/>
  <c r="G1140" i="21"/>
  <c r="H1140" i="21"/>
  <c r="I1140" i="21"/>
  <c r="I1146" i="21"/>
  <c r="F1147" i="21"/>
  <c r="G1147" i="21"/>
  <c r="H1147" i="21"/>
  <c r="I1147" i="21"/>
  <c r="I1153" i="21"/>
  <c r="F1154" i="21"/>
  <c r="G1154" i="21"/>
  <c r="H1154" i="21"/>
  <c r="I1154" i="21"/>
  <c r="I1160" i="21"/>
  <c r="F1161" i="21"/>
  <c r="G1161" i="21"/>
  <c r="H1161" i="21"/>
  <c r="I1161" i="21"/>
  <c r="I1167" i="21"/>
  <c r="F1168" i="21"/>
  <c r="G1168" i="21"/>
  <c r="H1168" i="21"/>
  <c r="I1168" i="21"/>
  <c r="I1174" i="21"/>
  <c r="F1175" i="21"/>
  <c r="G1175" i="21"/>
  <c r="H1175" i="21"/>
  <c r="I1175" i="21"/>
  <c r="I1181" i="21"/>
  <c r="F1182" i="21"/>
  <c r="G1182" i="21"/>
  <c r="H1182" i="21"/>
  <c r="I1182" i="21"/>
  <c r="I1188" i="21"/>
  <c r="F1189" i="21"/>
  <c r="G1189" i="21"/>
  <c r="H1189" i="21"/>
  <c r="I1189" i="21"/>
  <c r="I1195" i="21"/>
  <c r="F1196" i="21"/>
  <c r="G1196" i="21"/>
  <c r="H1196" i="21"/>
  <c r="I1196" i="21"/>
  <c r="I1206" i="21"/>
  <c r="F1207" i="21"/>
  <c r="G1207" i="21"/>
  <c r="H1207" i="21"/>
  <c r="I1207" i="21"/>
  <c r="I1213" i="21"/>
  <c r="F1214" i="21"/>
  <c r="G1214" i="21"/>
  <c r="H1214" i="21"/>
  <c r="I1214" i="21"/>
  <c r="K1214" i="21"/>
  <c r="L1214" i="21"/>
  <c r="M1214" i="21"/>
  <c r="I1220" i="21"/>
  <c r="F1221" i="21"/>
  <c r="G1221" i="21"/>
  <c r="H1221" i="21"/>
  <c r="I1221" i="21"/>
  <c r="K1221" i="21"/>
  <c r="L1221" i="21"/>
  <c r="M1221" i="21"/>
  <c r="K1228" i="21"/>
  <c r="L1228" i="21"/>
  <c r="M1228" i="21"/>
  <c r="K1229" i="21"/>
  <c r="K1230" i="21"/>
  <c r="L1230" i="21"/>
  <c r="M1230" i="21"/>
  <c r="K1232" i="21"/>
  <c r="L1232" i="21"/>
  <c r="M1232" i="21"/>
  <c r="K1233" i="21"/>
  <c r="L1233" i="21"/>
  <c r="M1233" i="21"/>
  <c r="H11" i="24"/>
  <c r="H17" i="24"/>
  <c r="H18" i="24"/>
  <c r="H20" i="24"/>
  <c r="H26" i="24"/>
  <c r="H30" i="24"/>
  <c r="H31" i="24"/>
  <c r="H33" i="24"/>
  <c r="H34" i="24"/>
  <c r="H35" i="24"/>
  <c r="H36" i="24"/>
  <c r="H38" i="24"/>
  <c r="H49" i="24"/>
  <c r="H50" i="24"/>
  <c r="H51" i="24"/>
  <c r="H75" i="24"/>
  <c r="H76" i="24"/>
  <c r="H78" i="24"/>
  <c r="H80" i="24"/>
  <c r="H91" i="24"/>
  <c r="H100" i="24"/>
  <c r="H102" i="24"/>
  <c r="H103" i="24"/>
  <c r="H104" i="24"/>
  <c r="H106" i="24"/>
  <c r="H111" i="24"/>
  <c r="H113" i="24"/>
  <c r="H115" i="24"/>
  <c r="H116" i="24"/>
  <c r="H118" i="24"/>
  <c r="E125" i="24"/>
  <c r="C132" i="20" s="1"/>
  <c r="D134" i="20"/>
  <c r="E134" i="20"/>
  <c r="D135" i="20"/>
  <c r="E135" i="20"/>
  <c r="E11" i="26"/>
  <c r="F11" i="26"/>
  <c r="G11" i="26"/>
  <c r="E15" i="26"/>
  <c r="C130" i="20"/>
  <c r="F15" i="26"/>
  <c r="D130" i="20"/>
  <c r="G15" i="26"/>
  <c r="E130" i="20"/>
  <c r="H10" i="23"/>
  <c r="H11" i="23"/>
  <c r="E15" i="23"/>
  <c r="C129" i="20"/>
  <c r="F15" i="23"/>
  <c r="D129" i="20"/>
  <c r="G15" i="23"/>
  <c r="E129" i="20" s="1"/>
  <c r="H11" i="15"/>
  <c r="H12" i="15"/>
  <c r="H14" i="15"/>
  <c r="H15" i="15"/>
  <c r="H16" i="15"/>
  <c r="H17" i="15"/>
  <c r="H18" i="15"/>
  <c r="H19" i="15"/>
  <c r="H20" i="15"/>
  <c r="H21" i="15"/>
  <c r="H25" i="15"/>
  <c r="H26" i="15"/>
  <c r="H27" i="15"/>
  <c r="H28" i="15"/>
  <c r="H35" i="15"/>
  <c r="H43" i="15"/>
  <c r="H44" i="15"/>
  <c r="H50" i="15"/>
  <c r="H51" i="15"/>
  <c r="H52" i="15"/>
  <c r="H54" i="15"/>
  <c r="H74" i="15"/>
  <c r="H90" i="15"/>
  <c r="H94" i="15"/>
  <c r="H105" i="15"/>
  <c r="H106" i="15"/>
  <c r="H107" i="15"/>
  <c r="H109" i="15"/>
  <c r="H119" i="15"/>
  <c r="H120" i="15"/>
  <c r="H121" i="15"/>
  <c r="H123" i="15"/>
  <c r="H134" i="15"/>
  <c r="H135" i="15"/>
  <c r="H136" i="15"/>
  <c r="H143" i="15"/>
  <c r="H10" i="55"/>
  <c r="H11" i="55"/>
  <c r="H12" i="55"/>
  <c r="H13" i="55"/>
  <c r="H14" i="55"/>
  <c r="H17" i="55"/>
  <c r="H19" i="55"/>
  <c r="H20" i="55"/>
  <c r="H26" i="55"/>
  <c r="H27" i="55"/>
  <c r="H28" i="55"/>
  <c r="H29" i="55"/>
  <c r="H30" i="55"/>
  <c r="H31" i="55"/>
  <c r="H33" i="55"/>
  <c r="H34" i="55"/>
  <c r="H36" i="55"/>
  <c r="H38" i="55"/>
  <c r="H39" i="55"/>
  <c r="H41" i="55"/>
  <c r="H42" i="55"/>
  <c r="H48" i="55"/>
  <c r="H50" i="55"/>
  <c r="H51" i="55"/>
  <c r="H52" i="55"/>
  <c r="H54" i="55"/>
  <c r="H55" i="55"/>
  <c r="H59" i="55"/>
  <c r="H60" i="55"/>
  <c r="H61" i="55"/>
  <c r="H62" i="55"/>
  <c r="H64" i="55"/>
  <c r="H65" i="55"/>
  <c r="H66" i="55"/>
  <c r="H67" i="55"/>
  <c r="H76" i="55"/>
  <c r="H77" i="55"/>
  <c r="H80" i="55"/>
  <c r="H81" i="55"/>
  <c r="H82" i="55"/>
  <c r="H83" i="55"/>
  <c r="H84" i="55"/>
  <c r="H85" i="55"/>
  <c r="H86" i="55"/>
  <c r="H87" i="55"/>
  <c r="H88" i="55"/>
  <c r="H89" i="55"/>
  <c r="H90" i="55"/>
  <c r="H91" i="55"/>
  <c r="H92" i="55"/>
  <c r="H93" i="55"/>
  <c r="H94" i="55"/>
  <c r="H95" i="55"/>
  <c r="H97" i="55"/>
  <c r="H98" i="55"/>
  <c r="H100" i="55"/>
  <c r="H104" i="55"/>
  <c r="H105" i="55"/>
  <c r="H106" i="55"/>
  <c r="H107" i="55"/>
  <c r="H109" i="55"/>
  <c r="H110" i="55"/>
  <c r="H114" i="55"/>
  <c r="H116" i="55"/>
  <c r="H118" i="55"/>
  <c r="H119" i="55"/>
  <c r="H120" i="55"/>
  <c r="H126" i="55"/>
  <c r="H128" i="55"/>
  <c r="H129" i="55"/>
  <c r="H131" i="55"/>
  <c r="H132" i="55"/>
  <c r="H133" i="55"/>
  <c r="H134" i="55"/>
  <c r="H145" i="55"/>
  <c r="H146" i="55"/>
  <c r="H147" i="55"/>
  <c r="H159" i="55"/>
  <c r="H160" i="55"/>
  <c r="H161" i="55"/>
  <c r="H162" i="55"/>
  <c r="H163" i="55"/>
  <c r="H164" i="55"/>
  <c r="H165" i="55"/>
  <c r="H166" i="55"/>
  <c r="H167" i="55"/>
  <c r="H179" i="55"/>
  <c r="H180" i="55"/>
  <c r="H183" i="55"/>
  <c r="H185" i="55"/>
  <c r="H186" i="55"/>
  <c r="H187" i="55"/>
  <c r="H188" i="55"/>
  <c r="H190" i="55"/>
  <c r="H203" i="55"/>
  <c r="H204" i="55"/>
  <c r="H205" i="55"/>
  <c r="H206" i="55"/>
  <c r="H219" i="55"/>
  <c r="H220" i="55"/>
  <c r="H222" i="55"/>
  <c r="H224" i="55"/>
  <c r="H226" i="55"/>
  <c r="H239" i="55"/>
  <c r="H241" i="55"/>
  <c r="H242" i="55"/>
  <c r="H253" i="55"/>
  <c r="H254" i="55"/>
  <c r="H255" i="55"/>
  <c r="H257" i="55"/>
  <c r="H268" i="55"/>
  <c r="H270" i="55"/>
  <c r="H297" i="55"/>
  <c r="K297" i="55"/>
  <c r="L297" i="55"/>
  <c r="H13" i="12"/>
  <c r="H14" i="12"/>
  <c r="H15" i="12"/>
  <c r="H18" i="12"/>
  <c r="H19" i="12"/>
  <c r="H20" i="12"/>
  <c r="H21" i="12"/>
  <c r="H22" i="12"/>
  <c r="H26" i="12"/>
  <c r="H27" i="12"/>
  <c r="H37" i="12"/>
  <c r="H38" i="12"/>
  <c r="H88" i="12"/>
  <c r="H89" i="12"/>
  <c r="H90" i="12"/>
  <c r="E93" i="12"/>
  <c r="H93" i="12"/>
  <c r="H94" i="12"/>
  <c r="E98" i="12"/>
  <c r="C101" i="20" s="1"/>
  <c r="H98" i="12"/>
  <c r="H100" i="12"/>
  <c r="D97" i="20"/>
  <c r="E97" i="20"/>
  <c r="H109" i="12"/>
  <c r="D102" i="20"/>
  <c r="E102" i="20"/>
  <c r="H115" i="12"/>
  <c r="D103" i="20"/>
  <c r="E103" i="20"/>
  <c r="H116" i="12"/>
  <c r="H15" i="13"/>
  <c r="H18" i="13"/>
  <c r="H19" i="13"/>
  <c r="H22" i="13"/>
  <c r="H25" i="13"/>
  <c r="H26" i="13"/>
  <c r="H27" i="13"/>
  <c r="H31" i="13"/>
  <c r="H33" i="13"/>
  <c r="H40" i="13"/>
  <c r="H42" i="13"/>
  <c r="H47" i="13"/>
  <c r="H49" i="13"/>
  <c r="H51" i="13"/>
  <c r="H52" i="13"/>
  <c r="H53" i="13"/>
  <c r="H54" i="13"/>
  <c r="H55" i="13"/>
  <c r="H56" i="13"/>
  <c r="H57" i="13"/>
  <c r="H58" i="13"/>
  <c r="H59" i="13"/>
  <c r="H63" i="13"/>
  <c r="H90" i="13"/>
  <c r="H91" i="13"/>
  <c r="H103" i="13"/>
  <c r="H104" i="13"/>
  <c r="H109" i="13"/>
  <c r="H111" i="13" s="1"/>
  <c r="H110" i="13"/>
  <c r="H123" i="13"/>
  <c r="H124" i="13"/>
  <c r="H137" i="13"/>
  <c r="H138" i="13"/>
  <c r="H151" i="13"/>
  <c r="H152" i="13"/>
  <c r="H168" i="13"/>
  <c r="H169" i="13"/>
  <c r="H182" i="13"/>
  <c r="H183" i="13"/>
  <c r="H198" i="13"/>
  <c r="H199" i="13"/>
  <c r="H211" i="13"/>
  <c r="H212" i="13"/>
  <c r="H213" i="13"/>
  <c r="H228" i="13"/>
  <c r="H229" i="13"/>
  <c r="H241" i="13"/>
  <c r="H242" i="13"/>
  <c r="H243" i="13"/>
  <c r="H259" i="13"/>
  <c r="H260" i="13"/>
  <c r="H278" i="13"/>
  <c r="H279" i="13"/>
  <c r="H291" i="13"/>
  <c r="H292" i="13"/>
  <c r="H307" i="13"/>
  <c r="H308" i="13"/>
  <c r="H321" i="13"/>
  <c r="H322" i="13"/>
  <c r="H335" i="13"/>
  <c r="H336" i="13"/>
  <c r="H349" i="13"/>
  <c r="H350" i="13"/>
  <c r="H364" i="13"/>
  <c r="H365" i="13"/>
  <c r="H383" i="13"/>
  <c r="H384" i="13"/>
  <c r="H397" i="13"/>
  <c r="H398" i="13"/>
  <c r="H400" i="13"/>
  <c r="H402" i="13" s="1"/>
  <c r="H401" i="13"/>
  <c r="H415" i="13"/>
  <c r="H416" i="13"/>
  <c r="H430" i="13"/>
  <c r="H431" i="13"/>
  <c r="H445" i="13"/>
  <c r="H446" i="13"/>
  <c r="H460" i="13"/>
  <c r="H461" i="13"/>
  <c r="H475" i="13"/>
  <c r="H476" i="13"/>
  <c r="H490" i="13"/>
  <c r="H491" i="13"/>
  <c r="H506" i="13"/>
  <c r="H507" i="13"/>
  <c r="H511" i="13"/>
  <c r="H522" i="13"/>
  <c r="H523" i="13"/>
  <c r="H536" i="13"/>
  <c r="H537" i="13"/>
  <c r="H540" i="13"/>
  <c r="H552" i="13"/>
  <c r="H553" i="13"/>
  <c r="H568" i="13"/>
  <c r="H569" i="13"/>
  <c r="H571" i="13"/>
  <c r="H574" i="13"/>
  <c r="H576" i="13" s="1"/>
  <c r="H594" i="13"/>
  <c r="S598" i="13"/>
  <c r="H600" i="13"/>
  <c r="H36" i="7"/>
  <c r="H38" i="7"/>
  <c r="H40" i="7"/>
  <c r="H44" i="7"/>
  <c r="H45" i="7"/>
  <c r="H51" i="7"/>
  <c r="H53" i="7"/>
  <c r="H60" i="7"/>
  <c r="H63" i="7"/>
  <c r="H69" i="7"/>
  <c r="H70" i="7"/>
  <c r="H76" i="7"/>
  <c r="H77" i="7"/>
  <c r="H79" i="7"/>
  <c r="H81" i="7"/>
  <c r="H82" i="7"/>
  <c r="H83" i="7"/>
  <c r="H87" i="7"/>
  <c r="H88" i="7"/>
  <c r="H99" i="7"/>
  <c r="H100" i="7"/>
  <c r="H101" i="7"/>
  <c r="H102" i="7"/>
  <c r="H104" i="7"/>
  <c r="H105" i="7"/>
  <c r="H106" i="7"/>
  <c r="H107" i="7"/>
  <c r="H110" i="7"/>
  <c r="H111" i="7"/>
  <c r="H114" i="7"/>
  <c r="H115" i="7"/>
  <c r="H116" i="7"/>
  <c r="H117" i="7"/>
  <c r="H118" i="7"/>
  <c r="H119" i="7"/>
  <c r="H122" i="7"/>
  <c r="H124" i="7"/>
  <c r="H143" i="7"/>
  <c r="H144" i="7"/>
  <c r="H145" i="7"/>
  <c r="H146" i="7"/>
  <c r="H149" i="7"/>
  <c r="H150" i="7"/>
  <c r="H166" i="7"/>
  <c r="H167" i="7"/>
  <c r="H168" i="7"/>
  <c r="H169" i="7"/>
  <c r="H170" i="7"/>
  <c r="H171" i="7"/>
  <c r="H172" i="7"/>
  <c r="H174" i="7"/>
  <c r="H175" i="7"/>
  <c r="H176" i="7"/>
  <c r="H177" i="7"/>
  <c r="H178" i="7"/>
  <c r="H179" i="7"/>
  <c r="H182" i="7"/>
  <c r="H185" i="7"/>
  <c r="H194" i="7"/>
  <c r="H196" i="7"/>
  <c r="H197" i="7"/>
  <c r="H199" i="7"/>
  <c r="H216" i="7"/>
  <c r="H217" i="7"/>
  <c r="H227" i="7"/>
  <c r="E229" i="7"/>
  <c r="K305" i="7" s="1"/>
  <c r="H243" i="7"/>
  <c r="H244" i="7"/>
  <c r="H248" i="7"/>
  <c r="H249" i="7"/>
  <c r="H253" i="7"/>
  <c r="H254" i="7"/>
  <c r="H255" i="7"/>
  <c r="H258" i="7"/>
  <c r="H268" i="7"/>
  <c r="H270" i="7"/>
  <c r="H279" i="7"/>
  <c r="H282" i="7"/>
  <c r="E71" i="20"/>
  <c r="E301" i="7"/>
  <c r="C73" i="20" s="1"/>
  <c r="E75" i="20"/>
  <c r="E307" i="7"/>
  <c r="C78" i="20" s="1"/>
  <c r="H11" i="8"/>
  <c r="H12" i="8"/>
  <c r="H13" i="8"/>
  <c r="H14" i="8"/>
  <c r="H18" i="8"/>
  <c r="H22" i="8"/>
  <c r="H23" i="8"/>
  <c r="H24" i="8"/>
  <c r="H25" i="8"/>
  <c r="H28" i="8"/>
  <c r="H29" i="8"/>
  <c r="H30" i="8"/>
  <c r="H31" i="8"/>
  <c r="H32" i="8"/>
  <c r="H33" i="8"/>
  <c r="H39" i="8"/>
  <c r="H44" i="8"/>
  <c r="H45" i="8"/>
  <c r="H46" i="8"/>
  <c r="H47" i="8"/>
  <c r="H48" i="8"/>
  <c r="H58" i="8"/>
  <c r="H59" i="8"/>
  <c r="H60" i="8"/>
  <c r="H61" i="8"/>
  <c r="H64" i="8"/>
  <c r="H76" i="8"/>
  <c r="H77" i="8"/>
  <c r="H78" i="8"/>
  <c r="H84" i="8"/>
  <c r="H85" i="8"/>
  <c r="H87" i="8"/>
  <c r="H88" i="8"/>
  <c r="H97" i="8"/>
  <c r="H98" i="8"/>
  <c r="H100" i="8"/>
  <c r="H101" i="8"/>
  <c r="H107" i="8"/>
  <c r="H108" i="8"/>
  <c r="H109" i="8"/>
  <c r="E113" i="8"/>
  <c r="C51" i="20" s="1"/>
  <c r="E114" i="8"/>
  <c r="C52" i="20" s="1"/>
  <c r="D53" i="20"/>
  <c r="E53" i="20"/>
  <c r="H115" i="8"/>
  <c r="D54" i="20"/>
  <c r="G116" i="8"/>
  <c r="E54" i="20" s="1"/>
  <c r="E119" i="8"/>
  <c r="H9" i="27"/>
  <c r="H12" i="27"/>
  <c r="H19" i="27"/>
  <c r="H22" i="27"/>
  <c r="H27" i="27"/>
  <c r="H29" i="27"/>
  <c r="H30" i="27"/>
  <c r="H35" i="27"/>
  <c r="H38" i="27"/>
  <c r="F40" i="27"/>
  <c r="G40" i="27"/>
  <c r="H40" i="27"/>
  <c r="F41" i="27"/>
  <c r="G41" i="27"/>
  <c r="H41" i="27"/>
  <c r="F42" i="27"/>
  <c r="G42" i="27"/>
  <c r="H42" i="27"/>
  <c r="F47" i="27"/>
  <c r="G47" i="27"/>
  <c r="H47" i="27"/>
  <c r="I11" i="25"/>
  <c r="F13" i="25"/>
  <c r="G13" i="25"/>
  <c r="H13" i="25"/>
  <c r="I13" i="25"/>
  <c r="I14" i="25"/>
  <c r="I15" i="25"/>
  <c r="F16" i="25"/>
  <c r="G16" i="25"/>
  <c r="H16" i="25"/>
  <c r="F17" i="25"/>
  <c r="G17" i="25"/>
  <c r="H17" i="25"/>
  <c r="I17" i="25"/>
  <c r="F24" i="25"/>
  <c r="G24" i="25"/>
  <c r="H24" i="25"/>
  <c r="I24" i="25"/>
  <c r="F25" i="25"/>
  <c r="G25" i="25"/>
  <c r="H25" i="25"/>
  <c r="I25" i="25"/>
  <c r="I31" i="25"/>
  <c r="F32" i="25"/>
  <c r="G32" i="25"/>
  <c r="H32" i="25"/>
  <c r="I32" i="25"/>
  <c r="F33" i="25"/>
  <c r="G33" i="25"/>
  <c r="H33" i="25"/>
  <c r="I33" i="25"/>
  <c r="F38" i="25"/>
  <c r="F37" i="25"/>
  <c r="G38" i="25"/>
  <c r="G37" i="25"/>
  <c r="H38" i="25"/>
  <c r="H37" i="25"/>
  <c r="I37" i="25"/>
  <c r="I38" i="25"/>
  <c r="F39" i="25"/>
  <c r="G39" i="25"/>
  <c r="H39" i="25"/>
  <c r="I39" i="25"/>
  <c r="F44" i="25"/>
  <c r="G44" i="25"/>
  <c r="H44" i="25"/>
  <c r="I44" i="25"/>
  <c r="H10" i="9"/>
  <c r="H11" i="9"/>
  <c r="H12" i="9"/>
  <c r="H13" i="9"/>
  <c r="H16" i="9"/>
  <c r="H17" i="9"/>
  <c r="H18" i="9"/>
  <c r="H19" i="9"/>
  <c r="H24" i="9"/>
  <c r="H26" i="9"/>
  <c r="H27" i="9"/>
  <c r="H31" i="9"/>
  <c r="H35" i="9"/>
  <c r="H46" i="9"/>
  <c r="H47" i="9"/>
  <c r="H53" i="9"/>
  <c r="H57" i="9"/>
  <c r="H62" i="9"/>
  <c r="H65" i="9"/>
  <c r="H74" i="9"/>
  <c r="H75" i="9"/>
  <c r="H76" i="9"/>
  <c r="H77" i="9"/>
  <c r="H78" i="9"/>
  <c r="H79" i="9"/>
  <c r="H80" i="9"/>
  <c r="H81" i="9"/>
  <c r="E88" i="9"/>
  <c r="C47" i="20" s="1"/>
  <c r="G88" i="9"/>
  <c r="E47" i="20" s="1"/>
  <c r="H12" i="10"/>
  <c r="H16" i="10"/>
  <c r="H23" i="10"/>
  <c r="H24" i="10"/>
  <c r="H25" i="10"/>
  <c r="H27" i="10"/>
  <c r="H29" i="10"/>
  <c r="H30" i="10"/>
  <c r="D42" i="20"/>
  <c r="H10" i="11"/>
  <c r="H12" i="11"/>
  <c r="E18" i="11"/>
  <c r="E35" i="11" s="1"/>
  <c r="H29" i="11"/>
  <c r="H30" i="11"/>
  <c r="E31" i="11"/>
  <c r="E36" i="11" s="1"/>
  <c r="C36" i="20" s="1"/>
  <c r="F36" i="11"/>
  <c r="G31" i="11"/>
  <c r="G36" i="11" s="1"/>
  <c r="E36" i="20" s="1"/>
  <c r="H10" i="4"/>
  <c r="H11" i="4"/>
  <c r="E12" i="4"/>
  <c r="F12" i="4"/>
  <c r="G12" i="4"/>
  <c r="G23" i="4" s="1"/>
  <c r="E16" i="4"/>
  <c r="C30" i="20"/>
  <c r="F16" i="4"/>
  <c r="D30" i="20" s="1"/>
  <c r="G16" i="4"/>
  <c r="E30" i="20" s="1"/>
  <c r="E17" i="4"/>
  <c r="C31" i="20"/>
  <c r="F17" i="4"/>
  <c r="D31" i="20"/>
  <c r="G17" i="4"/>
  <c r="E31" i="20"/>
  <c r="E23" i="4"/>
  <c r="F23" i="4"/>
  <c r="H10" i="5"/>
  <c r="H14" i="5"/>
  <c r="H15" i="5"/>
  <c r="H17" i="5"/>
  <c r="H20" i="5"/>
  <c r="H31" i="5"/>
  <c r="H32" i="5"/>
  <c r="H33" i="5"/>
  <c r="H34" i="5"/>
  <c r="H35" i="5"/>
  <c r="E36" i="5"/>
  <c r="E45" i="5" s="1"/>
  <c r="E39" i="5"/>
  <c r="F42" i="5"/>
  <c r="D28" i="20" s="1"/>
  <c r="G42" i="5"/>
  <c r="E28" i="20" s="1"/>
  <c r="H43" i="54"/>
  <c r="H44" i="54"/>
  <c r="H46" i="54"/>
  <c r="H52" i="54"/>
  <c r="H55" i="54"/>
  <c r="H56" i="54"/>
  <c r="H58" i="54"/>
  <c r="H59" i="54"/>
  <c r="H61" i="54"/>
  <c r="H62" i="54"/>
  <c r="H63" i="54"/>
  <c r="H64" i="54"/>
  <c r="H67" i="54"/>
  <c r="H68" i="54"/>
  <c r="H74" i="54"/>
  <c r="H75" i="54"/>
  <c r="H76" i="54"/>
  <c r="H77" i="54"/>
  <c r="H78" i="54"/>
  <c r="H81" i="54"/>
  <c r="H82" i="54"/>
  <c r="H83" i="54"/>
  <c r="H84" i="54"/>
  <c r="H85" i="54"/>
  <c r="H86" i="54"/>
  <c r="H87" i="54"/>
  <c r="H88" i="54"/>
  <c r="H91" i="54"/>
  <c r="H92" i="54"/>
  <c r="H93" i="54"/>
  <c r="H94" i="54"/>
  <c r="H97" i="54"/>
  <c r="H98" i="54"/>
  <c r="H99" i="54"/>
  <c r="H105" i="54"/>
  <c r="H106" i="54"/>
  <c r="H108" i="54"/>
  <c r="H110" i="54"/>
  <c r="H111" i="54"/>
  <c r="H112" i="54"/>
  <c r="H113" i="54"/>
  <c r="H115" i="54"/>
  <c r="H126" i="54"/>
  <c r="H129" i="54"/>
  <c r="H10" i="52"/>
  <c r="H41" i="52"/>
  <c r="E84" i="52"/>
  <c r="H71" i="52"/>
  <c r="F15" i="20"/>
  <c r="M1234" i="21"/>
  <c r="H1224" i="21"/>
  <c r="L1234" i="21"/>
  <c r="G1224" i="21"/>
  <c r="H29" i="49"/>
  <c r="G34" i="49"/>
  <c r="H34" i="49"/>
  <c r="C13" i="20"/>
  <c r="E15" i="4"/>
  <c r="H42" i="54"/>
  <c r="H505" i="13"/>
  <c r="H53" i="54"/>
  <c r="H45" i="54"/>
  <c r="H57" i="54"/>
  <c r="H81" i="52"/>
  <c r="H141" i="54"/>
  <c r="H52" i="52"/>
  <c r="F16" i="20"/>
  <c r="E12" i="20"/>
  <c r="D95" i="20"/>
  <c r="D100" i="20"/>
  <c r="E100" i="20"/>
  <c r="H113" i="12"/>
  <c r="D13" i="20"/>
  <c r="I1224" i="21"/>
  <c r="E13" i="20"/>
  <c r="F14" i="20"/>
  <c r="H53" i="24"/>
  <c r="G125" i="24"/>
  <c r="E132" i="20" s="1"/>
  <c r="H29" i="12"/>
  <c r="E95" i="20"/>
  <c r="H107" i="12"/>
  <c r="E101" i="20"/>
  <c r="H114" i="12"/>
  <c r="D101" i="20"/>
  <c r="F108" i="12"/>
  <c r="D96" i="20" s="1"/>
  <c r="H43" i="12"/>
  <c r="H112" i="12"/>
  <c r="E289" i="55"/>
  <c r="K55" i="20" l="1"/>
  <c r="G104" i="20"/>
  <c r="L55" i="20"/>
  <c r="M55" i="20"/>
  <c r="I285" i="20"/>
  <c r="G285" i="20"/>
  <c r="H284" i="20"/>
  <c r="I284" i="20"/>
  <c r="G284" i="20"/>
  <c r="C25" i="20"/>
  <c r="E38" i="5"/>
  <c r="R139" i="20"/>
  <c r="R138" i="20"/>
  <c r="T139" i="20"/>
  <c r="S139" i="20"/>
  <c r="J74" i="54"/>
  <c r="E117" i="54" s="1"/>
  <c r="E139" i="54" s="1"/>
  <c r="E138" i="54" s="1"/>
  <c r="D23" i="20"/>
  <c r="D276" i="20" s="1"/>
  <c r="F139" i="54"/>
  <c r="F138" i="54" s="1"/>
  <c r="E23" i="20"/>
  <c r="E290" i="20" s="1"/>
  <c r="G139" i="54"/>
  <c r="G138" i="54" s="1"/>
  <c r="C290" i="20"/>
  <c r="C16" i="31" s="1"/>
  <c r="C276" i="20"/>
  <c r="S107" i="20"/>
  <c r="R106" i="20"/>
  <c r="R107" i="20"/>
  <c r="T107" i="20"/>
  <c r="R53" i="20"/>
  <c r="C296" i="20" s="1"/>
  <c r="C29" i="31" s="1"/>
  <c r="H86" i="7"/>
  <c r="L306" i="7"/>
  <c r="L310" i="7"/>
  <c r="E289" i="7"/>
  <c r="C62" i="20" s="1"/>
  <c r="E296" i="7"/>
  <c r="C69" i="20" s="1"/>
  <c r="M270" i="20"/>
  <c r="T47" i="20"/>
  <c r="R48" i="20"/>
  <c r="T48" i="20"/>
  <c r="S47" i="20"/>
  <c r="R47" i="20"/>
  <c r="S48" i="20"/>
  <c r="R49" i="20"/>
  <c r="E122" i="20"/>
  <c r="F122" i="20" s="1"/>
  <c r="L169" i="15"/>
  <c r="F82" i="15"/>
  <c r="E56" i="15"/>
  <c r="J65" i="15" s="1"/>
  <c r="G56" i="15"/>
  <c r="G161" i="15" s="1"/>
  <c r="F193" i="55"/>
  <c r="F296" i="55"/>
  <c r="D112" i="20" s="1"/>
  <c r="G296" i="55"/>
  <c r="E169" i="55"/>
  <c r="E295" i="55"/>
  <c r="F209" i="55"/>
  <c r="F295" i="55"/>
  <c r="E296" i="55"/>
  <c r="G209" i="55"/>
  <c r="G295" i="55"/>
  <c r="E230" i="55"/>
  <c r="J134" i="55"/>
  <c r="F136" i="55" s="1"/>
  <c r="L147" i="55" s="1"/>
  <c r="K134" i="55"/>
  <c r="G136" i="55" s="1"/>
  <c r="M147" i="55" s="1"/>
  <c r="G106" i="12"/>
  <c r="G119" i="12" s="1"/>
  <c r="H108" i="12"/>
  <c r="F106" i="12"/>
  <c r="E106" i="12"/>
  <c r="G578" i="13"/>
  <c r="G543" i="13"/>
  <c r="E404" i="13"/>
  <c r="G282" i="13"/>
  <c r="H282" i="13" s="1"/>
  <c r="F113" i="13"/>
  <c r="F339" i="13"/>
  <c r="E337" i="13"/>
  <c r="H567" i="13"/>
  <c r="H30" i="13"/>
  <c r="G404" i="13"/>
  <c r="H462" i="13"/>
  <c r="H16" i="13"/>
  <c r="G249" i="13"/>
  <c r="H249" i="13" s="1"/>
  <c r="E543" i="13"/>
  <c r="H296" i="13"/>
  <c r="H477" i="13"/>
  <c r="H89" i="13"/>
  <c r="H102" i="13"/>
  <c r="H215" i="13"/>
  <c r="H290" i="13"/>
  <c r="H306" i="13"/>
  <c r="E578" i="13"/>
  <c r="H348" i="13"/>
  <c r="H136" i="13"/>
  <c r="H320" i="13"/>
  <c r="H444" i="13"/>
  <c r="H535" i="13"/>
  <c r="H432" i="13"/>
  <c r="E113" i="13"/>
  <c r="H298" i="13"/>
  <c r="H258" i="13"/>
  <c r="F92" i="13"/>
  <c r="F94" i="13" s="1"/>
  <c r="H369" i="13"/>
  <c r="F404" i="13"/>
  <c r="H399" i="13"/>
  <c r="H337" i="13"/>
  <c r="H363" i="13"/>
  <c r="H264" i="13"/>
  <c r="H150" i="13"/>
  <c r="F538" i="13"/>
  <c r="G139" i="13"/>
  <c r="H139" i="13" s="1"/>
  <c r="H122" i="13"/>
  <c r="H181" i="13"/>
  <c r="H266" i="13"/>
  <c r="H414" i="13"/>
  <c r="H429" i="13"/>
  <c r="H474" i="13"/>
  <c r="H513" i="13"/>
  <c r="F592" i="13"/>
  <c r="F591" i="13" s="1"/>
  <c r="H41" i="13"/>
  <c r="H153" i="13"/>
  <c r="H459" i="13"/>
  <c r="H396" i="13"/>
  <c r="H197" i="13"/>
  <c r="H184" i="13"/>
  <c r="H200" i="13"/>
  <c r="H385" i="13"/>
  <c r="G387" i="13"/>
  <c r="H387" i="13" s="1"/>
  <c r="H554" i="13"/>
  <c r="H170" i="13"/>
  <c r="H230" i="13"/>
  <c r="H524" i="13"/>
  <c r="H353" i="13"/>
  <c r="H573" i="13"/>
  <c r="H309" i="13"/>
  <c r="G494" i="13"/>
  <c r="H494" i="13" s="1"/>
  <c r="H492" i="13"/>
  <c r="H382" i="13"/>
  <c r="H334" i="13"/>
  <c r="H280" i="13"/>
  <c r="H521" i="13"/>
  <c r="H489" i="13"/>
  <c r="G339" i="13"/>
  <c r="H167" i="13"/>
  <c r="F417" i="13"/>
  <c r="F419" i="13" s="1"/>
  <c r="F323" i="13"/>
  <c r="F325" i="13" s="1"/>
  <c r="H325" i="13" s="1"/>
  <c r="G447" i="13"/>
  <c r="G125" i="13"/>
  <c r="G127" i="13" s="1"/>
  <c r="H551" i="13"/>
  <c r="H351" i="13"/>
  <c r="H227" i="13"/>
  <c r="C271" i="20"/>
  <c r="R273" i="20" s="1"/>
  <c r="E24" i="97"/>
  <c r="E29" i="97" s="1"/>
  <c r="C273" i="20"/>
  <c r="R272" i="20" s="1"/>
  <c r="H79" i="24"/>
  <c r="G126" i="24"/>
  <c r="H15" i="23"/>
  <c r="E112" i="8"/>
  <c r="H116" i="8"/>
  <c r="G114" i="8"/>
  <c r="E52" i="20" s="1"/>
  <c r="E42" i="20"/>
  <c r="F42" i="20" s="1"/>
  <c r="D36" i="20"/>
  <c r="F36" i="20" s="1"/>
  <c r="H36" i="11"/>
  <c r="H31" i="11"/>
  <c r="F41" i="11"/>
  <c r="F35" i="11"/>
  <c r="D35" i="20" s="1"/>
  <c r="H18" i="11"/>
  <c r="E41" i="11"/>
  <c r="G41" i="11"/>
  <c r="H41" i="11" s="1"/>
  <c r="G35" i="11"/>
  <c r="E34" i="11"/>
  <c r="H23" i="4"/>
  <c r="H16" i="4"/>
  <c r="G15" i="4"/>
  <c r="H12" i="4"/>
  <c r="F15" i="4"/>
  <c r="H15" i="4" s="1"/>
  <c r="E40" i="5"/>
  <c r="H42" i="5"/>
  <c r="H140" i="54"/>
  <c r="H143" i="54"/>
  <c r="E9" i="20"/>
  <c r="G76" i="52"/>
  <c r="H76" i="52" s="1"/>
  <c r="G84" i="52"/>
  <c r="H84" i="52" s="1"/>
  <c r="H288" i="20"/>
  <c r="I288" i="20"/>
  <c r="E131" i="24"/>
  <c r="F51" i="10"/>
  <c r="F50" i="10" s="1"/>
  <c r="F56" i="10"/>
  <c r="E51" i="10"/>
  <c r="G56" i="10"/>
  <c r="G51" i="10"/>
  <c r="G50" i="10" s="1"/>
  <c r="F156" i="20"/>
  <c r="F20" i="20"/>
  <c r="G118" i="20"/>
  <c r="F96" i="20"/>
  <c r="E94" i="20"/>
  <c r="F97" i="20"/>
  <c r="F270" i="20"/>
  <c r="I82" i="20"/>
  <c r="I104" i="20"/>
  <c r="G93" i="20"/>
  <c r="I60" i="20"/>
  <c r="H82" i="20"/>
  <c r="G82" i="20"/>
  <c r="H93" i="20"/>
  <c r="H118" i="20"/>
  <c r="C34" i="20"/>
  <c r="I93" i="20"/>
  <c r="I118" i="20"/>
  <c r="F86" i="20"/>
  <c r="G60" i="20"/>
  <c r="H60" i="20"/>
  <c r="H104" i="20"/>
  <c r="E99" i="20"/>
  <c r="D29" i="20"/>
  <c r="F103" i="20"/>
  <c r="F95" i="20"/>
  <c r="M271" i="20"/>
  <c r="E29" i="20"/>
  <c r="C29" i="20"/>
  <c r="F53" i="20"/>
  <c r="C50" i="20"/>
  <c r="F91" i="20"/>
  <c r="M272" i="20"/>
  <c r="C7" i="20"/>
  <c r="D94" i="20"/>
  <c r="F129" i="20"/>
  <c r="C94" i="20"/>
  <c r="F13" i="20"/>
  <c r="F100" i="20"/>
  <c r="F54" i="20"/>
  <c r="D99" i="20"/>
  <c r="F12" i="20"/>
  <c r="F101" i="20"/>
  <c r="C244" i="20"/>
  <c r="E244" i="20"/>
  <c r="E217" i="20"/>
  <c r="C233" i="20"/>
  <c r="F218" i="20"/>
  <c r="D244" i="20"/>
  <c r="D217" i="20"/>
  <c r="C238" i="20"/>
  <c r="D233" i="20"/>
  <c r="E233" i="20"/>
  <c r="F234" i="20"/>
  <c r="F213" i="20"/>
  <c r="F208" i="20"/>
  <c r="C217" i="20"/>
  <c r="G212" i="20"/>
  <c r="E212" i="20"/>
  <c r="I238" i="20"/>
  <c r="F204" i="20"/>
  <c r="E238" i="20"/>
  <c r="D212" i="20"/>
  <c r="D238" i="20"/>
  <c r="D207" i="20"/>
  <c r="C197" i="20"/>
  <c r="C212" i="20"/>
  <c r="F209" i="20"/>
  <c r="I212" i="20"/>
  <c r="D197" i="20"/>
  <c r="E202" i="20"/>
  <c r="C207" i="20"/>
  <c r="E197" i="20"/>
  <c r="C202" i="20"/>
  <c r="D202" i="20"/>
  <c r="E207" i="20"/>
  <c r="F203" i="20"/>
  <c r="F198" i="20"/>
  <c r="F185" i="20"/>
  <c r="D163" i="20"/>
  <c r="I188" i="20"/>
  <c r="F165" i="20"/>
  <c r="F179" i="20"/>
  <c r="F178" i="20"/>
  <c r="C177" i="20"/>
  <c r="D177" i="20"/>
  <c r="E177" i="20"/>
  <c r="C168" i="20"/>
  <c r="D168" i="20"/>
  <c r="E168" i="20"/>
  <c r="C163" i="20"/>
  <c r="F144" i="20"/>
  <c r="E163" i="20"/>
  <c r="I141" i="20"/>
  <c r="G141" i="20"/>
  <c r="F143" i="20"/>
  <c r="E141" i="20"/>
  <c r="F141" i="20" s="1"/>
  <c r="H141" i="20"/>
  <c r="H276" i="20"/>
  <c r="K181" i="7"/>
  <c r="L229" i="7"/>
  <c r="H80" i="7"/>
  <c r="H50" i="7"/>
  <c r="G260" i="7"/>
  <c r="M306" i="7" s="1"/>
  <c r="F301" i="7"/>
  <c r="F300" i="7" s="1"/>
  <c r="H241" i="7"/>
  <c r="H32" i="7"/>
  <c r="H251" i="7"/>
  <c r="H75" i="7"/>
  <c r="D70" i="20"/>
  <c r="S106" i="20" s="1"/>
  <c r="F296" i="7"/>
  <c r="D69" i="20" s="1"/>
  <c r="H68" i="7"/>
  <c r="E295" i="7"/>
  <c r="C68" i="20" s="1"/>
  <c r="H165" i="7"/>
  <c r="C72" i="20"/>
  <c r="G307" i="7"/>
  <c r="H103" i="7"/>
  <c r="E306" i="7"/>
  <c r="F75" i="20"/>
  <c r="F307" i="7"/>
  <c r="D78" i="20" s="1"/>
  <c r="D77" i="20" s="1"/>
  <c r="H303" i="7"/>
  <c r="H256" i="7"/>
  <c r="H181" i="7"/>
  <c r="H267" i="7"/>
  <c r="E300" i="7"/>
  <c r="F80" i="20"/>
  <c r="H153" i="7"/>
  <c r="C77" i="20"/>
  <c r="H290" i="7"/>
  <c r="H309" i="7"/>
  <c r="H226" i="7"/>
  <c r="K229" i="7"/>
  <c r="G296" i="7"/>
  <c r="H229" i="7"/>
  <c r="H206" i="7"/>
  <c r="D63" i="20"/>
  <c r="F63" i="20" s="1"/>
  <c r="K65" i="15"/>
  <c r="H41" i="15"/>
  <c r="E146" i="15"/>
  <c r="H259" i="55"/>
  <c r="E107" i="20"/>
  <c r="F107" i="20" s="1"/>
  <c r="H207" i="55"/>
  <c r="E288" i="55"/>
  <c r="H44" i="55"/>
  <c r="H243" i="55"/>
  <c r="H191" i="55"/>
  <c r="H225" i="55"/>
  <c r="G193" i="55"/>
  <c r="H193" i="55" s="1"/>
  <c r="G230" i="55"/>
  <c r="H230" i="55" s="1"/>
  <c r="C106" i="20"/>
  <c r="E193" i="55"/>
  <c r="H169" i="55"/>
  <c r="H238" i="55"/>
  <c r="H267" i="55"/>
  <c r="H272" i="55"/>
  <c r="F113" i="20"/>
  <c r="H130" i="55"/>
  <c r="H32" i="55"/>
  <c r="H228" i="55"/>
  <c r="F98" i="15"/>
  <c r="E98" i="15"/>
  <c r="H133" i="15"/>
  <c r="D127" i="20"/>
  <c r="F127" i="20" s="1"/>
  <c r="E82" i="15"/>
  <c r="G167" i="15"/>
  <c r="H142" i="15"/>
  <c r="H169" i="15"/>
  <c r="H118" i="15"/>
  <c r="H77" i="15"/>
  <c r="H93" i="15"/>
  <c r="H163" i="15"/>
  <c r="H65" i="15"/>
  <c r="H10" i="15"/>
  <c r="G80" i="15"/>
  <c r="H80" i="15" s="1"/>
  <c r="H13" i="15"/>
  <c r="G98" i="15"/>
  <c r="H92" i="15"/>
  <c r="F146" i="15"/>
  <c r="F168" i="15"/>
  <c r="D126" i="20" s="1"/>
  <c r="H95" i="15"/>
  <c r="E168" i="15"/>
  <c r="C126" i="20" s="1"/>
  <c r="G112" i="15"/>
  <c r="H112" i="15" s="1"/>
  <c r="H111" i="15"/>
  <c r="E167" i="15"/>
  <c r="E121" i="20"/>
  <c r="H162" i="15"/>
  <c r="H104" i="15"/>
  <c r="F167" i="15"/>
  <c r="D125" i="20" s="1"/>
  <c r="G144" i="15"/>
  <c r="H144" i="15" s="1"/>
  <c r="H89" i="15"/>
  <c r="H76" i="15"/>
  <c r="H73" i="15"/>
  <c r="C112" i="20"/>
  <c r="E100" i="12"/>
  <c r="E592" i="13"/>
  <c r="G592" i="13"/>
  <c r="G591" i="13" s="1"/>
  <c r="D132" i="20"/>
  <c r="H125" i="24"/>
  <c r="E271" i="20"/>
  <c r="T273" i="20" s="1"/>
  <c r="H22" i="51"/>
  <c r="G19" i="51"/>
  <c r="D271" i="20"/>
  <c r="D269" i="20" s="1"/>
  <c r="F19" i="51"/>
  <c r="F24" i="51" s="1"/>
  <c r="H16" i="51"/>
  <c r="H21" i="97"/>
  <c r="D273" i="20"/>
  <c r="S272" i="20" s="1"/>
  <c r="F24" i="97"/>
  <c r="F29" i="97" s="1"/>
  <c r="H83" i="9"/>
  <c r="F88" i="9"/>
  <c r="F86" i="9" s="1"/>
  <c r="F91" i="9"/>
  <c r="E87" i="9"/>
  <c r="E91" i="9"/>
  <c r="D46" i="20"/>
  <c r="H66" i="9"/>
  <c r="G87" i="9"/>
  <c r="G91" i="9"/>
  <c r="H39" i="10"/>
  <c r="D26" i="20"/>
  <c r="G45" i="5"/>
  <c r="G40" i="5"/>
  <c r="H36" i="5"/>
  <c r="F45" i="5"/>
  <c r="H21" i="5"/>
  <c r="F39" i="5"/>
  <c r="D7" i="20"/>
  <c r="H78" i="52"/>
  <c r="F193" i="20"/>
  <c r="C192" i="20"/>
  <c r="D192" i="20"/>
  <c r="G192" i="20"/>
  <c r="I192" i="20"/>
  <c r="E192" i="20"/>
  <c r="H192" i="20"/>
  <c r="M276" i="20"/>
  <c r="I276" i="20" s="1"/>
  <c r="D188" i="20"/>
  <c r="H188" i="20"/>
  <c r="G188" i="20"/>
  <c r="F189" i="20"/>
  <c r="C188" i="20"/>
  <c r="E183" i="20"/>
  <c r="F184" i="20"/>
  <c r="D183" i="20"/>
  <c r="C183" i="20"/>
  <c r="F113" i="8"/>
  <c r="F119" i="8"/>
  <c r="H89" i="8"/>
  <c r="G119" i="8"/>
  <c r="G113" i="8"/>
  <c r="D52" i="20"/>
  <c r="F190" i="20"/>
  <c r="E188" i="20"/>
  <c r="G25" i="97"/>
  <c r="F223" i="20"/>
  <c r="E222" i="20"/>
  <c r="D222" i="20"/>
  <c r="C222" i="20"/>
  <c r="H286" i="20" l="1"/>
  <c r="H275" i="20"/>
  <c r="I275" i="20"/>
  <c r="I286" i="20"/>
  <c r="G286" i="20"/>
  <c r="G275" i="20"/>
  <c r="C26" i="20"/>
  <c r="C24" i="20" s="1"/>
  <c r="E276" i="20"/>
  <c r="C286" i="20"/>
  <c r="C12" i="31" s="1"/>
  <c r="R275" i="20"/>
  <c r="S273" i="20"/>
  <c r="S275" i="20" s="1"/>
  <c r="T138" i="20"/>
  <c r="S138" i="20"/>
  <c r="S49" i="20"/>
  <c r="S53" i="20"/>
  <c r="D296" i="20" s="1"/>
  <c r="D29" i="31" s="1"/>
  <c r="D290" i="20"/>
  <c r="D16" i="31" s="1"/>
  <c r="E16" i="31"/>
  <c r="F23" i="20"/>
  <c r="T49" i="20"/>
  <c r="T53" i="20"/>
  <c r="E296" i="20" s="1"/>
  <c r="E29" i="31" s="1"/>
  <c r="E286" i="20"/>
  <c r="E12" i="31" s="1"/>
  <c r="D286" i="20"/>
  <c r="D12" i="31" s="1"/>
  <c r="F238" i="20"/>
  <c r="F244" i="20"/>
  <c r="E288" i="7"/>
  <c r="K310" i="7"/>
  <c r="C67" i="20"/>
  <c r="G289" i="7"/>
  <c r="F289" i="7"/>
  <c r="D62" i="20" s="1"/>
  <c r="C105" i="20"/>
  <c r="C269" i="20"/>
  <c r="R46" i="20"/>
  <c r="R52" i="20" s="1"/>
  <c r="F119" i="12"/>
  <c r="H119" i="12" s="1"/>
  <c r="H106" i="12"/>
  <c r="J577" i="13"/>
  <c r="H538" i="13"/>
  <c r="F543" i="13"/>
  <c r="H543" i="13" s="1"/>
  <c r="H434" i="13"/>
  <c r="H419" i="13"/>
  <c r="H311" i="13"/>
  <c r="H578" i="13"/>
  <c r="H158" i="13"/>
  <c r="H339" i="13"/>
  <c r="H186" i="13"/>
  <c r="H404" i="13"/>
  <c r="H526" i="13"/>
  <c r="H232" i="13"/>
  <c r="H217" i="13"/>
  <c r="H464" i="13"/>
  <c r="H94" i="13"/>
  <c r="H374" i="13"/>
  <c r="K577" i="13"/>
  <c r="F599" i="13" s="1"/>
  <c r="D90" i="20" s="1"/>
  <c r="S111" i="20" s="1"/>
  <c r="H202" i="13"/>
  <c r="G141" i="13"/>
  <c r="H141" i="13" s="1"/>
  <c r="H479" i="13"/>
  <c r="H323" i="13"/>
  <c r="H92" i="13"/>
  <c r="H172" i="13"/>
  <c r="H108" i="13"/>
  <c r="G113" i="13"/>
  <c r="H113" i="13" s="1"/>
  <c r="H66" i="13"/>
  <c r="H556" i="13"/>
  <c r="D84" i="20"/>
  <c r="D83" i="20" s="1"/>
  <c r="L577" i="13"/>
  <c r="G599" i="13" s="1"/>
  <c r="E90" i="20" s="1"/>
  <c r="H417" i="13"/>
  <c r="H127" i="13"/>
  <c r="H125" i="13"/>
  <c r="G449" i="13"/>
  <c r="H449" i="13" s="1"/>
  <c r="H447" i="13"/>
  <c r="C272" i="20"/>
  <c r="C287" i="20" s="1"/>
  <c r="C13" i="31" s="1"/>
  <c r="E126" i="24"/>
  <c r="E123" i="24" s="1"/>
  <c r="H121" i="24"/>
  <c r="G131" i="24"/>
  <c r="H114" i="8"/>
  <c r="H119" i="8"/>
  <c r="H56" i="10"/>
  <c r="D34" i="20"/>
  <c r="F34" i="11"/>
  <c r="H35" i="11"/>
  <c r="E35" i="20"/>
  <c r="G34" i="11"/>
  <c r="H45" i="5"/>
  <c r="E145" i="54"/>
  <c r="C19" i="20"/>
  <c r="H91" i="9"/>
  <c r="D288" i="20"/>
  <c r="D14" i="31" s="1"/>
  <c r="F131" i="24"/>
  <c r="F126" i="24"/>
  <c r="H126" i="24" s="1"/>
  <c r="C40" i="20"/>
  <c r="C39" i="20" s="1"/>
  <c r="E50" i="10"/>
  <c r="C61" i="20"/>
  <c r="G276" i="20"/>
  <c r="G277" i="20" s="1"/>
  <c r="F121" i="20"/>
  <c r="M275" i="20"/>
  <c r="E93" i="20"/>
  <c r="F99" i="20"/>
  <c r="F94" i="20"/>
  <c r="D93" i="20"/>
  <c r="F202" i="20"/>
  <c r="F233" i="20"/>
  <c r="F207" i="20"/>
  <c r="F217" i="20"/>
  <c r="F212" i="20"/>
  <c r="F197" i="20"/>
  <c r="F192" i="20"/>
  <c r="I289" i="20"/>
  <c r="I291" i="20" s="1"/>
  <c r="I304" i="20" s="1"/>
  <c r="F163" i="20"/>
  <c r="F177" i="20"/>
  <c r="F168" i="20"/>
  <c r="F276" i="20"/>
  <c r="H289" i="20"/>
  <c r="H291" i="20" s="1"/>
  <c r="H304" i="20" s="1"/>
  <c r="D73" i="20"/>
  <c r="D72" i="20" s="1"/>
  <c r="H260" i="7"/>
  <c r="E294" i="7"/>
  <c r="J229" i="7"/>
  <c r="G301" i="7"/>
  <c r="E73" i="20" s="1"/>
  <c r="H285" i="7"/>
  <c r="F306" i="7"/>
  <c r="E70" i="20"/>
  <c r="H297" i="7"/>
  <c r="L311" i="7"/>
  <c r="G295" i="7"/>
  <c r="E78" i="20"/>
  <c r="E77" i="20" s="1"/>
  <c r="F77" i="20" s="1"/>
  <c r="G306" i="7"/>
  <c r="E69" i="20"/>
  <c r="F69" i="20" s="1"/>
  <c r="H296" i="7"/>
  <c r="H218" i="7"/>
  <c r="F166" i="15"/>
  <c r="H245" i="55"/>
  <c r="H209" i="55"/>
  <c r="H261" i="55"/>
  <c r="H274" i="55"/>
  <c r="F161" i="15"/>
  <c r="F160" i="15" s="1"/>
  <c r="H141" i="15"/>
  <c r="G82" i="15"/>
  <c r="H82" i="15" s="1"/>
  <c r="H98" i="15"/>
  <c r="G146" i="15"/>
  <c r="H146" i="15" s="1"/>
  <c r="H56" i="15"/>
  <c r="L65" i="15"/>
  <c r="E161" i="15"/>
  <c r="C120" i="20" s="1"/>
  <c r="H125" i="15"/>
  <c r="F127" i="15"/>
  <c r="H127" i="15" s="1"/>
  <c r="G168" i="15"/>
  <c r="G166" i="15" s="1"/>
  <c r="E120" i="20"/>
  <c r="G160" i="15"/>
  <c r="C125" i="20"/>
  <c r="R142" i="20" s="1"/>
  <c r="E166" i="15"/>
  <c r="E125" i="20"/>
  <c r="T142" i="20" s="1"/>
  <c r="F289" i="55"/>
  <c r="G289" i="55"/>
  <c r="G288" i="55" s="1"/>
  <c r="H136" i="55"/>
  <c r="E111" i="20"/>
  <c r="G294" i="55"/>
  <c r="E112" i="20"/>
  <c r="H296" i="55"/>
  <c r="D111" i="20"/>
  <c r="F294" i="55"/>
  <c r="H295" i="55"/>
  <c r="C111" i="20"/>
  <c r="E294" i="55"/>
  <c r="E302" i="55" s="1"/>
  <c r="E112" i="12"/>
  <c r="E119" i="12" s="1"/>
  <c r="C100" i="20"/>
  <c r="C99" i="20" s="1"/>
  <c r="C93" i="20" s="1"/>
  <c r="E591" i="13"/>
  <c r="C84" i="20"/>
  <c r="C83" i="20" s="1"/>
  <c r="E133" i="20"/>
  <c r="G123" i="24"/>
  <c r="C133" i="20"/>
  <c r="R143" i="20" s="1"/>
  <c r="F132" i="20"/>
  <c r="H19" i="51"/>
  <c r="G24" i="51"/>
  <c r="H24" i="51" s="1"/>
  <c r="F271" i="20"/>
  <c r="E269" i="20"/>
  <c r="D272" i="20"/>
  <c r="E46" i="20"/>
  <c r="H87" i="9"/>
  <c r="G86" i="9"/>
  <c r="H86" i="9" s="1"/>
  <c r="C46" i="20"/>
  <c r="E86" i="9"/>
  <c r="D47" i="20"/>
  <c r="D45" i="20" s="1"/>
  <c r="H88" i="9"/>
  <c r="H51" i="10"/>
  <c r="E40" i="20"/>
  <c r="D40" i="20"/>
  <c r="D39" i="20" s="1"/>
  <c r="G38" i="5"/>
  <c r="H40" i="5"/>
  <c r="E26" i="20"/>
  <c r="T46" i="20" s="1"/>
  <c r="T52" i="20" s="1"/>
  <c r="F38" i="5"/>
  <c r="D25" i="20"/>
  <c r="H39" i="5"/>
  <c r="D19" i="20"/>
  <c r="F8" i="20"/>
  <c r="H77" i="52"/>
  <c r="F9" i="20"/>
  <c r="E7" i="20"/>
  <c r="F194" i="20"/>
  <c r="G289" i="20"/>
  <c r="G291" i="20" s="1"/>
  <c r="G304" i="20" s="1"/>
  <c r="M274" i="20"/>
  <c r="M277" i="20" s="1"/>
  <c r="G295" i="20"/>
  <c r="G297" i="20" s="1"/>
  <c r="F183" i="20"/>
  <c r="E84" i="20"/>
  <c r="H592" i="13"/>
  <c r="H126" i="7"/>
  <c r="F52" i="20"/>
  <c r="E51" i="20"/>
  <c r="G112" i="8"/>
  <c r="H113" i="8"/>
  <c r="D51" i="20"/>
  <c r="F112" i="8"/>
  <c r="F188" i="20"/>
  <c r="E273" i="20"/>
  <c r="T272" i="20" s="1"/>
  <c r="G24" i="97"/>
  <c r="H25" i="97"/>
  <c r="F222" i="20"/>
  <c r="R145" i="20" l="1"/>
  <c r="R137" i="20"/>
  <c r="T136" i="20"/>
  <c r="R136" i="20"/>
  <c r="R45" i="20"/>
  <c r="R50" i="20" s="1"/>
  <c r="R51" i="20"/>
  <c r="D18" i="20"/>
  <c r="S45" i="20"/>
  <c r="S51" i="20"/>
  <c r="T275" i="20"/>
  <c r="S105" i="20"/>
  <c r="C110" i="20"/>
  <c r="C104" i="20" s="1"/>
  <c r="F70" i="20"/>
  <c r="T106" i="20"/>
  <c r="T105" i="20"/>
  <c r="T111" i="20"/>
  <c r="C288" i="20"/>
  <c r="C14" i="31" s="1"/>
  <c r="E313" i="7"/>
  <c r="F288" i="7"/>
  <c r="C60" i="20"/>
  <c r="E131" i="20"/>
  <c r="F112" i="20"/>
  <c r="S46" i="20"/>
  <c r="S52" i="20" s="1"/>
  <c r="E599" i="13"/>
  <c r="C90" i="20" s="1"/>
  <c r="J578" i="13"/>
  <c r="J589" i="13" s="1"/>
  <c r="K576" i="13"/>
  <c r="K578" i="13" s="1"/>
  <c r="K589" i="13" s="1"/>
  <c r="E598" i="13"/>
  <c r="C89" i="20" s="1"/>
  <c r="R104" i="20" s="1"/>
  <c r="L576" i="13"/>
  <c r="G598" i="13" s="1"/>
  <c r="E89" i="20" s="1"/>
  <c r="H599" i="13"/>
  <c r="H131" i="24"/>
  <c r="H34" i="11"/>
  <c r="F35" i="20"/>
  <c r="E34" i="20"/>
  <c r="F34" i="20" s="1"/>
  <c r="H38" i="5"/>
  <c r="F29" i="31"/>
  <c r="I295" i="20"/>
  <c r="I297" i="20" s="1"/>
  <c r="F16" i="31"/>
  <c r="C124" i="20"/>
  <c r="F7" i="20"/>
  <c r="D287" i="20"/>
  <c r="D13" i="31" s="1"/>
  <c r="D133" i="20"/>
  <c r="F123" i="24"/>
  <c r="H123" i="24" s="1"/>
  <c r="H277" i="20"/>
  <c r="I277" i="20"/>
  <c r="C45" i="20"/>
  <c r="M278" i="20"/>
  <c r="F93" i="20"/>
  <c r="H295" i="20"/>
  <c r="H297" i="20" s="1"/>
  <c r="H301" i="7"/>
  <c r="G300" i="7"/>
  <c r="H300" i="7" s="1"/>
  <c r="H306" i="7"/>
  <c r="G294" i="7"/>
  <c r="H295" i="7"/>
  <c r="E68" i="20"/>
  <c r="D68" i="20"/>
  <c r="D67" i="20" s="1"/>
  <c r="F294" i="7"/>
  <c r="F73" i="20"/>
  <c r="E72" i="20"/>
  <c r="F72" i="20" s="1"/>
  <c r="D120" i="20"/>
  <c r="H161" i="15"/>
  <c r="E160" i="15"/>
  <c r="E173" i="15" s="1"/>
  <c r="F173" i="15"/>
  <c r="H167" i="15"/>
  <c r="H160" i="15"/>
  <c r="G173" i="15"/>
  <c r="E119" i="20"/>
  <c r="C119" i="20"/>
  <c r="E126" i="20"/>
  <c r="T137" i="20" s="1"/>
  <c r="H168" i="15"/>
  <c r="F125" i="20"/>
  <c r="D124" i="20"/>
  <c r="D106" i="20"/>
  <c r="F288" i="55"/>
  <c r="F302" i="55" s="1"/>
  <c r="E106" i="20"/>
  <c r="G302" i="55"/>
  <c r="H289" i="55"/>
  <c r="H288" i="55" s="1"/>
  <c r="E110" i="20"/>
  <c r="H294" i="55"/>
  <c r="F111" i="20"/>
  <c r="D110" i="20"/>
  <c r="F90" i="20"/>
  <c r="C131" i="20"/>
  <c r="E288" i="20"/>
  <c r="E14" i="31" s="1"/>
  <c r="F269" i="20"/>
  <c r="F47" i="20"/>
  <c r="F46" i="20"/>
  <c r="E45" i="20"/>
  <c r="H50" i="10"/>
  <c r="E39" i="20"/>
  <c r="F39" i="20" s="1"/>
  <c r="F40" i="20"/>
  <c r="F26" i="20"/>
  <c r="E24" i="20"/>
  <c r="D24" i="20"/>
  <c r="F25" i="20"/>
  <c r="C18" i="20"/>
  <c r="H591" i="13"/>
  <c r="E83" i="20"/>
  <c r="F84" i="20"/>
  <c r="D61" i="20"/>
  <c r="H289" i="7"/>
  <c r="E62" i="20"/>
  <c r="E61" i="20" s="1"/>
  <c r="D50" i="20"/>
  <c r="H112" i="8"/>
  <c r="E50" i="20"/>
  <c r="F51" i="20"/>
  <c r="G29" i="97"/>
  <c r="H29" i="97" s="1"/>
  <c r="H24" i="97"/>
  <c r="E272" i="20"/>
  <c r="F273" i="20"/>
  <c r="R110" i="20" l="1"/>
  <c r="C293" i="20" s="1"/>
  <c r="C26" i="31" s="1"/>
  <c r="E294" i="20"/>
  <c r="E27" i="31" s="1"/>
  <c r="R141" i="20"/>
  <c r="S136" i="20"/>
  <c r="S142" i="20"/>
  <c r="T141" i="20"/>
  <c r="S143" i="20"/>
  <c r="S137" i="20"/>
  <c r="D294" i="20" s="1"/>
  <c r="T143" i="20"/>
  <c r="T145" i="20" s="1"/>
  <c r="C284" i="20"/>
  <c r="C10" i="31" s="1"/>
  <c r="R54" i="20"/>
  <c r="T110" i="20"/>
  <c r="T104" i="20"/>
  <c r="R105" i="20"/>
  <c r="R111" i="20"/>
  <c r="S54" i="20"/>
  <c r="K312" i="7"/>
  <c r="K309" i="7" s="1"/>
  <c r="L312" i="7"/>
  <c r="F313" i="7"/>
  <c r="D105" i="20"/>
  <c r="D104" i="20" s="1"/>
  <c r="F14" i="31"/>
  <c r="S50" i="20"/>
  <c r="F598" i="13"/>
  <c r="H598" i="13" s="1"/>
  <c r="E597" i="13"/>
  <c r="E603" i="13" s="1"/>
  <c r="G597" i="13"/>
  <c r="L578" i="13"/>
  <c r="L589" i="13" s="1"/>
  <c r="F133" i="20"/>
  <c r="D131" i="20"/>
  <c r="F45" i="20"/>
  <c r="E287" i="20"/>
  <c r="E13" i="31" s="1"/>
  <c r="F50" i="20"/>
  <c r="F126" i="20"/>
  <c r="F120" i="20"/>
  <c r="D119" i="20"/>
  <c r="C118" i="20"/>
  <c r="F24" i="20"/>
  <c r="H294" i="7"/>
  <c r="F68" i="20"/>
  <c r="E67" i="20"/>
  <c r="E60" i="20" s="1"/>
  <c r="D60" i="20"/>
  <c r="H166" i="15"/>
  <c r="H173" i="15"/>
  <c r="E124" i="20"/>
  <c r="E118" i="20" s="1"/>
  <c r="H302" i="55"/>
  <c r="E105" i="20"/>
  <c r="F106" i="20"/>
  <c r="F110" i="20"/>
  <c r="C88" i="20"/>
  <c r="E88" i="20"/>
  <c r="E82" i="20" s="1"/>
  <c r="F83" i="20"/>
  <c r="H288" i="7"/>
  <c r="G313" i="7"/>
  <c r="F62" i="20"/>
  <c r="F12" i="31"/>
  <c r="F272" i="20"/>
  <c r="H117" i="54"/>
  <c r="T113" i="20" l="1"/>
  <c r="S141" i="20"/>
  <c r="R113" i="20"/>
  <c r="C294" i="20"/>
  <c r="C27" i="31" s="1"/>
  <c r="C28" i="31" s="1"/>
  <c r="C30" i="31" s="1"/>
  <c r="D27" i="31"/>
  <c r="S145" i="20"/>
  <c r="E285" i="20"/>
  <c r="E11" i="31" s="1"/>
  <c r="C285" i="20"/>
  <c r="C11" i="31" s="1"/>
  <c r="D284" i="20"/>
  <c r="D10" i="31" s="1"/>
  <c r="F105" i="20"/>
  <c r="F597" i="13"/>
  <c r="F603" i="13" s="1"/>
  <c r="D89" i="20"/>
  <c r="G603" i="13"/>
  <c r="H139" i="54"/>
  <c r="E19" i="20"/>
  <c r="E18" i="20" s="1"/>
  <c r="F13" i="31"/>
  <c r="F67" i="20"/>
  <c r="F131" i="20"/>
  <c r="D118" i="20"/>
  <c r="F119" i="20"/>
  <c r="H313" i="7"/>
  <c r="L309" i="7"/>
  <c r="F124" i="20"/>
  <c r="E104" i="20"/>
  <c r="C82" i="20"/>
  <c r="F61" i="20"/>
  <c r="H138" i="54"/>
  <c r="G145" i="54"/>
  <c r="H145" i="54" s="1"/>
  <c r="E275" i="20" l="1"/>
  <c r="R109" i="20"/>
  <c r="C275" i="20"/>
  <c r="C277" i="20" s="1"/>
  <c r="T51" i="20"/>
  <c r="T45" i="20"/>
  <c r="T109" i="20"/>
  <c r="C15" i="31"/>
  <c r="C17" i="31" s="1"/>
  <c r="S110" i="20"/>
  <c r="S104" i="20"/>
  <c r="C295" i="20"/>
  <c r="C297" i="20" s="1"/>
  <c r="F104" i="20"/>
  <c r="D88" i="20"/>
  <c r="D285" i="20" s="1"/>
  <c r="D11" i="31" s="1"/>
  <c r="F89" i="20"/>
  <c r="H603" i="13"/>
  <c r="H597" i="13"/>
  <c r="F19" i="20"/>
  <c r="F118" i="20"/>
  <c r="C289" i="20"/>
  <c r="C291" i="20" s="1"/>
  <c r="C304" i="20" s="1"/>
  <c r="F60" i="20"/>
  <c r="E293" i="20" l="1"/>
  <c r="E26" i="31" s="1"/>
  <c r="E28" i="31" s="1"/>
  <c r="E30" i="31" s="1"/>
  <c r="S113" i="20"/>
  <c r="D293" i="20"/>
  <c r="D26" i="31" s="1"/>
  <c r="D28" i="31" s="1"/>
  <c r="D30" i="31" s="1"/>
  <c r="E284" i="20"/>
  <c r="T54" i="20"/>
  <c r="F18" i="20"/>
  <c r="T50" i="20"/>
  <c r="D82" i="20"/>
  <c r="D289" i="20"/>
  <c r="D291" i="20" s="1"/>
  <c r="D304" i="20" s="1"/>
  <c r="F88" i="20"/>
  <c r="F27" i="31"/>
  <c r="D295" i="20" l="1"/>
  <c r="D297" i="20" s="1"/>
  <c r="S109" i="20"/>
  <c r="D275" i="20"/>
  <c r="D277" i="20" s="1"/>
  <c r="E289" i="20"/>
  <c r="E291" i="20" s="1"/>
  <c r="E304" i="20" s="1"/>
  <c r="E10" i="31"/>
  <c r="E15" i="31" s="1"/>
  <c r="E17" i="31" s="1"/>
  <c r="E295" i="20"/>
  <c r="E297" i="20" s="1"/>
  <c r="F82" i="20"/>
  <c r="E277" i="20"/>
  <c r="F26" i="31"/>
  <c r="F10" i="31" l="1"/>
  <c r="F11" i="31"/>
  <c r="D15" i="31"/>
  <c r="F275" i="20"/>
  <c r="F277" i="20"/>
  <c r="F30" i="31"/>
  <c r="F28" i="31"/>
  <c r="D17" i="31" l="1"/>
  <c r="F17" i="31" s="1"/>
  <c r="F15" i="31"/>
</calcChain>
</file>

<file path=xl/comments1.xml><?xml version="1.0" encoding="utf-8"?>
<comments xmlns="http://schemas.openxmlformats.org/spreadsheetml/2006/main">
  <authors>
    <author>Ing. Alice Hradilová</author>
  </authors>
  <commentList>
    <comment ref="E26" authorId="0">
      <text>
        <r>
          <rPr>
            <sz val="8"/>
            <color indexed="81"/>
            <rFont val="Tahoma"/>
            <family val="2"/>
            <charset val="238"/>
          </rPr>
          <t xml:space="preserve">běžné výdaje z fin - konsolidace ORJ 07
</t>
        </r>
      </text>
    </comment>
  </commentList>
</comments>
</file>

<file path=xl/comments2.xml><?xml version="1.0" encoding="utf-8"?>
<comments xmlns="http://schemas.openxmlformats.org/spreadsheetml/2006/main">
  <authors>
    <author>Hradilová Alice</author>
  </authors>
  <commentList>
    <comment ref="G114" authorId="0">
      <text>
        <r>
          <rPr>
            <sz val="9"/>
            <color indexed="81"/>
            <rFont val="Tahoma"/>
            <family val="2"/>
            <charset val="238"/>
          </rPr>
          <t xml:space="preserve">vztahuje se k ORJ 199
</t>
        </r>
      </text>
    </comment>
  </commentList>
</comments>
</file>

<file path=xl/comments3.xml><?xml version="1.0" encoding="utf-8"?>
<comments xmlns="http://schemas.openxmlformats.org/spreadsheetml/2006/main">
  <authors>
    <author>Hradilová Alice</author>
  </authors>
  <commentList>
    <comment ref="B59" authorId="0">
      <text>
        <r>
          <rPr>
            <sz val="9"/>
            <color indexed="81"/>
            <rFont val="Tahoma"/>
            <family val="2"/>
            <charset val="238"/>
          </rPr>
          <t>ZUŠ Žerotín Olomouc
příspěvek školské PO</t>
        </r>
      </text>
    </comment>
    <comment ref="B111" authorId="0">
      <text>
        <r>
          <rPr>
            <sz val="9"/>
            <color indexed="81"/>
            <rFont val="Tahoma"/>
            <family val="2"/>
            <charset val="238"/>
          </rPr>
          <t>SŠ designu a módy Prostějov
SPŠ Stavební Lipník n/B
příspěvky školským PO</t>
        </r>
      </text>
    </comment>
  </commentList>
</comments>
</file>

<file path=xl/comments4.xml><?xml version="1.0" encoding="utf-8"?>
<comments xmlns="http://schemas.openxmlformats.org/spreadsheetml/2006/main">
  <authors>
    <author>Hradilová Alice</author>
  </authors>
  <commentList>
    <comment ref="G10" authorId="0">
      <text>
        <r>
          <rPr>
            <sz val="9"/>
            <color indexed="81"/>
            <rFont val="Tahoma"/>
            <family val="2"/>
            <charset val="238"/>
          </rPr>
          <t xml:space="preserve">odečíst to co je pod 231 30 a přičíst k ORJ 03
</t>
        </r>
      </text>
    </comment>
    <comment ref="G20" authorId="0">
      <text>
        <r>
          <rPr>
            <sz val="9"/>
            <color indexed="81"/>
            <rFont val="Tahoma"/>
            <family val="2"/>
            <charset val="238"/>
          </rPr>
          <t xml:space="preserve">odečíst to co je pod 231 30 a přičíst k ORJ 03
</t>
        </r>
      </text>
    </comment>
  </commentList>
</comments>
</file>

<file path=xl/sharedStrings.xml><?xml version="1.0" encoding="utf-8"?>
<sst xmlns="http://schemas.openxmlformats.org/spreadsheetml/2006/main" count="19871" uniqueCount="1987">
  <si>
    <t>Dotace na SŠ a škol.zařízení</t>
  </si>
  <si>
    <t>Asistenti pedagogů v SŠ a církevních spec.šk.</t>
  </si>
  <si>
    <t>Dotace pro soukromé školy</t>
  </si>
  <si>
    <t>Středisko sociální prevence Olomouc celkem</t>
  </si>
  <si>
    <t>Domov "Na Zámku" Nezamyslice</t>
  </si>
  <si>
    <t>Domov pro seniory Tovačov</t>
  </si>
  <si>
    <t>Domov "Na Zámku" Nezamyslice celkem</t>
  </si>
  <si>
    <t>Domov pro seniory Tovačov celkem</t>
  </si>
  <si>
    <t>Domov ADAM Dřevohostice</t>
  </si>
  <si>
    <t>Domov ADAM Dřevohostice celkem</t>
  </si>
  <si>
    <t>Domov Na Zámečku Rokytnice</t>
  </si>
  <si>
    <t>Domov Na Zámečku Rokytnice  celkem</t>
  </si>
  <si>
    <t>Domov důchodců Šumperk</t>
  </si>
  <si>
    <t>Domov důchodců Šumperk celkem</t>
  </si>
  <si>
    <t>Domov důchodců Libina</t>
  </si>
  <si>
    <t>Domov důchodců Libina celkem</t>
  </si>
  <si>
    <t>Domov důchodců Štíty</t>
  </si>
  <si>
    <t>Domov důchodců Štíty celkem</t>
  </si>
  <si>
    <t>ZZS OK, p.o. - Zateplení budov v Olomouci, Hněvotínská ul.</t>
  </si>
  <si>
    <t>ZZS OK, p.o. - Zateplení budov  Šumperk</t>
  </si>
  <si>
    <t>SMN a.s. - o.z. Nem. PV-  Dispoziční úpravy 6. NP polikliniky</t>
  </si>
  <si>
    <t>SMN a.s. - o.z. Nem. PV - Parkoviště v areálu nemocnice</t>
  </si>
  <si>
    <t>00000024</t>
  </si>
  <si>
    <t>Provozní příspěvky zřízeným PO - rezerva</t>
  </si>
  <si>
    <t>Příspěvky na mezinár.výměnné pobyty</t>
  </si>
  <si>
    <t>nájemné PO</t>
  </si>
  <si>
    <t>MŠMT - přímé nákl.na vzdělání</t>
  </si>
  <si>
    <t>00000601</t>
  </si>
  <si>
    <t>00000602</t>
  </si>
  <si>
    <t>00000604</t>
  </si>
  <si>
    <t>přísp.na úhr.prokaz.ztr.dopr.-drážní dopr.</t>
  </si>
  <si>
    <t>Střední škola stavební HORSTAV, U Hradiska 4, Olomouc</t>
  </si>
  <si>
    <t>Rezerva hejtmana pro krizové řízení</t>
  </si>
  <si>
    <t>III/4436, III/4435, I/35 Olomouc - okružní křižovatka</t>
  </si>
  <si>
    <t>OA, Mohelnice - odloučené pracoviště Olomoucká 41 - Vzduchotechnika ve školní kuchyni</t>
  </si>
  <si>
    <t>Střední škola sociální péče a služeb, Zábřeh - Kotelna</t>
  </si>
  <si>
    <t>Základní škola a Dětský domov Zábřeh- Rekonstrukce kuchyně na dětském domově</t>
  </si>
  <si>
    <t>DD a Školní jídelna, Olomouc, U Sportovní haly 1a - Oprava pokojů a bytových jader</t>
  </si>
  <si>
    <t>ROP - Regionální dopravní infrastruktura - Silnice II. a III. třídy</t>
  </si>
  <si>
    <t xml:space="preserve">VILA DORIS ŠUMPERK - Podpora sociální integrace v Olomouckém kraji celkem </t>
  </si>
  <si>
    <t>ORJ - 48</t>
  </si>
  <si>
    <t>číslo účtu: 2441512/0800</t>
  </si>
  <si>
    <t xml:space="preserve">vedoucí odboru strategického rozvoje kraje </t>
  </si>
  <si>
    <t xml:space="preserve">Ing. Michaela Pruknerová </t>
  </si>
  <si>
    <t>BIS RTD Podpora veřejného financování výzkumu a technologického rozvoje v regionech celkem</t>
  </si>
  <si>
    <t>číslo účtu: 2309562/0800</t>
  </si>
  <si>
    <t>Neinv.transf.obecně prospěšným spol.</t>
  </si>
  <si>
    <t>Neinv.transfery veř.rozp.ústř.úrovně</t>
  </si>
  <si>
    <t xml:space="preserve">99) Fond na podporu výstavby a obnovy vodohospodářské infrastruktury na území Olomouckého kraje </t>
  </si>
  <si>
    <t xml:space="preserve">199) Fond sociálních potřeb Olomouckého kraje </t>
  </si>
  <si>
    <t xml:space="preserve">Odbor strategického rozvoje kraje celkem </t>
  </si>
  <si>
    <t>SOŠ a SOU stroj. a stavební, Dukelská 1240, Jeseník</t>
  </si>
  <si>
    <t>Střední lesnická škola, Jurikova 588, Hranice</t>
  </si>
  <si>
    <t>Obchodní akademie, Tř. Spojenců 11, Olomouc</t>
  </si>
  <si>
    <t>Střední škola, Základní škola a Mateřská škola, Hanácká 3, Šumperk</t>
  </si>
  <si>
    <r>
      <t>•</t>
    </r>
    <r>
      <rPr>
        <sz val="11"/>
        <rFont val="Arial"/>
        <family val="2"/>
        <charset val="238"/>
      </rPr>
      <t xml:space="preserve"> Běžné výdaje</t>
    </r>
  </si>
  <si>
    <r>
      <t xml:space="preserve">• </t>
    </r>
    <r>
      <rPr>
        <sz val="11"/>
        <rFont val="Arial"/>
        <family val="2"/>
        <charset val="238"/>
      </rPr>
      <t>Kapitálové výdaje</t>
    </r>
  </si>
  <si>
    <t>* Konsolidace je očištění údajů o rozpočtu a skutečnosti o interní přesuny peněžních prostředků uvnitř organizace mezi jednotlivými účty.</t>
  </si>
  <si>
    <t>ORG 100070</t>
  </si>
  <si>
    <t>ORG - 1703</t>
  </si>
  <si>
    <t>ORG - 1704</t>
  </si>
  <si>
    <t>8=7/6</t>
  </si>
  <si>
    <t>podpora romských žáků stř.škol</t>
  </si>
  <si>
    <t>Základní škola a Dětský domov,  Sušilova 40, Zábřeh</t>
  </si>
  <si>
    <t>a) dle oblastí výdajů</t>
  </si>
  <si>
    <t xml:space="preserve">Výdaje Olomouckého kraje celkem  </t>
  </si>
  <si>
    <t xml:space="preserve">b) dle druhu výdajů </t>
  </si>
  <si>
    <t>5 = 4 / 3</t>
  </si>
  <si>
    <t>00000408</t>
  </si>
  <si>
    <t>Strategie integrace příslušníků romských komunit</t>
  </si>
  <si>
    <t>Ostat.neinv.transfery nezisk.a pod.org.</t>
  </si>
  <si>
    <t>Inv.transfery občanským sdružením</t>
  </si>
  <si>
    <t>provozní příspěvky zřízeným PO</t>
  </si>
  <si>
    <t>Sociální služby pro seniory Olomouc</t>
  </si>
  <si>
    <t>Sociální služby pro seniory Olomouc celkem</t>
  </si>
  <si>
    <t>příspěvek na provoz-mzdové náklady</t>
  </si>
  <si>
    <t>SMN a.s. - o.z. Nem. Šternberk-Rekonstrukce výtahu - pavilon SVLS</t>
  </si>
  <si>
    <t>SMN a.s. - o.z. Nem. Šternberk- Stavební úprava observačního boxu - dětské odd.</t>
  </si>
  <si>
    <t>Střední odborná škola, Šumperk, Zemědělská 3- Výměna výtahu</t>
  </si>
  <si>
    <t xml:space="preserve">SOŠ železniční, stavební a památkové péče a SOU, Šumperk - Výměna oken </t>
  </si>
  <si>
    <t>SOŠ železniční, stavební a památkové péče a SOU, Šumperk - odloučené pracoviště Hanácká , Šumperk - Výměna oken</t>
  </si>
  <si>
    <t>Realizace energeticky úsporných opatření - SOŠ a SOU Jeseník</t>
  </si>
  <si>
    <t>ORG 100461</t>
  </si>
  <si>
    <t>Realizace energeticky úsporných opatření - SPŠ strojnická Olomouc</t>
  </si>
  <si>
    <t>ORG 100462</t>
  </si>
  <si>
    <t>Realizace energeticky úsporných opatření - Obchodní akademie Přerov</t>
  </si>
  <si>
    <t>ORG 100463</t>
  </si>
  <si>
    <t>Realizace energeticky úsporných opatření - Gymnázium Jeseník</t>
  </si>
  <si>
    <t>ORG 100465</t>
  </si>
  <si>
    <t>Základní škola, Fučíkova 312, Jeseník</t>
  </si>
  <si>
    <t>ORJ - 14</t>
  </si>
  <si>
    <t>ORG 1540</t>
  </si>
  <si>
    <t>Investiční transfery nefininačním podnikatelským subjektům - právnickým osobám</t>
  </si>
  <si>
    <t>Jeseník</t>
  </si>
  <si>
    <t>Základní škola a Mateřská škola, Malá Dlážka 4, Přerov</t>
  </si>
  <si>
    <t>ORG 100473</t>
  </si>
  <si>
    <t>Realizace energeticky úsporných opatření - VOŠ a SŠ automobilní Zábřeh</t>
  </si>
  <si>
    <t>ORG 100510</t>
  </si>
  <si>
    <t>Realizace energeticky úsporných opatření - VOŠ a SPŠE - Olomouc</t>
  </si>
  <si>
    <t>ORG 100511</t>
  </si>
  <si>
    <t>Realizace energeticky úsporných opatření - Gymnázium, Olomouc, Čajkovského 9</t>
  </si>
  <si>
    <t>ORG 100512</t>
  </si>
  <si>
    <t>Realizace energeticky úsporných opatření - SŠ Švehlova Prostějov</t>
  </si>
  <si>
    <t>ORG 100513</t>
  </si>
  <si>
    <t>ORG 100545</t>
  </si>
  <si>
    <t>Realizace energeticky úsporných opatření - SŠ zemědělská Olomouc budova školy</t>
  </si>
  <si>
    <t>ORG 100546</t>
  </si>
  <si>
    <t>Realizace energeticky úsporných opatření - SŠ zemědělská Olomouc domov mládeže</t>
  </si>
  <si>
    <t>ORG 100547</t>
  </si>
  <si>
    <t>Realizace energeticky úsporných opatření - VOŠ a SŠ automobilní Zábřeh - domov mládeže</t>
  </si>
  <si>
    <t>ORG 100548</t>
  </si>
  <si>
    <t>Realizace energeticky úsporných opatření - ZŠ a MŠ logopedická Olomouc</t>
  </si>
  <si>
    <t>ORG 100549</t>
  </si>
  <si>
    <t>Realizace energeticky úsporných opatření - Gymnázium Jeseník - budova nižšího gymnázia</t>
  </si>
  <si>
    <t>ORG 100552</t>
  </si>
  <si>
    <t>Domov "Na Zámku" (Nezamyslice) - rekonstrukce venkovních komunikací</t>
  </si>
  <si>
    <t>Komentář:</t>
  </si>
  <si>
    <t>Dětský domov a Školní jídelna, Přerov - Stavební úpravy patra internátu</t>
  </si>
  <si>
    <t>SOŠ železniční, stavební a památkové péče a SOU, Šumperk -Stavební úpravy budovy "zámeček"</t>
  </si>
  <si>
    <t>SŠ technická a obchodní, Olomouc - Elektroinstalace v budově školy.</t>
  </si>
  <si>
    <t>Základní škola Šternberk - Sociální zařízení</t>
  </si>
  <si>
    <t>Centrum vzdělávání na SPŠ strojnické Olomouc</t>
  </si>
  <si>
    <t>ORG 100573</t>
  </si>
  <si>
    <t>Dílny pro praktickou výuku (SOŠ a SOU, Uničov, Moravské nám. 681)</t>
  </si>
  <si>
    <t>ORG 100574</t>
  </si>
  <si>
    <t>Rekonstrukce dílen Střední školy železniční a stavební, Šumperk, Bulharská 8</t>
  </si>
  <si>
    <t>ORG 100575</t>
  </si>
  <si>
    <t>DDM Olomouc - Zabezpečení statiky objektu mikropiloty</t>
  </si>
  <si>
    <t>SŠ technická a obchodní, Olomouc -Výměna dlažby</t>
  </si>
  <si>
    <t>ZŠ a MŠ Hranice, Nová 1820 - Multifunkční sportovní hřiště</t>
  </si>
  <si>
    <t>DDM Vila Tereza, Nádražní  530, Uničov</t>
  </si>
  <si>
    <t>DDM MAGNET, Spartakiádní 8, Mohelnice</t>
  </si>
  <si>
    <t xml:space="preserve">Výdaje Olomouckého kraje                                (po konsolidaci)                </t>
  </si>
  <si>
    <t>8b) SROP - individuální projekty</t>
  </si>
  <si>
    <t>ORJ - 30</t>
  </si>
  <si>
    <t>RZ 691/04 - přesun z ORJ 07, § 6172, pol. 5163</t>
  </si>
  <si>
    <t>ORG 3001000003 - Internetizace knihoven v Olomouckém kraji</t>
  </si>
  <si>
    <t>Ostatní nákup dlouhodob.nehm.maj.</t>
  </si>
  <si>
    <t>RZ 731/04 - přesun z ORJ 30, § 3314, pol. 6125</t>
  </si>
  <si>
    <t>Investiční  výdaje celkem</t>
  </si>
  <si>
    <t>Střední škola technická, 1.máje 2, Mohelnice</t>
  </si>
  <si>
    <t>Sigmundova střední škola strojírenská, J.Sigmunda 242, Lutín</t>
  </si>
  <si>
    <t>Provozní výdaje odboru celkem</t>
  </si>
  <si>
    <t>Služby tel. a radiokomunikací</t>
  </si>
  <si>
    <t>Fond sociálních potřeb</t>
  </si>
  <si>
    <t>Fond na podporu výstavby a obnovy vodohospodářské infrastruktury na území Olomouckého kraje</t>
  </si>
  <si>
    <t xml:space="preserve">Výdaje celkem  </t>
  </si>
  <si>
    <t>OU a praktická škola, Vodní 27, Mohelnice</t>
  </si>
  <si>
    <t>Střední škola sociální péče a služeb, 8. května 2, Zábřeh</t>
  </si>
  <si>
    <t>OU a PrŠ, Lipová-Lázně 270</t>
  </si>
  <si>
    <t>ZUŠ Miloslava Stibora - výtvarný obor, Pionýrská 4, Olomouc</t>
  </si>
  <si>
    <t>ZUŠ, Litovelská 190, Uničov</t>
  </si>
  <si>
    <t>ZUŠ, Na Příhonech 425, Konice</t>
  </si>
  <si>
    <t>ZUŠ Bedřicha Kozánka, Tř. 17. listopadu 2, Přerov</t>
  </si>
  <si>
    <t>ZUŠ Karla Ditterse, Kostelní, Vidnava</t>
  </si>
  <si>
    <t>Pprovozní příspěvky zřízeným PO</t>
  </si>
  <si>
    <t>00000252</t>
  </si>
  <si>
    <t>Lékařská služba první pomoci</t>
  </si>
  <si>
    <t>00000256</t>
  </si>
  <si>
    <t>Lékařská služba první pomoci-zubní LSPP</t>
  </si>
  <si>
    <t>00000253</t>
  </si>
  <si>
    <t>Provoz záchytné stanice</t>
  </si>
  <si>
    <t>00000254</t>
  </si>
  <si>
    <t>Financování protidrogové prevence</t>
  </si>
  <si>
    <t>00000255</t>
  </si>
  <si>
    <t>Program Zdraví 21</t>
  </si>
  <si>
    <t xml:space="preserve">MFČR - likvidace nepouž.léčiv </t>
  </si>
  <si>
    <t>Drobný hmotný dlouhodobý majetek</t>
  </si>
  <si>
    <t>Operační program Olomouckého kraje celkem</t>
  </si>
  <si>
    <t>Správa silnic Olomouckého kraje</t>
  </si>
  <si>
    <t>Příspěvková organizace</t>
  </si>
  <si>
    <t>Soukromá SOŠ s.r.o., Dukelská 1240, Jeseník</t>
  </si>
  <si>
    <t>Soukromá ZUŠ taneční  s.r.o., Jiráskova 762, Jeseník</t>
  </si>
  <si>
    <t>v tis. Kč</t>
  </si>
  <si>
    <t>§</t>
  </si>
  <si>
    <t>pol.</t>
  </si>
  <si>
    <t>název položky</t>
  </si>
  <si>
    <t>schválený rozp.</t>
  </si>
  <si>
    <t>ORJ - 04</t>
  </si>
  <si>
    <t>ORJ - 05</t>
  </si>
  <si>
    <t>ORJ - 06</t>
  </si>
  <si>
    <t xml:space="preserve">Nákup materiálu </t>
  </si>
  <si>
    <t>Nájemné</t>
  </si>
  <si>
    <t>00000301</t>
  </si>
  <si>
    <t>dárkový pas</t>
  </si>
  <si>
    <t>Služby zpracování dat</t>
  </si>
  <si>
    <t xml:space="preserve">Programové vybavení </t>
  </si>
  <si>
    <t>Výpočetní technika</t>
  </si>
  <si>
    <t>SOŠ a SOU zemědělské, Horní Heřmanice 47, Bernartice</t>
  </si>
  <si>
    <t>Obchodní akademie, Olomoucká 82, Mohelnice</t>
  </si>
  <si>
    <t>SZdrŠ, Vápenice 3, Prostějov</t>
  </si>
  <si>
    <t>SZdrŠ, Studentská 1095, Hranice</t>
  </si>
  <si>
    <t>SZdrŠ, Kladská 2, Šumperk</t>
  </si>
  <si>
    <t>vedoucí odboru dopravy a silničního hospodářství</t>
  </si>
  <si>
    <t>Soukromé školy celkem - provozní výdaje</t>
  </si>
  <si>
    <t>00000012</t>
  </si>
  <si>
    <t>00000010</t>
  </si>
  <si>
    <t>00000013</t>
  </si>
  <si>
    <t>Příspěvkové organizace celkem - provozní výdaje</t>
  </si>
  <si>
    <t>DD Šumperk - rekonstrukce koupelen klientů - zvýšení kvality poskytovaných služeb</t>
  </si>
  <si>
    <t>Investiční transfery vysokým školám</t>
  </si>
  <si>
    <t>ORG 1037</t>
  </si>
  <si>
    <t>ORG 1131</t>
  </si>
  <si>
    <t>Gymnázium Jana Blahoslava a Střední pedagogická škola Přerov</t>
  </si>
  <si>
    <t>ORG 1133</t>
  </si>
  <si>
    <t>Obchodní akademie Olomouc</t>
  </si>
  <si>
    <t>ORG 1150</t>
  </si>
  <si>
    <t>Rekonstrukce budovy v areálu staré nemocnice v Prostějově</t>
  </si>
  <si>
    <t>ORG 100071</t>
  </si>
  <si>
    <t>ZZS OK - vozové terminály</t>
  </si>
  <si>
    <t>MV-neinv.transfery krajům</t>
  </si>
  <si>
    <t>ORJ - 07</t>
  </si>
  <si>
    <t>ZUŠ A.Dvořáka, Havlíčkova 643, Lipník</t>
  </si>
  <si>
    <t>významné projekty</t>
  </si>
  <si>
    <t xml:space="preserve">Výdaje odboru životního prostředí a zemědělství </t>
  </si>
  <si>
    <t>Výdaje odboru školství, mládeže a tělovýchovy</t>
  </si>
  <si>
    <t xml:space="preserve">Soukromé školy </t>
  </si>
  <si>
    <t>DDM, Tř. 17. listopadu 47, Olomouc</t>
  </si>
  <si>
    <t xml:space="preserve">Odbor správní a legislativní celkem </t>
  </si>
  <si>
    <t>Platy zaměstnanců v pracovním poměru</t>
  </si>
  <si>
    <t>RZ 807/05 - přesun na ORJ 199, § 6172, pol. 5164,5139</t>
  </si>
  <si>
    <t xml:space="preserve"> -účelové neinvestiční dotace</t>
  </si>
  <si>
    <t>SMN a.s. - o.z. Nem. PV - Stavební úpravy k CT</t>
  </si>
  <si>
    <t>00000209</t>
  </si>
  <si>
    <t>Podpora kultury a památkové péče</t>
  </si>
  <si>
    <t>Neinv.transfery nefin.podn.subj.-PO</t>
  </si>
  <si>
    <t>00000204</t>
  </si>
  <si>
    <t>vedoucí odboru strategického rozvoje kraje</t>
  </si>
  <si>
    <t>Ing. Stanislav Losert</t>
  </si>
  <si>
    <t>vedoucí odboru školství, mládeže a tělovýchovy</t>
  </si>
  <si>
    <t>program sociální prev.a prev.kriminality</t>
  </si>
  <si>
    <t>SMN a.s. - o.z. Nem. PR- Rekonstrukce 2 ks výtahů (LDN, Chirurgie)</t>
  </si>
  <si>
    <t>SMN a.s. - o.z. Nem. Šternberk - Výměna oken včetně žaluzií - pavilon SVLS</t>
  </si>
  <si>
    <t>Gymnázium J.Blahoslava a SŠ pedagogická, Denisova 3, Přerov</t>
  </si>
  <si>
    <t>Neinvestiční transfery občanským sdružením</t>
  </si>
  <si>
    <t>Neinvestiční transfery krajům</t>
  </si>
  <si>
    <t>Neinv.transfery nefin.podnikatelským subjektům-PO</t>
  </si>
  <si>
    <t>Odbor správní a legislativní</t>
  </si>
  <si>
    <t>Odbor ekonomický</t>
  </si>
  <si>
    <t>Odbor strategického rozvoje kraje</t>
  </si>
  <si>
    <t>ORG 8007</t>
  </si>
  <si>
    <t>Prostějov</t>
  </si>
  <si>
    <t>ORG 8163</t>
  </si>
  <si>
    <t>Bílá Lhota</t>
  </si>
  <si>
    <t>ORG 8302</t>
  </si>
  <si>
    <t>Potštát</t>
  </si>
  <si>
    <t>ORG 8465</t>
  </si>
  <si>
    <t>SPŠ a OA, Uničov - Kotelna</t>
  </si>
  <si>
    <t>ORG 100347</t>
  </si>
  <si>
    <t xml:space="preserve">Neinvestiční příspěvek zřízeným PO </t>
  </si>
  <si>
    <t>Pov.pojistné na sociální zabezpečení</t>
  </si>
  <si>
    <t>Povinné poj.na veřejné zdrav.pojištění</t>
  </si>
  <si>
    <t>Knihy, účební pomůcky a tisk</t>
  </si>
  <si>
    <t>63) GG - Podpora nabídky dalšího vzdělávání Olomouckého kraje</t>
  </si>
  <si>
    <t>ORJ - 63</t>
  </si>
  <si>
    <t>číslo účtu: 3656742/0800</t>
  </si>
  <si>
    <t>Provozní výdaje  celkem</t>
  </si>
  <si>
    <t>Investiční výdaje celkem</t>
  </si>
  <si>
    <t>Provozní výdaje celkem</t>
  </si>
  <si>
    <t>účelové dotace celkem</t>
  </si>
  <si>
    <t>00000009</t>
  </si>
  <si>
    <t>Investiční transfery obcím</t>
  </si>
  <si>
    <t>00000001</t>
  </si>
  <si>
    <t>Ostatní výdaje</t>
  </si>
  <si>
    <t>ORG 100096</t>
  </si>
  <si>
    <t>ORG 100097</t>
  </si>
  <si>
    <t>Vincentinum-poskytovatel soc.služeb Šternberk</t>
  </si>
  <si>
    <t>Vincentinum-poskytovatel soc.služeb Šternberk celkem</t>
  </si>
  <si>
    <t>Střední odborná škola, s.r.o.,  Řepčínská 239/101, Olomouc</t>
  </si>
  <si>
    <t>Středisko sociální prevence Olomouc</t>
  </si>
  <si>
    <t>ZŠ a MŠ, Náměstí 150, Město Libavá</t>
  </si>
  <si>
    <t>Švehlova SŠ, nám.Spojenců 17, Prostějov</t>
  </si>
  <si>
    <t>RZ 712/05 - přesun na ORJ 199, § 6172, pol. 5499</t>
  </si>
  <si>
    <t>RZ 712/05 - přesun z ORJ 199, § 6172, pol. 5169</t>
  </si>
  <si>
    <t>RZ 301/05 - přesun na ORJ 199, § 6172, pol. 5169, 5901</t>
  </si>
  <si>
    <t>RZ 712/05 - přesun na ORJ 199, § 6172, pol. 5137,5175</t>
  </si>
  <si>
    <t>Výdaje odboru zdravotnictví</t>
  </si>
  <si>
    <t xml:space="preserve"> -provozní výdaje</t>
  </si>
  <si>
    <t xml:space="preserve"> -investiční  výdaje</t>
  </si>
  <si>
    <t>Příspěvky příspěvkovým organizacím</t>
  </si>
  <si>
    <t xml:space="preserve">18) Fond na podporu výstavby a obnovy vodohospodářské </t>
  </si>
  <si>
    <t>P - centrum, Lafayettova 9, Olomouc</t>
  </si>
  <si>
    <t>ORG 2237</t>
  </si>
  <si>
    <t>Platby zaměstnanců v pracovním poměru</t>
  </si>
  <si>
    <t>Nákup materiálu jinde nezařazeného</t>
  </si>
  <si>
    <t>Kvalitnější vzdělávání řemeslníků na SŠP - nadstavba učebnového pavilonu</t>
  </si>
  <si>
    <t>Marketingové aktivity Olomouckého kraje</t>
  </si>
  <si>
    <t>RZ 301/05 - přesun z ORJ 199, § 6113, pol. 5499</t>
  </si>
  <si>
    <t>MDČR - Příspěvek na ztrátu dopravce z provozu veřejné osobní drážní dopravy</t>
  </si>
  <si>
    <t>Vypořádání staveb po jejich dokončení z minul. Let - výkupy pozemků a jiné</t>
  </si>
  <si>
    <t>II/367 Bedihošť - Kojetín</t>
  </si>
  <si>
    <t>III/4335 III/43325 Měrovice nad Hanou - průtah, 3. etapa</t>
  </si>
  <si>
    <t>III/37745 Otaslavice, most ev.č. 37745-2</t>
  </si>
  <si>
    <t>III/44311 Dolany, most ev.č.44311-2</t>
  </si>
  <si>
    <t>Silnice III/4537 Vlčice – Bernartice, oprava povodňových škod</t>
  </si>
  <si>
    <t>Silnice III/4539 Skorošice – Kobylá, oprava povodňových škod</t>
  </si>
  <si>
    <t>SMN a.s. - o.z. Nemocnice Prostějov - 2 ks výtah - poliklinika, SVLS</t>
  </si>
  <si>
    <t>výstavba heliportu Jeseník - ZZS OK</t>
  </si>
  <si>
    <t>Drobný hm.dlouhodob.majetek</t>
  </si>
  <si>
    <t>Nemocnice Přerov - stravovací provoz</t>
  </si>
  <si>
    <t>OLÚ Moravský Beroun, p.o.- Evakuační schodiště Pavilonu 1</t>
  </si>
  <si>
    <t>SZPD Olomouc, p.o.- výměna oken a zateplení budovy Kojeneckého ústavu, U Dětského domova 269, Olomouc</t>
  </si>
  <si>
    <t>OLÚ Moravský Beroun, p.o.- Kanalizační přípojka Pavilonu 1</t>
  </si>
  <si>
    <t>RZ 385/05 - přesun na ORJ 99, § 2399, pol. 5909</t>
  </si>
  <si>
    <t>RZ 386/05 - přesun na ORJ 99, § 2321, pol. 6341</t>
  </si>
  <si>
    <t>RZ 873/05 - přesun na ORJ 99, § 2399, pol. 5909</t>
  </si>
  <si>
    <t>Domov důchodců Kobylá nad Vidnavkou</t>
  </si>
  <si>
    <t>Domov důchodců Kobylá nad Vidnavkou celkem</t>
  </si>
  <si>
    <t>Obchodní akademie, Palackého 18, Prostějov</t>
  </si>
  <si>
    <t>Nákup materiálu j. n.</t>
  </si>
  <si>
    <t>Realizované kurzové ztráty</t>
  </si>
  <si>
    <t>Elektrická energie</t>
  </si>
  <si>
    <t>Pohonné hmoty a maziva</t>
  </si>
  <si>
    <t>Služby pošt</t>
  </si>
  <si>
    <t>Investiční dotace obcím</t>
  </si>
  <si>
    <t>Služby, školení a vzdělávání</t>
  </si>
  <si>
    <t>00014004</t>
  </si>
  <si>
    <t>00004001</t>
  </si>
  <si>
    <t>GG - 1.3. Další vzdělávání pracovníků škol a školských zařízení v Olomouckém kraji</t>
  </si>
  <si>
    <t>ORJ - 59</t>
  </si>
  <si>
    <t>číslo účtu: 3344722/0800</t>
  </si>
  <si>
    <t>Projekty v rámci ROP</t>
  </si>
  <si>
    <t>60) Zajištění dostupnosti vybraných sociálních služeb v Olomouckém kraji</t>
  </si>
  <si>
    <t>ORJ - 60</t>
  </si>
  <si>
    <t>číslo účtu: 3353952/0800</t>
  </si>
  <si>
    <t xml:space="preserve">Domov důchodců a penzion Chválkovice - Stavební úpravy pro zřízení domova pro seniory </t>
  </si>
  <si>
    <t>Sociální služby pro seniory Olomouc - Stavební úpravy bytových jáder</t>
  </si>
  <si>
    <t>ORG - 1700</t>
  </si>
  <si>
    <t>ORG - 1701</t>
  </si>
  <si>
    <t>ORG - 1702</t>
  </si>
  <si>
    <t>ZŠ a MŠ při Sanatoriu EDEL, Lázeňská 491, Zlaté Hory</t>
  </si>
  <si>
    <t>Základní škola, Olomoucká 76, Šternberk</t>
  </si>
  <si>
    <t>Základní škola, Šternberská 35, Uničov</t>
  </si>
  <si>
    <t>Významné projekty</t>
  </si>
  <si>
    <t>Střední škola polytechnická, Rooseveltova 79, Olomouc</t>
  </si>
  <si>
    <t>Střední škola polygrafická,  Střední Novosadská 55, Olomouc</t>
  </si>
  <si>
    <t>SOU obchodu a služeb, Štursova 14, Olomouc</t>
  </si>
  <si>
    <t>Střední škola technická a obchodní, Kosinova 4, Olomouc</t>
  </si>
  <si>
    <t>Střední škola řezbářská, Nádražní 146, Tovačov</t>
  </si>
  <si>
    <t>00000110</t>
  </si>
  <si>
    <t>Stipendijní řád Olomouckého kraje</t>
  </si>
  <si>
    <t>00000105</t>
  </si>
  <si>
    <t>Neinv.transfery občans.sdruž.</t>
  </si>
  <si>
    <t xml:space="preserve">Neinv.transfery nefin.podnik.subj.-PO </t>
  </si>
  <si>
    <t>Soukromá ZŠ Acorn´s &amp; John´s school, s.r.o.,  U Bečvy 2, Přerov</t>
  </si>
  <si>
    <t>SMN a.s. - o.z. Nemocnice Prostějov - Fasáda polikliniky</t>
  </si>
  <si>
    <t>SMN a.s. - o.z. Nemocnice Přerov - Studie centralizace laboratoří</t>
  </si>
  <si>
    <t>pověřená vedením odboru životního prostředí a zemědělství</t>
  </si>
  <si>
    <t>Gymnázium, Horní náměstí 5, Šternberk</t>
  </si>
  <si>
    <t>Gymnázium, Gymnazijní 257, Uničov</t>
  </si>
  <si>
    <t>Gymnázium J. Wolkera, Kollárova 3, Prostějov</t>
  </si>
  <si>
    <t>Gymnázium Jakuba Škody, Komenského 29, Přerov</t>
  </si>
  <si>
    <t>SPŠS, Tř. 17. listopadu 49, Olomouc</t>
  </si>
  <si>
    <t>SZeŠ Olomouc, U Hradiska 4, Olomouc</t>
  </si>
  <si>
    <t>Převody FKSP a SF obcí a krajů</t>
  </si>
  <si>
    <t>SOU obchodní, nám. E.Husserla 1, Prostějov</t>
  </si>
  <si>
    <t>Mgr. Lenka Doleželová</t>
  </si>
  <si>
    <t>vedoucí odboru majetkového a právního</t>
  </si>
  <si>
    <t>Mgr. Hana Kamasová</t>
  </si>
  <si>
    <t>Mgr. Marie Mazánková</t>
  </si>
  <si>
    <t>Nájemné PO</t>
  </si>
  <si>
    <t>00034053</t>
  </si>
  <si>
    <t>00034070</t>
  </si>
  <si>
    <t>vedoucí odboru investic a evropských programů</t>
  </si>
  <si>
    <t>Ing. Miroslav Kubín</t>
  </si>
  <si>
    <t>ORG 100087</t>
  </si>
  <si>
    <t>RZ 873/05 - přesun z ORJ 99, § 2399, pol. 6341</t>
  </si>
  <si>
    <t>Fond na podporu výstavby a obnovy vodohospodářské infrastruktury  celkem</t>
  </si>
  <si>
    <t>Výdaje odboru kultury a památkové péče</t>
  </si>
  <si>
    <t>00000016</t>
  </si>
  <si>
    <t>číslo účtu: 2246872/0800</t>
  </si>
  <si>
    <t>46) SROP 3.3 - Partnerství pro rozvoj kraje - 2. část</t>
  </si>
  <si>
    <t>Soukromé školy</t>
  </si>
  <si>
    <t>ORJ - 08</t>
  </si>
  <si>
    <t>ORG 100327</t>
  </si>
  <si>
    <t>ORG 100331</t>
  </si>
  <si>
    <t>Regionální letiště Přerov-převod na OMP</t>
  </si>
  <si>
    <t>Přestavba křižovatky před železničním přejezdem u obce Smržice</t>
  </si>
  <si>
    <t>Střední škola technická, Kouřilkova 8, Přerov</t>
  </si>
  <si>
    <t>Rekapitulace celkových výdajů Olomouckého kraje, které zahrnují výdaje jednotlivých odborů včetně příspěvků zřízeným příspěvkovým organizacím, výdaje na finacování evropských programů a  výdaje fondů.</t>
  </si>
  <si>
    <t>DDM, Komenského  719/6, Litovel</t>
  </si>
  <si>
    <t>Odbor školství, mládeže a tělovýchovy</t>
  </si>
  <si>
    <t>Odbor sociálních věcí</t>
  </si>
  <si>
    <t>Odbor kultury a památkové péče</t>
  </si>
  <si>
    <t>Odbor zdravotnictví</t>
  </si>
  <si>
    <t>vedoucí kanceláře hejtmana</t>
  </si>
  <si>
    <t>Ing. Luděk Niče</t>
  </si>
  <si>
    <t>Správce:</t>
  </si>
  <si>
    <t>vedoucí kanceláře ředitele</t>
  </si>
  <si>
    <t>Enviromentální vzdělávání, výchova a osvěta</t>
  </si>
  <si>
    <t>00000114</t>
  </si>
  <si>
    <t>Odbor Krajský živnostenský úřad</t>
  </si>
  <si>
    <t>Útvar interního auditu</t>
  </si>
  <si>
    <t>16) Útvar interního auditu</t>
  </si>
  <si>
    <t>ORJ - 16</t>
  </si>
  <si>
    <t>Ostatní neinvestiční transfery ob.</t>
  </si>
  <si>
    <t>17) Sociální fond</t>
  </si>
  <si>
    <t>UZ</t>
  </si>
  <si>
    <t>MŠMT-program sociální prev.a prev.kriminality</t>
  </si>
  <si>
    <t>(Dotace pro SŠ ve správě ÚSC)</t>
  </si>
  <si>
    <t>MŠMT - dotace na SŠ a škol.zařízení, 1.čtvrtl..</t>
  </si>
  <si>
    <t>00033215</t>
  </si>
  <si>
    <t>MŠMT - dotace na SŠ a škol.zařízení, 1.čtvrtl.</t>
  </si>
  <si>
    <t>Teplá voda</t>
  </si>
  <si>
    <t>Domov pro seniory  Radkova Lhota</t>
  </si>
  <si>
    <t>Domov Větrný mlýn Skalička</t>
  </si>
  <si>
    <t>Domov Větrný mlýn Skalička celkem</t>
  </si>
  <si>
    <t xml:space="preserve">1)  Zastupitelé                         </t>
  </si>
  <si>
    <t>ORJ - 01</t>
  </si>
  <si>
    <t>Ostatní osobní výdaje</t>
  </si>
  <si>
    <t>posíleno:</t>
  </si>
  <si>
    <t xml:space="preserve">15) Odbor Krajský živnostenský úřad </t>
  </si>
  <si>
    <t>ORJ - 15</t>
  </si>
  <si>
    <t>vedoucí odboru Krajský živnostenský úřad</t>
  </si>
  <si>
    <t>Bc. Ing. František Pivoda</t>
  </si>
  <si>
    <t xml:space="preserve">Odbor Krajský živnostenský úřad </t>
  </si>
  <si>
    <t>48) BIS RTD Podpora veřejného financování výzkumu a technologického rozvoje v regionech   (6. frame programme)</t>
  </si>
  <si>
    <t>Slovanské gymnázium, Tř.J. z Poděbrad 13, Olomouc</t>
  </si>
  <si>
    <t xml:space="preserve">Odbor informačních technologií celkem </t>
  </si>
  <si>
    <t>Ing. Josef Veselský</t>
  </si>
  <si>
    <t>Hotelová škola V.Priessnitze, Dukelská 680, Jeseník</t>
  </si>
  <si>
    <t>Středisko pečovatelské služby Jeseník celkem</t>
  </si>
  <si>
    <t>příspěvky na mezinár.výměnné pobyty</t>
  </si>
  <si>
    <t>Domov důchodců Červenka</t>
  </si>
  <si>
    <t>Domov důchodců Červenka celkem</t>
  </si>
  <si>
    <t>Domov důchodců Hrubá Voda</t>
  </si>
  <si>
    <t>SPŠ stavební, Komenského sady 257, Lipník n.B.</t>
  </si>
  <si>
    <t xml:space="preserve">Odbor dopravy a silničního hospodářství celkem </t>
  </si>
  <si>
    <t>13) Odbor kultury a památkové péče</t>
  </si>
  <si>
    <t>ORJ - 13</t>
  </si>
  <si>
    <t>ORG - 1649</t>
  </si>
  <si>
    <t>ORG - 1650</t>
  </si>
  <si>
    <t>Domov Paprsek Olšany</t>
  </si>
  <si>
    <t>Domov Paprsek Olšany celkem</t>
  </si>
  <si>
    <t>ORG - 1651</t>
  </si>
  <si>
    <t>ORG - 1652</t>
  </si>
  <si>
    <t>ORG - 1653</t>
  </si>
  <si>
    <t>ORG - 1654</t>
  </si>
  <si>
    <t>ORG - 1655</t>
  </si>
  <si>
    <t>ORG - 1656</t>
  </si>
  <si>
    <t>ORG - 1657</t>
  </si>
  <si>
    <t>ORG - 1658</t>
  </si>
  <si>
    <t>Domov Alfreda Skeneho Pavlovice u Přerova</t>
  </si>
  <si>
    <t>okresní a krajské kolo soutěží</t>
  </si>
  <si>
    <t>Střední škola, B.Dvorského 17, Svatý Kopeček</t>
  </si>
  <si>
    <t>6=5/4</t>
  </si>
  <si>
    <t>56) GG - 1.1. Zvyšování kvality ve vzdělávání v Olomouckém kraji</t>
  </si>
  <si>
    <t>ORJ - 56</t>
  </si>
  <si>
    <t>číslo účtu: 43-2020510277/0100</t>
  </si>
  <si>
    <t>Rezervy kapitálových výdajů</t>
  </si>
  <si>
    <t>vedoucí odboru informačních technologií</t>
  </si>
  <si>
    <t xml:space="preserve">DD Kobylá nad Vidnávkou - oprava 1 výtahu </t>
  </si>
  <si>
    <t xml:space="preserve">Domov důchodců Javorník  - Stravovací provoz </t>
  </si>
  <si>
    <t>Domov důchodců Kobylá -Kotelna - B1</t>
  </si>
  <si>
    <t>ÚSP pro mládež Jeseník -Střecha</t>
  </si>
  <si>
    <t xml:space="preserve">ÚSP pro mládež Jeseník -Zasklení oblouků v přízemí budovy </t>
  </si>
  <si>
    <t>ÚSP pro mládež Jeseník - Nákladní výtah</t>
  </si>
  <si>
    <t>Domov důchodců Červenka -Sociální zařízení na pokojích uživatelů</t>
  </si>
  <si>
    <t>Obchodní akademie, Olomouc, tř. Spojenců 11 - Výměna oken</t>
  </si>
  <si>
    <t>00000212</t>
  </si>
  <si>
    <t>Podpora kulturních aktivit v Olomouckém kraji</t>
  </si>
  <si>
    <t>Neinvest.transfery občan.sdruž.</t>
  </si>
  <si>
    <t>47) OP RLZ - 3.1.: Vzdělávání učitelů v přípravě a řízení projektů SF EU na středních školách v Olomouckém kraji</t>
  </si>
  <si>
    <t>Domov seniorů POHODA Chválkovice</t>
  </si>
  <si>
    <t>ORG - 1638</t>
  </si>
  <si>
    <t>ORG - 1639</t>
  </si>
  <si>
    <t>Půjčka z EIB-projekt evropské fondy</t>
  </si>
  <si>
    <t>Ost.neinv.výdaje j.n.</t>
  </si>
  <si>
    <t>00000025</t>
  </si>
  <si>
    <t>Mateřská škola Sluníčko Olomouc, o.p.s., Blahoslavova 2, Olomouc</t>
  </si>
  <si>
    <t>Usnesením rady UR/5/7/2009 ze dne 22.1.2009 byly finanční prostředky schváleného rozpočtu na rok 2009 pro Odbor ekonomický-oddělení přípravy a realizace investic (ORJ 77)  převedeny na nově vzniklý Odbor investic a evropských programů (ORJ 17).</t>
  </si>
  <si>
    <t>ZŠ a MŠ při lázních Vel.Losiny, Lázeňská 240, Velké Losiny</t>
  </si>
  <si>
    <t>Základní škola a Mateřská škola, Masarykova 4, Mohelnice</t>
  </si>
  <si>
    <t>Zapojení prostředků z FV</t>
  </si>
  <si>
    <t xml:space="preserve">vedoucí odboru  správního a legislativního </t>
  </si>
  <si>
    <t>Neinv.transfery nefin.podnik.subj. - PO</t>
  </si>
  <si>
    <t>00000200</t>
  </si>
  <si>
    <t>Gymnázium, Šternberk, Horní náměstí 5-Oprava sociálního zařízení</t>
  </si>
  <si>
    <t xml:space="preserve">Střední odborná škola, Olomouc, Na Vlčinci 3- Oprava sociálního zařízení </t>
  </si>
  <si>
    <t>Gymnázium J. Wolkera, PV - rekonstrukce prostor pro činnost školního klubu</t>
  </si>
  <si>
    <t>Střední škola technická a obchodní Kosinova Olomouc - fasáda</t>
  </si>
  <si>
    <t>41) GS - 4.2.2 Podpora regionální a místní infrastruktury cestovního ruchu</t>
  </si>
  <si>
    <t xml:space="preserve"> v Olomouckém kraji</t>
  </si>
  <si>
    <t>Střední zdravotnická škola, Šumperk, Kladská 2 -domov mládeže, ul. ČSA 1, Šumperk - Oprava podlahy  v knihovně domova mládeže</t>
  </si>
  <si>
    <t xml:space="preserve">SPŠ elektrotechnická, Mohelnice -Oprava oken </t>
  </si>
  <si>
    <t>vedoucí odboru školství, mládežě a tělovýchovy</t>
  </si>
  <si>
    <t>Mgr. Miroslav Gajdůšek, MBA</t>
  </si>
  <si>
    <t>Výdaje celkem</t>
  </si>
  <si>
    <t xml:space="preserve"> -konsolidace</t>
  </si>
  <si>
    <t>Gymnázium Jeseník, Komenského 281 - rekonstrukce střechy tělocvičny</t>
  </si>
  <si>
    <t>ZŠ Jeseník, Fučíkova 312 - oprava kanalizace bud. Rudná 383</t>
  </si>
  <si>
    <t>RZ 151/05 - zapojení zůstatku fin.prostředků k 31.12.2004 Fondu na podporu výstavby a obnovy vodohosp.infr.</t>
  </si>
  <si>
    <t>RZ 507/05 - přesun z ORJ 99, § 2321, pol. 6341</t>
  </si>
  <si>
    <t>RZ 149/05 - přesun z ORJ 99, § 2399, pol. 6341</t>
  </si>
  <si>
    <t>GS - 4.2.2 Podpora regionální a místní infrastruktury cestovního ruchu v Olomouckém kraji celkem</t>
  </si>
  <si>
    <t>GG - Podpora nabídky dalšího vzdělávání v Olomouckém kraji</t>
  </si>
  <si>
    <t>SPŠ, Havlíčkova 2, Přerov</t>
  </si>
  <si>
    <t>Domov důchodců Prostějov</t>
  </si>
  <si>
    <t>Domov důchodců Prostějov celkem</t>
  </si>
  <si>
    <t>Domov důchodců Jesenec</t>
  </si>
  <si>
    <t>Odborný léčebný ústav neurologicko-geriatrický v Moravský Beroun celkem</t>
  </si>
  <si>
    <t>Dětské centrum Pavučinka Šumperk celkem</t>
  </si>
  <si>
    <t>Zdravotnická záchranná služba OK  celkem</t>
  </si>
  <si>
    <t>Archeologické centrum Olomouc celkem</t>
  </si>
  <si>
    <t>Výdaje odboru majetkového a právního</t>
  </si>
  <si>
    <t>SPŠ a OA Uničov, Školní 164, Uničov</t>
  </si>
  <si>
    <t>Jazyková škola s právem státní jazykové zkoušky, Pöttingova 2, Olomouc</t>
  </si>
  <si>
    <t>Výdaje Kanceláře  ředitele</t>
  </si>
  <si>
    <t>Výdaje Kanceláře hejtmana</t>
  </si>
  <si>
    <t>Výdaje Zastupitelů</t>
  </si>
  <si>
    <t>Výdaje odboru správního a legislativního</t>
  </si>
  <si>
    <t>Ostatní platby za provedenou práci j.n.</t>
  </si>
  <si>
    <t>Nákup ostatních paliv a energie</t>
  </si>
  <si>
    <t>00000113</t>
  </si>
  <si>
    <t>ZŠ pro žáky se spec.poruchami učení a MŠ log. Schola-Viva o.p.s., Erbenova 16, Šumperk</t>
  </si>
  <si>
    <t>ZŠ a SŠ Poměnka, o.p.s., Šumavská 13, Šumperk</t>
  </si>
  <si>
    <t>Domov pro seniory Radkova Lhota celkem</t>
  </si>
  <si>
    <t>Střední odborná škola, s.r.o., Stromořadí 420, Uničov</t>
  </si>
  <si>
    <t>program sociální prevence a prev.kriminality</t>
  </si>
  <si>
    <t>Silnice III/44419 Újezd u Uničova - průtah</t>
  </si>
  <si>
    <t>Silnice III/44921 Loučany - průtah</t>
  </si>
  <si>
    <t>Domov Větrný mlýn Skalička - revitalizace zámeckého parku</t>
  </si>
  <si>
    <t>ORG 100325</t>
  </si>
  <si>
    <t>CSS Prostějov - rekonstrukce pavilonu - zřízení residenčního zařízení pro chronický nemocné Alzeheimerovou chorobou</t>
  </si>
  <si>
    <t>ORG 100326</t>
  </si>
  <si>
    <t xml:space="preserve">Sociální služby pro seniory Olomouc - nadstavba stávající budovy </t>
  </si>
  <si>
    <t>Revitalizace zámeckého parku s přilehlými plochami v Nových Zámcích</t>
  </si>
  <si>
    <t>ORG 100336</t>
  </si>
  <si>
    <t>Domov důchodců POHODA Chválkovice - Rekonstrukce budovy A</t>
  </si>
  <si>
    <t>ORG 100416</t>
  </si>
  <si>
    <t>ORG 100441</t>
  </si>
  <si>
    <t>Realizace energeticky úsporných opatření - Domov důchodců Hrubá Voda</t>
  </si>
  <si>
    <t>ORG 100460</t>
  </si>
  <si>
    <t>Realizace energeticky úsporných opatření - Sociální služby pro seniory Olomouc - ubytovací část</t>
  </si>
  <si>
    <t>ORG 100470</t>
  </si>
  <si>
    <t>Realizace energeticky úsporných opatření - Domov důchodců Šumperk</t>
  </si>
  <si>
    <t>ORG 100494</t>
  </si>
  <si>
    <t>Realizace energeticky úsporných opatření - Domov důchodců Hrubá Voda - budova žen</t>
  </si>
  <si>
    <t>ORG 100496</t>
  </si>
  <si>
    <t>Realizace energeticky úsporných opatření - Penzion pro důchodce Loštice</t>
  </si>
  <si>
    <t>ORG 100497</t>
  </si>
  <si>
    <t>Rekonstrukce zahrady v Domově důchodců Červenka</t>
  </si>
  <si>
    <t>ORG 100530</t>
  </si>
  <si>
    <t>II/150 Vícov - obchvat obce</t>
  </si>
  <si>
    <t>II/434, II/437 Lipník nad Bečvou - okružní křižovatka</t>
  </si>
  <si>
    <t>II/446, III/44613 Štěpánov - úprava křižovatky</t>
  </si>
  <si>
    <t>Základní škola, DD a Školní jídelna, Palackého 938, Litovel</t>
  </si>
  <si>
    <t>SPŠ elektrotechnická, gen.Svobody 2, Mohelnice</t>
  </si>
  <si>
    <t>Střední odborná škola, Zemědělská 3, Šumperk</t>
  </si>
  <si>
    <t>SOŠ a SOU, gen. Krátkého 30, Šumperk</t>
  </si>
  <si>
    <t>Obecní školy - provozní výdaje</t>
  </si>
  <si>
    <t>Obecní školy celkem</t>
  </si>
  <si>
    <t xml:space="preserve"> </t>
  </si>
  <si>
    <t>8a) Operační program Olomouckého kraje</t>
  </si>
  <si>
    <t>ORJ - 88XX</t>
  </si>
  <si>
    <t>Ing. Michaela Pruknerová</t>
  </si>
  <si>
    <t>MFČR - Účelová dotace krajům - TBC</t>
  </si>
  <si>
    <t>ZŠ a MŠ při lázních Bludov, Lázeňská 573, Bludov</t>
  </si>
  <si>
    <t xml:space="preserve">VOŠ a SŠ automobilní, U Dráhy 6, Zábřeh </t>
  </si>
  <si>
    <t>OA a Jazyková škola s právem st.jazyk.zkoušky, Bartošova 24, Přerov</t>
  </si>
  <si>
    <t>Domov "Na Zámku" Nezamyslice - rekonstrukce podlahy hl. budovy</t>
  </si>
  <si>
    <t>Domov důchodců a penzion Chválkovice - modernizace areálu</t>
  </si>
  <si>
    <t>Vlastivědné muzeum v Olomouci - Letní reflektář Klášterní Hradisko</t>
  </si>
  <si>
    <t>00098861</t>
  </si>
  <si>
    <t>MF - Výkupy pozemků pod krajskými komunikacemi</t>
  </si>
  <si>
    <t>Neinv.transfery regionálním radám</t>
  </si>
  <si>
    <t>EIB</t>
  </si>
  <si>
    <t>SOŠ a SOU, Moravské nám. 681, Uničov</t>
  </si>
  <si>
    <t>Muzeum Komenského v Přerově celkem</t>
  </si>
  <si>
    <t>Dětské centrum Pavučinka Šumperk</t>
  </si>
  <si>
    <t>Soukromá SOŠ,s.r.o.,  Jaselská 832, Hranice</t>
  </si>
  <si>
    <t>VOŠ živnostenská, s.r.o., Palackého 19, Přerov</t>
  </si>
  <si>
    <t>TRIVIS - střední škola veřejnoprávní, s.r.o., Havlíčkova 24/2920, Prostějov</t>
  </si>
  <si>
    <t>Střední škola stavební a podnikatelská, s.r.o., Štěpánovská 23, Olomouc-Chomoutov</t>
  </si>
  <si>
    <t>OLÚ Moravský Beroun - Pavilon po nemocné Alzheimerovou chorobou</t>
  </si>
  <si>
    <t>ORG 100332</t>
  </si>
  <si>
    <t>ORG 100660</t>
  </si>
  <si>
    <t>Značení kulturních a turistických cílů v Olomouckém kraji II</t>
  </si>
  <si>
    <t>ORG 100102</t>
  </si>
  <si>
    <t>ORG 100531</t>
  </si>
  <si>
    <t>Projektové a procesní řízení na Krajském úřadě Olomouckého kraje</t>
  </si>
  <si>
    <t>Velký Týnec - průtah II. etapa</t>
  </si>
  <si>
    <t>Výdaje z finančního vypořádání minulých let mezi regionální radou a kraji, obcemi a dobrovolnými svazky obcí</t>
  </si>
  <si>
    <t>Investiční transfery nefinačním podnikatelským subjektům - právnickým osobám</t>
  </si>
  <si>
    <t xml:space="preserve">Investiční transfery církvím a náboženským společnostem </t>
  </si>
  <si>
    <t>Zapojení prostředků z finančního vypořádání</t>
  </si>
  <si>
    <t>ORG 1104</t>
  </si>
  <si>
    <t>ORG 1109</t>
  </si>
  <si>
    <t>Gymnázium. Svatopluka Čecha 683, Kojetín</t>
  </si>
  <si>
    <t>ORG 1110</t>
  </si>
  <si>
    <t>ORG 1130</t>
  </si>
  <si>
    <t>ORG 1132</t>
  </si>
  <si>
    <t>VOŠ a SPŠ, Gen. Krátkého 1, Šumperk</t>
  </si>
  <si>
    <t>ORG 1135</t>
  </si>
  <si>
    <t>ORG 1152</t>
  </si>
  <si>
    <t>Střední zdravotnická škola, Vápenice 3, Prostějov</t>
  </si>
  <si>
    <t>ORG 1161</t>
  </si>
  <si>
    <t>Střední škola technická, Kouřílkova 8, Přerov</t>
  </si>
  <si>
    <t>ORG 1173</t>
  </si>
  <si>
    <t>ORG 1204</t>
  </si>
  <si>
    <t>Střední škola polygrafická, Střední Novosadská 55, Olomouc</t>
  </si>
  <si>
    <t>ORG 1205</t>
  </si>
  <si>
    <t>Společný regionální operační program celkem</t>
  </si>
  <si>
    <t xml:space="preserve">vedoucí odboru životního prostředí a zemědělství </t>
  </si>
  <si>
    <t xml:space="preserve">Ing. Josef Veselský </t>
  </si>
  <si>
    <t xml:space="preserve">Mgr. Lenka Doleželová </t>
  </si>
  <si>
    <t>00000020</t>
  </si>
  <si>
    <t>00000804</t>
  </si>
  <si>
    <t>00000019</t>
  </si>
  <si>
    <t>Ostatní nein.transfery neziskovým</t>
  </si>
  <si>
    <t>a podobným organizacím</t>
  </si>
  <si>
    <t>00000006</t>
  </si>
  <si>
    <t>00013307</t>
  </si>
  <si>
    <t xml:space="preserve">MPSV - na výplatu st.přísp.pro zřiz.zařízení pro děti vyž.okamžitou pomoc </t>
  </si>
  <si>
    <t xml:space="preserve">Neinv.transfery obecně prospěš.spol. </t>
  </si>
  <si>
    <t>MŠMT - Vybav.škol pomůckami kompenz.a rehab.char.</t>
  </si>
  <si>
    <t>Domov Alfreda Skeneho Pavlovice u Přerova celkem</t>
  </si>
  <si>
    <t>ORG - 1659</t>
  </si>
  <si>
    <t>ORG - 1660</t>
  </si>
  <si>
    <t>Centrum Dominika Kokory</t>
  </si>
  <si>
    <t>ORG - 1661</t>
  </si>
  <si>
    <t>Centrum Dominika Kokory celkem</t>
  </si>
  <si>
    <t>ORG - 1662</t>
  </si>
  <si>
    <t>ORG - 1663</t>
  </si>
  <si>
    <t>investice</t>
  </si>
  <si>
    <t>dotace</t>
  </si>
  <si>
    <t>provozní příspěvky zřízeným PO- rezerva</t>
  </si>
  <si>
    <t xml:space="preserve">32) Společný regionální operační program </t>
  </si>
  <si>
    <t xml:space="preserve">Výdaje odboru ekonomického </t>
  </si>
  <si>
    <t xml:space="preserve">Výdaje odboru ekonomického - odd.přípravy a realizace investic </t>
  </si>
  <si>
    <t>Stavební akce celkem</t>
  </si>
  <si>
    <t xml:space="preserve">Výdaje odboru strategického rozvoje kraje </t>
  </si>
  <si>
    <t>SMN a.s. - o.z. Nem. PV- Stavební úpravy laboratoří</t>
  </si>
  <si>
    <t>SMN a.s. - o.z. Nem. PV-Stavební úpravy dětského oddělení</t>
  </si>
  <si>
    <t>SMN a.s. - o.z. Nem. PV- Výměna oken v budově polikliniky - II. etapa</t>
  </si>
  <si>
    <t>Stavební akce</t>
  </si>
  <si>
    <t>Věcné dary</t>
  </si>
  <si>
    <t>Nákup kolků</t>
  </si>
  <si>
    <t>Platby daní a poplatků</t>
  </si>
  <si>
    <t>Nespecifikované rezervy</t>
  </si>
  <si>
    <t>Budovy, haly a stavby</t>
  </si>
  <si>
    <t>Stroje, přístroje a zařízení</t>
  </si>
  <si>
    <t xml:space="preserve">Zastupitelé celkem </t>
  </si>
  <si>
    <t>ORJ - 02</t>
  </si>
  <si>
    <t>Prádlo, oděv a obuv</t>
  </si>
  <si>
    <t>Knihy, učební pomůcky a tisk</t>
  </si>
  <si>
    <t>Konzultační, poradenské a právní služby</t>
  </si>
  <si>
    <t>Neinv.transfery občanským sdružením</t>
  </si>
  <si>
    <t>Neinvest.transfery nefin.podnik.subj.-FO</t>
  </si>
  <si>
    <t>00000550</t>
  </si>
  <si>
    <t>Přísp.na hosp.v lesích na území OK</t>
  </si>
  <si>
    <t>Neinvest.transfery nefin.podnik.subj.-PO</t>
  </si>
  <si>
    <t>00000552</t>
  </si>
  <si>
    <t>Přísp.obcím OK na řešení mimoř.událostí</t>
  </si>
  <si>
    <t>00098278</t>
  </si>
  <si>
    <t>MFČR - úhrada škod způs.kormoránem velkým</t>
  </si>
  <si>
    <t>Neinvestiční transfery vysokým školám</t>
  </si>
  <si>
    <t>Investiční transfery zřízeným PO</t>
  </si>
  <si>
    <t>ORJ 8835 celkem</t>
  </si>
  <si>
    <t>Ing. Zuzana Ochmanová</t>
  </si>
  <si>
    <t>Příspěvkové organizace</t>
  </si>
  <si>
    <t>ORG</t>
  </si>
  <si>
    <t>Nákup materiálu j.n.</t>
  </si>
  <si>
    <t>Příspěvkové organizace - provozní výdaje</t>
  </si>
  <si>
    <t>Soukromé školy - provozní výdaje</t>
  </si>
  <si>
    <t>Příspěvkové organizace - investiční výdaje</t>
  </si>
  <si>
    <t>Příspěvkové organizace celkem - investiční výdaje</t>
  </si>
  <si>
    <t>Rekapitulace</t>
  </si>
  <si>
    <t>Odbor (kancelář)</t>
  </si>
  <si>
    <t>schválený rozpočet</t>
  </si>
  <si>
    <t>upravený rozpočet</t>
  </si>
  <si>
    <t>ORJ</t>
  </si>
  <si>
    <t>Zastupitelé</t>
  </si>
  <si>
    <t xml:space="preserve"> - provozní výdaje</t>
  </si>
  <si>
    <t xml:space="preserve"> - investiční výdaje</t>
  </si>
  <si>
    <t>Kancelář hejtmana</t>
  </si>
  <si>
    <t>17) Odbor investic a evropských programů</t>
  </si>
  <si>
    <t>Příspěvky divadlům a filharmoniím</t>
  </si>
  <si>
    <t>Neinvestiční dotace pro knihovny</t>
  </si>
  <si>
    <t>Gymnázium, Masarykovo nám. 8, Šumperk</t>
  </si>
  <si>
    <t>provoz</t>
  </si>
  <si>
    <t xml:space="preserve"> - účelové neinvestiční dotace</t>
  </si>
  <si>
    <t xml:space="preserve"> - účelové investiční dotace</t>
  </si>
  <si>
    <t>odbor</t>
  </si>
  <si>
    <t>příspěvkové organizace</t>
  </si>
  <si>
    <t>soukromé školy</t>
  </si>
  <si>
    <t>obecní školy</t>
  </si>
  <si>
    <t>ZUŠ, Jungmannova  740, Litovel</t>
  </si>
  <si>
    <t>Náhrady mezd v době nemoci</t>
  </si>
  <si>
    <t>Ostatní neinvestiční výdaje j.n.</t>
  </si>
  <si>
    <t>Vincentinum Šternberk - Úprava venkovních prostor pro imobilní uživatele</t>
  </si>
  <si>
    <t>Vincentinum - poskytovatel soc. služeb Šternberk - Chlazený sklad nebezpečného odpadu</t>
  </si>
  <si>
    <t>Nákupy ostatních služeb</t>
  </si>
  <si>
    <t>ÚSP Nové Zámky - Střecha a římsy</t>
  </si>
  <si>
    <t>Domov důchodců Šumperk - Chlazený sklad nebezpečného odpadu</t>
  </si>
  <si>
    <t>Domov důchodců Šumperk - Stavební úpravy balkonů</t>
  </si>
  <si>
    <t xml:space="preserve">      infrastruktury na území Olomouckého kraje</t>
  </si>
  <si>
    <t>ORJ  - 99</t>
  </si>
  <si>
    <t>RZ 386/05 - přesun z ORJ 99, § 2399, pol. 6341</t>
  </si>
  <si>
    <t>RZ 507/05 - přesun na ORJ 99, § 2399, pol. 6341</t>
  </si>
  <si>
    <t>Penzion pro důchodce Loštice</t>
  </si>
  <si>
    <t>Penzion pro důchodce Loštice celkem</t>
  </si>
  <si>
    <t>Ost.neinv.transfery veř.rozp.úz.úrovně</t>
  </si>
  <si>
    <t>00000027</t>
  </si>
  <si>
    <t>Středisko volného času ATLAS a BIOS, Žižkova 12, Přerov</t>
  </si>
  <si>
    <t>Investiční a neinvestiční akce v obl.dopravy</t>
  </si>
  <si>
    <t>odkup pozemku</t>
  </si>
  <si>
    <t>Pohoštění</t>
  </si>
  <si>
    <t>RZ 301/05 - přesun z ORJ 199, 03, § 6172, pol. 5499, § 6172, pol. 5177</t>
  </si>
  <si>
    <t>Konzultační, porad.a právní služby</t>
  </si>
  <si>
    <t>00000412</t>
  </si>
  <si>
    <t>Střednědobý plán rozvoje soc.služeb OK</t>
  </si>
  <si>
    <t>Neinv.transfery nefin.pod.subj.-FO</t>
  </si>
  <si>
    <t>číslo účtu: 1701992/0800</t>
  </si>
  <si>
    <t xml:space="preserve">celkem </t>
  </si>
  <si>
    <t>inv.</t>
  </si>
  <si>
    <t>neinv.dot.</t>
  </si>
  <si>
    <t>DD a ŠJ, U Sportovní haly 1a, Olomouc</t>
  </si>
  <si>
    <t>DD a ŠJ, Vrchlického 369, Konice</t>
  </si>
  <si>
    <t>DD a ŠJ, Balkán 333, Plumlov</t>
  </si>
  <si>
    <t>DD a ŠJ, Purgešova 4, Hranice</t>
  </si>
  <si>
    <t>Spec.školy pro zrakově postižené Litovel - Areál Hejčín</t>
  </si>
  <si>
    <t>Dětský domov Konice - rekonstrukce domova</t>
  </si>
  <si>
    <t>SPŠ Přerov, Havlíčkova - výstavba tělocvičny</t>
  </si>
  <si>
    <t>OA Přerov - rekonstrukce hyg.zařízení</t>
  </si>
  <si>
    <t xml:space="preserve">Speciální školy Prostějov, Tetín - rek.vývařovny internátu </t>
  </si>
  <si>
    <t>DD a SŠ zemědělská Olomouc - stavební úpravy a opravy</t>
  </si>
  <si>
    <t>Obchodní akademie, Olomouc - Zateplení uliční a dvorní fasády</t>
  </si>
  <si>
    <t xml:space="preserve">Neinv.transfery obecně prospěšným  společnostem </t>
  </si>
  <si>
    <t>fin.příspěvek v obl.sportu</t>
  </si>
  <si>
    <t>Účel.neinvest.transfery nepodnik. FO</t>
  </si>
  <si>
    <t>Inv.transfery obč.sdružením</t>
  </si>
  <si>
    <t>odpisy</t>
  </si>
  <si>
    <t>32133019</t>
  </si>
  <si>
    <t>32533019</t>
  </si>
  <si>
    <t>Vědecká knihovna v Olomouci -Přístupový chodník a parkovací místa na ul. Bezručova</t>
  </si>
  <si>
    <t>Vlastivědné muzeum v Olomouci -Topný systém v budově sídla VMO</t>
  </si>
  <si>
    <t>Vlastivědné muzeum Jesenicka - Stálá expozice čarodějnických procesů</t>
  </si>
  <si>
    <t xml:space="preserve">Vlastivědné muzeum Jesenicka - Stálá expozice Z historie Jesenicka </t>
  </si>
  <si>
    <t>Brána poznání otevřena - údržba majetku</t>
  </si>
  <si>
    <t xml:space="preserve">Ostatní inv.transfery nezisk.a pod.org. </t>
  </si>
  <si>
    <t>Velký Kosíř - Rozhledna</t>
  </si>
  <si>
    <t xml:space="preserve">Loučany - Náměšť na Hané - rekonstrukce silnice </t>
  </si>
  <si>
    <t xml:space="preserve">Odbor ekonomický - oddělení přípravy a realizace investic celkem </t>
  </si>
  <si>
    <t xml:space="preserve">UZ </t>
  </si>
  <si>
    <t>projekt PILOT G/GP</t>
  </si>
  <si>
    <t>Příspěvek na provoz PO-mzdové náklady</t>
  </si>
  <si>
    <t>9) Odbor životního prostředí a zemědělství</t>
  </si>
  <si>
    <t>ORJ - 09</t>
  </si>
  <si>
    <t>10) Odbor školství, mládeže a tělovýchovy</t>
  </si>
  <si>
    <t>ORJ - 10</t>
  </si>
  <si>
    <t>Investiční a neinvestiční akce v obl.školství</t>
  </si>
  <si>
    <t>ORJ 8832-Podpora sportovních volnočasových aktivit</t>
  </si>
  <si>
    <t>ORJ 8832 celkem</t>
  </si>
  <si>
    <t>ORJ 8803 celkem</t>
  </si>
  <si>
    <t>ORJ - 199</t>
  </si>
  <si>
    <t>SROP - individuální projekty</t>
  </si>
  <si>
    <t>Ostatní neinv.transfery ob.</t>
  </si>
  <si>
    <t>Domov důchodců Hrubá Voda celkem</t>
  </si>
  <si>
    <t>Vlastivědné muzeum Jesenicka</t>
  </si>
  <si>
    <t>Gymnázium, Svat.Čecha 683, Kojetín</t>
  </si>
  <si>
    <t>00000407</t>
  </si>
  <si>
    <t>Dotační program prevence kriminality</t>
  </si>
  <si>
    <t>a příspěvek na st.pol.zam.</t>
  </si>
  <si>
    <t>00000551</t>
  </si>
  <si>
    <t>Fond na podporu výst.a obn.vodohosp.infr.</t>
  </si>
  <si>
    <t>Ostatní neinv.výdaje j.n.</t>
  </si>
  <si>
    <t>Výdaje na dopravní územní obslužnnost</t>
  </si>
  <si>
    <t>8 = 7/ 6</t>
  </si>
  <si>
    <t>Výdaje na dopravní územní obslužnost</t>
  </si>
  <si>
    <t>Neinvestičbní transfery nefin.podnik.subj.-PO</t>
  </si>
  <si>
    <t>Investiční transfery nefin.podnik.subj.-FO</t>
  </si>
  <si>
    <t>odbor celkem</t>
  </si>
  <si>
    <t>RZ 187/05 - přesun z ORJ 99, § 2399, pol. 6341</t>
  </si>
  <si>
    <t>RZ 385/05 - přesun z ORJ 99, § 2399, pol. 6341</t>
  </si>
  <si>
    <t>Obecní školy celkem - provozní výdaje</t>
  </si>
  <si>
    <t>Zdravotnická záchranná služba Olomouckého kraje</t>
  </si>
  <si>
    <t>MŠ a ZŠ při FN Olomouc, I.P.Pavlova 6, Olomouc</t>
  </si>
  <si>
    <t>Základní škola prof.Z.Matějčka, Svatoplukova 11, Olomouc-Řepčín</t>
  </si>
  <si>
    <t>Střední škola, ZŠ a MŠ, Komenského 10, Prostějov</t>
  </si>
  <si>
    <t>Základní škola speciální Jasněnka, o.p.s., Jiráskova 772, Uničov</t>
  </si>
  <si>
    <t>ZŠ a MŠ Sluničko, s.r.o.,  Loučská  237, Lipník nad Bečvou</t>
  </si>
  <si>
    <t>MÚK R 35 - Tovačov , stavební úpravy</t>
  </si>
  <si>
    <t>Zábřeh - okružní křižovatka</t>
  </si>
  <si>
    <t>III/44620 Náklo - průtah</t>
  </si>
  <si>
    <t>III/43621, III/43622 Velký Týnec, Čechovice - rekonstrukce silnic</t>
  </si>
  <si>
    <t>III/4436, III/44310 Tovéř - okružní křižovatka</t>
  </si>
  <si>
    <t>58) GG - 1.3. Další vzdělávání pracovníků škol a školských zařízení v Olomouckém kraji</t>
  </si>
  <si>
    <t>ORJ - 58</t>
  </si>
  <si>
    <t>číslo účtu: 43-2020400297/0100</t>
  </si>
  <si>
    <t>Ostatní</t>
  </si>
  <si>
    <t>Platby daní a poplatků stát.rozpočtu</t>
  </si>
  <si>
    <t>00000000</t>
  </si>
  <si>
    <t>00000011</t>
  </si>
  <si>
    <t>00000014</t>
  </si>
  <si>
    <t>Středomoravská nemocniční a.s. Olomouc</t>
  </si>
  <si>
    <t>Platby daní a poplatků SR</t>
  </si>
  <si>
    <t>GG - 1.2. Rovné příležitosti dětí a žáků, včetně dětí a žáků se speciálními vzdělávacími potřebami v Olomouckém kraji</t>
  </si>
  <si>
    <t>DD a ŠJ, Tyršova 772, Lipník</t>
  </si>
  <si>
    <t>číslo účtu: 35-1843380237/0100</t>
  </si>
  <si>
    <t>položka</t>
  </si>
  <si>
    <t>9=8/7</t>
  </si>
  <si>
    <t>Celkem</t>
  </si>
  <si>
    <t>Konsolidace</t>
  </si>
  <si>
    <t>Nákup materiálu</t>
  </si>
  <si>
    <t xml:space="preserve">Ostatní náklady </t>
  </si>
  <si>
    <t>Převody vlastním rozpočtovým účtům</t>
  </si>
  <si>
    <t xml:space="preserve">Ostatní neinvestiční výdaje </t>
  </si>
  <si>
    <t xml:space="preserve">Celkem výdaje po konsolidaci </t>
  </si>
  <si>
    <t>GS - 1.1. Podpora malého a středního podnikání ve vybraných regionech Olomouckého kraje celkem</t>
  </si>
  <si>
    <t>38) GS - 3.2 Podpora sociální integrace v Olomouckém kraji</t>
  </si>
  <si>
    <t>GS - 3.2 Podpora sociální integrace v Olomouckém kraji celkem</t>
  </si>
  <si>
    <t>RZ 301/05 - přesun na ORJ 199, § 6113, pol. 5169</t>
  </si>
  <si>
    <t>Drobný hmotný a dlouhodobý majetek</t>
  </si>
  <si>
    <t>RZ 712/05 - přesun z ORJ 199, § 6172, pol. 5901</t>
  </si>
  <si>
    <t>Investiční a neinvestiční akce v obl.dopr.</t>
  </si>
  <si>
    <t>00000870</t>
  </si>
  <si>
    <t>Povinný podíl kraje (půjčka EIB)</t>
  </si>
  <si>
    <t>Nákup dlouhodob.hm.majetku j.n.</t>
  </si>
  <si>
    <t>Investiční a neinvestiční akce v obl.zdravotnictví</t>
  </si>
  <si>
    <t>Ostatní neinvestiční výdaje jinde nezařazené</t>
  </si>
  <si>
    <t>Vlastivědné muzeum v Olomouci - vybavení depozitářů Denisova ul. (po rekonstrukci budovy)</t>
  </si>
  <si>
    <t>Vlastivědné muzeum Jesenicka - rekonstrukce střešní krytiny na budově Vodní tvrze</t>
  </si>
  <si>
    <t>Archeologické centrum v Ol - rekonstrukce objektu U Hradiska 7/4 (včetně vnitřního vybavení)</t>
  </si>
  <si>
    <t xml:space="preserve">Vlastivědné muzeum Jesenicka - inženýrské sítě a fasáda </t>
  </si>
  <si>
    <t>Muzeum Komenského v Přerově - přístavba depozitáře</t>
  </si>
  <si>
    <t>Vlastivědné muzeum v Olomouci - revitalizace rybníka Bílá Lhota</t>
  </si>
  <si>
    <t>Vlastivědné muzeum Jesenicka - Zřízení prostor pro kavárnu, vinárna, galerie</t>
  </si>
  <si>
    <t>Vlastivědné muzeum v Olomouci - Úprava Václavkova sálu</t>
  </si>
  <si>
    <t>Soukromá výtvarná ZUŠ s.r.o., Alšova 243, Jeseník</t>
  </si>
  <si>
    <t>RZ 387/05 - přesun z ORJ 01, § 6113, pol.5321</t>
  </si>
  <si>
    <t>neinv.transfery na provoz škol-ZŠ Libavá</t>
  </si>
  <si>
    <t>přímé nákl.na vzdělání</t>
  </si>
  <si>
    <t xml:space="preserve">příspěvek na odpisy </t>
  </si>
  <si>
    <t>ZŠ a MŠ logopedická, Tř. Svornosti 37/900, Olomouc</t>
  </si>
  <si>
    <t>MŠ A a T, s.r.o.,  U Bečvy 2, Přerov</t>
  </si>
  <si>
    <t>Speciální  MŠ A a J, s.r.o.,  U Bečvy 2,  Přerov</t>
  </si>
  <si>
    <t xml:space="preserve">Nespecifikované rezervy </t>
  </si>
  <si>
    <t>Poskytnuté neinvestiční přísp.a náhrady</t>
  </si>
  <si>
    <t>00033457</t>
  </si>
  <si>
    <t>regionech Olomouckého kraje</t>
  </si>
  <si>
    <t>ORJ - 37</t>
  </si>
  <si>
    <t>číslo účtu: 1701482/0800</t>
  </si>
  <si>
    <t>ORJ - 38</t>
  </si>
  <si>
    <t>číslo účtu: 1701642/0800</t>
  </si>
  <si>
    <t>veřejné subjekty a neziskové organizace</t>
  </si>
  <si>
    <t>ORJ - 39</t>
  </si>
  <si>
    <t>30) Individuální projekty</t>
  </si>
  <si>
    <t>ORJ - 49</t>
  </si>
  <si>
    <t>Domov důchodců Hrubá Voda - Nákladní výtah na přepravu jídla</t>
  </si>
  <si>
    <t>Domov důchodců a penzion Chválkovice - Šatny zaměstnanců</t>
  </si>
  <si>
    <t>MF - Podpora koordinátorů romských poradců</t>
  </si>
  <si>
    <t>00000021</t>
  </si>
  <si>
    <t>Pojistné plnění KÚ</t>
  </si>
  <si>
    <t>GG - 5.3. Zvýšení absorpční kapacity subjektů v Olomouckém kraji</t>
  </si>
  <si>
    <t>Inv.transfery st.rozpočtu</t>
  </si>
  <si>
    <t>Zajištění dostupnosti vybraných sociálních služeb v Olomouckém kraji</t>
  </si>
  <si>
    <t>číslo účtu: 2702452/0800</t>
  </si>
  <si>
    <t>49) VILA DORIS ŠUMPERK - Podpora sociální integrace v Olomouckém kraji</t>
  </si>
  <si>
    <t>DD a Školní jídelna, Přerov, Sušilova 25 - Výměna oken</t>
  </si>
  <si>
    <t>Střední škola zemědělská, Přerov, Osmek 47-rekonstrukce budovy Kovárny, původně Výměna oken v tělocvičně</t>
  </si>
  <si>
    <t xml:space="preserve">Střední průmyslová škola, Přerov, Havlíčkova 2 - Výměna podlahové krytiny v učebnách  a kabinetech </t>
  </si>
  <si>
    <t xml:space="preserve">Švehlova SŠ, Prostějov - odloučené pracoviště Vrchlického 5 a Určická ul. 94, Prostějov - Oprava střechy </t>
  </si>
  <si>
    <t xml:space="preserve">5) Odbor správní a legislativní </t>
  </si>
  <si>
    <t>Sociální služby Šumperk</t>
  </si>
  <si>
    <t>Sociální služby Šumperk celkem</t>
  </si>
  <si>
    <t>Realizace energeticky úsporných opatření - SŠ zemědělská Přerov</t>
  </si>
  <si>
    <t>ORG 100469</t>
  </si>
  <si>
    <t>číslo účtu: 1701722/0800</t>
  </si>
  <si>
    <t>Neinvestiční transfery církvím a náboženským společnostem</t>
  </si>
  <si>
    <t xml:space="preserve">39) GS - Podpora regionálních a místních služeb cestovního ruchu - </t>
  </si>
  <si>
    <t>GS - Podpora regionálních a místních služeb cestovního ruchu - veřejné subjekty a neziskové organizace celkem</t>
  </si>
  <si>
    <t xml:space="preserve">37) GS - 1.1. Podpora malého a středního podnikání ve vybraných </t>
  </si>
  <si>
    <t>ostatní příspěvky</t>
  </si>
  <si>
    <t>00000210</t>
  </si>
  <si>
    <t>00000211</t>
  </si>
  <si>
    <t>Neinv.příspěvky zřízeným PO</t>
  </si>
  <si>
    <t>ORG - 1601</t>
  </si>
  <si>
    <t>ORG - 1602</t>
  </si>
  <si>
    <t>ORG - 1603</t>
  </si>
  <si>
    <t>ORG - 1604</t>
  </si>
  <si>
    <t>ORG - 1606</t>
  </si>
  <si>
    <t>ORG - 1607</t>
  </si>
  <si>
    <t>ORG - 1608</t>
  </si>
  <si>
    <t xml:space="preserve">ÚSP pro mládež Olšany - Rekonstrukce stávající koupelny </t>
  </si>
  <si>
    <t>Domov důchodců Prostějov - Zvětšení dveřních otvorů</t>
  </si>
  <si>
    <t>Domov "Na Zámku" (Nezamyslice) - Koupelna</t>
  </si>
  <si>
    <t>Centrum sociálních služeb Prostějov - Vybavení pavilonu A2</t>
  </si>
  <si>
    <t>Ústav sociální péče Rokytnice - Dispoziční úpravy pokojů</t>
  </si>
  <si>
    <t>00027355</t>
  </si>
  <si>
    <t>Ost.neinv.transfery nezisk.a podob.org.</t>
  </si>
  <si>
    <t>Dary obyvatelstvu</t>
  </si>
  <si>
    <t>Nákup ostatních služeb</t>
  </si>
  <si>
    <t>Investiční výdaje</t>
  </si>
  <si>
    <t>vedoucí odboru ekonomického</t>
  </si>
  <si>
    <t>Ing. Jiří Juřena</t>
  </si>
  <si>
    <t>Pozemky</t>
  </si>
  <si>
    <t>vedoucí odboru kultury a památkové péče</t>
  </si>
  <si>
    <t>PhDr. Jindřich Garčic</t>
  </si>
  <si>
    <t>SOU, Komenského 677, Litovel</t>
  </si>
  <si>
    <t>Studená voda</t>
  </si>
  <si>
    <t xml:space="preserve">7) Odbor ekonomický </t>
  </si>
  <si>
    <t>Odbor životního prostředí a zemědělství</t>
  </si>
  <si>
    <t>Teplo</t>
  </si>
  <si>
    <t>Služby telekomunikací a radiokomunikací</t>
  </si>
  <si>
    <t>Archeologické centrum Olomouc</t>
  </si>
  <si>
    <t>Ostatní poskytované zálohy a jistiny</t>
  </si>
  <si>
    <t>ORG 1170</t>
  </si>
  <si>
    <t>ORG 1200</t>
  </si>
  <si>
    <t>ORG 1465</t>
  </si>
  <si>
    <t>00033122</t>
  </si>
  <si>
    <t>50) ROP - Regionální dopravní infrastruktura - Silnice II. a III. třídy</t>
  </si>
  <si>
    <t>ORJ - 50</t>
  </si>
  <si>
    <t>číslo účtu: 2955812/0800</t>
  </si>
  <si>
    <t>SPŠ oděvní, Prostějov - Stavební úpravy  školy</t>
  </si>
  <si>
    <t>Základní škola Jeseník - Sociální zařízení</t>
  </si>
  <si>
    <t>Gymnázium Jana Blahoslava a Střední pedagogická škola, Přerov - Změna školní jídelny na výdejnu</t>
  </si>
  <si>
    <t>SŠ, ZŠ a MŠ JISTOTA, o.p.s., Tetín 1, Prostějov</t>
  </si>
  <si>
    <t>Neinvestičbní transfery nefin.podnik.subj.-FO</t>
  </si>
  <si>
    <t>11) Odbor sociálních věcí</t>
  </si>
  <si>
    <t>Střední zemědělská škola, Osmek 47, Přerov</t>
  </si>
  <si>
    <t>Dětské centrum,  Struhlovsko 1424, Hranice</t>
  </si>
  <si>
    <t>upravený rozp.</t>
  </si>
  <si>
    <t>skutečnost</t>
  </si>
  <si>
    <t>%</t>
  </si>
  <si>
    <t>Provozní výdaje</t>
  </si>
  <si>
    <t xml:space="preserve">Odbor školství, mládeže a tělovýchovy celkem </t>
  </si>
  <si>
    <t>ORJ - 11</t>
  </si>
  <si>
    <t>spolupráce s francouzskými a vlámskými školami</t>
  </si>
  <si>
    <t>MKČR - veřejné informační služby knihoven</t>
  </si>
  <si>
    <t>MKČR - kulturní aktivity</t>
  </si>
  <si>
    <t>Investiční a neinvestiční akce v obl.kultury</t>
  </si>
  <si>
    <t>Investiční a neinvestiční akce v obl.sociální</t>
  </si>
  <si>
    <t>Ostatní příspěvky</t>
  </si>
  <si>
    <t>Služby peněžních ústavů</t>
  </si>
  <si>
    <t xml:space="preserve">Nájemné </t>
  </si>
  <si>
    <t>sníženo:</t>
  </si>
  <si>
    <t>Služby školení a vzdělávání</t>
  </si>
  <si>
    <t>Opravy a udržování</t>
  </si>
  <si>
    <t>Programové vybavení</t>
  </si>
  <si>
    <t>DD a ŠJ , Sušilova 25,  Přerov</t>
  </si>
  <si>
    <t>DD a ŠJ, Černá Voda 1</t>
  </si>
  <si>
    <t>DD a ŠJ , Priessnitzova 406, Jeseník</t>
  </si>
  <si>
    <t>celkem</t>
  </si>
  <si>
    <t>konsolidace</t>
  </si>
  <si>
    <t>Vědecká knihovna v Olomouci</t>
  </si>
  <si>
    <t>Vědecká knihovna v Olomouci celkem</t>
  </si>
  <si>
    <t>Vlastivědné muzeum v Olomouci</t>
  </si>
  <si>
    <t>Vlastivědné muzeum v Olomouci celkem</t>
  </si>
  <si>
    <t>Muzeum Prostějovska v Prostějově</t>
  </si>
  <si>
    <t>Muzeum Prostějovska v Prostějově celkem</t>
  </si>
  <si>
    <t>Muzeum Komenského v Přerově</t>
  </si>
  <si>
    <t>Vlastivědné muzeum v Šumperku</t>
  </si>
  <si>
    <t>Vlastivědné muzeum v Šumperku celkem</t>
  </si>
  <si>
    <t>ORJ - 17</t>
  </si>
  <si>
    <t>RZ 807/05 - přesun z ORJ 199, § 6172, pol. 5901</t>
  </si>
  <si>
    <t>RZ 197/05 - zapojení přebytku hospodaření za rok 2004</t>
  </si>
  <si>
    <t>Neinvestiční příspěvky zřízeným PO</t>
  </si>
  <si>
    <t>Správa silnic Olomouckého kraje celkem</t>
  </si>
  <si>
    <t>52) Implementace a péče o území soustavy Natura 2000 v Olomouckém kraji</t>
  </si>
  <si>
    <t>ORJ - 52</t>
  </si>
  <si>
    <t>číslo účtu: 3078612/0800</t>
  </si>
  <si>
    <t>Implementace a péče o území soustavy Natura 2000 v Olomouckém kraji</t>
  </si>
  <si>
    <t>Neinv.transf.obyv.nemající charakter daru</t>
  </si>
  <si>
    <t>Účelové neinv.transf.nepodnik.FO</t>
  </si>
  <si>
    <t>Ost.neinv.transfery veř.rozpočtům úz.úrovně</t>
  </si>
  <si>
    <t>fin.vypořádání s MŠMT za rok 2009</t>
  </si>
  <si>
    <t>Inv.transfery ostatním PO</t>
  </si>
  <si>
    <t>00000115</t>
  </si>
  <si>
    <t>Stipendia pro žáky učebních oborů</t>
  </si>
  <si>
    <t>00033025</t>
  </si>
  <si>
    <t>MŠMT - program sociální prevence a prev.kriminality</t>
  </si>
  <si>
    <t>MŠMT - Projekty romské komunity</t>
  </si>
  <si>
    <t>MŠMT - Spolupráce s francouzskými, vlámskými a šp.školami</t>
  </si>
  <si>
    <t>MŠMT - Asistenti pedagogů pro děti, žáky a studenty se soc.znevýhodněním</t>
  </si>
  <si>
    <t>Neinv.dot.zřízeným PO</t>
  </si>
  <si>
    <t>32133123</t>
  </si>
  <si>
    <t>MŠMT - OPVK-oblast 1.4.EU peníze školám-EU</t>
  </si>
  <si>
    <t>32533123</t>
  </si>
  <si>
    <t>MŠMT - Individ.projekty ost.OP VK-EU</t>
  </si>
  <si>
    <t>MŠMT - Asistenti pedagogů v soukr.a církev.spec.školách</t>
  </si>
  <si>
    <t>MŠMT - progr.na podporu škol-vzdělávání dětí se sociokulturním znevýhodněním</t>
  </si>
  <si>
    <t>00033024</t>
  </si>
  <si>
    <t>Soukromé OU, s.r.o., Velký Újezd  321</t>
  </si>
  <si>
    <t>Střední škola automobilní, s.r.o., Vápenice 2977/9, Prostějov</t>
  </si>
  <si>
    <t>GG - 1.1. Zvyšování kvality ve vzdělávání v Olomouckém kraji</t>
  </si>
  <si>
    <t>57) GG - 1.2. Rovné příležitosti dětí a žáků, včetně dětí a žáků se speciálními vzdělávacími potřebami v Olomouckém kraji</t>
  </si>
  <si>
    <t>ORJ - 57</t>
  </si>
  <si>
    <t>číslo účtu: 43-2020470287/0100</t>
  </si>
  <si>
    <t xml:space="preserve"> GG - 1.2. Rovné příležitosti dětí a žáků, včetně dětí a žáků se speciálními vzdělávacími potřebami v Olomouckém kraji</t>
  </si>
  <si>
    <t>Mateřská škola, Blanická 16, Olomouc</t>
  </si>
  <si>
    <t>ORG 3006000002 - Společný nadregionální projekt pro podporu domác.cestovního ruchu</t>
  </si>
  <si>
    <t>RZ 659/04 - přesun z ORJ 08, § 2140, pol. 5169</t>
  </si>
  <si>
    <t>Úroky vlastní</t>
  </si>
  <si>
    <t>12) Odbor dopravy a silničního hospodářství</t>
  </si>
  <si>
    <t>ORJ - 12</t>
  </si>
  <si>
    <t xml:space="preserve">Neinvestiční příspěvky zřízeným PO </t>
  </si>
  <si>
    <t>Nájemné za půdu</t>
  </si>
  <si>
    <t>neinv.transfery na provoz škol</t>
  </si>
  <si>
    <t>Prostějov -  okružní křižovatka</t>
  </si>
  <si>
    <t xml:space="preserve">Olomouc, místní část Chomutov - průtah </t>
  </si>
  <si>
    <t>III/37349 Ptení - obchvat</t>
  </si>
  <si>
    <t>Velký Týnec - průtah, II. Etapa</t>
  </si>
  <si>
    <t>Dub - Tovačov, stavební úpravy (křižovatka s II/150 po křižovatku do Tovačova do II/433)</t>
  </si>
  <si>
    <t>Dub nad Moravou - hranice krajů OL/ZL silnice II/150 - Želátovice - Dřevohostice,</t>
  </si>
  <si>
    <t>Přerov - most u elektrárny event. Č. 04720-1</t>
  </si>
  <si>
    <t>61) Zvýšení přeshraniční dostupnosti Otmuchów - Mikulovice</t>
  </si>
  <si>
    <t>ORJ - 61</t>
  </si>
  <si>
    <t>číslo účtu: 3456222/0800</t>
  </si>
  <si>
    <t>Zvýšení přeshraniční dostupnosti Otmuchów - Mikulovice</t>
  </si>
  <si>
    <t>program "Fin.asistentů pedagoga pro děti,žáky a st.se soc.znevýhodněním"</t>
  </si>
  <si>
    <t>Soukromá SOŠ, s.r.o., Jaselská 832, Hranice</t>
  </si>
  <si>
    <t>ORG 1539</t>
  </si>
  <si>
    <t>ORG 1554</t>
  </si>
  <si>
    <t>ORG 3000</t>
  </si>
  <si>
    <t>Ostatní neinvestiční transfery neziskovým a podobným organizacím</t>
  </si>
  <si>
    <t>Brodek u Konice</t>
  </si>
  <si>
    <t>ORG 8106</t>
  </si>
  <si>
    <t>Dubicko</t>
  </si>
  <si>
    <t>ORG 8210</t>
  </si>
  <si>
    <t>Svazek obcí údolí Desné</t>
  </si>
  <si>
    <t>ORG 8278</t>
  </si>
  <si>
    <t>Ostatní neinvestiční transfery veřejným rozpočtům územní úrovně</t>
  </si>
  <si>
    <t>Ostatní investiční transfery neziskovým a podobným organizacím</t>
  </si>
  <si>
    <t>Ostatní investiční transfery veřejným rozpočtům územní úrovně</t>
  </si>
  <si>
    <t>Horka nad Moravou</t>
  </si>
  <si>
    <t>ORG 8327</t>
  </si>
  <si>
    <t>Statutární město Olomouc</t>
  </si>
  <si>
    <t>ORG 8357</t>
  </si>
  <si>
    <t>Velký Týnec</t>
  </si>
  <si>
    <t>ORG 8386</t>
  </si>
  <si>
    <t>Lobodice</t>
  </si>
  <si>
    <t>ORG 8446</t>
  </si>
  <si>
    <t>Soběchleby</t>
  </si>
  <si>
    <t>ORG 8480</t>
  </si>
  <si>
    <t>ORG 1014</t>
  </si>
  <si>
    <t>ORG 1035</t>
  </si>
  <si>
    <t>ORG 1040</t>
  </si>
  <si>
    <t>ORG 1041</t>
  </si>
  <si>
    <t>ORG 1127</t>
  </si>
  <si>
    <t>Gymnázium Jana Blahoslava a Střední pedagogická škola, Přerov</t>
  </si>
  <si>
    <t>Odborné učiliště a Praktická škola, Lipová - lázně</t>
  </si>
  <si>
    <t>Dům dětí a mládeže, tř. 17. listopadu 47, Olomouc</t>
  </si>
  <si>
    <t>ORG 1350</t>
  </si>
  <si>
    <t>Soukromá ZŠ Acorn´s a John´s school, s.r.o., U Bečvy 2, Přerov</t>
  </si>
  <si>
    <t>ORG 1516</t>
  </si>
  <si>
    <t>Neinvestiční transfery nefinančním podnikatelským subjektům -právnickým osobám</t>
  </si>
  <si>
    <t>Soukromá SOŠ, s.r.o.,Jaselská 832, Hranice</t>
  </si>
  <si>
    <t>Investiční transfery nefinannčím podnikatelským subjektům-právnickým osobám</t>
  </si>
  <si>
    <t>ORG 2220</t>
  </si>
  <si>
    <t>ORG 2256</t>
  </si>
  <si>
    <t>Uničov</t>
  </si>
  <si>
    <t>ORG 8383</t>
  </si>
  <si>
    <t>Statutární město Přerov</t>
  </si>
  <si>
    <t>ZŠ a MŠ, Malá Dlážka 4, Přerov</t>
  </si>
  <si>
    <t>SPŠ strojnická Olomouc, tř. 17. listopadu 49</t>
  </si>
  <si>
    <t>ORG 1151</t>
  </si>
  <si>
    <t>Střední odborná škola Litovel</t>
  </si>
  <si>
    <t>Střední odborná škola gastronomie a potravinářství, U Jatek 8, Jeseník</t>
  </si>
  <si>
    <t>ORG 1226</t>
  </si>
  <si>
    <t xml:space="preserve">Výdaje odboru strategického rozvoje kraje - operační program Olomouckého kraje </t>
  </si>
  <si>
    <t>Výdaje odboru dopravy a silničního hosp.</t>
  </si>
  <si>
    <t>00000017</t>
  </si>
  <si>
    <t>Neinv.transfery obecně prospěš.spol.</t>
  </si>
  <si>
    <t>00098297</t>
  </si>
  <si>
    <t>00098335</t>
  </si>
  <si>
    <t>MPSV - na výplatu st.přísp.pro zřiz.zařízení pro děti vyž.okamžitou pomoc</t>
  </si>
  <si>
    <t>ORJ 8803-Příprava projektů podnikatelů na čerpání prostř.ze SF EU</t>
  </si>
  <si>
    <t>ORJ 8835 - Příprava projektů NNO na čerpání prostř.ze SF EU</t>
  </si>
  <si>
    <t>Neinvestiční příspěvky zřízeným PO-rezerva</t>
  </si>
  <si>
    <t xml:space="preserve">Rezerva </t>
  </si>
  <si>
    <t>Odbory (kanceláře) Krajského úřadu Olomouckého kraje</t>
  </si>
  <si>
    <r>
      <t xml:space="preserve"> </t>
    </r>
    <r>
      <rPr>
        <b/>
        <sz val="11"/>
        <rFont val="Arial"/>
        <family val="2"/>
        <charset val="238"/>
      </rPr>
      <t>•</t>
    </r>
    <r>
      <rPr>
        <b/>
        <sz val="11"/>
        <rFont val="Arial"/>
        <family val="2"/>
        <charset val="238"/>
      </rPr>
      <t xml:space="preserve"> </t>
    </r>
  </si>
  <si>
    <t xml:space="preserve"> •</t>
  </si>
  <si>
    <t>00029517</t>
  </si>
  <si>
    <t>Půjčka z EIB-projekt modernizace silniční sítě</t>
  </si>
  <si>
    <t>00000813</t>
  </si>
  <si>
    <t>Půjčka z EIB - ROP</t>
  </si>
  <si>
    <t>Vratky veř.rozpočtům ústř.úr.tr.poskyt.v min.rozp.obd.</t>
  </si>
  <si>
    <t>Ostatní poskytnuté zálohy a jistiny</t>
  </si>
  <si>
    <t>Poskytnuté neinv. příspěvky a náhrady</t>
  </si>
  <si>
    <t>Program obnovy venkova</t>
  </si>
  <si>
    <t>6) Odbor informačních technologií</t>
  </si>
  <si>
    <t>Sociální služby Prostějov</t>
  </si>
  <si>
    <t>Příspěvky do zahraničí</t>
  </si>
  <si>
    <t>ORG 30106000000</t>
  </si>
  <si>
    <t>Ostatní neinvestiční transfery do zahraničí</t>
  </si>
  <si>
    <t>Neinvestiční transfery nefinančním podnikatelským subjektům - právnickým osobám</t>
  </si>
  <si>
    <t>Investiční transfery nefinančním podnikatelským subjektům - právnickým osobám</t>
  </si>
  <si>
    <t>ORG 1124</t>
  </si>
  <si>
    <t>ORG 1216</t>
  </si>
  <si>
    <t>ORG 3001</t>
  </si>
  <si>
    <t>Regionální agentura pro rozvoj Střední Moravy</t>
  </si>
  <si>
    <t>ORG 3028</t>
  </si>
  <si>
    <t>64) Operační program lidské zdroje a zaměstnanost</t>
  </si>
  <si>
    <t>ORJ - 64</t>
  </si>
  <si>
    <t>číslo účtu: 4167692/0800</t>
  </si>
  <si>
    <t>Střednědobý plán rozvoje sociálních služeb</t>
  </si>
  <si>
    <t>ORG 100493</t>
  </si>
  <si>
    <t xml:space="preserve">Pohoštění </t>
  </si>
  <si>
    <t>Zajištění integrace příslušníků romských komunit</t>
  </si>
  <si>
    <t>ORG 100580</t>
  </si>
  <si>
    <t>Vzdělání v eGON Centru Olomouckého kraje</t>
  </si>
  <si>
    <t>ORG 100350</t>
  </si>
  <si>
    <t>Operační program lidské zdroje a zaměstnanost</t>
  </si>
  <si>
    <t xml:space="preserve">ÚSP pro mládež Olšany - Výměna technologie lůžkového výtahu </t>
  </si>
  <si>
    <t>Gymnázium, Zábřeh, náměstí Osvobození 20 - Výměna rozvodů topení</t>
  </si>
  <si>
    <t xml:space="preserve">SŠ, ZŠ a MŠ Šumperk, Hanácká 3 - Oprava zídky a vjezdu </t>
  </si>
  <si>
    <t>Odborné učiliště, Křenovice 8 - Půdní vestavba</t>
  </si>
  <si>
    <t xml:space="preserve">SŠ technická, Přerov - Střecha areálu Bří Hovůrkových </t>
  </si>
  <si>
    <t>Střední zdravotnická škola, Hranice - Plynová kotelna</t>
  </si>
  <si>
    <t>Vyšší odborná škola a SPŠ, Šumperk - Modernizace školní kuchyně</t>
  </si>
  <si>
    <t>Sociální služby pro seniory Olomouc - oprava výtahů (4 ks)</t>
  </si>
  <si>
    <t>Sociální služby Šumperk - přístavba výtahu</t>
  </si>
  <si>
    <t>Domov Na zámečku Rokytnice - oprava výtahu</t>
  </si>
  <si>
    <t>výměna oken - I. a II. Etapa, DD Prostějov</t>
  </si>
  <si>
    <t>Oprava výtahu DD Prostějov, Nerudova (1osobní + 1nákladní, 6 pater)</t>
  </si>
  <si>
    <t>DD Chválkovice - úpravy výtahů</t>
  </si>
  <si>
    <t>ZUŠ Miloslava Stibora, výtvarný obor, Olomouc -Statické zajištění budovy</t>
  </si>
  <si>
    <t>číslo účtu: 35-1843390267/0100</t>
  </si>
  <si>
    <t xml:space="preserve">42) GS - 3.3. Rozvoj kapacit dalšího profesního vzdělávání         </t>
  </si>
  <si>
    <t>GS - 3.3. Rozvoj kapacit dalšího profesního vzdělávání   celkem</t>
  </si>
  <si>
    <t xml:space="preserve">SMN a.s. o.z. Nemocnice Prostějov – přemístění onkologie </t>
  </si>
  <si>
    <t>Konice - novostavba stanice HZS - příspěvek Konice ve výši 40%</t>
  </si>
  <si>
    <t>III/44311 Dolany - průtah, most</t>
  </si>
  <si>
    <t>ORG 100114</t>
  </si>
  <si>
    <t>ORG 100132</t>
  </si>
  <si>
    <t>Cestování časem</t>
  </si>
  <si>
    <t>ORG 100101</t>
  </si>
  <si>
    <t>ZUŠ I.Krejčího, Na Vozovce 32, Olomouc</t>
  </si>
  <si>
    <t>ZUŠ Žerotín, Kavaleristů 6, Olomouc</t>
  </si>
  <si>
    <t>ZUŠ, Potštát 36</t>
  </si>
  <si>
    <t>ZUŠ, Školní nám. 35, Hranice</t>
  </si>
  <si>
    <t>ZUŠ, Hanusíkova 197, Kojetín</t>
  </si>
  <si>
    <t>ZUŠ, nám. Svobody 15, Mohelnice</t>
  </si>
  <si>
    <t>ZUŠ, Žerotínova 11, Šumperk</t>
  </si>
  <si>
    <t>ZUŠ, Farní 9, Zábřeh na Moravě</t>
  </si>
  <si>
    <t>Gymnázium Olomouc - Hejčín - výstavba stravovacího pavilonu skuch.</t>
  </si>
  <si>
    <t>Gymnázium, Hranice - půdní vestavba</t>
  </si>
  <si>
    <t>SOU Litovel - rekonstrukce obv.pláště a výměna oken</t>
  </si>
  <si>
    <t>SOŠ a SOU zemědělské, Horní Heřmanice - rek.vytápění</t>
  </si>
  <si>
    <t>Provozní příspěvky zřízeným PO</t>
  </si>
  <si>
    <t>Rezerva pro příspěvkové organizace</t>
  </si>
  <si>
    <t>Neinvestiční rezerva pro PO</t>
  </si>
  <si>
    <t>pověřená vedením útvaru interního auditu</t>
  </si>
  <si>
    <t>Ing. Věra Štembírková</t>
  </si>
  <si>
    <t>EUO - Obchodní akademie Mohelnice</t>
  </si>
  <si>
    <t>ORG 100133</t>
  </si>
  <si>
    <t>EUO - SŠ polygrafická Olomouc</t>
  </si>
  <si>
    <t>ORG 100134</t>
  </si>
  <si>
    <t>Energetická úsporná opatření - Gymnázium Šumperk</t>
  </si>
  <si>
    <t>ORG 100135</t>
  </si>
  <si>
    <t>obl.školství</t>
  </si>
  <si>
    <t>obl.sociální</t>
  </si>
  <si>
    <t>obl.dopravy</t>
  </si>
  <si>
    <t>obl.zdravotnictví</t>
  </si>
  <si>
    <t>obl.kriz.řízení</t>
  </si>
  <si>
    <t>obl.kultury</t>
  </si>
  <si>
    <t>Prostějov - přeložka silnice II/366 od Tesca</t>
  </si>
  <si>
    <t>Gymnázium, Komenského 281, Jeseník</t>
  </si>
  <si>
    <t>SPŠE a VOŠ, Božetěchova 3, Olomouc</t>
  </si>
  <si>
    <t>Ost.povinné poj.hrazené zaměstn.</t>
  </si>
  <si>
    <t>Neinvestiční příspěvky celkem</t>
  </si>
  <si>
    <t>Investiční příspěvky celkem</t>
  </si>
  <si>
    <t>II/366 Rekonstrukce silnice a most Kostelec na Hané</t>
  </si>
  <si>
    <t>Ohrozim obchvat</t>
  </si>
  <si>
    <t>Dub nad Moravou - hranice okresu PV - rekonstrukce silnice</t>
  </si>
  <si>
    <t>Kozlovice - obchvat</t>
  </si>
  <si>
    <t>Sušice - přeložka silnice</t>
  </si>
  <si>
    <t>Ostružná - obchvat, 1. a 2. etapa</t>
  </si>
  <si>
    <t>Protihluková opatření - Radslavice</t>
  </si>
  <si>
    <t>OA a Jazyková škola s právem st.jazyk.skoušky, Hlavní tř. 31, Šumperk</t>
  </si>
  <si>
    <t>SZdrŠ a VOŠ zdravotnická E.Pöttinga, Pöttingova 2, Olomouc</t>
  </si>
  <si>
    <t>příspěvek na mezinárodní výměnné pobyty</t>
  </si>
  <si>
    <t>enviromentální vzdělávání, výchova a osvěta</t>
  </si>
  <si>
    <t>talent Olomouckého kraje</t>
  </si>
  <si>
    <t>Dotace na JSDH z rozpočtu kraje</t>
  </si>
  <si>
    <t>PPP Olomouckého kraje , U sportovní haly 1, Olomouc</t>
  </si>
  <si>
    <t>Základní škola, Sladovní 492, Kojetín</t>
  </si>
  <si>
    <t>Vratky veř.rozpočtům ústř.úrovně transferů poskyt.v min.rozpočt.obd.</t>
  </si>
  <si>
    <t>00000109</t>
  </si>
  <si>
    <t>00000023</t>
  </si>
  <si>
    <t>00033353</t>
  </si>
  <si>
    <t>00000022</t>
  </si>
  <si>
    <t>00007131</t>
  </si>
  <si>
    <t>00033160</t>
  </si>
  <si>
    <t>00033166</t>
  </si>
  <si>
    <t>MŠMT - okresní a krajské kolo soutěží</t>
  </si>
  <si>
    <t>00033192</t>
  </si>
  <si>
    <t>00033155</t>
  </si>
  <si>
    <t xml:space="preserve">Neinv.transfery občanským sdružením </t>
  </si>
  <si>
    <t>Ostatní neinv.transfery nezisk.a pod.org.</t>
  </si>
  <si>
    <t>Pojistné plnění PO</t>
  </si>
  <si>
    <t>ORG 3009000001 - Silnice II. Třídy č. 446 Nová Seninka</t>
  </si>
  <si>
    <t>RZ 660/04 - přesun z ORJ 08, § 3639, pol. 5166</t>
  </si>
  <si>
    <t>Individuální projekty</t>
  </si>
  <si>
    <t>Provozní  výdaje celkem</t>
  </si>
  <si>
    <t>Provozní výdaje individuálních projektů celkem</t>
  </si>
  <si>
    <t xml:space="preserve">Investiční výdaje individuálních projektů celkem </t>
  </si>
  <si>
    <t>Investiční transfery obecně prospěšným společnostem</t>
  </si>
  <si>
    <t>ORG 1108</t>
  </si>
  <si>
    <t>Střední škola sociální péče a služeb, Zábřeh</t>
  </si>
  <si>
    <t>ORG 1223</t>
  </si>
  <si>
    <t>ORG 1225</t>
  </si>
  <si>
    <t>ORG 8400</t>
  </si>
  <si>
    <t>Investiční transfery občanským sdružením</t>
  </si>
  <si>
    <t xml:space="preserve"> -účelové investiční dotace</t>
  </si>
  <si>
    <t xml:space="preserve"> -provozní příspěvek</t>
  </si>
  <si>
    <t xml:space="preserve"> -investiční  příspěvek</t>
  </si>
  <si>
    <t>Výdaje odboru sociálních věcí</t>
  </si>
  <si>
    <t xml:space="preserve">Nákup ostatních služeb </t>
  </si>
  <si>
    <t>Cestovné (tuzemské i zahraniční)</t>
  </si>
  <si>
    <t>Odborný léčebný ústav neurologicko-geriatrický v Moravském Berouně</t>
  </si>
  <si>
    <t xml:space="preserve">Odbor kultury a památkové péče celkem </t>
  </si>
  <si>
    <t xml:space="preserve">Odbor ekonomický celkem </t>
  </si>
  <si>
    <t>8) Odbor strategického rozvoje kraje</t>
  </si>
  <si>
    <t>Kancelář ředitele</t>
  </si>
  <si>
    <t>Odbor majetkový a právní</t>
  </si>
  <si>
    <t>ORG 100014</t>
  </si>
  <si>
    <t>ZZS OK - přístrojové vybavení vozidel</t>
  </si>
  <si>
    <t>ORG 100015</t>
  </si>
  <si>
    <t>Investiční transfery do zahraničí</t>
  </si>
  <si>
    <t>ZZS OK, p.o. - Čerpací stanice pro heliport Olomouc</t>
  </si>
  <si>
    <t>OLÚ Moravský Beroun, p.o.- Box pro zemřelé pacienty</t>
  </si>
  <si>
    <t>OLÚ Paseka - Centrální jídelna a rozšíření prádelny (změna názvu k 17. 12. 2009)</t>
  </si>
  <si>
    <t>ZUŠ Franze Schuberta, Nádražní 280, Zlaté Hory</t>
  </si>
  <si>
    <t>Neinv.transfery nefin.podn.subj.-FO</t>
  </si>
  <si>
    <t>Ostatní povinné pojistné placené zaměstnavatelem</t>
  </si>
  <si>
    <t>00033018</t>
  </si>
  <si>
    <t>Investiční transfery nefin.podnik.subj.-PO</t>
  </si>
  <si>
    <t xml:space="preserve">Inv.transfery obč.sdružením </t>
  </si>
  <si>
    <t xml:space="preserve">Investiční transfery zřízeným PO </t>
  </si>
  <si>
    <t>Neinvest.transfery nefin.podnik.subjektům-PO</t>
  </si>
  <si>
    <t>Neinv.transfery obecně prospěš.společnostem</t>
  </si>
  <si>
    <t>Investiční transfery zřízeným  PO</t>
  </si>
  <si>
    <t>Povinné pojistné na sociální zabezpečení a příspěvěk na státní politiku zaměstnanosti</t>
  </si>
  <si>
    <t>Povinné pojistné na veřejné zdravotní pojištění</t>
  </si>
  <si>
    <t>Individuální projekty (před podáním výzvy)</t>
  </si>
  <si>
    <t xml:space="preserve"> - konsolidace</t>
  </si>
  <si>
    <t>ORJ - 32</t>
  </si>
  <si>
    <t xml:space="preserve">Výdaje Olomouckého kraje celkem </t>
  </si>
  <si>
    <t>Ost.inv.transfery veř.rozp.úz.úrovně</t>
  </si>
  <si>
    <t>Odpisy</t>
  </si>
  <si>
    <t>00000886</t>
  </si>
  <si>
    <t>Mgr. Jiří Šafránek</t>
  </si>
  <si>
    <t>14) Odbor zdravotnictví</t>
  </si>
  <si>
    <t xml:space="preserve">Odbor majetkový a právní celkem </t>
  </si>
  <si>
    <t xml:space="preserve">Odbor životního prostředí a zemědělství celkem </t>
  </si>
  <si>
    <t>3) Kancelář ředitele</t>
  </si>
  <si>
    <t xml:space="preserve">Kancelář ředitele celkem </t>
  </si>
  <si>
    <t>Výdaje Olomouckého kraje celkem                       (po konsolidaci)</t>
  </si>
  <si>
    <t>Sociální fond celkem</t>
  </si>
  <si>
    <t>Ústav sociální péče pro mládež Jeseník celkem</t>
  </si>
  <si>
    <t>Středisko pečovatelské služby Jeseník</t>
  </si>
  <si>
    <t>Odbor ivestic a evropských programů</t>
  </si>
  <si>
    <t>ORG - 1636</t>
  </si>
  <si>
    <t>ORG - 1637</t>
  </si>
  <si>
    <t>Neinv.transfery obecně prospěšným  spol.</t>
  </si>
  <si>
    <t>Obnova kult.památek v OK</t>
  </si>
  <si>
    <t>Obnova staveb drobné arch.mistního významu v OK</t>
  </si>
  <si>
    <t>Neinv.transfery církvím a nábož.společnost.</t>
  </si>
  <si>
    <t>Neinvestiční transfery obcím</t>
  </si>
  <si>
    <t>00000002</t>
  </si>
  <si>
    <t>Přebytek hospodaření OK</t>
  </si>
  <si>
    <t>00000008</t>
  </si>
  <si>
    <t>00000508</t>
  </si>
  <si>
    <t>Zastupování zájmů OK v Bruselu</t>
  </si>
  <si>
    <t>SOŠ průmyslová a SOU strojírenské, Lidická 4, Prostějov</t>
  </si>
  <si>
    <t>Střední škola gastronomie a služeb, Šířava 7, Přerov</t>
  </si>
  <si>
    <t>Neinvestiční dotace zřízeným PO</t>
  </si>
  <si>
    <t>projekty romské komunity</t>
  </si>
  <si>
    <t>Individ.projekty ost.OP VK-EU</t>
  </si>
  <si>
    <t>Střední průmyslová škola Hranice, Studentská 1384, Hranice</t>
  </si>
  <si>
    <t>individ.projekty ost.OP VK-EU</t>
  </si>
  <si>
    <t>stipendia pro žáky učebních oborů</t>
  </si>
  <si>
    <t>SŠ elektrotechnická,Tyršova 781, Lipník n/B.</t>
  </si>
  <si>
    <t>rezerva</t>
  </si>
  <si>
    <t>Česko Britská Mezinárodní škola a MŠ s.r.o., Rooseveltova 101,   Olomouc</t>
  </si>
  <si>
    <t>Vyb.škol pomůckami kompenzač.a rehab.char.</t>
  </si>
  <si>
    <t>Waldorfská ZŠ a MŠ Olomouc, s.r.o., Kosinova 876/3, Olomouc</t>
  </si>
  <si>
    <t>ORJ - 41</t>
  </si>
  <si>
    <t>ORJ - 42</t>
  </si>
  <si>
    <t>SROP 3.3 - Partnerství pro rozvoj kraje - 2. část</t>
  </si>
  <si>
    <t>ORG 4608000040</t>
  </si>
  <si>
    <t>ORJ - 46</t>
  </si>
  <si>
    <t>OP RLZ - 3.1.: Vzdělávání učitelů v přípravě a řízení projektů SF EU na středních školách v Olomouckém kraji</t>
  </si>
  <si>
    <t>ORJ - 47</t>
  </si>
  <si>
    <t>ORJ - 03</t>
  </si>
  <si>
    <t>Plyn</t>
  </si>
  <si>
    <t>v tis.Kč</t>
  </si>
  <si>
    <t>Poskytnuté neinv.příspěvky a náhrady</t>
  </si>
  <si>
    <t>Ostatní platy</t>
  </si>
  <si>
    <t>Ost.povinné pojistné placené zaměstn.</t>
  </si>
  <si>
    <t xml:space="preserve">Opravy a udržování </t>
  </si>
  <si>
    <t>Dopravní prostředky</t>
  </si>
  <si>
    <t>Centrum sociálních služeb Prostějov</t>
  </si>
  <si>
    <t xml:space="preserve">Centrum sociálních služeb Prostějov  celkem </t>
  </si>
  <si>
    <t>ORJ - 99</t>
  </si>
  <si>
    <t>Gymnázium, Zborovská 293, Hranice</t>
  </si>
  <si>
    <t>Neinv.transfery cizím PO</t>
  </si>
  <si>
    <t>Invest.transf.nefin.podn.subj.-PO</t>
  </si>
  <si>
    <t>MZeČR - Meliorace a hrazení bystřin v lesích podle § 35 odst. 1 a 3 lesního zákona (investice)</t>
  </si>
  <si>
    <t>Neinv.transfery církvím a nábož.společn.</t>
  </si>
  <si>
    <t>Kofinancování evrop.vzděláv.programů</t>
  </si>
  <si>
    <t>MOČR - neinv.transfery na provoz škol</t>
  </si>
  <si>
    <t>00033008</t>
  </si>
  <si>
    <t>Odborný léčebný ústav Paseka</t>
  </si>
  <si>
    <t>Odborný léčebný ústav Paseka celkem</t>
  </si>
  <si>
    <t>Vlastivědné muzeum Jesenicka celkem</t>
  </si>
  <si>
    <t>Účastnické poplatky na konference</t>
  </si>
  <si>
    <t>Investiční  výdaje</t>
  </si>
  <si>
    <t>2) Kancelář hejtmana</t>
  </si>
  <si>
    <t xml:space="preserve">Kancelář hejtmana celkem </t>
  </si>
  <si>
    <t>4) Odbor majetkový a právní</t>
  </si>
  <si>
    <t>OU  Křenovice 8, Kojetín</t>
  </si>
  <si>
    <t xml:space="preserve">Odbor zdravotnictví celkem </t>
  </si>
  <si>
    <t xml:space="preserve">Odbor sociálních věcí celkem </t>
  </si>
  <si>
    <t>ZŠ a MŠ při Priess.léčeb.lázních,a.s.,  Kalvodova 360, Jeseník</t>
  </si>
  <si>
    <t>VOŠ a SPŠ , gen. Krátkého 1, Šumperk</t>
  </si>
  <si>
    <t>Přísp.na úhr.prok.ztr.dopr.-veř.link.doprava</t>
  </si>
  <si>
    <t>Přísp.na úhr.prok.ztr.z poskyt.zlev.ŽJ-veř.link.dop.</t>
  </si>
  <si>
    <t>Provoz</t>
  </si>
  <si>
    <t>Příspěvek na odpisy</t>
  </si>
  <si>
    <t>Neinvestiční transfery nefininačním podnikatelským subjektům - právnickým osobám</t>
  </si>
  <si>
    <t>ORG 1102</t>
  </si>
  <si>
    <t>Neinvestiční transfery zřízeným příspěvkovým organizacím</t>
  </si>
  <si>
    <t>Gymnázium Olomouc - Hejčín</t>
  </si>
  <si>
    <t>ORG 1103</t>
  </si>
  <si>
    <t>ORG 1106</t>
  </si>
  <si>
    <t>Gymnázium Jeseník</t>
  </si>
  <si>
    <t>ORG 1113</t>
  </si>
  <si>
    <t>VOŠ a SPŠ elektrotechnická, Olomouc</t>
  </si>
  <si>
    <t>ORG 1120</t>
  </si>
  <si>
    <t>SPŠ strojnická, Olomouc</t>
  </si>
  <si>
    <t>ORG 1121</t>
  </si>
  <si>
    <t>SPŠ oděvní, Prostějov</t>
  </si>
  <si>
    <t>ORG 1125</t>
  </si>
  <si>
    <t>ORG 1153</t>
  </si>
  <si>
    <t>ORG 1160</t>
  </si>
  <si>
    <t>Investiční transfery zřízeným příspěvkovým organizacím</t>
  </si>
  <si>
    <t>Realizace energeticky úsporných opatření - Sigmundova střední škola strojírenská, Lutín - budova školy</t>
  </si>
  <si>
    <t>ORG 100553</t>
  </si>
  <si>
    <t>Realizace energeticky úsporných opatření - Sigmundova střední škola strojírenská, Lutín - domov mládeže</t>
  </si>
  <si>
    <t>ORG 100554</t>
  </si>
  <si>
    <t>Realizace energeticky úsporných opatření - Gymnázium Uničov</t>
  </si>
  <si>
    <t>ORG 100559</t>
  </si>
  <si>
    <t>Realizace energeticky úsporných opatření - VOŠ a SPŠ Šumperk - budova školy</t>
  </si>
  <si>
    <t>ORG 100561</t>
  </si>
  <si>
    <t>Realizace energeticky úsporných opatření - VOŠ a SPŠ Šumperk - domov mládeže</t>
  </si>
  <si>
    <t>ORG 100562</t>
  </si>
  <si>
    <t>Realizace energeticky úsporných opatření - VOŠ a SPŠ Šumperk - tělocvična</t>
  </si>
  <si>
    <t>ORG 100563</t>
  </si>
  <si>
    <t>Čechy pod Kosířem, revitalizace parku</t>
  </si>
  <si>
    <t>ORG 100571</t>
  </si>
  <si>
    <t>ORG 100050</t>
  </si>
  <si>
    <t>Silnice III/4469 Bohuňovice - průtah</t>
  </si>
  <si>
    <t>ORG 100489</t>
  </si>
  <si>
    <t>Příspěvek na provoz-mzdové náklady</t>
  </si>
  <si>
    <t>Výdaje</t>
  </si>
  <si>
    <t>Evropské programy</t>
  </si>
  <si>
    <t>číslo účtu:1695262/0800</t>
  </si>
  <si>
    <t>Společný regionální operační program</t>
  </si>
  <si>
    <t>Povinné pojistné na sociální zabezpečení a příspěvek na státní politiku zaměstnanosti</t>
  </si>
  <si>
    <t xml:space="preserve">Povinné pojistné na veřejné zdravotní pojištění </t>
  </si>
  <si>
    <t>VOŠ a SPŠ elektrotechnická, Olomouc-školní tělocvična</t>
  </si>
  <si>
    <t>Slovanské gymnázium, Olomouc - rek.soc.zařízení</t>
  </si>
  <si>
    <t>Gymnázium J. Opletala, Opletalova 189, Litovel</t>
  </si>
  <si>
    <t>Gymnázium, Čajkovského 9, Olomouc</t>
  </si>
  <si>
    <t>Gymnázium, Tomkova 45, Olomouc-Hejčín</t>
  </si>
  <si>
    <t>RZ 149/05 - přesun na ORJ 99, § 2399, pol. 5909</t>
  </si>
  <si>
    <t>RZ 187/05 - přesun na ORJ 99, § 2399, pol. 5909</t>
  </si>
  <si>
    <t>ORG - 1631</t>
  </si>
  <si>
    <t>Domov pro seniory Javorník</t>
  </si>
  <si>
    <t>ORG - 1632</t>
  </si>
  <si>
    <t>Domov pro seniory Javorník celkem</t>
  </si>
  <si>
    <t>ORG - 1633</t>
  </si>
  <si>
    <t>ORG - 1634</t>
  </si>
  <si>
    <t>ORG - 1635</t>
  </si>
  <si>
    <t>59) Projekty v rámci ROP</t>
  </si>
  <si>
    <t>Ostaní neinvestiční výdaje jinde nezařazené</t>
  </si>
  <si>
    <t>Neinvestiční transfery obecně prospěšným společnostem</t>
  </si>
  <si>
    <t>Neinv.transfery šk.PO zřízeným státem, kraji a obcemi</t>
  </si>
  <si>
    <t>00000112</t>
  </si>
  <si>
    <t>Domov seniorů POHODA Chvalkovice celkem</t>
  </si>
  <si>
    <t>ORG - 1640</t>
  </si>
  <si>
    <t>Klíč-centrum sociálních služeb</t>
  </si>
  <si>
    <t>ORG - 1641</t>
  </si>
  <si>
    <t>Klíč-centrum sociálních služeb celkem</t>
  </si>
  <si>
    <t>ORG - 1642</t>
  </si>
  <si>
    <t>Nové Zámky - poskytovatel sociálních služeb</t>
  </si>
  <si>
    <t>Nové Zámky-poskytovatel sociálních služeb celkem</t>
  </si>
  <si>
    <t>ORG - 1645</t>
  </si>
  <si>
    <t>ORG - 1646</t>
  </si>
  <si>
    <t>ORG - 1647</t>
  </si>
  <si>
    <t>ORG - 1644</t>
  </si>
  <si>
    <t>ORG - 1648</t>
  </si>
  <si>
    <t>Útvar interního auditu celkem</t>
  </si>
  <si>
    <t>Konsolidace *</t>
  </si>
  <si>
    <t>* Konsolidace</t>
  </si>
  <si>
    <t>Konsolidace je očištění údajů  rozpočtu a skutečnosti o interní přesuny peněžních prostředků uvnitř organizace mezi jednotlivými účty.</t>
  </si>
  <si>
    <t>Domov důchodců Jesenec celkem</t>
  </si>
  <si>
    <t>Sociální služby Prostějov celkem</t>
  </si>
  <si>
    <t>Talent Olomouckého kraje</t>
  </si>
  <si>
    <t>MŠMT - rozvoj.progr.MŠMT pro děti-cizince ze 3.zemí</t>
  </si>
  <si>
    <t>PO, SŠ, Obec.šk.</t>
  </si>
  <si>
    <t>celkem odbor +PO,SŠ,OŠ</t>
  </si>
  <si>
    <t>Výdaje odboru informačních technologií</t>
  </si>
  <si>
    <t>Umělecká díla a předměty</t>
  </si>
  <si>
    <t>Neinvestiční transfery cizím PO</t>
  </si>
  <si>
    <t>00000510</t>
  </si>
  <si>
    <t>Komunikační,publik.a propagační činnost</t>
  </si>
  <si>
    <t>00000413</t>
  </si>
  <si>
    <t>Dobrovolnické možnosti podpory seniorů a sociálně vyloučených občanů v EU</t>
  </si>
  <si>
    <t>00000887</t>
  </si>
  <si>
    <t>Úvěr KB - čerpání a splátky</t>
  </si>
  <si>
    <t>Cestovné</t>
  </si>
  <si>
    <t>00000553</t>
  </si>
  <si>
    <t>Program na podporu začínajících včelařů na území OK</t>
  </si>
  <si>
    <t>Neinv.transfery obecně prospěš.společ.</t>
  </si>
  <si>
    <t>00000888</t>
  </si>
  <si>
    <t>Úvěr KB (investice kraje-výdaje)</t>
  </si>
  <si>
    <t>KB</t>
  </si>
  <si>
    <t>EIB celkem</t>
  </si>
  <si>
    <t>KB celkem</t>
  </si>
  <si>
    <t>33113233</t>
  </si>
  <si>
    <t>MPSV - OP lidské zdroje a zaměstnanost-CZ</t>
  </si>
  <si>
    <t>33513233</t>
  </si>
  <si>
    <t>MPSV - OP lidské zdroje a zaměstnanost-EU</t>
  </si>
  <si>
    <t>Dům seniorů FRANTIŠEK  Náměšť na Hané</t>
  </si>
  <si>
    <t>Dům seniorů FRANTIŠEK  Náměšť na Hané celkem</t>
  </si>
  <si>
    <t>Duha - centrum sociálních služeb Vikýřovice</t>
  </si>
  <si>
    <t>Duha - centrum sociálních služeb Vikýřovice Celkem</t>
  </si>
  <si>
    <t>ORG 100670</t>
  </si>
  <si>
    <t>SMN a.s. - o.z. Nemocnice Přerov - modernizace pavilonu operačních oborů - I. etapa</t>
  </si>
  <si>
    <t>ORG 100669</t>
  </si>
  <si>
    <t>Přestavba dětského domova SZPD Olomouc na zařízení rodinného typu</t>
  </si>
  <si>
    <t>ORG 100667</t>
  </si>
  <si>
    <t>Realizace energeticky úsporných opatření - SMN a.s. - o.z. Nemocnice Šternberk -interna</t>
  </si>
  <si>
    <t>ORG 100666</t>
  </si>
  <si>
    <t>Realizace energeticky úsporných opatření - SMN a.s. - o.z. Nemocnice Šternberk -pavilon pro dlouhodobě nemocné</t>
  </si>
  <si>
    <t>ORG 100665</t>
  </si>
  <si>
    <t>Realizace energeticky úsporných opatření - SMN a.s. - o.z. Nemocnice Přerov - LDN</t>
  </si>
  <si>
    <t>ORG 100664</t>
  </si>
  <si>
    <t>Realizace energeticky úsporných opatření - SMN a.s. - o.z. Nemocnice Přerov-pavilon interních oborů</t>
  </si>
  <si>
    <t>ORG 100171</t>
  </si>
  <si>
    <t>II/366 Kostelec na Hané - průtah (IV. Etapa)</t>
  </si>
  <si>
    <t>ORG 100065</t>
  </si>
  <si>
    <t>Bedihošť - průtah, I. a II. etapa</t>
  </si>
  <si>
    <t>ORG 100060</t>
  </si>
  <si>
    <t>ORG 100027</t>
  </si>
  <si>
    <t>Čechy - Domaželice - obchvat</t>
  </si>
  <si>
    <t>ORG 100695</t>
  </si>
  <si>
    <t>Realizace energeticky úsporných opatření - Středisko sociální prevence Olomouc, budova Žilinská</t>
  </si>
  <si>
    <t>Neinvestiční dotace zřízeným příspěvkovým organizacím</t>
  </si>
  <si>
    <t>ORG 1101</t>
  </si>
  <si>
    <t>ORG 1518</t>
  </si>
  <si>
    <t>Základní škola a střední škola Pomněnka, o. p. s., Šumavská 13, Šumperk</t>
  </si>
  <si>
    <t>ORG 1517</t>
  </si>
  <si>
    <t>ZŠ pro žáky se specifickými poruchami učení a MŠ logopedická Schola – Viva o. p. s., Erbenova 16, Šumperk</t>
  </si>
  <si>
    <t>ORG 1222</t>
  </si>
  <si>
    <t>ORG 1038</t>
  </si>
  <si>
    <t>ORG 1123</t>
  </si>
  <si>
    <t>SŠ zemědělská, U Hradiska 4, Olomouc</t>
  </si>
  <si>
    <t>ORG 100324</t>
  </si>
  <si>
    <t>Domov Na zámečku Rokytnice - rekonstrukce zámeckého parku a jeho zpřístupnění veřejnosti</t>
  </si>
  <si>
    <t>Náku ostatních služeb</t>
  </si>
  <si>
    <t>38500881</t>
  </si>
  <si>
    <t>38100882</t>
  </si>
  <si>
    <t>38100880</t>
  </si>
  <si>
    <t>41100880</t>
  </si>
  <si>
    <t>ORG 100016</t>
  </si>
  <si>
    <t>Revitalizace území areálu staré nemocnice v Prostějově</t>
  </si>
  <si>
    <t>Nepecifikované rezervy</t>
  </si>
  <si>
    <t>ORG 8022</t>
  </si>
  <si>
    <t>Zlaté Hory</t>
  </si>
  <si>
    <t>číslo účtu: 43-6947880247/0100</t>
  </si>
  <si>
    <t>ORJ - 66</t>
  </si>
  <si>
    <t>66) Zvyšování kvality ve vzdělávání v Olomouckém kraji II</t>
  </si>
  <si>
    <t>Rovné příležitosti dětí a žáků v Olomouckém kraji II</t>
  </si>
  <si>
    <t>číslo účtu: 43-6947900287/0100</t>
  </si>
  <si>
    <t>ORJ - 67</t>
  </si>
  <si>
    <t>67) Rovné  příležitosti  dětí  a  žáků v Olomouckém kraji II</t>
  </si>
  <si>
    <t>číslo účtu: 43-6947910207/0100</t>
  </si>
  <si>
    <t>ORJ - 68</t>
  </si>
  <si>
    <t>68) Další  vzdělávání pracovníků škol a  školských zařízení v Olomouckém kraji II</t>
  </si>
  <si>
    <t>OP - VK - Zvyšování kvality ve vzdělávání</t>
  </si>
  <si>
    <t>číslo účtu: 43-6948010227/0100</t>
  </si>
  <si>
    <t>ORJ - 69</t>
  </si>
  <si>
    <t>69) OP VK - Zvyšování kvality ve vzdělávání</t>
  </si>
  <si>
    <t>číslo účtu: 107-81230237/0100</t>
  </si>
  <si>
    <t>OP - VK - Řízení, kontrola, monitorování a hodnocení programu v Olomouckém kraji II</t>
  </si>
  <si>
    <t>číslo účtu: 107-83900257/0100</t>
  </si>
  <si>
    <t>ORJ - 71</t>
  </si>
  <si>
    <t>71) OP VK - Řízení, kontrola, monitorování a hodnocení programu v Olomouckém kraji II</t>
  </si>
  <si>
    <t>inv.dot.</t>
  </si>
  <si>
    <t>Zvyšování kvality ve vzdělávání v Olomouckém kraji II</t>
  </si>
  <si>
    <t>Rovné  příležitosti  dětí  a  žáků v Olomouckém kraji II</t>
  </si>
  <si>
    <t>Další  vzdělávání pracovníků škol a  školských zařízení v Olomouckém kraji II</t>
  </si>
  <si>
    <t>OP VK - Zvyšování kvality ve vzdělávání</t>
  </si>
  <si>
    <t>OP VK - Řízení, kontrola, monitorování a hodnocení programu v Olomouckém kraji II</t>
  </si>
  <si>
    <t>investice+inv.dot</t>
  </si>
  <si>
    <t>ORG - 1600</t>
  </si>
  <si>
    <t>Provozní příspěvky zřízeným PO včetně rezervy</t>
  </si>
  <si>
    <t>Přímá podpora významných kulturních akcí</t>
  </si>
  <si>
    <t>00000213</t>
  </si>
  <si>
    <t>Příspěvek na záchranný arch. výzkum</t>
  </si>
  <si>
    <t>00000201</t>
  </si>
  <si>
    <t>Provozní příspěvky zřízeným PO- rezerva</t>
  </si>
  <si>
    <t>Vzdělávání lékařů</t>
  </si>
  <si>
    <t>00000258</t>
  </si>
  <si>
    <t>00033034</t>
  </si>
  <si>
    <t>MŠMT - Podpora organizace a ukonč.středního vzděl.maturitní zkouškou</t>
  </si>
  <si>
    <t>00033035</t>
  </si>
  <si>
    <t>MŠMT - Dotace dvojjazyčným gymnáziím s výukou francouštiny</t>
  </si>
  <si>
    <t>pol.5331</t>
  </si>
  <si>
    <t xml:space="preserve">Příspěvky vysokým školám </t>
  </si>
  <si>
    <t>00000116</t>
  </si>
  <si>
    <t xml:space="preserve">Odbory </t>
  </si>
  <si>
    <t>Fond voda</t>
  </si>
  <si>
    <t>Kapitálové výdaje</t>
  </si>
  <si>
    <t>celkem (po konsolidaci)</t>
  </si>
  <si>
    <t>provozní</t>
  </si>
  <si>
    <t>kapitálové</t>
  </si>
  <si>
    <t xml:space="preserve">Neinvestiční dotace zřízeným PO </t>
  </si>
  <si>
    <t>OP VK- obl.podpory 1.4. EU peníze školám-EU,CZ</t>
  </si>
  <si>
    <t>OP VK-obl.podpory 1.4. EU peníze školám-EU,EU</t>
  </si>
  <si>
    <t>Základní škola a Mateřská škola, Nová 1820, Hranice</t>
  </si>
  <si>
    <t>Střední škola a Základní škola, Osecká 301, Lipník n/B</t>
  </si>
  <si>
    <t>PO - předfinancování (půjčka EIB)</t>
  </si>
  <si>
    <t>dot.dvojjazyčným gymnáziím s výukou franc.</t>
  </si>
  <si>
    <t>Gymnázium, Nám.Osvobození 20, Zábřeh na Moravě</t>
  </si>
  <si>
    <t>Podpora organizace a ukončování středního vzdělávání maturitní zkouškou na vybraných školách v podzimním zkušebním období</t>
  </si>
  <si>
    <t>Střední škola designu a módy, Vápenice 1, Prostějov</t>
  </si>
  <si>
    <t>Střední škola logistiky a chemie, U Hradiska 29, Olomouc</t>
  </si>
  <si>
    <t>SOŠ strojírenská a lesnická, Opavská 8,  Šternberk</t>
  </si>
  <si>
    <t>Střední škola železniční a stavební, Bulharská 8, Šumperk</t>
  </si>
  <si>
    <t>Školní jídelna, Tomkova 45, Olomouc-Hejčín</t>
  </si>
  <si>
    <t>SCHOLA-SERVIS zařízení pro DVPP a středisko služeb, Olomoucká 25, Prostějov</t>
  </si>
  <si>
    <t>5xxx +  6xxx</t>
  </si>
  <si>
    <t>Celkem 5xxx+6xxx+rezerva</t>
  </si>
  <si>
    <t>MŠ 1.olomoucká sportovní, s.r.o., Karafiátova 895/3a, Olomouc-Neředín</t>
  </si>
  <si>
    <t>MŠ jazyková a umělecká, s.r.o., Na výsluní, Hlubočky 1, 783 61</t>
  </si>
  <si>
    <t>Střední odborná škola služeb, s.r.o., Pavlovická 16/54, Olomouc</t>
  </si>
  <si>
    <t>SOŠ podnikání a obchodu, s.r.o., Rejskova 2987/4, Prostějov</t>
  </si>
  <si>
    <t>Odměny členů zastupitelstva obcí a krajů</t>
  </si>
  <si>
    <t>Povinné poj.na soc.zab.a přísp.na st.pol.zaměstnan</t>
  </si>
  <si>
    <t>Povinné poj.na veřejné zdravotní pojištění</t>
  </si>
  <si>
    <t>Ostatní neinv.transfery nezisk.a podob.organizacím</t>
  </si>
  <si>
    <t>Platby daní a poplatků státnímu rozpočtu</t>
  </si>
  <si>
    <t>Převody FKSP a sociálnímu fondu obcí a krajů</t>
  </si>
  <si>
    <t>41100882</t>
  </si>
  <si>
    <t>41500881</t>
  </si>
  <si>
    <t>42100880</t>
  </si>
  <si>
    <t>42500881</t>
  </si>
  <si>
    <t xml:space="preserve">OP PS pro cíl EÚS,CZ,Povinný podíl kraje - uzn.N   </t>
  </si>
  <si>
    <t xml:space="preserve">OP PS pro cíl EÚS, CZ,Předfinancování SR  </t>
  </si>
  <si>
    <t xml:space="preserve">OP PS pro cíl EÚS,EU,Předfinancování EU   </t>
  </si>
  <si>
    <t>OP MS, CZ, povin.podíl kraj uzn. N (z rozpočtu OK)</t>
  </si>
  <si>
    <t>OP MS,EU, Předfinancování EU (z rozpočtu OK)</t>
  </si>
  <si>
    <t>Ostatní neinv.transfery obyvatelstvu</t>
  </si>
  <si>
    <t>EUROPE DIRECT</t>
  </si>
  <si>
    <t>00000501</t>
  </si>
  <si>
    <t>00000504</t>
  </si>
  <si>
    <t>Finanční příspěvek sdružení  Jeseníky-Sdružení CR</t>
  </si>
  <si>
    <t>Ost.neinv.půjčené prostř.neziskovým apod.org.</t>
  </si>
  <si>
    <t>Cestovní ruch</t>
  </si>
  <si>
    <t>00000500</t>
  </si>
  <si>
    <t>Fin.příspěvky Klubu českých turistů</t>
  </si>
  <si>
    <t>00000503</t>
  </si>
  <si>
    <t>Úhrada za plnění firmě RNDr.Ivan Marek</t>
  </si>
  <si>
    <t>00000505</t>
  </si>
  <si>
    <t>Neinv.transfery nefin.podnik.subj.-FO</t>
  </si>
  <si>
    <t>00000511</t>
  </si>
  <si>
    <t>Podpora akcí nadregionálůního významu</t>
  </si>
  <si>
    <t>00000512</t>
  </si>
  <si>
    <t>Podpora zkvalitnění služeb tur.inform.center v OK</t>
  </si>
  <si>
    <t>00000513</t>
  </si>
  <si>
    <t>Podpora rozvoje zahr.vztahů OK</t>
  </si>
  <si>
    <t>Neinv.transfery církvím a náboženským spol.</t>
  </si>
  <si>
    <t>Vratky veř.rozpočtům ústř.úrovně transferů poskyt. v min.rozp.obd.</t>
  </si>
  <si>
    <t>MF - Účel.dot.na výdaje spojené s volbou prezidenta ČR</t>
  </si>
  <si>
    <t>00098008</t>
  </si>
  <si>
    <t>Povinný podíl kraje - uzn.náklady (z rozpočtu kraje)</t>
  </si>
  <si>
    <t>Předfinancování SR (z rozpočtu kraje)</t>
  </si>
  <si>
    <t xml:space="preserve">Předfinancování EU (z rozpočtu OK) </t>
  </si>
  <si>
    <t>Poplatky dluhové služby</t>
  </si>
  <si>
    <t>Investiční půjčené prostředky obcím</t>
  </si>
  <si>
    <t xml:space="preserve">Regionální inovační strategie OK </t>
  </si>
  <si>
    <t>00000035</t>
  </si>
  <si>
    <t>00000015</t>
  </si>
  <si>
    <t xml:space="preserve">Investiční a neinvestiční akce ostatní   </t>
  </si>
  <si>
    <t>00000414</t>
  </si>
  <si>
    <t>Podpora aktivit zaměřených na sociální začleňování - oblast podpory terénních a ambulantních služeb</t>
  </si>
  <si>
    <t>Příspěvek na provoz PO - mzdové náklady</t>
  </si>
  <si>
    <t>Koordinátor Integrovaného dopravního systému Olomouckého kraje</t>
  </si>
  <si>
    <t xml:space="preserve"> ORG 1599</t>
  </si>
  <si>
    <t>Ost.inv.transfery veř.rozp.územní úrovně</t>
  </si>
  <si>
    <t>dot.neinv.</t>
  </si>
  <si>
    <t>dot.inv.</t>
  </si>
  <si>
    <t>Koordinátor Integrovaného dopravního systému Olomouckého kraje celkem</t>
  </si>
  <si>
    <t>KB 888</t>
  </si>
  <si>
    <t>Neinvest.transfery cizím PO</t>
  </si>
  <si>
    <t>Ost.inv.transfery nezisk.a podobným org.</t>
  </si>
  <si>
    <t>MŠMT - Excelence středních škol</t>
  </si>
  <si>
    <t>00033038</t>
  </si>
  <si>
    <t>MŠMT - Bezpl.přípr.dětí azylantů, účastníků řízení o azyl a dětí osob se st.přísl.jiného čl.st.EU k začlenění do zákl.vzdělávání</t>
  </si>
  <si>
    <t>00033435</t>
  </si>
  <si>
    <t>MŠMT - Podpora org.a ukonč.stř.vzděl.maturitní zk.na vybraných školách v podzimním zkušeb.obd.</t>
  </si>
  <si>
    <t>32133031</t>
  </si>
  <si>
    <t>MŠMT - OP VK - oblast 1.5. EU peníze stř.školám</t>
  </si>
  <si>
    <t>32533031</t>
  </si>
  <si>
    <t>MPSV - OP Lidské zdroje a zaměstnanost</t>
  </si>
  <si>
    <t>Integrace handicapovaných dětí do vytipovaných škol a školských zařízení v Olomouckém kraji</t>
  </si>
  <si>
    <t>Realizace energeticky úsporných opatření - SOŠ Šumperk - domov mládeže</t>
  </si>
  <si>
    <t>ORG 100694</t>
  </si>
  <si>
    <t>Podpora technického vybavení dílen - 1. část</t>
  </si>
  <si>
    <t>ORG 100792</t>
  </si>
  <si>
    <t>Podpora technického vybavení dílen - 2. část</t>
  </si>
  <si>
    <t>ORG 100793</t>
  </si>
  <si>
    <t>Technické vybavení dílen Střední škola polygrafická Olomouc</t>
  </si>
  <si>
    <t>ORG 100794</t>
  </si>
  <si>
    <t>Strojní vybavení dílen pro praktickou výuku (SOŠ a SOU Uničov)</t>
  </si>
  <si>
    <t>ORG 100795</t>
  </si>
  <si>
    <t>Podpora technického vybavení dílen - 3. část</t>
  </si>
  <si>
    <t>ORG 100815</t>
  </si>
  <si>
    <t>Domov seniorů POHODA Chválkovice - rekonstrukce budovy B</t>
  </si>
  <si>
    <t>ORG 100317</t>
  </si>
  <si>
    <t>Domov seniorů POHODA Chválkovice - Modernizace hlavní budovy, část A</t>
  </si>
  <si>
    <t>ORG 100407</t>
  </si>
  <si>
    <t>Domov Sněženka Jeseník - Rekonstrukce soc. zařízení a vodoléčby</t>
  </si>
  <si>
    <t>ORG 100518</t>
  </si>
  <si>
    <t>Realizace energeticky úsporných opatření - Domov seniorů POHODA Chválkovice - pavilony A a B</t>
  </si>
  <si>
    <t>ORG 100550</t>
  </si>
  <si>
    <t>Dobrovolnické možnosti podpory seniorů a sociálně vyloučených občanů EU</t>
  </si>
  <si>
    <t>ORG 100686</t>
  </si>
  <si>
    <t>Centrum sociálních služeb Prostějov - rekonstrukce budovy 6F - zřízení odlehčovací služby a denního stacionáře</t>
  </si>
  <si>
    <t>ORG 100790</t>
  </si>
  <si>
    <t>Vybrané služby sociální prevence v Olomouckém kraji</t>
  </si>
  <si>
    <t>ORG 100796</t>
  </si>
  <si>
    <t>II/448, II/446 Olomouc, Dobrovského - okruž.křižovatka</t>
  </si>
  <si>
    <t>ORG 100149</t>
  </si>
  <si>
    <t>Uničov - Šternberk - II/444</t>
  </si>
  <si>
    <t>ORG 100535</t>
  </si>
  <si>
    <t>ORG 100798</t>
  </si>
  <si>
    <t>Marketingové aktivity Olomouckého kraje II</t>
  </si>
  <si>
    <t>ORG 100812</t>
  </si>
  <si>
    <t>Rozvoj služeb eGovernmentu</t>
  </si>
  <si>
    <t>ORG 100558</t>
  </si>
  <si>
    <t>Individuální projekty celkem</t>
  </si>
  <si>
    <t xml:space="preserve">ROP - Regionální dopravní infrastruktura - Silnice II. a III. třídy </t>
  </si>
  <si>
    <t xml:space="preserve">Výdaje z finančního vypořádání minulých let mezi regionální radou a kraji, obcemi a dobrovolnými svazky obcí
</t>
  </si>
  <si>
    <t>III/44311 Dolany - průtah, most - I. etapa</t>
  </si>
  <si>
    <t>Úhrady sankcí jiným rozpočtům</t>
  </si>
  <si>
    <t>Transformace Vincentina Šternberk - I. Etapa</t>
  </si>
  <si>
    <t xml:space="preserve">SMN a.s. - o.z. Nemocnice Přerov - modernizace pavilonu interních oborů - I. etapa </t>
  </si>
  <si>
    <t>00000036</t>
  </si>
  <si>
    <t>Transformace Vincentina Šternberk - II. Etapa</t>
  </si>
  <si>
    <t>ORG 100814</t>
  </si>
  <si>
    <t>Zajištění dostupnosti vybraných sociálních služeb v OK</t>
  </si>
  <si>
    <t>Ostatní neinvestiční výdaje</t>
  </si>
  <si>
    <t>Podpora plánování rozvoje sociálních služeb v Olomouckém kraji</t>
  </si>
  <si>
    <t>ORG 100806</t>
  </si>
  <si>
    <t>Finanční vypořádání</t>
  </si>
  <si>
    <t>ORG 0073000000000</t>
  </si>
  <si>
    <t>Finanční vypořádání minulých let</t>
  </si>
  <si>
    <t>ORG 1100</t>
  </si>
  <si>
    <t>Gymnázium Jiřího Wolkera, Kollárova 3, Prostějov</t>
  </si>
  <si>
    <t>VOŠ a SPŠ elektrotechnická, Božetěchova 3, Olomouc</t>
  </si>
  <si>
    <t>Střední průmyslová škola, Havlíčkova 2, Přerov</t>
  </si>
  <si>
    <t>ORG 1142</t>
  </si>
  <si>
    <t>ORG 1202</t>
  </si>
  <si>
    <t xml:space="preserve">Střední škola polygrafická, Střední Novosadská 55, Olomouc </t>
  </si>
  <si>
    <t>SŠ automobilní, Vápenice 2977/9, Prostějov</t>
  </si>
  <si>
    <t>Javorník</t>
  </si>
  <si>
    <t>ORG 8006</t>
  </si>
  <si>
    <t>Velký Újezd</t>
  </si>
  <si>
    <t>ORG 8387</t>
  </si>
  <si>
    <t>Hranice</t>
  </si>
  <si>
    <t>ORG 8401</t>
  </si>
  <si>
    <t>SŠ, ZŠ a MŠ, Hanácká 3, Šumperk</t>
  </si>
  <si>
    <t>Základní škola a Dětský domov, Sušilova 40, Zábřeh</t>
  </si>
  <si>
    <t>Odborné učiliště a Praktická škola, Lipová-lázně 458</t>
  </si>
  <si>
    <t xml:space="preserve">Štěpánov </t>
  </si>
  <si>
    <t>ORG 8374</t>
  </si>
  <si>
    <t>ORG 1138</t>
  </si>
  <si>
    <t>Schola servis, Palackého 8-10,Prostějov</t>
  </si>
  <si>
    <t>Další vzdělávání pracovníků škol a školských zařízení v Olomouckém kraji II</t>
  </si>
  <si>
    <t>Inovace výuky československých a českých dějin 20. století na středních školách v Olomouckém a Moravskoslezském kraji - přímé náklady</t>
  </si>
  <si>
    <t>ORG 100692</t>
  </si>
  <si>
    <t>Inovace výuky československých a českých dějin 20. století na středních školách v Olomouckém a Moravskoslezském kraji - nepřímé náklady</t>
  </si>
  <si>
    <t>ORG 100799</t>
  </si>
  <si>
    <t>72) Informovanost a publicita programu v Olomouckém kraji II</t>
  </si>
  <si>
    <t>ORJ - 72</t>
  </si>
  <si>
    <t>Informovanost a publicita programu v Olomouckém kraji II</t>
  </si>
  <si>
    <t>ORG 0050001000000</t>
  </si>
  <si>
    <t>73) Zvýšení absorpční kapacity subjektů v Olomouckém kraji II</t>
  </si>
  <si>
    <t>ORJ - 73</t>
  </si>
  <si>
    <t>číslo účtu: 107-106030267/0100</t>
  </si>
  <si>
    <t>Zvýšení absorpční kapacity subjektů v Olomouckém kraji II</t>
  </si>
  <si>
    <t>74) Podpora rozvoje Olomouckého kraje 2012 - 2015</t>
  </si>
  <si>
    <t>ORJ - 74</t>
  </si>
  <si>
    <t>číslo účtu: 107-110270247/0100</t>
  </si>
  <si>
    <t xml:space="preserve">Projekt technické pomoci Olomouckého kraje </t>
  </si>
  <si>
    <t>ORG 100345</t>
  </si>
  <si>
    <t>Inovační vouchery v Olomouckém kraji</t>
  </si>
  <si>
    <t>ORG 100813</t>
  </si>
  <si>
    <t>Ostatní činnosti jinde nezařazené</t>
  </si>
  <si>
    <t>Podpora rozvoje Olomouckého kraje                   2012 - 2015</t>
  </si>
  <si>
    <t>37) Podpora malého a středního podnikání ve vybraných regionech Olomouckého kraje</t>
  </si>
  <si>
    <t>Podpora malého a středního podnikání ve vybraných regionech Olomouckého kraje</t>
  </si>
  <si>
    <t xml:space="preserve"> Informovanost a publicita programu v Olomouckém kraji II</t>
  </si>
  <si>
    <t>Podpora rozvoje Olomouckého kraje 2012 - 2015</t>
  </si>
  <si>
    <t>investice včetně inv.dot ORJ 30-75</t>
  </si>
  <si>
    <t>Podrobnější údaje o celém fondu, ORJ - 99, tedy příjmy, výdaje a zůstatek na zvláštním bankovním účtu, jsou uvedeny v Příloze č. 7.</t>
  </si>
  <si>
    <t>Podrobnější údaje o celém fondu, ORJ - 199, tedy příjmy, výdaje a zůstatek na zvláštním bankovním účtu, jsou uvedeny v Příloze č. 6.</t>
  </si>
  <si>
    <t>ZŠ a MŠ  prof.V.Vejdovského, Tomkova 42, Olomouc</t>
  </si>
  <si>
    <t>Vybav.škol pomůckami kompenz.a rehab.char.</t>
  </si>
  <si>
    <t>OP VK - oblast 1.5. EU peníze stř.školám</t>
  </si>
  <si>
    <t>Projekty romské komunity</t>
  </si>
  <si>
    <t>Excelence středních škol</t>
  </si>
  <si>
    <t>Gymnázium Jakuba Škody, Zborovská 293, Hranice</t>
  </si>
  <si>
    <t>OP Lidské zdroje a zaměstnanost</t>
  </si>
  <si>
    <t>Prima mateřská škola, s.r.o., Komenského 45,  Hranice</t>
  </si>
  <si>
    <t>Mateřská škola UPOL Olomouc, Šmeralova 1116/10, Olomouc</t>
  </si>
  <si>
    <t>Střední škola a  ZŠ  DC 90, s.r.o., Nedbalova 36,  Olomouc-Topolany</t>
  </si>
  <si>
    <t>ZŠ a SŠ CREDO o.p.s., Mozartova 43, Olomouc</t>
  </si>
  <si>
    <t>Zdravá anglická mateřská škola, s.r.o., Olomouc, Konradova 373/4 Olomouc-Slavonín</t>
  </si>
  <si>
    <t>Podpora organizace a ukonč.středního vzděl.maturitní zkouškou</t>
  </si>
  <si>
    <t>SOŠ ekonomiky a podnikání, s.r.o., Křičkova 233/4, Olomouc-Sv.Kopeček</t>
  </si>
  <si>
    <t>Gymnázium Palackého SOŠ živnostenská, s.r.o.,  Palackého  19, Přerov</t>
  </si>
  <si>
    <t>SŠ obchodu, gastronomie a desingu  Praktik, s.r.o.,  Pasteurova 935/8a, Olomouc</t>
  </si>
  <si>
    <t>Základní umělecká škola Campanella, Slovenská 587/5, Olomouc</t>
  </si>
  <si>
    <t>Neinvest.transfery nefin.podnik.subjektům-FO</t>
  </si>
  <si>
    <t>Realizace energeticky úsporných opatření -  SOŠ gastronomie a potravinářství Jeseník</t>
  </si>
  <si>
    <t>Realizace energeticky úsporných opatření - SŠ designu a módy Prostějov - domov mládeže Palečkova</t>
  </si>
  <si>
    <t>III/44311 Dolany - průtah, most - I. Etapa</t>
  </si>
  <si>
    <t>Slovanské gymnázium, tř. J. z Poděbrad 13, Olomouc</t>
  </si>
  <si>
    <t>Střední škola gastronomie a služeb, Šírava 7, Přerov</t>
  </si>
  <si>
    <t>Gymnázium Jana Blahoslava a Střední pedagogická škola, Denisova 3, Přerov</t>
  </si>
  <si>
    <t>Obchodní akademie a jazyková škola s právem státní jazykové zkoušky Bartošova 24, Přerov</t>
  </si>
  <si>
    <t>Střední zdravotnická škola a Vyšší odborná škola zdravotnická Emanuela Pöttinga, Pöttingova 2, Olomouc</t>
  </si>
  <si>
    <t>SCHOLA SERVIS - zařízení pro DVPP a středisko služeb školám, Palackého 8 - 10, Olomouc</t>
  </si>
  <si>
    <t>Gymnázium Palackého a SOŠ živnostenská, s.r.o., Přerov, Palackého 19, Přerov</t>
  </si>
  <si>
    <t>Jeseníky - Sdružení cestovního ruchu, Kladská 1, Šumperk</t>
  </si>
  <si>
    <t xml:space="preserve">Střední škola a Základní škola prof. Z. Matějčka, Svatoplukova 11, Olomouc </t>
  </si>
  <si>
    <t>Střední škola a Základní škola, Osecká 301, Lipník nad Bečvou</t>
  </si>
  <si>
    <t>Základní škola a dětský domov, Sušilova 40, Zábřeh na Moravě</t>
  </si>
  <si>
    <t xml:space="preserve">Švehlova střední škola polytechnická, nám. Spojenců 17, Prostějov </t>
  </si>
  <si>
    <t>Odborné učiliště a praktická škola, Vodní 27, Mohelnice</t>
  </si>
  <si>
    <t>PONTIS Šumperk, o.p.s., Temenická 5, Šumperk</t>
  </si>
  <si>
    <t>KAPPA - HELP, nám. Přerovského povstání 1, Přerov</t>
  </si>
  <si>
    <t>Gymnázium, Tomkova 45, Olomouc - Hejčín</t>
  </si>
  <si>
    <t>Střední odborná škola, Komenského 677, Litovel</t>
  </si>
  <si>
    <t>Střední Morava - Sdružení cestovního ruchu, Horní náměstí 5, Olomouc</t>
  </si>
  <si>
    <t>Gymnázium Jana Opletala, Opletalova 189, Litovel</t>
  </si>
  <si>
    <t>Střední odborná škola a střední odborné učiliště strojírenské a stavební, Dukelská 1240, Jeseník</t>
  </si>
  <si>
    <t>Ing. Ladislav Růžička</t>
  </si>
  <si>
    <t>Příspěvky do 25 tis. Kč</t>
  </si>
  <si>
    <t>00014022</t>
  </si>
  <si>
    <t>00098071</t>
  </si>
  <si>
    <t>MF - Účel.dot.na výdaje při volbách do Parlamentu ČR</t>
  </si>
  <si>
    <t>Odvody za nepl.povinn.zaměst.zdrav.postiž</t>
  </si>
  <si>
    <t>00029009</t>
  </si>
  <si>
    <t>MZeČR - Meliorace a hrazení bystřin v lesích podle § 35 odst. 1 a 3 lesního zákona</t>
  </si>
  <si>
    <t>3. Plnění rozpočtu výdajů Olomouckého kraje k 31.12.2013</t>
  </si>
  <si>
    <t>3. Plnění rozpočtu výdajů Olomouckého kraje k 31. 12. 2013</t>
  </si>
  <si>
    <t>18) Odbor tajemníka hejtmana</t>
  </si>
  <si>
    <t>ORJ - 18</t>
  </si>
  <si>
    <t>Mgr. Lucie Štěpánková</t>
  </si>
  <si>
    <t>vedoucí odboru tajemníka hejtmana</t>
  </si>
  <si>
    <t>Komunikační, publikační a propagační činnost</t>
  </si>
  <si>
    <t>Koordinační služby</t>
  </si>
  <si>
    <t>00000350</t>
  </si>
  <si>
    <t>00000351</t>
  </si>
  <si>
    <t>Produkční služby</t>
  </si>
  <si>
    <t>Výdaje odboru tajemníka hejtmana</t>
  </si>
  <si>
    <t xml:space="preserve">Odbor tajemníka hejtmana celkem </t>
  </si>
  <si>
    <t>Fond sociálních potřeb Olomouckého kraje celkem</t>
  </si>
  <si>
    <t xml:space="preserve">Výdaje Fondu sociálních potřeb Olomouckého kraje </t>
  </si>
  <si>
    <t xml:space="preserve">Výdaje Fondu na podporu výstavby a obnovy vodohospodářské infrastruktury na území Olomouckého kraje </t>
  </si>
  <si>
    <t>Fond na podporu výstavby a obnovy vodohospodářské infrastruktury na území Olomouckého kraje  celkem</t>
  </si>
  <si>
    <t>Mgr. Irena Sonntagová</t>
  </si>
  <si>
    <t>Ing. Radek Dosoudil</t>
  </si>
  <si>
    <t>vedoucí odboru životního prostředí a zemědělství</t>
  </si>
  <si>
    <t>vedoucí odboru sociálních věcí</t>
  </si>
  <si>
    <t>00000415</t>
  </si>
  <si>
    <t>Dotační program pro oblast prevence kriminality</t>
  </si>
  <si>
    <t>Ostatní neinv.transfery do zahraničí</t>
  </si>
  <si>
    <t>Neinv.transfery zřízeným PO</t>
  </si>
  <si>
    <t>Domov Sněženka Jeseník</t>
  </si>
  <si>
    <t>MKČR-Kulturní aktivity</t>
  </si>
  <si>
    <t>00000611</t>
  </si>
  <si>
    <t>Přísp.na úhr.protarifovací ztráty - veř.linková doprava</t>
  </si>
  <si>
    <t>60595206</t>
  </si>
  <si>
    <t>60595816</t>
  </si>
  <si>
    <t>Příspěvky do 25tis. Kč</t>
  </si>
  <si>
    <t>Příspěvek na záchranný arch.výzkum</t>
  </si>
  <si>
    <t>vedoucí  odboru zdravotnictví</t>
  </si>
  <si>
    <t>Ing. Bohuslav Kolář, MBA</t>
  </si>
  <si>
    <t>Dětské centrum Ostrůvek Olomouc</t>
  </si>
  <si>
    <t>Dětské centrum Ostrůvek celkem</t>
  </si>
  <si>
    <t>Připravenost poskytovatele ZZS na řešení mimořádných událostí a krizových situací</t>
  </si>
  <si>
    <t>00035018</t>
  </si>
  <si>
    <t>00033040</t>
  </si>
  <si>
    <t>MŠMT - Podpora zavádění diagnostických nástrojů</t>
  </si>
  <si>
    <t>00033044</t>
  </si>
  <si>
    <t>MŠMT - Rozvojový program Podpora logopedické prevence v předškolním vzdělávání</t>
  </si>
  <si>
    <t>00033244</t>
  </si>
  <si>
    <t>MŠMT - Podpora odborného vzdělávání</t>
  </si>
  <si>
    <t>00033043</t>
  </si>
  <si>
    <t>MŠMT - Podpora implementace Etické výchovy</t>
  </si>
  <si>
    <t>investice celkem</t>
  </si>
  <si>
    <t>provoz celkem</t>
  </si>
  <si>
    <t>00000117</t>
  </si>
  <si>
    <t>Olympiáda dětí a mládeže</t>
  </si>
  <si>
    <t>MŠMT - Soutěže</t>
  </si>
  <si>
    <t>Realizace energeticky úsporných opatření - Slovanské gymnázium Olomouc</t>
  </si>
  <si>
    <t>ORG 100509</t>
  </si>
  <si>
    <t>Realizace energeticky úsporných opatření – Střední škola polytechnická Olomouc</t>
  </si>
  <si>
    <t>ORG 100821</t>
  </si>
  <si>
    <t>Energetická úspora na objektu Gymnázia Šternberk</t>
  </si>
  <si>
    <t>ORG 100822</t>
  </si>
  <si>
    <t xml:space="preserve">Podpora technického a přírodovědného vzdělávání v Olomouckém kraji </t>
  </si>
  <si>
    <t>ORG 100828</t>
  </si>
  <si>
    <t>SŠTZ Mohelnice - přístavba strojních dílen</t>
  </si>
  <si>
    <t>ORG 100829</t>
  </si>
  <si>
    <t>SŠ polytechnická Olomouc - nástavba dílen</t>
  </si>
  <si>
    <t>ORG 100830</t>
  </si>
  <si>
    <t>Domov seniorů POHODA Chválkovice - Modernizace hlavní budovy, část B a C</t>
  </si>
  <si>
    <t>ORG 100823</t>
  </si>
  <si>
    <t>Domov důchodců Prostějov - Modernizace sociálních zařízení</t>
  </si>
  <si>
    <t>ORG 100824</t>
  </si>
  <si>
    <t>Revitalizace areálu staré nemocnice v Prostějově III.etapa</t>
  </si>
  <si>
    <t>ORG 100827</t>
  </si>
  <si>
    <t>II/150 Dub nad Moravou – hranice okresu PV – rekonstrukce silnice</t>
  </si>
  <si>
    <t>ORG 100032</t>
  </si>
  <si>
    <t>II/570 Hněvotín - rekonstrukce silnice</t>
  </si>
  <si>
    <t>ORG 100106</t>
  </si>
  <si>
    <t>ORG 100110</t>
  </si>
  <si>
    <t xml:space="preserve">II/447, II/446, III/44621 Pňovice - průtah </t>
  </si>
  <si>
    <t>ORG 100532</t>
  </si>
  <si>
    <t>Valšovský Žleb - Dlouhá Loučka - II/449</t>
  </si>
  <si>
    <t>ORG 100534</t>
  </si>
  <si>
    <t>III/44429 Šternberk, Hvězdné údolí, I. etapa</t>
  </si>
  <si>
    <t>ORG 100536</t>
  </si>
  <si>
    <t>II/449 Senice - průtah</t>
  </si>
  <si>
    <t>ORG 100676</t>
  </si>
  <si>
    <t>III/44029 Drahotuše - průtah</t>
  </si>
  <si>
    <t>ORG 100677</t>
  </si>
  <si>
    <t>III/37354 Holubice - Hrochov</t>
  </si>
  <si>
    <t>ORG 100678</t>
  </si>
  <si>
    <t>III/36719 Pivín - rekonstrukce silnice</t>
  </si>
  <si>
    <t>ORG 100679</t>
  </si>
  <si>
    <t>II/315 a III/31527 Zábřeh na Moravě - okružní křižovatka ul. Postřelmovská, Čsl. Armády</t>
  </si>
  <si>
    <t>II/433, III/36711 Výšovice průtah</t>
  </si>
  <si>
    <t>ORG 100831</t>
  </si>
  <si>
    <t>III/3679 Čechůvky – Kralice na Hané</t>
  </si>
  <si>
    <t>ORG 100863</t>
  </si>
  <si>
    <t>III/43415 Radslavice – Grymov</t>
  </si>
  <si>
    <t>ORG 100864</t>
  </si>
  <si>
    <t>Silnice II/444 Uničov – Šternberk, intravilány obcí</t>
  </si>
  <si>
    <t>ORG 100865</t>
  </si>
  <si>
    <t>Komplexní program modernizace geriatrického oddělení OLÚ Moravský Beroun</t>
  </si>
  <si>
    <t>Značení kulturních a turistických cílů v Olomouckém kraji III</t>
  </si>
  <si>
    <t>ORG 100825</t>
  </si>
  <si>
    <t>SMN a. s. – o. z. Nemocnice Přerov – modernizace pavilonu radiodiagnostiky</t>
  </si>
  <si>
    <t>ORG 100832</t>
  </si>
  <si>
    <t>SMN a. s. – o. z. Nemocnice Přerov – přístrojové vybavení radiodiagnostického oddělení</t>
  </si>
  <si>
    <t>ORG 100833</t>
  </si>
  <si>
    <t xml:space="preserve">Krajský standardizovaný projekt ZZS Olomouckého kraje </t>
  </si>
  <si>
    <t>ORG 100581</t>
  </si>
  <si>
    <t>Zajištění služby výměny dat ZZ kraje se systémy IZS</t>
  </si>
  <si>
    <t>ORG 100862</t>
  </si>
  <si>
    <t>Realizace energeticky úsporných opatření - Gymnázium,Olomouc, Čajkovského 9</t>
  </si>
  <si>
    <t>Modernizace dílen Střední školy železniční a stavební, Šumperk, Bulharská 8</t>
  </si>
  <si>
    <t>53500881</t>
  </si>
  <si>
    <t xml:space="preserve">„Léto v pohraničí“ </t>
  </si>
  <si>
    <t>ORG 100836</t>
  </si>
  <si>
    <t>53100880</t>
  </si>
  <si>
    <t>53100882</t>
  </si>
  <si>
    <t>53100884</t>
  </si>
  <si>
    <t>IP a NP - oblast cestovního ruchu</t>
  </si>
  <si>
    <t>ORG 100117</t>
  </si>
  <si>
    <t>Vratky VRÚU transferů poskytnutých v minulých rozpočtových obdobích</t>
  </si>
  <si>
    <t>Neinvestiční transfery obecně prospěšných společnostem</t>
  </si>
  <si>
    <t>Neinvestiční transfery spolkům</t>
  </si>
  <si>
    <t>Vratky VRÚÚ transferů poskytnutých v minulých rozpočtových obdobích</t>
  </si>
  <si>
    <t>Zajištění integrace příslušníků romských komunit v OK II</t>
  </si>
  <si>
    <t>ORG 100861</t>
  </si>
  <si>
    <t>Slovanské gymnázium, tř. Jiřího z Poděbrad 13, Olomouc</t>
  </si>
  <si>
    <t>ORG 1105</t>
  </si>
  <si>
    <t>Střední zdravotnická škola a Vyšší odborná škola zdravotní E. Pöttinga, Pöttingova 2, Olomouc</t>
  </si>
  <si>
    <t>Střední zdravotnická škola, Kladská 2, Šumperk</t>
  </si>
  <si>
    <t>ORG 1163</t>
  </si>
  <si>
    <t>ORG 1207</t>
  </si>
  <si>
    <t>Střední odborné učiliště obchodní, nám. E. Husserla 1, Prostějov</t>
  </si>
  <si>
    <t>ORG 1212</t>
  </si>
  <si>
    <t>Střední odborná škola podnikání a obchodu, s.r.o., Rejskova 2987/4, Prostějov</t>
  </si>
  <si>
    <t>ORG 1537</t>
  </si>
  <si>
    <t>Soukromá střední odborná škola živnostenská, s.r.o., Palackého 19, Přerov</t>
  </si>
  <si>
    <t>Němčice nad Hanou</t>
  </si>
  <si>
    <t>ORG 8148</t>
  </si>
  <si>
    <t>Hanušovice</t>
  </si>
  <si>
    <t>ORG 8271</t>
  </si>
  <si>
    <t>Mohelnice</t>
  </si>
  <si>
    <t>ORG 8277</t>
  </si>
  <si>
    <t>Náklo</t>
  </si>
  <si>
    <t>ORG 8353</t>
  </si>
  <si>
    <t>Slatinice</t>
  </si>
  <si>
    <t>ORG 8367</t>
  </si>
  <si>
    <t>Přerov</t>
  </si>
  <si>
    <t>Olomouc</t>
  </si>
  <si>
    <t>Neinvestiční transfery cizím příspěvkovým organizacím</t>
  </si>
  <si>
    <t>Střední zdravotnická škola, Studentská 1095, Hranice</t>
  </si>
  <si>
    <t>ORG 1162</t>
  </si>
  <si>
    <t>Šumperk</t>
  </si>
  <si>
    <t>ORG 8275</t>
  </si>
  <si>
    <t>Strategie integrované spolupráce česko-polského příhraničí</t>
  </si>
  <si>
    <t>ORG 100788</t>
  </si>
  <si>
    <t>Spolupráce v oblasti zaměstnanosti a služeb ve venkovských oblastech</t>
  </si>
  <si>
    <t>ORG 100791</t>
  </si>
  <si>
    <t>Podpora rozvoje Olomouckého kraje 2012-2015</t>
  </si>
  <si>
    <t>ORG 100807</t>
  </si>
  <si>
    <t>75) Podpora technického a přírodovědného vzdělávání v Olomouckém kraji</t>
  </si>
  <si>
    <t>ORJ - 75</t>
  </si>
  <si>
    <t>číslo účtu: 107-5424970258/0100</t>
  </si>
  <si>
    <t>ORG 1111</t>
  </si>
  <si>
    <t>Jiné investiční transfery zřízeným příspěvkovým organizacím</t>
  </si>
  <si>
    <t>Vyšší odborná škola a střední průmyslová škola elektrotechnická, Božetěchova 3, Olomouc</t>
  </si>
  <si>
    <t>Střední průmyslová škola strojnická, tř. 17. listopadu 49, Olomouc</t>
  </si>
  <si>
    <t xml:space="preserve">Střední průmyslová škola a Střední odborné učiliště, Školní 164, Uničov </t>
  </si>
  <si>
    <t>ORG 1122</t>
  </si>
  <si>
    <t>Střední průmyslová škola, Studentská 1384, Hranice</t>
  </si>
  <si>
    <t>ORG 1128</t>
  </si>
  <si>
    <t>Vyšší odborná škola a střední průmyslová škola, gen. Krátkého 1, Šumperk</t>
  </si>
  <si>
    <t>Vyšší odborná škola a střední škola automobilní, U Dráhy 6, Zábřeh na Moravě</t>
  </si>
  <si>
    <t>ORG 1136</t>
  </si>
  <si>
    <t>Střední průmyslová škola elektrotechnická, gen. Svobody 2, Mohelnice</t>
  </si>
  <si>
    <t>ORG 1137</t>
  </si>
  <si>
    <t>Střední odborná škola a střední odborné učiliště, gen. Krátkého 30, Šumperk</t>
  </si>
  <si>
    <t>ORG 1140</t>
  </si>
  <si>
    <t xml:space="preserve">Střední škola technická a zemědělská, 1. máje 2, Mohelnice </t>
  </si>
  <si>
    <t>ORG 1174</t>
  </si>
  <si>
    <t>Sigmundova střední škola strojírenská, J. Sigmunda 242, Lutín</t>
  </si>
  <si>
    <t>ORG 1201</t>
  </si>
  <si>
    <t xml:space="preserve">Střední škola polygrafická, Střední Novosadská 87/53, Olomouc </t>
  </si>
  <si>
    <t>Střední odborná škola obchodu a služeb, Štursova 14, Olomouc</t>
  </si>
  <si>
    <t>ORG 1206</t>
  </si>
  <si>
    <t>Střední odborná škola lesnická a strojírenská, Opavská 4, Šternberk</t>
  </si>
  <si>
    <t>ORG 1208</t>
  </si>
  <si>
    <t>ORG 1221</t>
  </si>
  <si>
    <t>Odborné učiliště a praktická škola, Lipová - lázně 458</t>
  </si>
  <si>
    <t>Střední odborná škola a Střední odborné učiliště zemědělské, Horní Heřmanice 47, Bernartice</t>
  </si>
  <si>
    <t>ORG 1227</t>
  </si>
  <si>
    <t>Soukromá střední odborná škola, s.r.o., Jaselská 832, Hranice</t>
  </si>
  <si>
    <t>Neinvestiční transfery nefinančním podnikatelským subjektům-právnickým osobám</t>
  </si>
  <si>
    <t>Podpora technického a přírodovědného vzdělávání v Olomouckém kraji</t>
  </si>
  <si>
    <t>Povinné pojistné na úrazové pojištění</t>
  </si>
  <si>
    <t xml:space="preserve">36) GS - 1.1. Podpora drobného podnikání ve vybraných regionech </t>
  </si>
  <si>
    <t>Olomouckého kraje</t>
  </si>
  <si>
    <t>ORJ - 36</t>
  </si>
  <si>
    <t>vratky veřejným rozpočtům ústření úrovně transferů poskytnutých v minulých rozpočtových obdobích</t>
  </si>
  <si>
    <t>GS - 1.1. Podpora drobného podnikání ve vybraných regionech Olomouckého kraje celkem</t>
  </si>
  <si>
    <t>Podpora drobného podnikání ve vybraných regionech Olomouckého kraje celkem</t>
  </si>
  <si>
    <t>ORJ 30-75</t>
  </si>
  <si>
    <t>Odbor tajemníka hejtmana</t>
  </si>
  <si>
    <t>splátky</t>
  </si>
  <si>
    <t>splátky celkem</t>
  </si>
  <si>
    <t>provoz orj 30 - 75</t>
  </si>
  <si>
    <t>investice orj 30 - 75</t>
  </si>
  <si>
    <t>konsolidace  30 - 75</t>
  </si>
  <si>
    <t>celkem ORJ 30 - 75</t>
  </si>
  <si>
    <t>ART ECON - SŠ, s.r.o., Husovo nám.2061/91, Prostějov</t>
  </si>
  <si>
    <t>Příspěvky do 25 tis.Kč</t>
  </si>
  <si>
    <t>SOŠ a SOU služeb Velký Újezd, s.r.o.,Navrátilova 321, Velký Újezd</t>
  </si>
  <si>
    <t>Účelové neinvest.transf.nepodnik.fyz.osobám</t>
  </si>
  <si>
    <t>Rezerva-uvedeno v provozních výdajích  ORJ 10 a SŠ</t>
  </si>
  <si>
    <t>Vyšší odborná škola hotelnictví a turismu, o.p.s., Stromořadí 420, Uničov</t>
  </si>
  <si>
    <t>Střední škola, Základní škola a Dětský domov, Lidická 86, Prostějov</t>
  </si>
  <si>
    <t>Podpora zavádění diagnostických nástrojů</t>
  </si>
  <si>
    <t>progr.na podporu škol-vzdělávání dětí se sociokulturním znevýhodněním</t>
  </si>
  <si>
    <t>Rozvojový program Podpora logopedické prevence v předškolním vzdělávání</t>
  </si>
  <si>
    <t xml:space="preserve">na výplatu st.přísp.pro zřiz.zařízení pro děti vyž.okamžitou pomoc </t>
  </si>
  <si>
    <t>Podpora odborného vzdělávání</t>
  </si>
  <si>
    <t>Odbor informačních technologií</t>
  </si>
  <si>
    <t xml:space="preserve">Odbor dopravy a silničního hospodářství </t>
  </si>
  <si>
    <t xml:space="preserve">Fond na podporu výstavby a obnovy vodohospodářské infrastruktury na území Olomouckého kraje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</si>
</sst>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#,##0"/>
    <numFmt numFmtId="165" formatCode="00000"/>
    <numFmt numFmtId="166" formatCode="#,##0.0"/>
    <numFmt numFmtId="167" formatCode="0.0"/>
    <numFmt numFmtId="168" formatCode="00,000"/>
    <numFmt numFmtId="169" formatCode="000"/>
    <numFmt numFmtId="170" formatCode="\ \-\ "/>
    <numFmt numFmtId="171" formatCode="0\9\1\3\3\4\3\9"/>
    <numFmt numFmtId="172" formatCode="0\9\5\3\3\4\3\9"/>
    <numFmt numFmtId="173" formatCode="00000000"/>
  </numFmts>
  <fonts count="125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sz val="8"/>
      <name val="Arial CE"/>
      <family val="2"/>
      <charset val="238"/>
    </font>
    <font>
      <b/>
      <sz val="14"/>
      <name val="Arial CE"/>
      <family val="2"/>
      <charset val="238"/>
    </font>
    <font>
      <b/>
      <sz val="11"/>
      <name val="Arial CE"/>
      <family val="2"/>
      <charset val="238"/>
    </font>
    <font>
      <sz val="9"/>
      <name val="Arial CE"/>
      <family val="2"/>
      <charset val="238"/>
    </font>
    <font>
      <i/>
      <u/>
      <sz val="10"/>
      <name val="Arial CE"/>
      <charset val="238"/>
    </font>
    <font>
      <sz val="11"/>
      <name val="Arial CE"/>
      <charset val="238"/>
    </font>
    <font>
      <sz val="10"/>
      <name val="Arial CE"/>
      <charset val="238"/>
    </font>
    <font>
      <b/>
      <sz val="11"/>
      <name val="Arial CE"/>
      <charset val="238"/>
    </font>
    <font>
      <sz val="11"/>
      <name val="Arial CE"/>
      <family val="2"/>
      <charset val="238"/>
    </font>
    <font>
      <b/>
      <sz val="10"/>
      <name val="Arial CE"/>
      <charset val="238"/>
    </font>
    <font>
      <b/>
      <i/>
      <sz val="12"/>
      <name val="Arial CE"/>
      <charset val="238"/>
    </font>
    <font>
      <b/>
      <sz val="12"/>
      <name val="Arial CE"/>
      <charset val="238"/>
    </font>
    <font>
      <b/>
      <sz val="10"/>
      <name val="Arial CE"/>
      <family val="2"/>
      <charset val="238"/>
    </font>
    <font>
      <b/>
      <i/>
      <sz val="10"/>
      <name val="Arial CE"/>
      <charset val="238"/>
    </font>
    <font>
      <b/>
      <sz val="9"/>
      <name val="Arial CE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sz val="11"/>
      <name val="Arial CE"/>
      <family val="2"/>
      <charset val="238"/>
    </font>
    <font>
      <b/>
      <sz val="13"/>
      <name val="Arial CE"/>
      <family val="2"/>
      <charset val="238"/>
    </font>
    <font>
      <i/>
      <u/>
      <sz val="9"/>
      <name val="Arial CE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Arial CE"/>
      <family val="2"/>
      <charset val="238"/>
    </font>
    <font>
      <b/>
      <i/>
      <sz val="18"/>
      <name val="Arial CE"/>
      <charset val="238"/>
    </font>
    <font>
      <b/>
      <sz val="18"/>
      <name val="Arial CE"/>
      <charset val="238"/>
    </font>
    <font>
      <sz val="18"/>
      <name val="Arial CE"/>
      <charset val="238"/>
    </font>
    <font>
      <b/>
      <i/>
      <sz val="16"/>
      <name val="Arial CE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b/>
      <u/>
      <sz val="12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b/>
      <sz val="13"/>
      <name val="Arial"/>
      <family val="2"/>
      <charset val="238"/>
    </font>
    <font>
      <b/>
      <sz val="18"/>
      <name val="Arial"/>
      <family val="2"/>
      <charset val="238"/>
    </font>
    <font>
      <b/>
      <i/>
      <sz val="18"/>
      <name val="Arial"/>
      <family val="2"/>
      <charset val="238"/>
    </font>
    <font>
      <sz val="18"/>
      <color indexed="9"/>
      <name val="Arial CE"/>
      <charset val="238"/>
    </font>
    <font>
      <i/>
      <u/>
      <sz val="11"/>
      <name val="Arial CE"/>
      <charset val="238"/>
    </font>
    <font>
      <b/>
      <sz val="8"/>
      <name val="Arial CE"/>
      <family val="2"/>
      <charset val="238"/>
    </font>
    <font>
      <b/>
      <sz val="16"/>
      <name val="Arial CE"/>
      <charset val="238"/>
    </font>
    <font>
      <sz val="16"/>
      <name val="Arial CE"/>
      <charset val="238"/>
    </font>
    <font>
      <b/>
      <sz val="13"/>
      <name val="Arial CE"/>
      <charset val="238"/>
    </font>
    <font>
      <b/>
      <i/>
      <sz val="17"/>
      <name val="Arial CE"/>
      <charset val="238"/>
    </font>
    <font>
      <b/>
      <sz val="12"/>
      <name val="Arial"/>
      <family val="2"/>
      <charset val="238"/>
    </font>
    <font>
      <b/>
      <sz val="12"/>
      <name val="Arial CE"/>
      <family val="2"/>
      <charset val="238"/>
    </font>
    <font>
      <sz val="12"/>
      <name val="Arial"/>
      <family val="2"/>
      <charset val="238"/>
    </font>
    <font>
      <sz val="12"/>
      <name val="Arial"/>
      <family val="2"/>
      <charset val="238"/>
    </font>
    <font>
      <b/>
      <sz val="14"/>
      <name val="Arial CE"/>
      <charset val="238"/>
    </font>
    <font>
      <sz val="8"/>
      <name val="Arial CE"/>
      <charset val="238"/>
    </font>
    <font>
      <b/>
      <sz val="12"/>
      <name val="Arial"/>
      <family val="2"/>
      <charset val="238"/>
    </font>
    <font>
      <sz val="14"/>
      <name val="Arial"/>
      <family val="2"/>
      <charset val="238"/>
    </font>
    <font>
      <sz val="14"/>
      <name val="Arial CE"/>
      <charset val="238"/>
    </font>
    <font>
      <sz val="10"/>
      <name val="Arial"/>
      <family val="2"/>
      <charset val="238"/>
    </font>
    <font>
      <b/>
      <u/>
      <sz val="12"/>
      <name val="Arial CE"/>
      <charset val="238"/>
    </font>
    <font>
      <b/>
      <sz val="9"/>
      <name val="Arial"/>
      <family val="2"/>
      <charset val="238"/>
    </font>
    <font>
      <i/>
      <sz val="11"/>
      <name val="Arial CE"/>
      <charset val="238"/>
    </font>
    <font>
      <sz val="13"/>
      <name val="Arial"/>
      <family val="2"/>
      <charset val="238"/>
    </font>
    <font>
      <sz val="16"/>
      <name val="Arial"/>
      <family val="2"/>
      <charset val="238"/>
    </font>
    <font>
      <i/>
      <sz val="10"/>
      <name val="Arial CE"/>
      <charset val="238"/>
    </font>
    <font>
      <sz val="12"/>
      <name val="Arial CE"/>
      <charset val="238"/>
    </font>
    <font>
      <b/>
      <i/>
      <sz val="14"/>
      <name val="Arial CE"/>
      <charset val="238"/>
    </font>
    <font>
      <i/>
      <sz val="12"/>
      <name val="Arial CE"/>
      <charset val="238"/>
    </font>
    <font>
      <b/>
      <sz val="9"/>
      <name val="Arial CE"/>
      <charset val="238"/>
    </font>
    <font>
      <b/>
      <i/>
      <sz val="14"/>
      <name val="Arial CE"/>
      <family val="2"/>
      <charset val="238"/>
    </font>
    <font>
      <i/>
      <sz val="10"/>
      <name val="Arial"/>
      <family val="2"/>
      <charset val="238"/>
    </font>
    <font>
      <b/>
      <i/>
      <sz val="16"/>
      <name val="Arial"/>
      <family val="2"/>
      <charset val="238"/>
    </font>
    <font>
      <i/>
      <sz val="11"/>
      <name val="Arial"/>
      <family val="2"/>
      <charset val="238"/>
    </font>
    <font>
      <b/>
      <u/>
      <sz val="11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9"/>
      <name val="Arial"/>
      <family val="2"/>
      <charset val="238"/>
    </font>
    <font>
      <sz val="10.5"/>
      <name val="Arial"/>
      <family val="2"/>
      <charset val="238"/>
    </font>
    <font>
      <b/>
      <u/>
      <sz val="13"/>
      <name val="Arial"/>
      <family val="2"/>
      <charset val="238"/>
    </font>
    <font>
      <u/>
      <sz val="10"/>
      <name val="Arial"/>
      <family val="2"/>
      <charset val="238"/>
    </font>
    <font>
      <b/>
      <i/>
      <sz val="14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sz val="10"/>
      <color indexed="14"/>
      <name val="Arial"/>
      <family val="2"/>
      <charset val="238"/>
    </font>
    <font>
      <sz val="8"/>
      <color indexed="14"/>
      <name val="Arial"/>
      <family val="2"/>
      <charset val="238"/>
    </font>
    <font>
      <sz val="11"/>
      <color indexed="14"/>
      <name val="Arial"/>
      <family val="2"/>
      <charset val="238"/>
    </font>
    <font>
      <b/>
      <sz val="11"/>
      <color indexed="14"/>
      <name val="Arial"/>
      <family val="2"/>
      <charset val="238"/>
    </font>
    <font>
      <sz val="11"/>
      <color indexed="14"/>
      <name val="Arial CE"/>
      <family val="2"/>
      <charset val="238"/>
    </font>
    <font>
      <b/>
      <sz val="11"/>
      <color indexed="14"/>
      <name val="Arial CE"/>
      <charset val="238"/>
    </font>
    <font>
      <i/>
      <sz val="18"/>
      <name val="Arial"/>
      <family val="2"/>
      <charset val="238"/>
    </font>
    <font>
      <sz val="10"/>
      <color rgb="FFFF0000"/>
      <name val="Arial"/>
      <family val="2"/>
      <charset val="238"/>
    </font>
    <font>
      <sz val="12"/>
      <color rgb="FFFF0000"/>
      <name val="Arial"/>
      <family val="2"/>
      <charset val="238"/>
    </font>
    <font>
      <sz val="11"/>
      <name val="Trebuchet MS"/>
      <family val="2"/>
      <charset val="238"/>
    </font>
    <font>
      <sz val="10"/>
      <color rgb="FFFF0000"/>
      <name val="Arial CE"/>
      <charset val="238"/>
    </font>
    <font>
      <sz val="11"/>
      <color rgb="FFFF0000"/>
      <name val="Arial CE"/>
      <charset val="238"/>
    </font>
    <font>
      <sz val="12"/>
      <color rgb="FFFF0000"/>
      <name val="Arial CE"/>
      <family val="2"/>
      <charset val="238"/>
    </font>
    <font>
      <b/>
      <i/>
      <sz val="11"/>
      <name val="Arial"/>
      <family val="2"/>
      <charset val="238"/>
    </font>
    <font>
      <u/>
      <sz val="12"/>
      <name val="Arial"/>
      <family val="2"/>
      <charset val="238"/>
    </font>
    <font>
      <b/>
      <sz val="16"/>
      <name val="Arial"/>
      <family val="2"/>
      <charset val="238"/>
    </font>
    <font>
      <sz val="13"/>
      <color rgb="FFFF0000"/>
      <name val="Arial"/>
      <family val="2"/>
      <charset val="238"/>
    </font>
    <font>
      <sz val="10"/>
      <color rgb="FFFF00FF"/>
      <name val="Arial"/>
      <family val="2"/>
      <charset val="238"/>
    </font>
    <font>
      <sz val="11"/>
      <color rgb="FFFF00FF"/>
      <name val="Arial"/>
      <family val="2"/>
      <charset val="238"/>
    </font>
    <font>
      <sz val="8"/>
      <color rgb="FFFF00FF"/>
      <name val="Arial"/>
      <family val="2"/>
      <charset val="238"/>
    </font>
    <font>
      <sz val="12"/>
      <color rgb="FFFF00FF"/>
      <name val="Arial CE"/>
      <family val="2"/>
      <charset val="238"/>
    </font>
    <font>
      <sz val="9"/>
      <color indexed="81"/>
      <name val="Tahoma"/>
      <family val="2"/>
      <charset val="238"/>
    </font>
    <font>
      <b/>
      <i/>
      <sz val="10"/>
      <name val="Arial"/>
      <family val="2"/>
      <charset val="238"/>
    </font>
    <font>
      <i/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/>
    <xf numFmtId="0" fontId="22" fillId="0" borderId="0"/>
    <xf numFmtId="3" fontId="12" fillId="0" borderId="0"/>
    <xf numFmtId="3" fontId="12" fillId="0" borderId="0"/>
    <xf numFmtId="3" fontId="12" fillId="0" borderId="0"/>
    <xf numFmtId="3" fontId="12" fillId="0" borderId="0"/>
    <xf numFmtId="3" fontId="12" fillId="0" borderId="0"/>
    <xf numFmtId="3" fontId="12" fillId="0" borderId="0"/>
    <xf numFmtId="0" fontId="12" fillId="0" borderId="0"/>
    <xf numFmtId="0" fontId="3" fillId="0" borderId="0"/>
    <xf numFmtId="0" fontId="108" fillId="0" borderId="0" applyNumberFormat="0" applyFill="0" applyBorder="0" applyAlignment="0" applyProtection="0"/>
    <xf numFmtId="0" fontId="109" fillId="0" borderId="66" applyNumberFormat="0" applyFill="0" applyAlignment="0" applyProtection="0"/>
    <xf numFmtId="0" fontId="110" fillId="0" borderId="67" applyNumberFormat="0" applyFill="0" applyAlignment="0" applyProtection="0"/>
    <xf numFmtId="0" fontId="111" fillId="0" borderId="68" applyNumberFormat="0" applyFill="0" applyAlignment="0" applyProtection="0"/>
    <xf numFmtId="0" fontId="111" fillId="0" borderId="0" applyNumberFormat="0" applyFill="0" applyBorder="0" applyAlignment="0" applyProtection="0"/>
    <xf numFmtId="0" fontId="112" fillId="6" borderId="0" applyNumberFormat="0" applyBorder="0" applyAlignment="0" applyProtection="0"/>
    <xf numFmtId="0" fontId="113" fillId="7" borderId="0" applyNumberFormat="0" applyBorder="0" applyAlignment="0" applyProtection="0"/>
    <xf numFmtId="0" fontId="114" fillId="8" borderId="0" applyNumberFormat="0" applyBorder="0" applyAlignment="0" applyProtection="0"/>
    <xf numFmtId="0" fontId="115" fillId="9" borderId="69" applyNumberFormat="0" applyAlignment="0" applyProtection="0"/>
    <xf numFmtId="0" fontId="116" fillId="10" borderId="70" applyNumberFormat="0" applyAlignment="0" applyProtection="0"/>
    <xf numFmtId="0" fontId="117" fillId="10" borderId="69" applyNumberFormat="0" applyAlignment="0" applyProtection="0"/>
    <xf numFmtId="0" fontId="118" fillId="0" borderId="71" applyNumberFormat="0" applyFill="0" applyAlignment="0" applyProtection="0"/>
    <xf numFmtId="0" fontId="119" fillId="11" borderId="72" applyNumberFormat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74" applyNumberFormat="0" applyFill="0" applyAlignment="0" applyProtection="0"/>
    <xf numFmtId="0" fontId="123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23" fillId="16" borderId="0" applyNumberFormat="0" applyBorder="0" applyAlignment="0" applyProtection="0"/>
    <xf numFmtId="0" fontId="123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23" fillId="20" borderId="0" applyNumberFormat="0" applyBorder="0" applyAlignment="0" applyProtection="0"/>
    <xf numFmtId="0" fontId="123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23" fillId="24" borderId="0" applyNumberFormat="0" applyBorder="0" applyAlignment="0" applyProtection="0"/>
    <xf numFmtId="0" fontId="123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23" fillId="28" borderId="0" applyNumberFormat="0" applyBorder="0" applyAlignment="0" applyProtection="0"/>
    <xf numFmtId="0" fontId="123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23" fillId="32" borderId="0" applyNumberFormat="0" applyBorder="0" applyAlignment="0" applyProtection="0"/>
    <xf numFmtId="0" fontId="123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123" fillId="36" borderId="0" applyNumberFormat="0" applyBorder="0" applyAlignment="0" applyProtection="0"/>
    <xf numFmtId="0" fontId="2" fillId="0" borderId="0"/>
    <xf numFmtId="0" fontId="2" fillId="12" borderId="73" applyNumberFormat="0" applyFont="0" applyAlignment="0" applyProtection="0"/>
    <xf numFmtId="0" fontId="1" fillId="0" borderId="0"/>
    <xf numFmtId="0" fontId="1" fillId="12" borderId="73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2794">
    <xf numFmtId="0" fontId="0" fillId="0" borderId="0" xfId="0"/>
    <xf numFmtId="1" fontId="4" fillId="0" borderId="0" xfId="0" applyNumberFormat="1" applyFont="1" applyAlignment="1">
      <alignment horizontal="left"/>
    </xf>
    <xf numFmtId="1" fontId="7" fillId="2" borderId="1" xfId="0" applyNumberFormat="1" applyFont="1" applyFill="1" applyBorder="1" applyAlignment="1">
      <alignment horizontal="left"/>
    </xf>
    <xf numFmtId="1" fontId="9" fillId="0" borderId="0" xfId="0" applyNumberFormat="1" applyFont="1" applyAlignment="1">
      <alignment horizontal="left"/>
    </xf>
    <xf numFmtId="0" fontId="4" fillId="0" borderId="0" xfId="0" applyFont="1"/>
    <xf numFmtId="1" fontId="12" fillId="0" borderId="0" xfId="0" applyNumberFormat="1" applyFont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0" fontId="5" fillId="0" borderId="0" xfId="0" applyFont="1"/>
    <xf numFmtId="0" fontId="20" fillId="2" borderId="1" xfId="0" applyFont="1" applyFill="1" applyBorder="1"/>
    <xf numFmtId="0" fontId="20" fillId="0" borderId="0" xfId="0" applyFont="1" applyFill="1" applyBorder="1"/>
    <xf numFmtId="3" fontId="7" fillId="2" borderId="1" xfId="0" applyNumberFormat="1" applyFont="1" applyFill="1" applyBorder="1"/>
    <xf numFmtId="3" fontId="0" fillId="0" borderId="0" xfId="0" applyNumberFormat="1"/>
    <xf numFmtId="3" fontId="18" fillId="0" borderId="0" xfId="0" applyNumberFormat="1" applyFont="1"/>
    <xf numFmtId="3" fontId="18" fillId="0" borderId="0" xfId="0" applyNumberFormat="1" applyFont="1" applyAlignment="1">
      <alignment horizontal="right"/>
    </xf>
    <xf numFmtId="3" fontId="0" fillId="0" borderId="0" xfId="0" applyNumberFormat="1" applyFill="1" applyBorder="1"/>
    <xf numFmtId="3" fontId="7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Border="1"/>
    <xf numFmtId="3" fontId="7" fillId="3" borderId="0" xfId="0" applyNumberFormat="1" applyFont="1" applyFill="1" applyBorder="1"/>
    <xf numFmtId="1" fontId="4" fillId="0" borderId="2" xfId="0" applyNumberFormat="1" applyFont="1" applyBorder="1" applyAlignment="1">
      <alignment horizontal="left"/>
    </xf>
    <xf numFmtId="1" fontId="4" fillId="0" borderId="3" xfId="0" applyNumberFormat="1" applyFont="1" applyBorder="1" applyAlignment="1">
      <alignment horizontal="left"/>
    </xf>
    <xf numFmtId="0" fontId="6" fillId="2" borderId="4" xfId="0" applyFont="1" applyFill="1" applyBorder="1" applyAlignment="1">
      <alignment horizontal="center" vertical="center"/>
    </xf>
    <xf numFmtId="1" fontId="6" fillId="2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0" borderId="0" xfId="0" applyFont="1"/>
    <xf numFmtId="1" fontId="4" fillId="0" borderId="0" xfId="0" applyNumberFormat="1" applyFont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18" fillId="0" borderId="0" xfId="0" applyFont="1" applyFill="1" applyBorder="1" applyAlignment="1">
      <alignment horizontal="center"/>
    </xf>
    <xf numFmtId="3" fontId="8" fillId="0" borderId="2" xfId="0" applyNumberFormat="1" applyFont="1" applyBorder="1"/>
    <xf numFmtId="3" fontId="8" fillId="0" borderId="3" xfId="0" applyNumberFormat="1" applyFont="1" applyBorder="1"/>
    <xf numFmtId="1" fontId="12" fillId="0" borderId="2" xfId="0" applyNumberFormat="1" applyFont="1" applyBorder="1" applyAlignment="1">
      <alignment horizontal="left"/>
    </xf>
    <xf numFmtId="1" fontId="12" fillId="0" borderId="3" xfId="0" applyNumberFormat="1" applyFont="1" applyBorder="1" applyAlignment="1">
      <alignment horizontal="left"/>
    </xf>
    <xf numFmtId="1" fontId="30" fillId="0" borderId="0" xfId="0" applyNumberFormat="1" applyFont="1" applyFill="1" applyBorder="1" applyAlignment="1">
      <alignment horizontal="left"/>
    </xf>
    <xf numFmtId="1" fontId="4" fillId="0" borderId="6" xfId="0" applyNumberFormat="1" applyFont="1" applyBorder="1" applyAlignment="1">
      <alignment horizontal="left"/>
    </xf>
    <xf numFmtId="0" fontId="25" fillId="2" borderId="7" xfId="0" applyFont="1" applyFill="1" applyBorder="1" applyAlignment="1">
      <alignment horizontal="left"/>
    </xf>
    <xf numFmtId="0" fontId="5" fillId="2" borderId="8" xfId="0" applyFont="1" applyFill="1" applyBorder="1"/>
    <xf numFmtId="3" fontId="7" fillId="2" borderId="5" xfId="0" applyNumberFormat="1" applyFont="1" applyFill="1" applyBorder="1"/>
    <xf numFmtId="3" fontId="13" fillId="0" borderId="9" xfId="0" applyNumberFormat="1" applyFont="1" applyBorder="1"/>
    <xf numFmtId="3" fontId="13" fillId="0" borderId="2" xfId="0" applyNumberFormat="1" applyFont="1" applyBorder="1"/>
    <xf numFmtId="0" fontId="31" fillId="2" borderId="10" xfId="0" applyFont="1" applyFill="1" applyBorder="1" applyAlignment="1">
      <alignment horizontal="left"/>
    </xf>
    <xf numFmtId="1" fontId="32" fillId="2" borderId="10" xfId="0" applyNumberFormat="1" applyFont="1" applyFill="1" applyBorder="1" applyAlignment="1">
      <alignment horizontal="center"/>
    </xf>
    <xf numFmtId="1" fontId="32" fillId="2" borderId="10" xfId="0" applyNumberFormat="1" applyFont="1" applyFill="1" applyBorder="1" applyAlignment="1">
      <alignment horizontal="left"/>
    </xf>
    <xf numFmtId="0" fontId="32" fillId="2" borderId="10" xfId="0" applyFont="1" applyFill="1" applyBorder="1"/>
    <xf numFmtId="3" fontId="31" fillId="2" borderId="10" xfId="0" applyNumberFormat="1" applyFont="1" applyFill="1" applyBorder="1"/>
    <xf numFmtId="0" fontId="33" fillId="2" borderId="0" xfId="0" applyFont="1" applyFill="1"/>
    <xf numFmtId="3" fontId="6" fillId="2" borderId="5" xfId="0" applyNumberFormat="1" applyFont="1" applyFill="1" applyBorder="1" applyAlignment="1">
      <alignment horizontal="center" vertical="center"/>
    </xf>
    <xf numFmtId="3" fontId="6" fillId="2" borderId="9" xfId="0" applyNumberFormat="1" applyFont="1" applyFill="1" applyBorder="1" applyAlignment="1">
      <alignment horizontal="center" vertical="center"/>
    </xf>
    <xf numFmtId="3" fontId="8" fillId="0" borderId="2" xfId="0" applyNumberFormat="1" applyFont="1" applyBorder="1" applyAlignment="1">
      <alignment horizontal="right"/>
    </xf>
    <xf numFmtId="1" fontId="4" fillId="0" borderId="11" xfId="0" applyNumberFormat="1" applyFont="1" applyBorder="1" applyAlignment="1">
      <alignment horizontal="left"/>
    </xf>
    <xf numFmtId="1" fontId="4" fillId="0" borderId="12" xfId="0" applyNumberFormat="1" applyFont="1" applyBorder="1" applyAlignment="1">
      <alignment horizontal="left"/>
    </xf>
    <xf numFmtId="0" fontId="5" fillId="2" borderId="7" xfId="0" applyFont="1" applyFill="1" applyBorder="1"/>
    <xf numFmtId="0" fontId="20" fillId="0" borderId="0" xfId="0" applyFont="1" applyFill="1" applyBorder="1" applyAlignment="1">
      <alignment horizontal="center"/>
    </xf>
    <xf numFmtId="3" fontId="4" fillId="0" borderId="0" xfId="0" applyNumberFormat="1" applyFont="1"/>
    <xf numFmtId="3" fontId="6" fillId="0" borderId="0" xfId="0" applyNumberFormat="1" applyFont="1"/>
    <xf numFmtId="3" fontId="11" fillId="0" borderId="2" xfId="0" applyNumberFormat="1" applyFont="1" applyBorder="1" applyAlignment="1">
      <alignment horizontal="right"/>
    </xf>
    <xf numFmtId="3" fontId="4" fillId="0" borderId="0" xfId="0" applyNumberFormat="1" applyFont="1" applyAlignment="1">
      <alignment horizontal="right"/>
    </xf>
    <xf numFmtId="3" fontId="20" fillId="0" borderId="0" xfId="0" applyNumberFormat="1" applyFont="1" applyFill="1" applyBorder="1" applyAlignment="1">
      <alignment horizontal="center"/>
    </xf>
    <xf numFmtId="0" fontId="33" fillId="0" borderId="0" xfId="0" applyFont="1" applyFill="1"/>
    <xf numFmtId="3" fontId="8" fillId="3" borderId="0" xfId="0" applyNumberFormat="1" applyFont="1" applyFill="1" applyBorder="1" applyAlignment="1">
      <alignment horizontal="right"/>
    </xf>
    <xf numFmtId="3" fontId="13" fillId="3" borderId="2" xfId="0" applyNumberFormat="1" applyFont="1" applyFill="1" applyBorder="1" applyAlignment="1">
      <alignment horizontal="right"/>
    </xf>
    <xf numFmtId="3" fontId="8" fillId="3" borderId="9" xfId="0" applyNumberFormat="1" applyFont="1" applyFill="1" applyBorder="1" applyAlignment="1">
      <alignment horizontal="right"/>
    </xf>
    <xf numFmtId="0" fontId="13" fillId="0" borderId="9" xfId="0" applyFont="1" applyBorder="1"/>
    <xf numFmtId="3" fontId="9" fillId="0" borderId="0" xfId="0" applyNumberFormat="1" applyFont="1" applyFill="1" applyBorder="1" applyAlignment="1">
      <alignment horizontal="center"/>
    </xf>
    <xf numFmtId="3" fontId="8" fillId="2" borderId="5" xfId="0" applyNumberFormat="1" applyFont="1" applyFill="1" applyBorder="1"/>
    <xf numFmtId="0" fontId="36" fillId="0" borderId="0" xfId="0" applyFont="1"/>
    <xf numFmtId="0" fontId="3" fillId="0" borderId="0" xfId="0" applyFont="1"/>
    <xf numFmtId="1" fontId="11" fillId="0" borderId="0" xfId="0" applyNumberFormat="1" applyFont="1" applyFill="1" applyBorder="1" applyAlignment="1">
      <alignment horizontal="left"/>
    </xf>
    <xf numFmtId="0" fontId="13" fillId="3" borderId="2" xfId="0" applyFont="1" applyFill="1" applyBorder="1"/>
    <xf numFmtId="0" fontId="21" fillId="0" borderId="0" xfId="0" applyFont="1"/>
    <xf numFmtId="0" fontId="37" fillId="0" borderId="0" xfId="0" applyFont="1"/>
    <xf numFmtId="3" fontId="13" fillId="0" borderId="2" xfId="0" applyNumberFormat="1" applyFont="1" applyBorder="1" applyAlignment="1">
      <alignment horizontal="right"/>
    </xf>
    <xf numFmtId="0" fontId="13" fillId="0" borderId="2" xfId="0" applyFont="1" applyBorder="1"/>
    <xf numFmtId="0" fontId="38" fillId="0" borderId="0" xfId="0" applyFont="1"/>
    <xf numFmtId="0" fontId="39" fillId="0" borderId="0" xfId="0" applyFont="1"/>
    <xf numFmtId="1" fontId="40" fillId="0" borderId="0" xfId="0" applyNumberFormat="1" applyFont="1"/>
    <xf numFmtId="1" fontId="39" fillId="2" borderId="1" xfId="0" applyNumberFormat="1" applyFont="1" applyFill="1" applyBorder="1"/>
    <xf numFmtId="0" fontId="39" fillId="2" borderId="1" xfId="0" applyFont="1" applyFill="1" applyBorder="1"/>
    <xf numFmtId="0" fontId="41" fillId="0" borderId="0" xfId="0" applyFont="1"/>
    <xf numFmtId="3" fontId="39" fillId="2" borderId="1" xfId="0" applyNumberFormat="1" applyFont="1" applyFill="1" applyBorder="1"/>
    <xf numFmtId="3" fontId="39" fillId="0" borderId="0" xfId="0" applyNumberFormat="1" applyFont="1"/>
    <xf numFmtId="0" fontId="44" fillId="3" borderId="0" xfId="0" applyFont="1" applyFill="1"/>
    <xf numFmtId="0" fontId="33" fillId="3" borderId="0" xfId="0" applyFont="1" applyFill="1"/>
    <xf numFmtId="1" fontId="10" fillId="0" borderId="0" xfId="0" applyNumberFormat="1" applyFont="1" applyBorder="1" applyAlignment="1">
      <alignment horizontal="left"/>
    </xf>
    <xf numFmtId="0" fontId="13" fillId="0" borderId="2" xfId="0" applyFont="1" applyBorder="1" applyAlignment="1">
      <alignment horizontal="right"/>
    </xf>
    <xf numFmtId="1" fontId="12" fillId="0" borderId="0" xfId="0" applyNumberFormat="1" applyFont="1" applyBorder="1" applyAlignment="1">
      <alignment horizontal="left"/>
    </xf>
    <xf numFmtId="3" fontId="13" fillId="0" borderId="0" xfId="0" applyNumberFormat="1" applyFont="1" applyAlignment="1">
      <alignment horizontal="right"/>
    </xf>
    <xf numFmtId="0" fontId="13" fillId="0" borderId="0" xfId="0" applyFont="1" applyBorder="1"/>
    <xf numFmtId="3" fontId="13" fillId="0" borderId="9" xfId="0" applyNumberFormat="1" applyFont="1" applyBorder="1" applyAlignment="1">
      <alignment horizontal="right"/>
    </xf>
    <xf numFmtId="3" fontId="11" fillId="0" borderId="3" xfId="0" applyNumberFormat="1" applyFont="1" applyBorder="1" applyAlignment="1">
      <alignment horizontal="right"/>
    </xf>
    <xf numFmtId="0" fontId="10" fillId="0" borderId="2" xfId="0" applyFont="1" applyBorder="1" applyAlignment="1"/>
    <xf numFmtId="0" fontId="12" fillId="0" borderId="2" xfId="0" applyFont="1" applyBorder="1" applyAlignment="1"/>
    <xf numFmtId="0" fontId="0" fillId="3" borderId="0" xfId="0" applyFill="1"/>
    <xf numFmtId="1" fontId="18" fillId="0" borderId="0" xfId="0" applyNumberFormat="1" applyFont="1" applyFill="1" applyBorder="1" applyAlignment="1">
      <alignment horizontal="left"/>
    </xf>
    <xf numFmtId="3" fontId="13" fillId="0" borderId="0" xfId="0" applyNumberFormat="1" applyFont="1" applyBorder="1" applyAlignment="1">
      <alignment horizontal="right"/>
    </xf>
    <xf numFmtId="1" fontId="12" fillId="3" borderId="3" xfId="0" applyNumberFormat="1" applyFont="1" applyFill="1" applyBorder="1" applyAlignment="1">
      <alignment horizontal="left"/>
    </xf>
    <xf numFmtId="1" fontId="12" fillId="3" borderId="2" xfId="0" applyNumberFormat="1" applyFont="1" applyFill="1" applyBorder="1" applyAlignment="1">
      <alignment horizontal="left"/>
    </xf>
    <xf numFmtId="3" fontId="11" fillId="3" borderId="3" xfId="0" applyNumberFormat="1" applyFont="1" applyFill="1" applyBorder="1" applyAlignment="1">
      <alignment horizontal="right"/>
    </xf>
    <xf numFmtId="1" fontId="52" fillId="0" borderId="0" xfId="0" applyNumberFormat="1" applyFont="1" applyFill="1" applyBorder="1" applyAlignment="1">
      <alignment horizontal="left"/>
    </xf>
    <xf numFmtId="0" fontId="51" fillId="0" borderId="0" xfId="0" applyFont="1"/>
    <xf numFmtId="3" fontId="51" fillId="0" borderId="0" xfId="0" applyNumberFormat="1" applyFont="1"/>
    <xf numFmtId="1" fontId="54" fillId="0" borderId="0" xfId="0" applyNumberFormat="1" applyFont="1" applyAlignment="1">
      <alignment horizontal="left"/>
    </xf>
    <xf numFmtId="1" fontId="54" fillId="0" borderId="0" xfId="0" applyNumberFormat="1" applyFont="1" applyAlignment="1">
      <alignment horizontal="center"/>
    </xf>
    <xf numFmtId="164" fontId="54" fillId="0" borderId="0" xfId="0" applyNumberFormat="1" applyFont="1" applyAlignment="1">
      <alignment horizontal="center"/>
    </xf>
    <xf numFmtId="0" fontId="54" fillId="0" borderId="0" xfId="0" applyFont="1"/>
    <xf numFmtId="164" fontId="54" fillId="0" borderId="0" xfId="0" applyNumberFormat="1" applyFont="1" applyAlignment="1">
      <alignment horizontal="left"/>
    </xf>
    <xf numFmtId="0" fontId="54" fillId="0" borderId="0" xfId="0" applyFont="1" applyAlignment="1">
      <alignment horizontal="left"/>
    </xf>
    <xf numFmtId="0" fontId="6" fillId="0" borderId="0" xfId="0" applyFont="1" applyFill="1"/>
    <xf numFmtId="0" fontId="6" fillId="0" borderId="0" xfId="0" applyFont="1" applyFill="1" applyBorder="1"/>
    <xf numFmtId="0" fontId="13" fillId="3" borderId="13" xfId="0" applyFont="1" applyFill="1" applyBorder="1"/>
    <xf numFmtId="1" fontId="54" fillId="0" borderId="0" xfId="0" applyNumberFormat="1" applyFont="1"/>
    <xf numFmtId="3" fontId="13" fillId="2" borderId="5" xfId="0" applyNumberFormat="1" applyFont="1" applyFill="1" applyBorder="1"/>
    <xf numFmtId="3" fontId="8" fillId="2" borderId="14" xfId="0" applyNumberFormat="1" applyFont="1" applyFill="1" applyBorder="1"/>
    <xf numFmtId="167" fontId="0" fillId="0" borderId="0" xfId="0" applyNumberFormat="1"/>
    <xf numFmtId="166" fontId="0" fillId="0" borderId="0" xfId="0" applyNumberFormat="1"/>
    <xf numFmtId="166" fontId="33" fillId="0" borderId="0" xfId="0" applyNumberFormat="1" applyFont="1" applyFill="1"/>
    <xf numFmtId="1" fontId="12" fillId="0" borderId="2" xfId="0" applyNumberFormat="1" applyFont="1" applyBorder="1" applyAlignment="1">
      <alignment horizontal="center"/>
    </xf>
    <xf numFmtId="0" fontId="12" fillId="0" borderId="2" xfId="0" applyFont="1" applyBorder="1"/>
    <xf numFmtId="0" fontId="12" fillId="0" borderId="3" xfId="0" applyFont="1" applyBorder="1"/>
    <xf numFmtId="0" fontId="12" fillId="0" borderId="0" xfId="0" applyFont="1" applyFill="1" applyBorder="1" applyAlignment="1"/>
    <xf numFmtId="0" fontId="29" fillId="0" borderId="0" xfId="0" applyFont="1"/>
    <xf numFmtId="3" fontId="29" fillId="0" borderId="0" xfId="0" applyNumberFormat="1" applyFont="1"/>
    <xf numFmtId="168" fontId="9" fillId="0" borderId="2" xfId="0" applyNumberFormat="1" applyFont="1" applyBorder="1" applyAlignment="1">
      <alignment horizontal="left"/>
    </xf>
    <xf numFmtId="3" fontId="11" fillId="3" borderId="0" xfId="0" applyNumberFormat="1" applyFont="1" applyFill="1" applyBorder="1" applyAlignment="1">
      <alignment horizontal="right"/>
    </xf>
    <xf numFmtId="3" fontId="11" fillId="3" borderId="2" xfId="0" applyNumberFormat="1" applyFont="1" applyFill="1" applyBorder="1" applyAlignment="1">
      <alignment horizontal="right"/>
    </xf>
    <xf numFmtId="3" fontId="14" fillId="3" borderId="2" xfId="0" applyNumberFormat="1" applyFont="1" applyFill="1" applyBorder="1" applyAlignment="1">
      <alignment horizontal="right"/>
    </xf>
    <xf numFmtId="3" fontId="13" fillId="3" borderId="3" xfId="0" applyNumberFormat="1" applyFont="1" applyFill="1" applyBorder="1" applyAlignment="1">
      <alignment horizontal="right"/>
    </xf>
    <xf numFmtId="168" fontId="9" fillId="0" borderId="3" xfId="0" applyNumberFormat="1" applyFont="1" applyBorder="1" applyAlignment="1">
      <alignment horizontal="left"/>
    </xf>
    <xf numFmtId="0" fontId="13" fillId="3" borderId="0" xfId="0" applyFont="1" applyFill="1" applyBorder="1"/>
    <xf numFmtId="168" fontId="9" fillId="0" borderId="15" xfId="0" applyNumberFormat="1" applyFont="1" applyBorder="1" applyAlignment="1">
      <alignment horizontal="left"/>
    </xf>
    <xf numFmtId="3" fontId="59" fillId="3" borderId="2" xfId="0" applyNumberFormat="1" applyFont="1" applyFill="1" applyBorder="1" applyAlignment="1">
      <alignment horizontal="right"/>
    </xf>
    <xf numFmtId="3" fontId="20" fillId="0" borderId="0" xfId="0" applyNumberFormat="1" applyFont="1" applyFill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1" fontId="60" fillId="2" borderId="1" xfId="0" applyNumberFormat="1" applyFont="1" applyFill="1" applyBorder="1"/>
    <xf numFmtId="0" fontId="60" fillId="2" borderId="1" xfId="0" applyFont="1" applyFill="1" applyBorder="1"/>
    <xf numFmtId="3" fontId="60" fillId="0" borderId="0" xfId="0" applyNumberFormat="1" applyFont="1"/>
    <xf numFmtId="0" fontId="60" fillId="0" borderId="0" xfId="0" applyFont="1"/>
    <xf numFmtId="3" fontId="29" fillId="0" borderId="0" xfId="0" applyNumberFormat="1" applyFont="1" applyFill="1" applyBorder="1"/>
    <xf numFmtId="3" fontId="60" fillId="0" borderId="0" xfId="0" applyNumberFormat="1" applyFont="1" applyFill="1" applyBorder="1"/>
    <xf numFmtId="0" fontId="29" fillId="0" borderId="0" xfId="0" applyFont="1" applyFill="1" applyBorder="1"/>
    <xf numFmtId="3" fontId="29" fillId="0" borderId="0" xfId="0" applyNumberFormat="1" applyFont="1" applyAlignment="1">
      <alignment horizontal="right"/>
    </xf>
    <xf numFmtId="168" fontId="20" fillId="2" borderId="1" xfId="0" applyNumberFormat="1" applyFont="1" applyFill="1" applyBorder="1" applyAlignment="1">
      <alignment horizontal="center"/>
    </xf>
    <xf numFmtId="168" fontId="20" fillId="0" borderId="0" xfId="0" applyNumberFormat="1" applyFont="1" applyFill="1" applyBorder="1" applyAlignment="1">
      <alignment horizontal="center"/>
    </xf>
    <xf numFmtId="168" fontId="36" fillId="0" borderId="0" xfId="0" applyNumberFormat="1" applyFont="1"/>
    <xf numFmtId="168" fontId="9" fillId="0" borderId="0" xfId="0" applyNumberFormat="1" applyFont="1" applyAlignment="1">
      <alignment horizontal="center"/>
    </xf>
    <xf numFmtId="168" fontId="20" fillId="2" borderId="8" xfId="0" applyNumberFormat="1" applyFont="1" applyFill="1" applyBorder="1" applyAlignment="1">
      <alignment horizontal="center"/>
    </xf>
    <xf numFmtId="168" fontId="28" fillId="0" borderId="0" xfId="0" applyNumberFormat="1" applyFont="1"/>
    <xf numFmtId="168" fontId="9" fillId="0" borderId="0" xfId="0" applyNumberFormat="1" applyFont="1" applyAlignment="1">
      <alignment horizontal="left"/>
    </xf>
    <xf numFmtId="3" fontId="13" fillId="3" borderId="9" xfId="0" applyNumberFormat="1" applyFont="1" applyFill="1" applyBorder="1" applyAlignment="1">
      <alignment horizontal="right"/>
    </xf>
    <xf numFmtId="3" fontId="13" fillId="3" borderId="0" xfId="0" applyNumberFormat="1" applyFont="1" applyFill="1" applyBorder="1" applyAlignment="1">
      <alignment horizontal="right"/>
    </xf>
    <xf numFmtId="3" fontId="59" fillId="3" borderId="0" xfId="0" applyNumberFormat="1" applyFont="1" applyFill="1" applyBorder="1" applyAlignment="1">
      <alignment horizontal="right"/>
    </xf>
    <xf numFmtId="3" fontId="11" fillId="3" borderId="16" xfId="0" applyNumberFormat="1" applyFont="1" applyFill="1" applyBorder="1" applyAlignment="1">
      <alignment horizontal="right"/>
    </xf>
    <xf numFmtId="3" fontId="29" fillId="2" borderId="1" xfId="0" applyNumberFormat="1" applyFont="1" applyFill="1" applyBorder="1"/>
    <xf numFmtId="166" fontId="29" fillId="0" borderId="0" xfId="0" applyNumberFormat="1" applyFont="1"/>
    <xf numFmtId="1" fontId="4" fillId="0" borderId="17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left"/>
    </xf>
    <xf numFmtId="168" fontId="9" fillId="0" borderId="17" xfId="0" applyNumberFormat="1" applyFont="1" applyBorder="1" applyAlignment="1">
      <alignment horizontal="left"/>
    </xf>
    <xf numFmtId="0" fontId="21" fillId="3" borderId="19" xfId="0" applyFont="1" applyFill="1" applyBorder="1" applyAlignment="1"/>
    <xf numFmtId="168" fontId="40" fillId="3" borderId="17" xfId="0" applyNumberFormat="1" applyFont="1" applyFill="1" applyBorder="1" applyAlignment="1"/>
    <xf numFmtId="168" fontId="28" fillId="2" borderId="1" xfId="0" applyNumberFormat="1" applyFont="1" applyFill="1" applyBorder="1"/>
    <xf numFmtId="168" fontId="40" fillId="0" borderId="0" xfId="0" applyNumberFormat="1" applyFont="1"/>
    <xf numFmtId="1" fontId="61" fillId="0" borderId="0" xfId="0" applyNumberFormat="1" applyFont="1" applyAlignment="1">
      <alignment horizontal="left"/>
    </xf>
    <xf numFmtId="0" fontId="29" fillId="2" borderId="1" xfId="0" applyFont="1" applyFill="1" applyBorder="1"/>
    <xf numFmtId="1" fontId="60" fillId="0" borderId="0" xfId="0" applyNumberFormat="1" applyFont="1"/>
    <xf numFmtId="0" fontId="29" fillId="3" borderId="0" xfId="0" applyFont="1" applyFill="1"/>
    <xf numFmtId="0" fontId="8" fillId="0" borderId="2" xfId="0" applyFont="1" applyBorder="1" applyAlignment="1">
      <alignment horizontal="right"/>
    </xf>
    <xf numFmtId="0" fontId="12" fillId="3" borderId="0" xfId="0" applyFont="1" applyFill="1" applyBorder="1"/>
    <xf numFmtId="3" fontId="36" fillId="0" borderId="0" xfId="0" applyNumberFormat="1" applyFont="1" applyFill="1" applyBorder="1"/>
    <xf numFmtId="3" fontId="8" fillId="0" borderId="0" xfId="0" applyNumberFormat="1" applyFont="1" applyFill="1" applyBorder="1" applyAlignment="1">
      <alignment horizontal="right"/>
    </xf>
    <xf numFmtId="168" fontId="6" fillId="2" borderId="9" xfId="0" applyNumberFormat="1" applyFont="1" applyFill="1" applyBorder="1" applyAlignment="1">
      <alignment horizontal="center" vertical="center"/>
    </xf>
    <xf numFmtId="168" fontId="18" fillId="0" borderId="0" xfId="0" applyNumberFormat="1" applyFont="1" applyFill="1" applyBorder="1" applyAlignment="1">
      <alignment horizontal="center"/>
    </xf>
    <xf numFmtId="168" fontId="54" fillId="0" borderId="0" xfId="0" applyNumberFormat="1" applyFont="1" applyAlignment="1">
      <alignment horizontal="center"/>
    </xf>
    <xf numFmtId="0" fontId="12" fillId="3" borderId="3" xfId="0" applyFont="1" applyFill="1" applyBorder="1"/>
    <xf numFmtId="168" fontId="6" fillId="2" borderId="5" xfId="0" applyNumberFormat="1" applyFont="1" applyFill="1" applyBorder="1" applyAlignment="1">
      <alignment horizontal="center" vertical="center"/>
    </xf>
    <xf numFmtId="0" fontId="13" fillId="0" borderId="2" xfId="0" applyFont="1" applyBorder="1" applyAlignment="1"/>
    <xf numFmtId="168" fontId="27" fillId="3" borderId="0" xfId="0" applyNumberFormat="1" applyFont="1" applyFill="1" applyBorder="1" applyAlignment="1">
      <alignment horizontal="left"/>
    </xf>
    <xf numFmtId="168" fontId="27" fillId="3" borderId="19" xfId="0" applyNumberFormat="1" applyFont="1" applyFill="1" applyBorder="1" applyAlignment="1">
      <alignment horizontal="left"/>
    </xf>
    <xf numFmtId="3" fontId="14" fillId="3" borderId="0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right"/>
    </xf>
    <xf numFmtId="3" fontId="14" fillId="3" borderId="16" xfId="0" applyNumberFormat="1" applyFont="1" applyFill="1" applyBorder="1" applyAlignment="1">
      <alignment horizontal="right"/>
    </xf>
    <xf numFmtId="0" fontId="29" fillId="0" borderId="6" xfId="0" applyFont="1" applyBorder="1" applyAlignment="1">
      <alignment horizontal="left"/>
    </xf>
    <xf numFmtId="3" fontId="8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/>
    </xf>
    <xf numFmtId="3" fontId="18" fillId="0" borderId="0" xfId="0" applyNumberFormat="1" applyFont="1" applyFill="1" applyBorder="1"/>
    <xf numFmtId="3" fontId="11" fillId="3" borderId="14" xfId="0" applyNumberFormat="1" applyFont="1" applyFill="1" applyBorder="1" applyAlignment="1">
      <alignment horizontal="right"/>
    </xf>
    <xf numFmtId="3" fontId="11" fillId="0" borderId="0" xfId="0" applyNumberFormat="1" applyFont="1" applyBorder="1" applyAlignment="1"/>
    <xf numFmtId="3" fontId="13" fillId="3" borderId="13" xfId="0" applyNumberFormat="1" applyFont="1" applyFill="1" applyBorder="1" applyAlignment="1">
      <alignment horizontal="right"/>
    </xf>
    <xf numFmtId="3" fontId="13" fillId="3" borderId="20" xfId="0" applyNumberFormat="1" applyFont="1" applyFill="1" applyBorder="1" applyAlignment="1">
      <alignment horizontal="right"/>
    </xf>
    <xf numFmtId="166" fontId="23" fillId="0" borderId="0" xfId="0" applyNumberFormat="1" applyFont="1" applyFill="1" applyBorder="1"/>
    <xf numFmtId="167" fontId="14" fillId="0" borderId="21" xfId="0" applyNumberFormat="1" applyFont="1" applyBorder="1"/>
    <xf numFmtId="167" fontId="8" fillId="0" borderId="21" xfId="0" applyNumberFormat="1" applyFont="1" applyBorder="1"/>
    <xf numFmtId="167" fontId="7" fillId="2" borderId="22" xfId="0" applyNumberFormat="1" applyFont="1" applyFill="1" applyBorder="1"/>
    <xf numFmtId="167" fontId="31" fillId="2" borderId="10" xfId="0" applyNumberFormat="1" applyFont="1" applyFill="1" applyBorder="1" applyAlignment="1">
      <alignment shrinkToFit="1"/>
    </xf>
    <xf numFmtId="167" fontId="11" fillId="0" borderId="21" xfId="0" applyNumberFormat="1" applyFont="1" applyBorder="1"/>
    <xf numFmtId="167" fontId="7" fillId="0" borderId="0" xfId="0" applyNumberFormat="1" applyFont="1" applyFill="1" applyBorder="1"/>
    <xf numFmtId="167" fontId="7" fillId="3" borderId="0" xfId="0" applyNumberFormat="1" applyFont="1" applyFill="1" applyBorder="1"/>
    <xf numFmtId="167" fontId="6" fillId="2" borderId="23" xfId="0" applyNumberFormat="1" applyFont="1" applyFill="1" applyBorder="1" applyAlignment="1">
      <alignment horizontal="center" vertical="center"/>
    </xf>
    <xf numFmtId="167" fontId="6" fillId="2" borderId="24" xfId="0" applyNumberFormat="1" applyFont="1" applyFill="1" applyBorder="1" applyAlignment="1">
      <alignment horizontal="center" vertical="center"/>
    </xf>
    <xf numFmtId="167" fontId="13" fillId="0" borderId="21" xfId="0" applyNumberFormat="1" applyFont="1" applyBorder="1"/>
    <xf numFmtId="167" fontId="13" fillId="0" borderId="25" xfId="0" applyNumberFormat="1" applyFont="1" applyBorder="1"/>
    <xf numFmtId="167" fontId="12" fillId="0" borderId="0" xfId="0" applyNumberFormat="1" applyFont="1" applyFill="1" applyBorder="1"/>
    <xf numFmtId="167" fontId="60" fillId="0" borderId="0" xfId="0" applyNumberFormat="1" applyFont="1"/>
    <xf numFmtId="167" fontId="29" fillId="0" borderId="0" xfId="0" applyNumberFormat="1" applyFont="1"/>
    <xf numFmtId="167" fontId="13" fillId="0" borderId="25" xfId="0" applyNumberFormat="1" applyFont="1" applyBorder="1" applyAlignment="1">
      <alignment horizontal="right"/>
    </xf>
    <xf numFmtId="166" fontId="6" fillId="2" borderId="24" xfId="0" applyNumberFormat="1" applyFont="1" applyFill="1" applyBorder="1" applyAlignment="1">
      <alignment horizontal="center" vertical="center"/>
    </xf>
    <xf numFmtId="167" fontId="18" fillId="0" borderId="0" xfId="0" applyNumberFormat="1" applyFont="1"/>
    <xf numFmtId="167" fontId="13" fillId="0" borderId="23" xfId="0" applyNumberFormat="1" applyFont="1" applyBorder="1"/>
    <xf numFmtId="167" fontId="8" fillId="2" borderId="24" xfId="0" applyNumberFormat="1" applyFont="1" applyFill="1" applyBorder="1"/>
    <xf numFmtId="167" fontId="13" fillId="2" borderId="24" xfId="0" applyNumberFormat="1" applyFont="1" applyFill="1" applyBorder="1"/>
    <xf numFmtId="167" fontId="51" fillId="0" borderId="0" xfId="0" applyNumberFormat="1" applyFont="1"/>
    <xf numFmtId="166" fontId="8" fillId="0" borderId="0" xfId="0" applyNumberFormat="1" applyFont="1" applyFill="1" applyBorder="1"/>
    <xf numFmtId="166" fontId="8" fillId="3" borderId="25" xfId="0" applyNumberFormat="1" applyFont="1" applyFill="1" applyBorder="1" applyAlignment="1">
      <alignment horizontal="right"/>
    </xf>
    <xf numFmtId="166" fontId="13" fillId="0" borderId="25" xfId="0" applyNumberFormat="1" applyFont="1" applyBorder="1" applyAlignment="1">
      <alignment horizontal="right"/>
    </xf>
    <xf numFmtId="167" fontId="8" fillId="0" borderId="0" xfId="0" applyNumberFormat="1" applyFont="1" applyFill="1" applyBorder="1"/>
    <xf numFmtId="166" fontId="18" fillId="0" borderId="0" xfId="0" applyNumberFormat="1" applyFont="1" applyFill="1" applyBorder="1"/>
    <xf numFmtId="167" fontId="54" fillId="0" borderId="0" xfId="0" applyNumberFormat="1" applyFont="1"/>
    <xf numFmtId="166" fontId="39" fillId="0" borderId="0" xfId="0" applyNumberFormat="1" applyFont="1"/>
    <xf numFmtId="0" fontId="12" fillId="0" borderId="3" xfId="0" applyFont="1" applyBorder="1" applyAlignment="1">
      <alignment wrapText="1"/>
    </xf>
    <xf numFmtId="3" fontId="13" fillId="3" borderId="19" xfId="0" applyNumberFormat="1" applyFont="1" applyFill="1" applyBorder="1" applyAlignment="1">
      <alignment horizontal="right"/>
    </xf>
    <xf numFmtId="1" fontId="12" fillId="3" borderId="9" xfId="0" applyNumberFormat="1" applyFont="1" applyFill="1" applyBorder="1" applyAlignment="1">
      <alignment horizontal="left"/>
    </xf>
    <xf numFmtId="1" fontId="12" fillId="3" borderId="13" xfId="0" applyNumberFormat="1" applyFont="1" applyFill="1" applyBorder="1" applyAlignment="1">
      <alignment horizontal="left"/>
    </xf>
    <xf numFmtId="0" fontId="13" fillId="3" borderId="9" xfId="0" applyFont="1" applyFill="1" applyBorder="1"/>
    <xf numFmtId="1" fontId="4" fillId="0" borderId="26" xfId="0" applyNumberFormat="1" applyFont="1" applyBorder="1" applyAlignment="1">
      <alignment horizontal="left"/>
    </xf>
    <xf numFmtId="1" fontId="12" fillId="3" borderId="12" xfId="0" applyNumberFormat="1" applyFont="1" applyFill="1" applyBorder="1" applyAlignment="1">
      <alignment horizontal="left"/>
    </xf>
    <xf numFmtId="0" fontId="10" fillId="3" borderId="2" xfId="0" applyFont="1" applyFill="1" applyBorder="1"/>
    <xf numFmtId="0" fontId="12" fillId="3" borderId="2" xfId="0" applyFont="1" applyFill="1" applyBorder="1"/>
    <xf numFmtId="0" fontId="12" fillId="3" borderId="14" xfId="0" applyFont="1" applyFill="1" applyBorder="1"/>
    <xf numFmtId="3" fontId="13" fillId="3" borderId="27" xfId="0" applyNumberFormat="1" applyFont="1" applyFill="1" applyBorder="1" applyAlignment="1">
      <alignment horizontal="right"/>
    </xf>
    <xf numFmtId="0" fontId="12" fillId="0" borderId="19" xfId="0" applyFont="1" applyFill="1" applyBorder="1" applyAlignment="1"/>
    <xf numFmtId="168" fontId="27" fillId="3" borderId="27" xfId="0" applyNumberFormat="1" applyFont="1" applyFill="1" applyBorder="1" applyAlignment="1">
      <alignment horizontal="center"/>
    </xf>
    <xf numFmtId="168" fontId="27" fillId="0" borderId="19" xfId="0" applyNumberFormat="1" applyFont="1" applyBorder="1" applyAlignment="1">
      <alignment horizontal="center"/>
    </xf>
    <xf numFmtId="168" fontId="27" fillId="0" borderId="0" xfId="0" applyNumberFormat="1" applyFont="1" applyBorder="1" applyAlignment="1">
      <alignment horizontal="center"/>
    </xf>
    <xf numFmtId="168" fontId="27" fillId="3" borderId="0" xfId="0" applyNumberFormat="1" applyFont="1" applyFill="1" applyBorder="1" applyAlignment="1">
      <alignment horizontal="center"/>
    </xf>
    <xf numFmtId="3" fontId="13" fillId="0" borderId="27" xfId="0" applyNumberFormat="1" applyFont="1" applyBorder="1" applyAlignment="1">
      <alignment horizontal="right"/>
    </xf>
    <xf numFmtId="0" fontId="12" fillId="0" borderId="0" xfId="0" applyFont="1" applyFill="1" applyBorder="1" applyAlignment="1">
      <alignment wrapText="1"/>
    </xf>
    <xf numFmtId="1" fontId="12" fillId="3" borderId="26" xfId="0" applyNumberFormat="1" applyFont="1" applyFill="1" applyBorder="1" applyAlignment="1">
      <alignment horizontal="left"/>
    </xf>
    <xf numFmtId="168" fontId="27" fillId="3" borderId="27" xfId="0" applyNumberFormat="1" applyFont="1" applyFill="1" applyBorder="1" applyAlignment="1">
      <alignment horizontal="left"/>
    </xf>
    <xf numFmtId="0" fontId="11" fillId="0" borderId="25" xfId="0" applyFont="1" applyBorder="1" applyAlignment="1">
      <alignment horizontal="right"/>
    </xf>
    <xf numFmtId="1" fontId="12" fillId="3" borderId="28" xfId="0" applyNumberFormat="1" applyFont="1" applyFill="1" applyBorder="1" applyAlignment="1">
      <alignment horizontal="left"/>
    </xf>
    <xf numFmtId="0" fontId="11" fillId="0" borderId="29" xfId="0" applyFont="1" applyBorder="1" applyAlignment="1">
      <alignment horizontal="right"/>
    </xf>
    <xf numFmtId="166" fontId="13" fillId="0" borderId="30" xfId="0" applyNumberFormat="1" applyFont="1" applyBorder="1" applyAlignment="1">
      <alignment horizontal="right"/>
    </xf>
    <xf numFmtId="1" fontId="12" fillId="0" borderId="9" xfId="0" applyNumberFormat="1" applyFont="1" applyBorder="1" applyAlignment="1">
      <alignment horizontal="left"/>
    </xf>
    <xf numFmtId="168" fontId="9" fillId="0" borderId="18" xfId="0" applyNumberFormat="1" applyFont="1" applyBorder="1" applyAlignment="1">
      <alignment horizontal="left"/>
    </xf>
    <xf numFmtId="1" fontId="15" fillId="0" borderId="0" xfId="0" applyNumberFormat="1" applyFont="1" applyAlignment="1">
      <alignment horizontal="left"/>
    </xf>
    <xf numFmtId="0" fontId="60" fillId="0" borderId="0" xfId="0" applyFont="1" applyBorder="1"/>
    <xf numFmtId="168" fontId="28" fillId="0" borderId="17" xfId="0" applyNumberFormat="1" applyFont="1" applyBorder="1"/>
    <xf numFmtId="3" fontId="22" fillId="0" borderId="0" xfId="0" applyNumberFormat="1" applyFont="1"/>
    <xf numFmtId="0" fontId="22" fillId="0" borderId="0" xfId="0" applyFont="1"/>
    <xf numFmtId="166" fontId="13" fillId="0" borderId="29" xfId="0" applyNumberFormat="1" applyFont="1" applyBorder="1" applyAlignment="1">
      <alignment horizontal="right"/>
    </xf>
    <xf numFmtId="0" fontId="12" fillId="3" borderId="3" xfId="0" applyFont="1" applyFill="1" applyBorder="1" applyAlignment="1"/>
    <xf numFmtId="1" fontId="12" fillId="3" borderId="14" xfId="0" applyNumberFormat="1" applyFont="1" applyFill="1" applyBorder="1" applyAlignment="1">
      <alignment horizontal="left"/>
    </xf>
    <xf numFmtId="1" fontId="12" fillId="3" borderId="31" xfId="0" applyNumberFormat="1" applyFont="1" applyFill="1" applyBorder="1" applyAlignment="1">
      <alignment horizontal="left"/>
    </xf>
    <xf numFmtId="168" fontId="27" fillId="3" borderId="20" xfId="0" applyNumberFormat="1" applyFont="1" applyFill="1" applyBorder="1" applyAlignment="1">
      <alignment horizontal="left"/>
    </xf>
    <xf numFmtId="3" fontId="63" fillId="0" borderId="2" xfId="0" applyNumberFormat="1" applyFont="1" applyBorder="1" applyAlignment="1">
      <alignment horizontal="right"/>
    </xf>
    <xf numFmtId="3" fontId="34" fillId="2" borderId="10" xfId="0" applyNumberFormat="1" applyFont="1" applyFill="1" applyBorder="1"/>
    <xf numFmtId="0" fontId="13" fillId="0" borderId="25" xfId="0" applyFont="1" applyBorder="1" applyAlignment="1">
      <alignment horizontal="right"/>
    </xf>
    <xf numFmtId="0" fontId="13" fillId="3" borderId="2" xfId="0" applyFont="1" applyFill="1" applyBorder="1" applyAlignment="1"/>
    <xf numFmtId="166" fontId="13" fillId="0" borderId="32" xfId="0" applyNumberFormat="1" applyFont="1" applyBorder="1" applyAlignment="1">
      <alignment horizontal="right"/>
    </xf>
    <xf numFmtId="166" fontId="7" fillId="3" borderId="25" xfId="0" applyNumberFormat="1" applyFont="1" applyFill="1" applyBorder="1" applyAlignment="1">
      <alignment horizontal="right"/>
    </xf>
    <xf numFmtId="166" fontId="7" fillId="3" borderId="29" xfId="0" applyNumberFormat="1" applyFont="1" applyFill="1" applyBorder="1" applyAlignment="1">
      <alignment horizontal="right"/>
    </xf>
    <xf numFmtId="0" fontId="67" fillId="0" borderId="0" xfId="0" applyFont="1"/>
    <xf numFmtId="3" fontId="54" fillId="0" borderId="0" xfId="0" applyNumberFormat="1" applyFont="1"/>
    <xf numFmtId="3" fontId="53" fillId="0" borderId="0" xfId="0" applyNumberFormat="1" applyFont="1"/>
    <xf numFmtId="1" fontId="12" fillId="3" borderId="33" xfId="0" applyNumberFormat="1" applyFont="1" applyFill="1" applyBorder="1" applyAlignment="1">
      <alignment horizontal="left"/>
    </xf>
    <xf numFmtId="168" fontId="27" fillId="3" borderId="34" xfId="0" applyNumberFormat="1" applyFont="1" applyFill="1" applyBorder="1" applyAlignment="1">
      <alignment horizontal="left"/>
    </xf>
    <xf numFmtId="3" fontId="13" fillId="3" borderId="34" xfId="0" applyNumberFormat="1" applyFont="1" applyFill="1" applyBorder="1" applyAlignment="1">
      <alignment horizontal="right"/>
    </xf>
    <xf numFmtId="3" fontId="13" fillId="3" borderId="14" xfId="0" applyNumberFormat="1" applyFont="1" applyFill="1" applyBorder="1" applyAlignment="1">
      <alignment horizontal="right"/>
    </xf>
    <xf numFmtId="166" fontId="13" fillId="0" borderId="35" xfId="0" applyNumberFormat="1" applyFont="1" applyBorder="1" applyAlignment="1">
      <alignment horizontal="right"/>
    </xf>
    <xf numFmtId="1" fontId="12" fillId="3" borderId="0" xfId="0" applyNumberFormat="1" applyFont="1" applyFill="1" applyBorder="1" applyAlignment="1">
      <alignment horizontal="left"/>
    </xf>
    <xf numFmtId="166" fontId="13" fillId="0" borderId="0" xfId="0" applyNumberFormat="1" applyFont="1" applyBorder="1" applyAlignment="1">
      <alignment horizontal="right"/>
    </xf>
    <xf numFmtId="1" fontId="7" fillId="2" borderId="0" xfId="0" applyNumberFormat="1" applyFont="1" applyFill="1" applyBorder="1" applyAlignment="1">
      <alignment horizontal="left"/>
    </xf>
    <xf numFmtId="0" fontId="7" fillId="2" borderId="0" xfId="0" applyFont="1" applyFill="1" applyBorder="1"/>
    <xf numFmtId="0" fontId="12" fillId="2" borderId="0" xfId="0" applyFont="1" applyFill="1" applyBorder="1"/>
    <xf numFmtId="0" fontId="12" fillId="2" borderId="0" xfId="0" applyFont="1" applyFill="1" applyBorder="1" applyAlignment="1">
      <alignment horizontal="right"/>
    </xf>
    <xf numFmtId="0" fontId="59" fillId="2" borderId="0" xfId="0" applyFont="1" applyFill="1" applyBorder="1" applyAlignment="1">
      <alignment horizontal="right"/>
    </xf>
    <xf numFmtId="0" fontId="55" fillId="2" borderId="19" xfId="0" applyFont="1" applyFill="1" applyBorder="1"/>
    <xf numFmtId="1" fontId="17" fillId="2" borderId="19" xfId="0" applyNumberFormat="1" applyFont="1" applyFill="1" applyBorder="1" applyAlignment="1">
      <alignment horizontal="left"/>
    </xf>
    <xf numFmtId="0" fontId="17" fillId="2" borderId="19" xfId="0" applyFont="1" applyFill="1" applyBorder="1"/>
    <xf numFmtId="0" fontId="69" fillId="2" borderId="19" xfId="0" applyFont="1" applyFill="1" applyBorder="1" applyAlignment="1">
      <alignment horizontal="right"/>
    </xf>
    <xf numFmtId="0" fontId="55" fillId="3" borderId="0" xfId="0" applyFont="1" applyFill="1" applyBorder="1"/>
    <xf numFmtId="1" fontId="17" fillId="3" borderId="0" xfId="0" applyNumberFormat="1" applyFont="1" applyFill="1" applyBorder="1" applyAlignment="1">
      <alignment horizontal="left"/>
    </xf>
    <xf numFmtId="0" fontId="17" fillId="3" borderId="0" xfId="0" applyFont="1" applyFill="1" applyBorder="1"/>
    <xf numFmtId="0" fontId="69" fillId="3" borderId="0" xfId="0" applyFont="1" applyFill="1" applyBorder="1" applyAlignment="1">
      <alignment horizontal="right"/>
    </xf>
    <xf numFmtId="0" fontId="59" fillId="3" borderId="0" xfId="0" applyFont="1" applyFill="1" applyBorder="1" applyAlignment="1">
      <alignment horizontal="right"/>
    </xf>
    <xf numFmtId="166" fontId="0" fillId="3" borderId="0" xfId="0" applyNumberFormat="1" applyFill="1"/>
    <xf numFmtId="0" fontId="13" fillId="0" borderId="30" xfId="0" applyFont="1" applyBorder="1" applyAlignment="1">
      <alignment horizontal="right"/>
    </xf>
    <xf numFmtId="0" fontId="16" fillId="0" borderId="12" xfId="0" applyFont="1" applyBorder="1"/>
    <xf numFmtId="0" fontId="16" fillId="0" borderId="25" xfId="0" applyFont="1" applyBorder="1" applyAlignment="1">
      <alignment horizontal="right"/>
    </xf>
    <xf numFmtId="0" fontId="7" fillId="3" borderId="25" xfId="0" applyFont="1" applyFill="1" applyBorder="1" applyAlignment="1">
      <alignment horizontal="right"/>
    </xf>
    <xf numFmtId="0" fontId="7" fillId="3" borderId="29" xfId="0" applyFont="1" applyFill="1" applyBorder="1" applyAlignment="1">
      <alignment horizontal="right"/>
    </xf>
    <xf numFmtId="1" fontId="17" fillId="0" borderId="2" xfId="0" applyNumberFormat="1" applyFont="1" applyBorder="1" applyAlignment="1">
      <alignment horizontal="left"/>
    </xf>
    <xf numFmtId="168" fontId="70" fillId="0" borderId="0" xfId="0" applyNumberFormat="1" applyFont="1" applyBorder="1" applyAlignment="1">
      <alignment horizontal="center"/>
    </xf>
    <xf numFmtId="3" fontId="63" fillId="0" borderId="27" xfId="0" applyNumberFormat="1" applyFont="1" applyBorder="1" applyAlignment="1">
      <alignment horizontal="right"/>
    </xf>
    <xf numFmtId="3" fontId="63" fillId="0" borderId="0" xfId="0" applyNumberFormat="1" applyFont="1" applyBorder="1" applyAlignment="1">
      <alignment horizontal="right"/>
    </xf>
    <xf numFmtId="3" fontId="11" fillId="0" borderId="19" xfId="0" applyNumberFormat="1" applyFont="1" applyBorder="1" applyAlignment="1">
      <alignment wrapText="1"/>
    </xf>
    <xf numFmtId="0" fontId="16" fillId="0" borderId="28" xfId="0" applyFont="1" applyBorder="1"/>
    <xf numFmtId="1" fontId="17" fillId="0" borderId="3" xfId="0" applyNumberFormat="1" applyFont="1" applyBorder="1" applyAlignment="1">
      <alignment horizontal="left"/>
    </xf>
    <xf numFmtId="3" fontId="63" fillId="0" borderId="19" xfId="0" applyNumberFormat="1" applyFont="1" applyBorder="1" applyAlignment="1">
      <alignment horizontal="right"/>
    </xf>
    <xf numFmtId="167" fontId="8" fillId="3" borderId="25" xfId="0" applyNumberFormat="1" applyFont="1" applyFill="1" applyBorder="1" applyAlignment="1">
      <alignment horizontal="right"/>
    </xf>
    <xf numFmtId="167" fontId="55" fillId="2" borderId="36" xfId="0" applyNumberFormat="1" applyFont="1" applyFill="1" applyBorder="1" applyAlignment="1">
      <alignment horizontal="right"/>
    </xf>
    <xf numFmtId="0" fontId="55" fillId="2" borderId="19" xfId="0" applyFont="1" applyFill="1" applyBorder="1" applyAlignment="1">
      <alignment horizontal="right"/>
    </xf>
    <xf numFmtId="166" fontId="55" fillId="2" borderId="36" xfId="0" applyNumberFormat="1" applyFont="1" applyFill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3" fillId="0" borderId="0" xfId="0" applyNumberFormat="1" applyFont="1" applyAlignment="1">
      <alignment horizontal="right"/>
    </xf>
    <xf numFmtId="3" fontId="51" fillId="3" borderId="0" xfId="0" applyNumberFormat="1" applyFont="1" applyFill="1" applyBorder="1" applyAlignment="1">
      <alignment horizontal="right"/>
    </xf>
    <xf numFmtId="167" fontId="52" fillId="0" borderId="0" xfId="0" applyNumberFormat="1" applyFont="1" applyFill="1" applyBorder="1" applyAlignment="1">
      <alignment horizontal="right" vertical="center"/>
    </xf>
    <xf numFmtId="167" fontId="67" fillId="0" borderId="0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/>
    <xf numFmtId="0" fontId="18" fillId="0" borderId="0" xfId="0" applyFont="1" applyFill="1" applyBorder="1" applyAlignment="1">
      <alignment horizontal="left"/>
    </xf>
    <xf numFmtId="0" fontId="13" fillId="0" borderId="0" xfId="0" applyFont="1" applyFill="1" applyBorder="1"/>
    <xf numFmtId="0" fontId="8" fillId="0" borderId="18" xfId="0" applyFont="1" applyBorder="1" applyAlignment="1">
      <alignment horizontal="right"/>
    </xf>
    <xf numFmtId="0" fontId="0" fillId="0" borderId="0" xfId="0" applyAlignment="1"/>
    <xf numFmtId="0" fontId="12" fillId="0" borderId="0" xfId="0" applyFont="1" applyFill="1" applyBorder="1"/>
    <xf numFmtId="3" fontId="13" fillId="0" borderId="0" xfId="0" applyNumberFormat="1" applyFont="1" applyFill="1" applyBorder="1" applyAlignment="1">
      <alignment horizontal="right"/>
    </xf>
    <xf numFmtId="3" fontId="11" fillId="0" borderId="0" xfId="0" applyNumberFormat="1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right"/>
    </xf>
    <xf numFmtId="3" fontId="11" fillId="0" borderId="2" xfId="0" applyNumberFormat="1" applyFont="1" applyFill="1" applyBorder="1" applyAlignment="1">
      <alignment horizontal="right"/>
    </xf>
    <xf numFmtId="0" fontId="13" fillId="0" borderId="0" xfId="0" applyFont="1" applyAlignment="1"/>
    <xf numFmtId="0" fontId="0" fillId="0" borderId="0" xfId="0" applyAlignment="1">
      <alignment horizontal="center"/>
    </xf>
    <xf numFmtId="0" fontId="35" fillId="2" borderId="4" xfId="0" applyFont="1" applyFill="1" applyBorder="1" applyAlignment="1">
      <alignment horizontal="center" vertical="center"/>
    </xf>
    <xf numFmtId="0" fontId="35" fillId="2" borderId="5" xfId="0" applyFont="1" applyFill="1" applyBorder="1" applyAlignment="1">
      <alignment horizontal="center" vertical="center"/>
    </xf>
    <xf numFmtId="1" fontId="35" fillId="2" borderId="5" xfId="0" applyNumberFormat="1" applyFont="1" applyFill="1" applyBorder="1" applyAlignment="1">
      <alignment horizontal="center" vertical="center" wrapText="1"/>
    </xf>
    <xf numFmtId="1" fontId="35" fillId="2" borderId="37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3" fontId="35" fillId="2" borderId="24" xfId="0" applyNumberFormat="1" applyFont="1" applyFill="1" applyBorder="1" applyAlignment="1">
      <alignment horizontal="center" vertical="center"/>
    </xf>
    <xf numFmtId="0" fontId="39" fillId="0" borderId="0" xfId="0" applyFont="1" applyAlignment="1"/>
    <xf numFmtId="0" fontId="39" fillId="0" borderId="0" xfId="0" applyFont="1" applyAlignment="1">
      <alignment horizontal="right"/>
    </xf>
    <xf numFmtId="4" fontId="0" fillId="0" borderId="0" xfId="0" applyNumberFormat="1"/>
    <xf numFmtId="0" fontId="28" fillId="2" borderId="4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vertical="center"/>
    </xf>
    <xf numFmtId="4" fontId="28" fillId="2" borderId="5" xfId="0" applyNumberFormat="1" applyFont="1" applyFill="1" applyBorder="1" applyAlignment="1">
      <alignment horizontal="center" vertical="center" wrapText="1"/>
    </xf>
    <xf numFmtId="4" fontId="28" fillId="2" borderId="37" xfId="0" applyNumberFormat="1" applyFont="1" applyFill="1" applyBorder="1" applyAlignment="1">
      <alignment horizontal="center" vertical="center" wrapText="1"/>
    </xf>
    <xf numFmtId="3" fontId="0" fillId="2" borderId="24" xfId="0" applyNumberFormat="1" applyFill="1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9" xfId="0" applyBorder="1" applyAlignment="1">
      <alignment horizontal="center"/>
    </xf>
    <xf numFmtId="4" fontId="21" fillId="2" borderId="5" xfId="0" applyNumberFormat="1" applyFont="1" applyFill="1" applyBorder="1"/>
    <xf numFmtId="0" fontId="21" fillId="0" borderId="12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/>
    </xf>
    <xf numFmtId="0" fontId="21" fillId="0" borderId="17" xfId="0" applyFont="1" applyFill="1" applyBorder="1" applyAlignment="1">
      <alignment horizontal="left"/>
    </xf>
    <xf numFmtId="0" fontId="21" fillId="0" borderId="0" xfId="0" applyFont="1" applyFill="1"/>
    <xf numFmtId="0" fontId="21" fillId="2" borderId="39" xfId="0" applyFont="1" applyFill="1" applyBorder="1" applyAlignment="1">
      <alignment horizontal="left"/>
    </xf>
    <xf numFmtId="0" fontId="21" fillId="2" borderId="10" xfId="0" applyFont="1" applyFill="1" applyBorder="1" applyAlignment="1">
      <alignment horizontal="left"/>
    </xf>
    <xf numFmtId="0" fontId="21" fillId="2" borderId="40" xfId="0" applyFont="1" applyFill="1" applyBorder="1" applyAlignment="1">
      <alignment horizontal="left"/>
    </xf>
    <xf numFmtId="3" fontId="0" fillId="0" borderId="0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6" fontId="21" fillId="0" borderId="0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/>
    <xf numFmtId="0" fontId="3" fillId="0" borderId="0" xfId="0" applyFont="1" applyFill="1" applyAlignment="1">
      <alignment vertical="center"/>
    </xf>
    <xf numFmtId="4" fontId="21" fillId="0" borderId="0" xfId="0" applyNumberFormat="1" applyFont="1" applyFill="1" applyBorder="1"/>
    <xf numFmtId="3" fontId="21" fillId="0" borderId="41" xfId="0" applyNumberFormat="1" applyFont="1" applyFill="1" applyBorder="1" applyAlignment="1">
      <alignment horizontal="right"/>
    </xf>
    <xf numFmtId="0" fontId="51" fillId="0" borderId="0" xfId="0" applyFont="1" applyAlignment="1"/>
    <xf numFmtId="166" fontId="21" fillId="2" borderId="42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vertical="center"/>
    </xf>
    <xf numFmtId="3" fontId="36" fillId="0" borderId="2" xfId="0" applyNumberFormat="1" applyFont="1" applyFill="1" applyBorder="1"/>
    <xf numFmtId="3" fontId="11" fillId="0" borderId="2" xfId="0" applyNumberFormat="1" applyFont="1" applyFill="1" applyBorder="1"/>
    <xf numFmtId="1" fontId="35" fillId="2" borderId="24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5" fillId="0" borderId="0" xfId="0" applyFont="1" applyFill="1"/>
    <xf numFmtId="1" fontId="41" fillId="0" borderId="0" xfId="0" applyNumberFormat="1" applyFont="1" applyFill="1" applyBorder="1" applyAlignment="1">
      <alignment horizontal="left"/>
    </xf>
    <xf numFmtId="1" fontId="41" fillId="0" borderId="0" xfId="0" applyNumberFormat="1" applyFont="1" applyFill="1" applyBorder="1" applyAlignment="1">
      <alignment horizontal="center"/>
    </xf>
    <xf numFmtId="168" fontId="41" fillId="0" borderId="0" xfId="0" applyNumberFormat="1" applyFont="1" applyFill="1" applyBorder="1" applyAlignment="1">
      <alignment horizontal="center"/>
    </xf>
    <xf numFmtId="0" fontId="41" fillId="0" borderId="0" xfId="0" applyFont="1" applyFill="1" applyBorder="1"/>
    <xf numFmtId="3" fontId="41" fillId="0" borderId="0" xfId="0" applyNumberFormat="1" applyFont="1" applyFill="1" applyBorder="1" applyAlignment="1"/>
    <xf numFmtId="167" fontId="41" fillId="0" borderId="0" xfId="0" applyNumberFormat="1" applyFont="1" applyFill="1" applyBorder="1"/>
    <xf numFmtId="0" fontId="41" fillId="0" borderId="0" xfId="0" applyFont="1" applyFill="1"/>
    <xf numFmtId="0" fontId="21" fillId="0" borderId="0" xfId="0" applyFont="1" applyFill="1" applyBorder="1" applyAlignment="1"/>
    <xf numFmtId="167" fontId="31" fillId="2" borderId="10" xfId="0" applyNumberFormat="1" applyFont="1" applyFill="1" applyBorder="1" applyAlignment="1">
      <alignment horizontal="right" shrinkToFit="1"/>
    </xf>
    <xf numFmtId="3" fontId="13" fillId="0" borderId="9" xfId="0" applyNumberFormat="1" applyFont="1" applyFill="1" applyBorder="1" applyAlignment="1">
      <alignment horizontal="right"/>
    </xf>
    <xf numFmtId="1" fontId="7" fillId="0" borderId="0" xfId="0" applyNumberFormat="1" applyFont="1" applyFill="1" applyBorder="1" applyAlignment="1">
      <alignment horizontal="right"/>
    </xf>
    <xf numFmtId="167" fontId="7" fillId="0" borderId="0" xfId="0" applyNumberFormat="1" applyFont="1" applyFill="1" applyBorder="1" applyAlignment="1">
      <alignment horizontal="right"/>
    </xf>
    <xf numFmtId="166" fontId="21" fillId="0" borderId="43" xfId="0" applyNumberFormat="1" applyFont="1" applyFill="1" applyBorder="1" applyAlignment="1">
      <alignment horizontal="right" vertical="center"/>
    </xf>
    <xf numFmtId="166" fontId="21" fillId="2" borderId="44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justify" wrapText="1"/>
    </xf>
    <xf numFmtId="166" fontId="11" fillId="0" borderId="25" xfId="0" applyNumberFormat="1" applyFont="1" applyFill="1" applyBorder="1"/>
    <xf numFmtId="3" fontId="8" fillId="2" borderId="24" xfId="0" applyNumberFormat="1" applyFont="1" applyFill="1" applyBorder="1"/>
    <xf numFmtId="3" fontId="8" fillId="2" borderId="42" xfId="0" applyNumberFormat="1" applyFont="1" applyFill="1" applyBorder="1"/>
    <xf numFmtId="0" fontId="8" fillId="0" borderId="0" xfId="0" applyFont="1" applyFill="1" applyBorder="1"/>
    <xf numFmtId="0" fontId="13" fillId="0" borderId="2" xfId="0" applyFont="1" applyFill="1" applyBorder="1"/>
    <xf numFmtId="0" fontId="3" fillId="0" borderId="0" xfId="0" applyFont="1" applyFill="1"/>
    <xf numFmtId="3" fontId="3" fillId="0" borderId="0" xfId="0" applyNumberFormat="1" applyFont="1" applyFill="1"/>
    <xf numFmtId="0" fontId="28" fillId="0" borderId="0" xfId="0" applyFont="1" applyFill="1" applyAlignment="1">
      <alignment vertical="center"/>
    </xf>
    <xf numFmtId="4" fontId="21" fillId="0" borderId="41" xfId="0" applyNumberFormat="1" applyFont="1" applyFill="1" applyBorder="1" applyAlignment="1">
      <alignment horizontal="right"/>
    </xf>
    <xf numFmtId="4" fontId="21" fillId="2" borderId="45" xfId="0" applyNumberFormat="1" applyFont="1" applyFill="1" applyBorder="1" applyAlignment="1">
      <alignment horizontal="right"/>
    </xf>
    <xf numFmtId="0" fontId="21" fillId="0" borderId="2" xfId="0" applyFont="1" applyBorder="1" applyAlignment="1">
      <alignment vertical="center" wrapText="1"/>
    </xf>
    <xf numFmtId="0" fontId="21" fillId="0" borderId="2" xfId="0" applyFont="1" applyBorder="1" applyAlignment="1"/>
    <xf numFmtId="3" fontId="21" fillId="0" borderId="9" xfId="0" applyNumberFormat="1" applyFont="1" applyFill="1" applyBorder="1"/>
    <xf numFmtId="3" fontId="21" fillId="0" borderId="2" xfId="0" applyNumberFormat="1" applyFont="1" applyFill="1" applyBorder="1"/>
    <xf numFmtId="3" fontId="21" fillId="0" borderId="2" xfId="0" applyNumberFormat="1" applyFont="1" applyFill="1" applyBorder="1" applyAlignment="1">
      <alignment vertical="center"/>
    </xf>
    <xf numFmtId="3" fontId="7" fillId="3" borderId="0" xfId="0" applyNumberFormat="1" applyFont="1" applyFill="1" applyBorder="1" applyAlignment="1">
      <alignment horizontal="right"/>
    </xf>
    <xf numFmtId="173" fontId="0" fillId="0" borderId="2" xfId="0" applyNumberFormat="1" applyBorder="1" applyAlignment="1">
      <alignment horizontal="center" vertical="center"/>
    </xf>
    <xf numFmtId="4" fontId="21" fillId="2" borderId="37" xfId="0" applyNumberFormat="1" applyFont="1" applyFill="1" applyBorder="1"/>
    <xf numFmtId="1" fontId="79" fillId="3" borderId="0" xfId="0" applyNumberFormat="1" applyFont="1" applyFill="1" applyBorder="1" applyAlignment="1">
      <alignment horizontal="left"/>
    </xf>
    <xf numFmtId="1" fontId="79" fillId="3" borderId="0" xfId="0" applyNumberFormat="1" applyFont="1" applyFill="1" applyBorder="1" applyAlignment="1">
      <alignment horizontal="center"/>
    </xf>
    <xf numFmtId="168" fontId="79" fillId="3" borderId="0" xfId="0" applyNumberFormat="1" applyFont="1" applyFill="1" applyBorder="1" applyAlignment="1">
      <alignment horizontal="center"/>
    </xf>
    <xf numFmtId="0" fontId="79" fillId="3" borderId="0" xfId="0" applyFont="1" applyFill="1" applyBorder="1"/>
    <xf numFmtId="0" fontId="80" fillId="0" borderId="0" xfId="0" applyFont="1"/>
    <xf numFmtId="0" fontId="39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wrapText="1"/>
    </xf>
    <xf numFmtId="0" fontId="29" fillId="0" borderId="0" xfId="0" applyFont="1" applyAlignment="1">
      <alignment horizontal="right"/>
    </xf>
    <xf numFmtId="173" fontId="0" fillId="0" borderId="9" xfId="0" applyNumberFormat="1" applyBorder="1" applyAlignment="1">
      <alignment horizontal="center"/>
    </xf>
    <xf numFmtId="3" fontId="21" fillId="0" borderId="2" xfId="0" applyNumberFormat="1" applyFont="1" applyBorder="1" applyAlignment="1">
      <alignment horizontal="right" vertical="center"/>
    </xf>
    <xf numFmtId="3" fontId="21" fillId="0" borderId="15" xfId="0" applyNumberFormat="1" applyFont="1" applyBorder="1" applyAlignment="1">
      <alignment horizontal="right" vertical="center"/>
    </xf>
    <xf numFmtId="3" fontId="21" fillId="0" borderId="9" xfId="0" applyNumberFormat="1" applyFont="1" applyBorder="1" applyAlignment="1">
      <alignment horizontal="right"/>
    </xf>
    <xf numFmtId="3" fontId="21" fillId="0" borderId="46" xfId="0" applyNumberFormat="1" applyFont="1" applyBorder="1" applyAlignment="1">
      <alignment horizontal="right"/>
    </xf>
    <xf numFmtId="166" fontId="21" fillId="0" borderId="21" xfId="0" applyNumberFormat="1" applyFont="1" applyBorder="1" applyAlignment="1">
      <alignment horizontal="right" vertical="center"/>
    </xf>
    <xf numFmtId="166" fontId="21" fillId="0" borderId="42" xfId="0" applyNumberFormat="1" applyFont="1" applyBorder="1" applyAlignment="1">
      <alignment horizontal="right" vertical="center"/>
    </xf>
    <xf numFmtId="0" fontId="39" fillId="2" borderId="1" xfId="0" applyFont="1" applyFill="1" applyBorder="1" applyAlignment="1">
      <alignment horizontal="left"/>
    </xf>
    <xf numFmtId="0" fontId="0" fillId="2" borderId="1" xfId="0" applyFill="1" applyBorder="1" applyAlignment="1"/>
    <xf numFmtId="0" fontId="0" fillId="0" borderId="0" xfId="0" applyFill="1" applyAlignment="1">
      <alignment horizontal="center"/>
    </xf>
    <xf numFmtId="3" fontId="21" fillId="0" borderId="9" xfId="0" applyNumberFormat="1" applyFont="1" applyFill="1" applyBorder="1" applyAlignment="1">
      <alignment horizontal="right" vertical="center" wrapText="1"/>
    </xf>
    <xf numFmtId="3" fontId="21" fillId="0" borderId="2" xfId="0" applyNumberFormat="1" applyFont="1" applyFill="1" applyBorder="1" applyAlignment="1">
      <alignment horizontal="right" vertical="center" wrapText="1"/>
    </xf>
    <xf numFmtId="3" fontId="21" fillId="0" borderId="9" xfId="0" applyNumberFormat="1" applyFont="1" applyFill="1" applyBorder="1" applyAlignment="1">
      <alignment horizontal="right" vertical="center"/>
    </xf>
    <xf numFmtId="3" fontId="21" fillId="0" borderId="2" xfId="0" applyNumberFormat="1" applyFont="1" applyFill="1" applyBorder="1" applyAlignment="1">
      <alignment horizontal="right" vertical="center"/>
    </xf>
    <xf numFmtId="0" fontId="0" fillId="0" borderId="0" xfId="0" applyFill="1" applyAlignment="1"/>
    <xf numFmtId="0" fontId="39" fillId="0" borderId="0" xfId="0" applyFont="1" applyFill="1" applyAlignment="1"/>
    <xf numFmtId="0" fontId="0" fillId="0" borderId="0" xfId="0" applyFill="1" applyAlignment="1">
      <alignment vertical="center"/>
    </xf>
    <xf numFmtId="0" fontId="0" fillId="0" borderId="6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73" fontId="0" fillId="0" borderId="2" xfId="0" applyNumberFormat="1" applyFill="1" applyBorder="1" applyAlignment="1">
      <alignment horizontal="center" vertical="center"/>
    </xf>
    <xf numFmtId="0" fontId="21" fillId="0" borderId="2" xfId="0" applyFont="1" applyFill="1" applyBorder="1" applyAlignment="1">
      <alignment vertical="center" wrapText="1"/>
    </xf>
    <xf numFmtId="3" fontId="0" fillId="0" borderId="0" xfId="0" applyNumberFormat="1" applyFill="1" applyAlignment="1">
      <alignment horizontal="right"/>
    </xf>
    <xf numFmtId="3" fontId="39" fillId="0" borderId="0" xfId="0" applyNumberFormat="1" applyFont="1" applyFill="1" applyAlignment="1">
      <alignment horizontal="right"/>
    </xf>
    <xf numFmtId="3" fontId="21" fillId="0" borderId="0" xfId="0" applyNumberFormat="1" applyFont="1" applyFill="1" applyAlignment="1">
      <alignment horizontal="right" vertical="center"/>
    </xf>
    <xf numFmtId="0" fontId="21" fillId="0" borderId="2" xfId="0" applyFont="1" applyFill="1" applyBorder="1"/>
    <xf numFmtId="166" fontId="21" fillId="0" borderId="21" xfId="0" applyNumberFormat="1" applyFont="1" applyBorder="1" applyAlignment="1">
      <alignment horizontal="right"/>
    </xf>
    <xf numFmtId="167" fontId="13" fillId="0" borderId="0" xfId="0" applyNumberFormat="1" applyFont="1" applyBorder="1" applyAlignment="1">
      <alignment horizontal="right"/>
    </xf>
    <xf numFmtId="167" fontId="11" fillId="0" borderId="0" xfId="0" applyNumberFormat="1" applyFont="1" applyBorder="1" applyAlignment="1">
      <alignment horizontal="right"/>
    </xf>
    <xf numFmtId="164" fontId="23" fillId="0" borderId="2" xfId="0" applyNumberFormat="1" applyFont="1" applyFill="1" applyBorder="1" applyAlignment="1">
      <alignment horizontal="right" vertical="center" wrapText="1"/>
    </xf>
    <xf numFmtId="0" fontId="3" fillId="0" borderId="6" xfId="0" applyFont="1" applyFill="1" applyBorder="1"/>
    <xf numFmtId="0" fontId="37" fillId="0" borderId="0" xfId="0" applyFont="1" applyFill="1"/>
    <xf numFmtId="0" fontId="21" fillId="0" borderId="12" xfId="0" applyFont="1" applyFill="1" applyBorder="1"/>
    <xf numFmtId="0" fontId="3" fillId="0" borderId="12" xfId="0" applyFont="1" applyFill="1" applyBorder="1"/>
    <xf numFmtId="3" fontId="23" fillId="0" borderId="2" xfId="0" applyNumberFormat="1" applyFont="1" applyFill="1" applyBorder="1"/>
    <xf numFmtId="3" fontId="0" fillId="0" borderId="0" xfId="0" applyNumberFormat="1" applyFill="1"/>
    <xf numFmtId="166" fontId="21" fillId="0" borderId="42" xfId="0" applyNumberFormat="1" applyFont="1" applyFill="1" applyBorder="1" applyAlignment="1">
      <alignment horizontal="right" vertical="center"/>
    </xf>
    <xf numFmtId="166" fontId="21" fillId="0" borderId="21" xfId="0" applyNumberFormat="1" applyFont="1" applyFill="1" applyBorder="1" applyAlignment="1">
      <alignment horizontal="right" vertical="center"/>
    </xf>
    <xf numFmtId="0" fontId="12" fillId="0" borderId="0" xfId="0" applyFont="1" applyFill="1"/>
    <xf numFmtId="3" fontId="11" fillId="0" borderId="34" xfId="0" applyNumberFormat="1" applyFont="1" applyFill="1" applyBorder="1" applyAlignment="1">
      <alignment horizontal="right"/>
    </xf>
    <xf numFmtId="3" fontId="11" fillId="0" borderId="14" xfId="0" applyNumberFormat="1" applyFont="1" applyFill="1" applyBorder="1" applyAlignment="1">
      <alignment horizontal="right"/>
    </xf>
    <xf numFmtId="3" fontId="13" fillId="0" borderId="14" xfId="0" applyNumberFormat="1" applyFont="1" applyFill="1" applyBorder="1" applyAlignment="1">
      <alignment horizontal="right"/>
    </xf>
    <xf numFmtId="3" fontId="8" fillId="0" borderId="34" xfId="0" applyNumberFormat="1" applyFont="1" applyFill="1" applyBorder="1" applyAlignment="1">
      <alignment horizontal="right"/>
    </xf>
    <xf numFmtId="3" fontId="13" fillId="0" borderId="34" xfId="0" applyNumberFormat="1" applyFont="1" applyFill="1" applyBorder="1" applyAlignment="1">
      <alignment horizontal="right"/>
    </xf>
    <xf numFmtId="3" fontId="11" fillId="0" borderId="17" xfId="0" applyNumberFormat="1" applyFont="1" applyFill="1" applyBorder="1" applyAlignment="1">
      <alignment horizontal="right"/>
    </xf>
    <xf numFmtId="3" fontId="8" fillId="0" borderId="2" xfId="0" applyNumberFormat="1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right" vertical="top"/>
    </xf>
    <xf numFmtId="3" fontId="14" fillId="0" borderId="0" xfId="0" applyNumberFormat="1" applyFont="1" applyFill="1" applyBorder="1" applyAlignment="1">
      <alignment horizontal="right"/>
    </xf>
    <xf numFmtId="3" fontId="13" fillId="0" borderId="27" xfId="0" applyNumberFormat="1" applyFont="1" applyFill="1" applyBorder="1" applyAlignment="1">
      <alignment horizontal="right"/>
    </xf>
    <xf numFmtId="3" fontId="8" fillId="0" borderId="9" xfId="0" applyNumberFormat="1" applyFont="1" applyFill="1" applyBorder="1" applyAlignment="1">
      <alignment horizontal="right"/>
    </xf>
    <xf numFmtId="3" fontId="14" fillId="0" borderId="2" xfId="0" applyNumberFormat="1" applyFont="1" applyFill="1" applyBorder="1" applyAlignment="1">
      <alignment horizontal="right"/>
    </xf>
    <xf numFmtId="3" fontId="11" fillId="0" borderId="14" xfId="0" applyNumberFormat="1" applyFont="1" applyFill="1" applyBorder="1"/>
    <xf numFmtId="4" fontId="0" fillId="0" borderId="0" xfId="0" applyNumberFormat="1" applyFill="1"/>
    <xf numFmtId="0" fontId="11" fillId="0" borderId="2" xfId="0" applyFont="1" applyFill="1" applyBorder="1" applyAlignment="1"/>
    <xf numFmtId="1" fontId="11" fillId="0" borderId="2" xfId="0" applyNumberFormat="1" applyFont="1" applyFill="1" applyBorder="1" applyAlignment="1">
      <alignment horizontal="left"/>
    </xf>
    <xf numFmtId="1" fontId="11" fillId="0" borderId="17" xfId="0" applyNumberFormat="1" applyFont="1" applyFill="1" applyBorder="1" applyAlignment="1">
      <alignment horizontal="left" wrapText="1"/>
    </xf>
    <xf numFmtId="1" fontId="11" fillId="0" borderId="14" xfId="0" applyNumberFormat="1" applyFont="1" applyFill="1" applyBorder="1" applyAlignment="1">
      <alignment horizontal="left"/>
    </xf>
    <xf numFmtId="0" fontId="11" fillId="0" borderId="0" xfId="0" applyFont="1" applyFill="1" applyBorder="1"/>
    <xf numFmtId="0" fontId="11" fillId="0" borderId="2" xfId="0" applyFont="1" applyFill="1" applyBorder="1"/>
    <xf numFmtId="0" fontId="11" fillId="0" borderId="17" xfId="0" applyFont="1" applyFill="1" applyBorder="1"/>
    <xf numFmtId="3" fontId="21" fillId="0" borderId="14" xfId="0" applyNumberFormat="1" applyFont="1" applyFill="1" applyBorder="1"/>
    <xf numFmtId="3" fontId="23" fillId="0" borderId="0" xfId="0" applyNumberFormat="1" applyFont="1" applyFill="1" applyBorder="1"/>
    <xf numFmtId="0" fontId="0" fillId="0" borderId="0" xfId="0" applyFill="1" applyAlignment="1">
      <alignment wrapText="1"/>
    </xf>
    <xf numFmtId="1" fontId="7" fillId="0" borderId="1" xfId="0" applyNumberFormat="1" applyFont="1" applyFill="1" applyBorder="1" applyAlignment="1">
      <alignment horizontal="left"/>
    </xf>
    <xf numFmtId="0" fontId="18" fillId="0" borderId="1" xfId="0" applyFont="1" applyFill="1" applyBorder="1" applyAlignment="1">
      <alignment horizontal="center"/>
    </xf>
    <xf numFmtId="168" fontId="20" fillId="0" borderId="1" xfId="0" applyNumberFormat="1" applyFont="1" applyFill="1" applyBorder="1" applyAlignment="1">
      <alignment horizontal="center"/>
    </xf>
    <xf numFmtId="3" fontId="3" fillId="0" borderId="1" xfId="0" applyNumberFormat="1" applyFont="1" applyFill="1" applyBorder="1"/>
    <xf numFmtId="3" fontId="7" fillId="0" borderId="1" xfId="0" applyNumberFormat="1" applyFont="1" applyFill="1" applyBorder="1"/>
    <xf numFmtId="3" fontId="3" fillId="0" borderId="1" xfId="0" applyNumberFormat="1" applyFont="1" applyFill="1" applyBorder="1" applyAlignment="1">
      <alignment horizontal="right"/>
    </xf>
    <xf numFmtId="0" fontId="39" fillId="0" borderId="1" xfId="0" applyFont="1" applyFill="1" applyBorder="1" applyAlignment="1">
      <alignment horizontal="left"/>
    </xf>
    <xf numFmtId="0" fontId="0" fillId="0" borderId="1" xfId="0" applyFill="1" applyBorder="1" applyAlignment="1"/>
    <xf numFmtId="0" fontId="39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3" fontId="0" fillId="0" borderId="1" xfId="0" applyNumberFormat="1" applyFill="1" applyBorder="1" applyAlignment="1">
      <alignment horizontal="right"/>
    </xf>
    <xf numFmtId="0" fontId="39" fillId="0" borderId="1" xfId="0" applyFont="1" applyFill="1" applyBorder="1" applyAlignment="1"/>
    <xf numFmtId="0" fontId="20" fillId="0" borderId="1" xfId="0" applyFont="1" applyFill="1" applyBorder="1"/>
    <xf numFmtId="3" fontId="0" fillId="0" borderId="1" xfId="0" applyNumberFormat="1" applyFill="1" applyBorder="1"/>
    <xf numFmtId="1" fontId="39" fillId="0" borderId="1" xfId="0" applyNumberFormat="1" applyFont="1" applyFill="1" applyBorder="1" applyAlignment="1">
      <alignment horizontal="left"/>
    </xf>
    <xf numFmtId="1" fontId="39" fillId="0" borderId="1" xfId="0" applyNumberFormat="1" applyFont="1" applyFill="1" applyBorder="1" applyAlignment="1">
      <alignment horizontal="center"/>
    </xf>
    <xf numFmtId="168" fontId="39" fillId="0" borderId="1" xfId="0" applyNumberFormat="1" applyFont="1" applyFill="1" applyBorder="1" applyAlignment="1">
      <alignment horizontal="center"/>
    </xf>
    <xf numFmtId="0" fontId="39" fillId="0" borderId="1" xfId="0" applyFont="1" applyFill="1" applyBorder="1"/>
    <xf numFmtId="3" fontId="39" fillId="0" borderId="1" xfId="0" applyNumberFormat="1" applyFont="1" applyFill="1" applyBorder="1"/>
    <xf numFmtId="3" fontId="39" fillId="0" borderId="0" xfId="0" applyNumberFormat="1" applyFont="1" applyFill="1"/>
    <xf numFmtId="168" fontId="18" fillId="0" borderId="1" xfId="0" applyNumberFormat="1" applyFont="1" applyFill="1" applyBorder="1" applyAlignment="1">
      <alignment horizontal="center"/>
    </xf>
    <xf numFmtId="168" fontId="62" fillId="0" borderId="1" xfId="0" applyNumberFormat="1" applyFont="1" applyFill="1" applyBorder="1" applyAlignment="1">
      <alignment horizontal="center"/>
    </xf>
    <xf numFmtId="3" fontId="21" fillId="0" borderId="1" xfId="0" applyNumberFormat="1" applyFont="1" applyFill="1" applyBorder="1" applyAlignment="1"/>
    <xf numFmtId="3" fontId="39" fillId="0" borderId="1" xfId="0" applyNumberFormat="1" applyFont="1" applyFill="1" applyBorder="1" applyAlignment="1"/>
    <xf numFmtId="3" fontId="21" fillId="0" borderId="0" xfId="0" applyNumberFormat="1" applyFont="1" applyFill="1" applyAlignment="1"/>
    <xf numFmtId="3" fontId="20" fillId="0" borderId="1" xfId="0" applyNumberFormat="1" applyFont="1" applyFill="1" applyBorder="1" applyAlignment="1">
      <alignment horizontal="center"/>
    </xf>
    <xf numFmtId="0" fontId="9" fillId="0" borderId="1" xfId="0" applyFont="1" applyFill="1" applyBorder="1"/>
    <xf numFmtId="3" fontId="36" fillId="0" borderId="1" xfId="0" applyNumberFormat="1" applyFont="1" applyFill="1" applyBorder="1"/>
    <xf numFmtId="3" fontId="36" fillId="0" borderId="0" xfId="0" applyNumberFormat="1" applyFont="1" applyFill="1"/>
    <xf numFmtId="3" fontId="29" fillId="0" borderId="1" xfId="0" applyNumberFormat="1" applyFont="1" applyFill="1" applyBorder="1"/>
    <xf numFmtId="3" fontId="29" fillId="0" borderId="0" xfId="0" applyNumberFormat="1" applyFont="1" applyFill="1"/>
    <xf numFmtId="1" fontId="39" fillId="0" borderId="1" xfId="0" applyNumberFormat="1" applyFont="1" applyFill="1" applyBorder="1"/>
    <xf numFmtId="1" fontId="60" fillId="0" borderId="1" xfId="0" applyNumberFormat="1" applyFont="1" applyFill="1" applyBorder="1"/>
    <xf numFmtId="0" fontId="60" fillId="0" borderId="1" xfId="0" applyFont="1" applyFill="1" applyBorder="1"/>
    <xf numFmtId="3" fontId="60" fillId="0" borderId="1" xfId="0" applyNumberFormat="1" applyFont="1" applyFill="1" applyBorder="1"/>
    <xf numFmtId="0" fontId="60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51" fillId="0" borderId="0" xfId="0" applyFont="1" applyFill="1"/>
    <xf numFmtId="0" fontId="36" fillId="0" borderId="0" xfId="0" applyFont="1" applyFill="1"/>
    <xf numFmtId="164" fontId="0" fillId="0" borderId="0" xfId="0" applyNumberFormat="1" applyFill="1" applyAlignment="1">
      <alignment horizontal="center"/>
    </xf>
    <xf numFmtId="3" fontId="35" fillId="0" borderId="5" xfId="0" applyNumberFormat="1" applyFont="1" applyFill="1" applyBorder="1" applyAlignment="1">
      <alignment horizontal="center" vertical="center" wrapText="1"/>
    </xf>
    <xf numFmtId="3" fontId="3" fillId="0" borderId="5" xfId="0" applyNumberFormat="1" applyFont="1" applyFill="1" applyBorder="1" applyAlignment="1">
      <alignment horizontal="center" vertical="center" wrapText="1"/>
    </xf>
    <xf numFmtId="3" fontId="3" fillId="0" borderId="24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3" fontId="35" fillId="0" borderId="23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170" fontId="36" fillId="0" borderId="26" xfId="0" applyNumberFormat="1" applyFont="1" applyFill="1" applyBorder="1" applyAlignment="1">
      <alignment vertical="top" wrapText="1"/>
    </xf>
    <xf numFmtId="0" fontId="23" fillId="0" borderId="18" xfId="0" applyFont="1" applyFill="1" applyBorder="1" applyAlignment="1">
      <alignment vertical="center" wrapText="1"/>
    </xf>
    <xf numFmtId="166" fontId="23" fillId="0" borderId="23" xfId="0" applyNumberFormat="1" applyFont="1" applyFill="1" applyBorder="1" applyAlignment="1">
      <alignment vertical="center" wrapText="1"/>
    </xf>
    <xf numFmtId="0" fontId="21" fillId="0" borderId="0" xfId="0" applyFont="1" applyFill="1" applyAlignment="1">
      <alignment vertical="center" wrapText="1"/>
    </xf>
    <xf numFmtId="0" fontId="23" fillId="0" borderId="17" xfId="0" applyFont="1" applyFill="1" applyBorder="1"/>
    <xf numFmtId="166" fontId="23" fillId="0" borderId="25" xfId="0" applyNumberFormat="1" applyFont="1" applyFill="1" applyBorder="1"/>
    <xf numFmtId="166" fontId="23" fillId="0" borderId="25" xfId="0" applyNumberFormat="1" applyFont="1" applyFill="1" applyBorder="1" applyAlignment="1">
      <alignment vertical="center" wrapText="1"/>
    </xf>
    <xf numFmtId="164" fontId="51" fillId="0" borderId="45" xfId="0" applyNumberFormat="1" applyFont="1" applyFill="1" applyBorder="1" applyAlignment="1"/>
    <xf numFmtId="166" fontId="51" fillId="0" borderId="44" xfId="0" applyNumberFormat="1" applyFont="1" applyFill="1" applyBorder="1"/>
    <xf numFmtId="3" fontId="17" fillId="0" borderId="45" xfId="0" applyNumberFormat="1" applyFont="1" applyFill="1" applyBorder="1"/>
    <xf numFmtId="166" fontId="17" fillId="0" borderId="36" xfId="0" applyNumberFormat="1" applyFont="1" applyFill="1" applyBorder="1"/>
    <xf numFmtId="0" fontId="23" fillId="0" borderId="0" xfId="0" applyFont="1" applyFill="1"/>
    <xf numFmtId="3" fontId="23" fillId="0" borderId="0" xfId="0" applyNumberFormat="1" applyFont="1" applyFill="1"/>
    <xf numFmtId="3" fontId="77" fillId="0" borderId="0" xfId="0" applyNumberFormat="1" applyFont="1" applyFill="1" applyBorder="1" applyAlignment="1">
      <alignment horizontal="right"/>
    </xf>
    <xf numFmtId="3" fontId="77" fillId="0" borderId="0" xfId="0" applyNumberFormat="1" applyFont="1" applyFill="1" applyBorder="1"/>
    <xf numFmtId="166" fontId="36" fillId="0" borderId="0" xfId="0" applyNumberFormat="1" applyFont="1" applyFill="1" applyBorder="1"/>
    <xf numFmtId="3" fontId="76" fillId="0" borderId="0" xfId="0" applyNumberFormat="1" applyFont="1" applyFill="1" applyBorder="1"/>
    <xf numFmtId="3" fontId="35" fillId="0" borderId="24" xfId="0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wrapText="1"/>
    </xf>
    <xf numFmtId="168" fontId="36" fillId="0" borderId="0" xfId="0" applyNumberFormat="1" applyFont="1" applyFill="1"/>
    <xf numFmtId="0" fontId="29" fillId="0" borderId="0" xfId="0" applyFont="1" applyFill="1"/>
    <xf numFmtId="0" fontId="21" fillId="0" borderId="0" xfId="0" applyFont="1" applyFill="1" applyAlignment="1">
      <alignment horizontal="left"/>
    </xf>
    <xf numFmtId="167" fontId="0" fillId="0" borderId="0" xfId="0" applyNumberFormat="1" applyFill="1" applyAlignment="1">
      <alignment horizontal="right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vertical="center"/>
    </xf>
    <xf numFmtId="4" fontId="28" fillId="0" borderId="5" xfId="0" applyNumberFormat="1" applyFont="1" applyFill="1" applyBorder="1" applyAlignment="1">
      <alignment horizontal="center" vertical="center" wrapText="1"/>
    </xf>
    <xf numFmtId="4" fontId="28" fillId="0" borderId="37" xfId="0" applyNumberFormat="1" applyFont="1" applyFill="1" applyBorder="1" applyAlignment="1">
      <alignment horizontal="center" vertical="center" wrapText="1"/>
    </xf>
    <xf numFmtId="3" fontId="0" fillId="0" borderId="24" xfId="0" applyNumberFormat="1" applyFill="1" applyBorder="1" applyAlignment="1">
      <alignment horizontal="center" vertical="center"/>
    </xf>
    <xf numFmtId="1" fontId="35" fillId="0" borderId="5" xfId="0" applyNumberFormat="1" applyFont="1" applyFill="1" applyBorder="1" applyAlignment="1">
      <alignment horizontal="center" vertical="center" wrapText="1"/>
    </xf>
    <xf numFmtId="1" fontId="35" fillId="0" borderId="37" xfId="0" applyNumberFormat="1" applyFont="1" applyFill="1" applyBorder="1" applyAlignment="1">
      <alignment horizontal="center" vertical="center" wrapText="1"/>
    </xf>
    <xf numFmtId="166" fontId="35" fillId="0" borderId="24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168" fontId="27" fillId="0" borderId="9" xfId="0" applyNumberFormat="1" applyFont="1" applyFill="1" applyBorder="1" applyAlignment="1">
      <alignment horizontal="left"/>
    </xf>
    <xf numFmtId="0" fontId="13" fillId="0" borderId="46" xfId="0" applyFont="1" applyFill="1" applyBorder="1"/>
    <xf numFmtId="167" fontId="13" fillId="0" borderId="30" xfId="0" applyNumberFormat="1" applyFont="1" applyFill="1" applyBorder="1" applyAlignment="1">
      <alignment horizontal="right"/>
    </xf>
    <xf numFmtId="1" fontId="12" fillId="0" borderId="2" xfId="0" applyNumberFormat="1" applyFont="1" applyFill="1" applyBorder="1" applyAlignment="1">
      <alignment horizontal="left"/>
    </xf>
    <xf numFmtId="168" fontId="27" fillId="0" borderId="2" xfId="0" applyNumberFormat="1" applyFont="1" applyFill="1" applyBorder="1" applyAlignment="1">
      <alignment horizontal="left"/>
    </xf>
    <xf numFmtId="0" fontId="13" fillId="0" borderId="15" xfId="0" applyFont="1" applyFill="1" applyBorder="1"/>
    <xf numFmtId="167" fontId="13" fillId="0" borderId="25" xfId="0" applyNumberFormat="1" applyFont="1" applyFill="1" applyBorder="1" applyAlignment="1">
      <alignment horizontal="right"/>
    </xf>
    <xf numFmtId="49" fontId="9" fillId="0" borderId="2" xfId="0" applyNumberFormat="1" applyFont="1" applyFill="1" applyBorder="1" applyAlignment="1">
      <alignment horizontal="left"/>
    </xf>
    <xf numFmtId="0" fontId="12" fillId="0" borderId="15" xfId="0" applyFont="1" applyFill="1" applyBorder="1"/>
    <xf numFmtId="167" fontId="11" fillId="0" borderId="25" xfId="0" applyNumberFormat="1" applyFont="1" applyFill="1" applyBorder="1" applyAlignment="1">
      <alignment horizontal="right"/>
    </xf>
    <xf numFmtId="0" fontId="67" fillId="0" borderId="0" xfId="0" applyFont="1" applyFill="1"/>
    <xf numFmtId="1" fontId="12" fillId="0" borderId="14" xfId="0" applyNumberFormat="1" applyFont="1" applyFill="1" applyBorder="1" applyAlignment="1">
      <alignment horizontal="left"/>
    </xf>
    <xf numFmtId="167" fontId="13" fillId="0" borderId="35" xfId="0" applyNumberFormat="1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11" fillId="0" borderId="0" xfId="0" applyFont="1" applyFill="1"/>
    <xf numFmtId="0" fontId="21" fillId="0" borderId="10" xfId="0" applyFont="1" applyFill="1" applyBorder="1" applyAlignment="1">
      <alignment horizontal="left"/>
    </xf>
    <xf numFmtId="0" fontId="76" fillId="0" borderId="0" xfId="0" applyFont="1" applyFill="1"/>
    <xf numFmtId="0" fontId="36" fillId="0" borderId="0" xfId="0" applyFont="1" applyFill="1" applyAlignment="1">
      <alignment horizontal="left"/>
    </xf>
    <xf numFmtId="0" fontId="36" fillId="0" borderId="0" xfId="0" applyFont="1" applyFill="1" applyAlignment="1">
      <alignment horizontal="center"/>
    </xf>
    <xf numFmtId="0" fontId="77" fillId="0" borderId="0" xfId="0" applyFont="1" applyFill="1"/>
    <xf numFmtId="4" fontId="51" fillId="0" borderId="0" xfId="0" applyNumberFormat="1" applyFont="1" applyFill="1"/>
    <xf numFmtId="0" fontId="35" fillId="0" borderId="4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49" fontId="9" fillId="0" borderId="17" xfId="0" applyNumberFormat="1" applyFont="1" applyFill="1" applyBorder="1" applyAlignment="1">
      <alignment horizontal="left"/>
    </xf>
    <xf numFmtId="1" fontId="12" fillId="0" borderId="17" xfId="0" applyNumberFormat="1" applyFont="1" applyFill="1" applyBorder="1" applyAlignment="1">
      <alignment horizontal="left"/>
    </xf>
    <xf numFmtId="3" fontId="21" fillId="0" borderId="5" xfId="0" applyNumberFormat="1" applyFont="1" applyFill="1" applyBorder="1" applyAlignment="1">
      <alignment horizontal="right"/>
    </xf>
    <xf numFmtId="166" fontId="21" fillId="0" borderId="22" xfId="0" applyNumberFormat="1" applyFont="1" applyFill="1" applyBorder="1" applyAlignment="1">
      <alignment horizontal="right"/>
    </xf>
    <xf numFmtId="0" fontId="39" fillId="0" borderId="0" xfId="0" applyFont="1" applyFill="1" applyAlignment="1">
      <alignment horizontal="right"/>
    </xf>
    <xf numFmtId="0" fontId="51" fillId="0" borderId="0" xfId="0" applyFont="1" applyFill="1" applyAlignment="1"/>
    <xf numFmtId="4" fontId="0" fillId="0" borderId="0" xfId="0" applyNumberFormat="1" applyFill="1" applyAlignment="1">
      <alignment horizontal="right"/>
    </xf>
    <xf numFmtId="166" fontId="21" fillId="0" borderId="24" xfId="0" applyNumberFormat="1" applyFont="1" applyFill="1" applyBorder="1" applyAlignment="1">
      <alignment horizontal="center" vertical="center"/>
    </xf>
    <xf numFmtId="3" fontId="21" fillId="0" borderId="5" xfId="0" applyNumberFormat="1" applyFont="1" applyFill="1" applyBorder="1"/>
    <xf numFmtId="166" fontId="21" fillId="0" borderId="42" xfId="0" applyNumberFormat="1" applyFont="1" applyFill="1" applyBorder="1" applyAlignment="1">
      <alignment horizontal="center" vertical="center"/>
    </xf>
    <xf numFmtId="4" fontId="21" fillId="0" borderId="0" xfId="0" applyNumberFormat="1" applyFont="1" applyFill="1"/>
    <xf numFmtId="1" fontId="79" fillId="0" borderId="0" xfId="0" applyNumberFormat="1" applyFont="1" applyFill="1" applyBorder="1" applyAlignment="1">
      <alignment horizontal="left"/>
    </xf>
    <xf numFmtId="1" fontId="79" fillId="0" borderId="0" xfId="0" applyNumberFormat="1" applyFont="1" applyFill="1" applyBorder="1" applyAlignment="1">
      <alignment horizontal="center"/>
    </xf>
    <xf numFmtId="168" fontId="79" fillId="0" borderId="0" xfId="0" applyNumberFormat="1" applyFont="1" applyFill="1" applyBorder="1" applyAlignment="1">
      <alignment horizontal="center"/>
    </xf>
    <xf numFmtId="0" fontId="79" fillId="0" borderId="0" xfId="0" applyFont="1" applyFill="1" applyBorder="1"/>
    <xf numFmtId="3" fontId="51" fillId="0" borderId="0" xfId="0" applyNumberFormat="1" applyFont="1" applyFill="1"/>
    <xf numFmtId="167" fontId="13" fillId="0" borderId="0" xfId="0" applyNumberFormat="1" applyFont="1" applyFill="1" applyBorder="1" applyAlignment="1">
      <alignment horizontal="right"/>
    </xf>
    <xf numFmtId="1" fontId="54" fillId="0" borderId="0" xfId="0" applyNumberFormat="1" applyFont="1" applyFill="1" applyAlignment="1">
      <alignment horizontal="center"/>
    </xf>
    <xf numFmtId="168" fontId="54" fillId="0" borderId="0" xfId="0" applyNumberFormat="1" applyFont="1" applyFill="1" applyAlignment="1">
      <alignment horizontal="center"/>
    </xf>
    <xf numFmtId="0" fontId="54" fillId="0" borderId="0" xfId="0" applyFont="1" applyFill="1"/>
    <xf numFmtId="3" fontId="53" fillId="0" borderId="0" xfId="0" applyNumberFormat="1" applyFont="1" applyFill="1"/>
    <xf numFmtId="167" fontId="11" fillId="0" borderId="0" xfId="0" applyNumberFormat="1" applyFont="1" applyFill="1" applyBorder="1" applyAlignment="1">
      <alignment horizontal="right"/>
    </xf>
    <xf numFmtId="1" fontId="54" fillId="0" borderId="0" xfId="0" applyNumberFormat="1" applyFont="1" applyFill="1" applyAlignment="1">
      <alignment horizontal="left"/>
    </xf>
    <xf numFmtId="0" fontId="54" fillId="0" borderId="0" xfId="0" applyFont="1" applyFill="1" applyAlignment="1">
      <alignment horizontal="left"/>
    </xf>
    <xf numFmtId="3" fontId="53" fillId="0" borderId="0" xfId="0" applyNumberFormat="1" applyFont="1" applyFill="1" applyAlignment="1">
      <alignment horizontal="right"/>
    </xf>
    <xf numFmtId="3" fontId="31" fillId="0" borderId="10" xfId="0" applyNumberFormat="1" applyFont="1" applyFill="1" applyBorder="1"/>
    <xf numFmtId="167" fontId="31" fillId="0" borderId="10" xfId="0" applyNumberFormat="1" applyFont="1" applyFill="1" applyBorder="1" applyAlignment="1">
      <alignment horizontal="right" shrinkToFit="1"/>
    </xf>
    <xf numFmtId="0" fontId="21" fillId="0" borderId="39" xfId="0" applyFont="1" applyFill="1" applyBorder="1" applyAlignment="1">
      <alignment horizontal="left"/>
    </xf>
    <xf numFmtId="0" fontId="21" fillId="0" borderId="40" xfId="0" applyFont="1" applyFill="1" applyBorder="1" applyAlignment="1">
      <alignment horizontal="left"/>
    </xf>
    <xf numFmtId="3" fontId="21" fillId="0" borderId="45" xfId="0" applyNumberFormat="1" applyFont="1" applyFill="1" applyBorder="1" applyAlignment="1">
      <alignment horizontal="right"/>
    </xf>
    <xf numFmtId="3" fontId="21" fillId="0" borderId="15" xfId="0" applyNumberFormat="1" applyFont="1" applyFill="1" applyBorder="1" applyAlignment="1">
      <alignment vertical="center"/>
    </xf>
    <xf numFmtId="3" fontId="21" fillId="0" borderId="37" xfId="0" applyNumberFormat="1" applyFont="1" applyFill="1" applyBorder="1"/>
    <xf numFmtId="0" fontId="80" fillId="0" borderId="0" xfId="0" applyFont="1" applyFill="1"/>
    <xf numFmtId="0" fontId="3" fillId="0" borderId="0" xfId="0" applyFont="1" applyFill="1" applyAlignment="1">
      <alignment horizontal="right"/>
    </xf>
    <xf numFmtId="0" fontId="0" fillId="0" borderId="2" xfId="0" applyFill="1" applyBorder="1" applyAlignment="1">
      <alignment horizontal="right" vertical="center"/>
    </xf>
    <xf numFmtId="3" fontId="21" fillId="0" borderId="15" xfId="0" applyNumberFormat="1" applyFont="1" applyFill="1" applyBorder="1" applyAlignment="1">
      <alignment horizontal="right" vertical="center"/>
    </xf>
    <xf numFmtId="166" fontId="21" fillId="0" borderId="44" xfId="0" applyNumberFormat="1" applyFont="1" applyFill="1" applyBorder="1" applyAlignment="1">
      <alignment horizontal="right" vertical="center"/>
    </xf>
    <xf numFmtId="167" fontId="5" fillId="0" borderId="0" xfId="0" applyNumberFormat="1" applyFont="1" applyFill="1" applyBorder="1" applyAlignment="1">
      <alignment horizontal="right"/>
    </xf>
    <xf numFmtId="0" fontId="22" fillId="0" borderId="0" xfId="0" applyFont="1" applyFill="1" applyAlignment="1">
      <alignment horizontal="right"/>
    </xf>
    <xf numFmtId="167" fontId="68" fillId="0" borderId="10" xfId="0" applyNumberFormat="1" applyFont="1" applyFill="1" applyBorder="1" applyAlignment="1">
      <alignment horizontal="right" shrinkToFit="1"/>
    </xf>
    <xf numFmtId="0" fontId="65" fillId="0" borderId="0" xfId="0" applyFont="1" applyFill="1"/>
    <xf numFmtId="167" fontId="16" fillId="0" borderId="10" xfId="0" applyNumberFormat="1" applyFont="1" applyFill="1" applyBorder="1" applyAlignment="1">
      <alignment horizontal="right" shrinkToFit="1"/>
    </xf>
    <xf numFmtId="166" fontId="0" fillId="0" borderId="0" xfId="0" applyNumberFormat="1" applyFill="1" applyAlignment="1">
      <alignment horizontal="center"/>
    </xf>
    <xf numFmtId="166" fontId="39" fillId="0" borderId="0" xfId="0" applyNumberFormat="1" applyFont="1" applyFill="1" applyAlignment="1">
      <alignment horizontal="right"/>
    </xf>
    <xf numFmtId="166" fontId="39" fillId="0" borderId="0" xfId="0" applyNumberFormat="1" applyFont="1" applyFill="1" applyAlignment="1">
      <alignment horizontal="center"/>
    </xf>
    <xf numFmtId="166" fontId="22" fillId="0" borderId="0" xfId="0" applyNumberFormat="1" applyFont="1" applyFill="1" applyAlignment="1">
      <alignment horizontal="center"/>
    </xf>
    <xf numFmtId="166" fontId="0" fillId="0" borderId="24" xfId="0" applyNumberForma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3" fontId="21" fillId="0" borderId="0" xfId="0" applyNumberFormat="1" applyFont="1" applyFill="1" applyAlignment="1">
      <alignment horizontal="right"/>
    </xf>
    <xf numFmtId="3" fontId="3" fillId="0" borderId="0" xfId="0" applyNumberFormat="1" applyFont="1" applyFill="1" applyAlignment="1">
      <alignment horizontal="right"/>
    </xf>
    <xf numFmtId="3" fontId="28" fillId="0" borderId="5" xfId="0" applyNumberFormat="1" applyFont="1" applyFill="1" applyBorder="1" applyAlignment="1">
      <alignment horizontal="center" vertical="center" wrapText="1"/>
    </xf>
    <xf numFmtId="3" fontId="28" fillId="0" borderId="37" xfId="0" applyNumberFormat="1" applyFont="1" applyFill="1" applyBorder="1" applyAlignment="1">
      <alignment horizontal="center" vertical="center" wrapText="1"/>
    </xf>
    <xf numFmtId="3" fontId="35" fillId="0" borderId="37" xfId="0" applyNumberFormat="1" applyFont="1" applyFill="1" applyBorder="1" applyAlignment="1">
      <alignment horizontal="center" vertical="center" wrapText="1"/>
    </xf>
    <xf numFmtId="0" fontId="39" fillId="0" borderId="19" xfId="0" applyFont="1" applyFill="1" applyBorder="1" applyAlignment="1"/>
    <xf numFmtId="0" fontId="0" fillId="0" borderId="19" xfId="0" applyFill="1" applyBorder="1" applyAlignment="1"/>
    <xf numFmtId="3" fontId="21" fillId="0" borderId="37" xfId="0" applyNumberFormat="1" applyFont="1" applyFill="1" applyBorder="1" applyAlignment="1">
      <alignment horizontal="right"/>
    </xf>
    <xf numFmtId="0" fontId="21" fillId="0" borderId="9" xfId="0" applyFont="1" applyFill="1" applyBorder="1"/>
    <xf numFmtId="167" fontId="17" fillId="0" borderId="0" xfId="0" applyNumberFormat="1" applyFont="1" applyFill="1" applyBorder="1" applyAlignment="1">
      <alignment horizontal="right"/>
    </xf>
    <xf numFmtId="166" fontId="21" fillId="0" borderId="24" xfId="0" applyNumberFormat="1" applyFont="1" applyFill="1" applyBorder="1" applyAlignment="1">
      <alignment horizontal="right" vertical="center"/>
    </xf>
    <xf numFmtId="3" fontId="18" fillId="0" borderId="0" xfId="0" applyNumberFormat="1" applyFont="1" applyFill="1" applyAlignment="1">
      <alignment horizontal="right"/>
    </xf>
    <xf numFmtId="167" fontId="0" fillId="0" borderId="0" xfId="0" applyNumberFormat="1" applyFill="1"/>
    <xf numFmtId="1" fontId="4" fillId="0" borderId="0" xfId="0" applyNumberFormat="1" applyFont="1" applyFill="1" applyAlignment="1">
      <alignment horizontal="center"/>
    </xf>
    <xf numFmtId="1" fontId="9" fillId="0" borderId="0" xfId="0" applyNumberFormat="1" applyFont="1" applyFill="1" applyAlignment="1">
      <alignment horizontal="left"/>
    </xf>
    <xf numFmtId="0" fontId="6" fillId="0" borderId="4" xfId="0" applyFont="1" applyFill="1" applyBorder="1" applyAlignment="1">
      <alignment horizontal="center" vertical="center"/>
    </xf>
    <xf numFmtId="1" fontId="6" fillId="0" borderId="5" xfId="0" applyNumberFormat="1" applyFont="1" applyFill="1" applyBorder="1" applyAlignment="1">
      <alignment horizontal="center" vertical="center"/>
    </xf>
    <xf numFmtId="3" fontId="9" fillId="0" borderId="5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167" fontId="6" fillId="0" borderId="24" xfId="0" applyNumberFormat="1" applyFont="1" applyFill="1" applyBorder="1" applyAlignment="1">
      <alignment horizontal="center" vertical="center"/>
    </xf>
    <xf numFmtId="1" fontId="35" fillId="0" borderId="24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left"/>
    </xf>
    <xf numFmtId="0" fontId="5" fillId="0" borderId="7" xfId="0" applyFont="1" applyFill="1" applyBorder="1"/>
    <xf numFmtId="3" fontId="20" fillId="0" borderId="8" xfId="0" applyNumberFormat="1" applyFont="1" applyFill="1" applyBorder="1" applyAlignment="1">
      <alignment horizontal="center"/>
    </xf>
    <xf numFmtId="0" fontId="5" fillId="0" borderId="8" xfId="0" applyFont="1" applyFill="1" applyBorder="1"/>
    <xf numFmtId="3" fontId="7" fillId="0" borderId="5" xfId="0" applyNumberFormat="1" applyFont="1" applyFill="1" applyBorder="1"/>
    <xf numFmtId="167" fontId="7" fillId="0" borderId="22" xfId="0" applyNumberFormat="1" applyFont="1" applyFill="1" applyBorder="1"/>
    <xf numFmtId="1" fontId="4" fillId="0" borderId="0" xfId="0" applyNumberFormat="1" applyFont="1" applyFill="1" applyAlignment="1">
      <alignment horizontal="left"/>
    </xf>
    <xf numFmtId="0" fontId="4" fillId="0" borderId="0" xfId="0" applyFont="1" applyFill="1"/>
    <xf numFmtId="0" fontId="4" fillId="0" borderId="0" xfId="0" applyFont="1" applyFill="1" applyAlignment="1">
      <alignment horizontal="right"/>
    </xf>
    <xf numFmtId="0" fontId="8" fillId="0" borderId="0" xfId="0" applyFont="1" applyFill="1"/>
    <xf numFmtId="167" fontId="8" fillId="0" borderId="0" xfId="0" applyNumberFormat="1" applyFont="1" applyFill="1"/>
    <xf numFmtId="0" fontId="31" fillId="0" borderId="10" xfId="0" applyFont="1" applyFill="1" applyBorder="1" applyAlignment="1">
      <alignment horizontal="left"/>
    </xf>
    <xf numFmtId="1" fontId="32" fillId="0" borderId="10" xfId="0" applyNumberFormat="1" applyFont="1" applyFill="1" applyBorder="1" applyAlignment="1">
      <alignment horizontal="center"/>
    </xf>
    <xf numFmtId="1" fontId="32" fillId="0" borderId="10" xfId="0" applyNumberFormat="1" applyFont="1" applyFill="1" applyBorder="1" applyAlignment="1">
      <alignment horizontal="left"/>
    </xf>
    <xf numFmtId="0" fontId="32" fillId="0" borderId="10" xfId="0" applyFont="1" applyFill="1" applyBorder="1"/>
    <xf numFmtId="167" fontId="31" fillId="0" borderId="10" xfId="0" applyNumberFormat="1" applyFont="1" applyFill="1" applyBorder="1" applyAlignment="1"/>
    <xf numFmtId="0" fontId="44" fillId="0" borderId="0" xfId="0" applyFont="1" applyFill="1"/>
    <xf numFmtId="1" fontId="4" fillId="0" borderId="27" xfId="0" applyNumberFormat="1" applyFont="1" applyFill="1" applyBorder="1" applyAlignment="1">
      <alignment horizontal="left"/>
    </xf>
    <xf numFmtId="0" fontId="8" fillId="0" borderId="27" xfId="0" applyFont="1" applyFill="1" applyBorder="1"/>
    <xf numFmtId="167" fontId="7" fillId="0" borderId="22" xfId="0" applyNumberFormat="1" applyFont="1" applyFill="1" applyBorder="1" applyAlignment="1">
      <alignment shrinkToFit="1"/>
    </xf>
    <xf numFmtId="167" fontId="8" fillId="0" borderId="0" xfId="0" applyNumberFormat="1" applyFont="1" applyFill="1" applyAlignment="1">
      <alignment shrinkToFit="1"/>
    </xf>
    <xf numFmtId="167" fontId="0" fillId="0" borderId="0" xfId="0" applyNumberFormat="1" applyFill="1" applyAlignment="1">
      <alignment shrinkToFit="1"/>
    </xf>
    <xf numFmtId="3" fontId="34" fillId="0" borderId="10" xfId="0" applyNumberFormat="1" applyFont="1" applyFill="1" applyBorder="1"/>
    <xf numFmtId="167" fontId="34" fillId="0" borderId="10" xfId="0" applyNumberFormat="1" applyFont="1" applyFill="1" applyBorder="1" applyAlignment="1">
      <alignment shrinkToFit="1"/>
    </xf>
    <xf numFmtId="167" fontId="39" fillId="0" borderId="0" xfId="0" applyNumberFormat="1" applyFont="1" applyFill="1"/>
    <xf numFmtId="0" fontId="39" fillId="0" borderId="0" xfId="0" applyFont="1" applyFill="1"/>
    <xf numFmtId="1" fontId="60" fillId="0" borderId="0" xfId="0" applyNumberFormat="1" applyFont="1" applyFill="1" applyAlignment="1">
      <alignment horizontal="left"/>
    </xf>
    <xf numFmtId="1" fontId="60" fillId="0" borderId="0" xfId="0" applyNumberFormat="1" applyFont="1" applyFill="1" applyAlignment="1">
      <alignment horizontal="center"/>
    </xf>
    <xf numFmtId="168" fontId="28" fillId="0" borderId="0" xfId="0" applyNumberFormat="1" applyFont="1" applyFill="1" applyAlignment="1">
      <alignment horizontal="center"/>
    </xf>
    <xf numFmtId="167" fontId="29" fillId="0" borderId="0" xfId="0" applyNumberFormat="1" applyFont="1" applyFill="1"/>
    <xf numFmtId="0" fontId="60" fillId="0" borderId="0" xfId="0" applyFont="1" applyFill="1"/>
    <xf numFmtId="1" fontId="36" fillId="0" borderId="0" xfId="0" applyNumberFormat="1" applyFont="1" applyFill="1" applyAlignment="1">
      <alignment horizontal="left"/>
    </xf>
    <xf numFmtId="1" fontId="36" fillId="0" borderId="0" xfId="0" applyNumberFormat="1" applyFont="1" applyFill="1" applyAlignment="1">
      <alignment horizontal="center"/>
    </xf>
    <xf numFmtId="168" fontId="36" fillId="0" borderId="0" xfId="0" applyNumberFormat="1" applyFont="1" applyFill="1" applyAlignment="1">
      <alignment horizontal="left"/>
    </xf>
    <xf numFmtId="167" fontId="36" fillId="0" borderId="0" xfId="0" applyNumberFormat="1" applyFont="1" applyFill="1"/>
    <xf numFmtId="168" fontId="36" fillId="0" borderId="0" xfId="0" applyNumberFormat="1" applyFont="1" applyFill="1" applyAlignment="1">
      <alignment horizontal="center"/>
    </xf>
    <xf numFmtId="3" fontId="60" fillId="0" borderId="0" xfId="0" applyNumberFormat="1" applyFont="1" applyFill="1"/>
    <xf numFmtId="167" fontId="60" fillId="0" borderId="0" xfId="0" applyNumberFormat="1" applyFont="1" applyFill="1"/>
    <xf numFmtId="1" fontId="38" fillId="0" borderId="0" xfId="0" applyNumberFormat="1" applyFont="1" applyFill="1" applyAlignment="1">
      <alignment horizontal="left"/>
    </xf>
    <xf numFmtId="168" fontId="6" fillId="0" borderId="5" xfId="0" applyNumberFormat="1" applyFont="1" applyFill="1" applyBorder="1" applyAlignment="1">
      <alignment horizontal="center" vertical="center"/>
    </xf>
    <xf numFmtId="0" fontId="14" fillId="0" borderId="0" xfId="0" applyFont="1" applyFill="1"/>
    <xf numFmtId="0" fontId="8" fillId="0" borderId="17" xfId="0" applyFont="1" applyFill="1" applyBorder="1"/>
    <xf numFmtId="1" fontId="4" fillId="0" borderId="2" xfId="0" applyNumberFormat="1" applyFont="1" applyFill="1" applyBorder="1" applyAlignment="1">
      <alignment horizontal="left"/>
    </xf>
    <xf numFmtId="1" fontId="4" fillId="0" borderId="14" xfId="0" applyNumberFormat="1" applyFont="1" applyFill="1" applyBorder="1" applyAlignment="1">
      <alignment horizontal="left"/>
    </xf>
    <xf numFmtId="168" fontId="20" fillId="0" borderId="8" xfId="0" applyNumberFormat="1" applyFont="1" applyFill="1" applyBorder="1" applyAlignment="1">
      <alignment horizontal="center"/>
    </xf>
    <xf numFmtId="168" fontId="9" fillId="0" borderId="0" xfId="0" applyNumberFormat="1" applyFont="1" applyFill="1" applyAlignment="1">
      <alignment horizontal="center"/>
    </xf>
    <xf numFmtId="0" fontId="4" fillId="0" borderId="0" xfId="0" applyFont="1" applyFill="1" applyBorder="1"/>
    <xf numFmtId="3" fontId="8" fillId="0" borderId="0" xfId="0" applyNumberFormat="1" applyFont="1" applyFill="1"/>
    <xf numFmtId="3" fontId="14" fillId="0" borderId="0" xfId="0" applyNumberFormat="1" applyFont="1" applyFill="1"/>
    <xf numFmtId="3" fontId="24" fillId="0" borderId="0" xfId="0" applyNumberFormat="1" applyFont="1" applyFill="1"/>
    <xf numFmtId="166" fontId="8" fillId="0" borderId="0" xfId="0" applyNumberFormat="1" applyFont="1" applyFill="1"/>
    <xf numFmtId="0" fontId="6" fillId="0" borderId="38" xfId="0" applyFont="1" applyFill="1" applyBorder="1" applyAlignment="1">
      <alignment horizontal="center" vertical="center"/>
    </xf>
    <xf numFmtId="1" fontId="6" fillId="0" borderId="9" xfId="0" applyNumberFormat="1" applyFont="1" applyFill="1" applyBorder="1" applyAlignment="1">
      <alignment horizontal="center" vertical="center"/>
    </xf>
    <xf numFmtId="168" fontId="6" fillId="0" borderId="9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166" fontId="6" fillId="0" borderId="23" xfId="0" applyNumberFormat="1" applyFont="1" applyFill="1" applyBorder="1" applyAlignment="1">
      <alignment horizontal="center" vertical="center"/>
    </xf>
    <xf numFmtId="0" fontId="25" fillId="0" borderId="33" xfId="0" applyFont="1" applyFill="1" applyBorder="1" applyAlignment="1">
      <alignment horizontal="left"/>
    </xf>
    <xf numFmtId="0" fontId="5" fillId="0" borderId="34" xfId="0" applyFont="1" applyFill="1" applyBorder="1"/>
    <xf numFmtId="168" fontId="20" fillId="0" borderId="34" xfId="0" applyNumberFormat="1" applyFont="1" applyFill="1" applyBorder="1" applyAlignment="1">
      <alignment horizontal="center"/>
    </xf>
    <xf numFmtId="3" fontId="7" fillId="0" borderId="14" xfId="0" applyNumberFormat="1" applyFont="1" applyFill="1" applyBorder="1"/>
    <xf numFmtId="166" fontId="52" fillId="0" borderId="35" xfId="0" applyNumberFormat="1" applyFont="1" applyFill="1" applyBorder="1"/>
    <xf numFmtId="3" fontId="5" fillId="0" borderId="0" xfId="0" applyNumberFormat="1" applyFont="1" applyFill="1"/>
    <xf numFmtId="1" fontId="29" fillId="0" borderId="0" xfId="0" applyNumberFormat="1" applyFont="1" applyFill="1" applyAlignment="1">
      <alignment horizontal="center"/>
    </xf>
    <xf numFmtId="1" fontId="51" fillId="0" borderId="0" xfId="0" applyNumberFormat="1" applyFont="1" applyFill="1" applyAlignment="1">
      <alignment horizontal="left"/>
    </xf>
    <xf numFmtId="1" fontId="35" fillId="0" borderId="34" xfId="0" applyNumberFormat="1" applyFont="1" applyFill="1" applyBorder="1" applyAlignment="1">
      <alignment horizontal="center"/>
    </xf>
    <xf numFmtId="1" fontId="35" fillId="0" borderId="50" xfId="0" applyNumberFormat="1" applyFont="1" applyFill="1" applyBorder="1" applyAlignment="1">
      <alignment horizontal="center"/>
    </xf>
    <xf numFmtId="1" fontId="35" fillId="0" borderId="5" xfId="0" applyNumberFormat="1" applyFont="1" applyFill="1" applyBorder="1" applyAlignment="1">
      <alignment horizontal="center"/>
    </xf>
    <xf numFmtId="168" fontId="35" fillId="0" borderId="5" xfId="0" applyNumberFormat="1" applyFont="1" applyFill="1" applyBorder="1" applyAlignment="1">
      <alignment horizontal="center"/>
    </xf>
    <xf numFmtId="0" fontId="35" fillId="0" borderId="5" xfId="0" applyFont="1" applyFill="1" applyBorder="1"/>
    <xf numFmtId="3" fontId="35" fillId="0" borderId="5" xfId="0" applyNumberFormat="1" applyFont="1" applyFill="1" applyBorder="1" applyAlignment="1">
      <alignment horizontal="center"/>
    </xf>
    <xf numFmtId="167" fontId="35" fillId="0" borderId="24" xfId="0" applyNumberFormat="1" applyFont="1" applyFill="1" applyBorder="1" applyAlignment="1">
      <alignment horizontal="center"/>
    </xf>
    <xf numFmtId="0" fontId="35" fillId="0" borderId="0" xfId="0" applyFont="1" applyFill="1"/>
    <xf numFmtId="1" fontId="29" fillId="0" borderId="6" xfId="0" applyNumberFormat="1" applyFont="1" applyFill="1" applyBorder="1" applyAlignment="1">
      <alignment horizontal="center"/>
    </xf>
    <xf numFmtId="1" fontId="29" fillId="0" borderId="9" xfId="0" applyNumberFormat="1" applyFont="1" applyFill="1" applyBorder="1" applyAlignment="1">
      <alignment horizontal="center"/>
    </xf>
    <xf numFmtId="168" fontId="28" fillId="0" borderId="9" xfId="0" applyNumberFormat="1" applyFont="1" applyFill="1" applyBorder="1" applyAlignment="1">
      <alignment horizontal="center"/>
    </xf>
    <xf numFmtId="167" fontId="21" fillId="0" borderId="23" xfId="0" applyNumberFormat="1" applyFont="1" applyFill="1" applyBorder="1"/>
    <xf numFmtId="1" fontId="60" fillId="0" borderId="6" xfId="0" applyNumberFormat="1" applyFont="1" applyFill="1" applyBorder="1" applyAlignment="1">
      <alignment horizontal="center"/>
    </xf>
    <xf numFmtId="1" fontId="60" fillId="0" borderId="2" xfId="0" applyNumberFormat="1" applyFont="1" applyFill="1" applyBorder="1" applyAlignment="1">
      <alignment horizontal="center"/>
    </xf>
    <xf numFmtId="167" fontId="14" fillId="0" borderId="25" xfId="0" applyNumberFormat="1" applyFont="1" applyFill="1" applyBorder="1" applyAlignment="1">
      <alignment horizontal="right"/>
    </xf>
    <xf numFmtId="49" fontId="9" fillId="0" borderId="0" xfId="0" applyNumberFormat="1" applyFont="1" applyFill="1" applyAlignment="1">
      <alignment horizontal="left"/>
    </xf>
    <xf numFmtId="1" fontId="41" fillId="0" borderId="4" xfId="0" applyNumberFormat="1" applyFont="1" applyFill="1" applyBorder="1" applyAlignment="1">
      <alignment horizontal="left"/>
    </xf>
    <xf numFmtId="1" fontId="41" fillId="0" borderId="5" xfId="0" applyNumberFormat="1" applyFont="1" applyFill="1" applyBorder="1" applyAlignment="1">
      <alignment horizontal="center"/>
    </xf>
    <xf numFmtId="168" fontId="41" fillId="0" borderId="5" xfId="0" applyNumberFormat="1" applyFont="1" applyFill="1" applyBorder="1" applyAlignment="1">
      <alignment horizontal="center"/>
    </xf>
    <xf numFmtId="0" fontId="41" fillId="0" borderId="5" xfId="0" applyFont="1" applyFill="1" applyBorder="1"/>
    <xf numFmtId="3" fontId="41" fillId="0" borderId="5" xfId="0" applyNumberFormat="1" applyFont="1" applyFill="1" applyBorder="1"/>
    <xf numFmtId="167" fontId="17" fillId="0" borderId="24" xfId="0" applyNumberFormat="1" applyFont="1" applyFill="1" applyBorder="1" applyAlignment="1">
      <alignment horizontal="right"/>
    </xf>
    <xf numFmtId="1" fontId="60" fillId="0" borderId="38" xfId="0" applyNumberFormat="1" applyFont="1" applyFill="1" applyBorder="1" applyAlignment="1">
      <alignment horizontal="center"/>
    </xf>
    <xf numFmtId="1" fontId="60" fillId="0" borderId="9" xfId="0" applyNumberFormat="1" applyFont="1" applyFill="1" applyBorder="1" applyAlignment="1">
      <alignment horizontal="center"/>
    </xf>
    <xf numFmtId="3" fontId="21" fillId="0" borderId="9" xfId="0" applyNumberFormat="1" applyFont="1" applyFill="1" applyBorder="1" applyAlignment="1"/>
    <xf numFmtId="1" fontId="29" fillId="0" borderId="2" xfId="0" applyNumberFormat="1" applyFont="1" applyFill="1" applyBorder="1" applyAlignment="1">
      <alignment horizontal="center"/>
    </xf>
    <xf numFmtId="49" fontId="27" fillId="0" borderId="2" xfId="0" applyNumberFormat="1" applyFont="1" applyFill="1" applyBorder="1" applyAlignment="1">
      <alignment horizontal="left"/>
    </xf>
    <xf numFmtId="3" fontId="11" fillId="0" borderId="2" xfId="5" applyFont="1" applyFill="1" applyBorder="1" applyAlignment="1">
      <alignment horizontal="right"/>
    </xf>
    <xf numFmtId="3" fontId="14" fillId="0" borderId="2" xfId="5" applyFont="1" applyFill="1" applyBorder="1" applyAlignment="1">
      <alignment horizontal="right"/>
    </xf>
    <xf numFmtId="49" fontId="9" fillId="0" borderId="14" xfId="0" applyNumberFormat="1" applyFont="1" applyFill="1" applyBorder="1" applyAlignment="1">
      <alignment horizontal="left"/>
    </xf>
    <xf numFmtId="1" fontId="12" fillId="0" borderId="0" xfId="0" applyNumberFormat="1" applyFont="1" applyFill="1" applyAlignment="1">
      <alignment horizontal="left"/>
    </xf>
    <xf numFmtId="3" fontId="41" fillId="0" borderId="5" xfId="0" applyNumberFormat="1" applyFont="1" applyFill="1" applyBorder="1" applyAlignment="1"/>
    <xf numFmtId="167" fontId="13" fillId="0" borderId="24" xfId="0" applyNumberFormat="1" applyFont="1" applyFill="1" applyBorder="1" applyAlignment="1">
      <alignment horizontal="right"/>
    </xf>
    <xf numFmtId="1" fontId="41" fillId="0" borderId="19" xfId="0" applyNumberFormat="1" applyFont="1" applyFill="1" applyBorder="1" applyAlignment="1">
      <alignment horizontal="left"/>
    </xf>
    <xf numFmtId="3" fontId="41" fillId="0" borderId="0" xfId="0" applyNumberFormat="1" applyFont="1" applyFill="1" applyBorder="1"/>
    <xf numFmtId="1" fontId="41" fillId="0" borderId="34" xfId="0" applyNumberFormat="1" applyFont="1" applyFill="1" applyBorder="1" applyAlignment="1">
      <alignment horizontal="left"/>
    </xf>
    <xf numFmtId="1" fontId="41" fillId="0" borderId="10" xfId="0" applyNumberFormat="1" applyFont="1" applyFill="1" applyBorder="1" applyAlignment="1">
      <alignment horizontal="center"/>
    </xf>
    <xf numFmtId="168" fontId="41" fillId="0" borderId="10" xfId="0" applyNumberFormat="1" applyFont="1" applyFill="1" applyBorder="1" applyAlignment="1">
      <alignment horizontal="center"/>
    </xf>
    <xf numFmtId="0" fontId="41" fillId="0" borderId="10" xfId="0" applyFont="1" applyFill="1" applyBorder="1"/>
    <xf numFmtId="3" fontId="41" fillId="0" borderId="10" xfId="0" applyNumberFormat="1" applyFont="1" applyFill="1" applyBorder="1"/>
    <xf numFmtId="167" fontId="51" fillId="0" borderId="0" xfId="0" applyNumberFormat="1" applyFont="1" applyFill="1"/>
    <xf numFmtId="1" fontId="37" fillId="0" borderId="34" xfId="0" applyNumberFormat="1" applyFont="1" applyFill="1" applyBorder="1" applyAlignment="1">
      <alignment horizontal="left"/>
    </xf>
    <xf numFmtId="0" fontId="60" fillId="0" borderId="0" xfId="0" applyFont="1" applyFill="1" applyAlignment="1">
      <alignment wrapText="1"/>
    </xf>
    <xf numFmtId="3" fontId="23" fillId="0" borderId="2" xfId="0" applyNumberFormat="1" applyFont="1" applyFill="1" applyBorder="1" applyAlignment="1"/>
    <xf numFmtId="1" fontId="41" fillId="0" borderId="51" xfId="0" applyNumberFormat="1" applyFont="1" applyFill="1" applyBorder="1" applyAlignment="1">
      <alignment horizontal="left"/>
    </xf>
    <xf numFmtId="1" fontId="60" fillId="0" borderId="51" xfId="0" applyNumberFormat="1" applyFont="1" applyFill="1" applyBorder="1" applyAlignment="1">
      <alignment horizontal="center"/>
    </xf>
    <xf numFmtId="168" fontId="28" fillId="0" borderId="51" xfId="0" applyNumberFormat="1" applyFont="1" applyFill="1" applyBorder="1" applyAlignment="1">
      <alignment horizontal="center"/>
    </xf>
    <xf numFmtId="0" fontId="29" fillId="0" borderId="51" xfId="0" applyFont="1" applyFill="1" applyBorder="1"/>
    <xf numFmtId="3" fontId="29" fillId="0" borderId="51" xfId="0" applyNumberFormat="1" applyFont="1" applyFill="1" applyBorder="1"/>
    <xf numFmtId="3" fontId="41" fillId="0" borderId="34" xfId="0" applyNumberFormat="1" applyFont="1" applyFill="1" applyBorder="1"/>
    <xf numFmtId="1" fontId="51" fillId="0" borderId="0" xfId="0" applyNumberFormat="1" applyFont="1" applyFill="1" applyAlignment="1">
      <alignment horizontal="center"/>
    </xf>
    <xf numFmtId="168" fontId="51" fillId="0" borderId="0" xfId="0" applyNumberFormat="1" applyFont="1" applyFill="1" applyAlignment="1">
      <alignment horizontal="center"/>
    </xf>
    <xf numFmtId="0" fontId="29" fillId="0" borderId="2" xfId="0" applyFont="1" applyFill="1" applyBorder="1"/>
    <xf numFmtId="3" fontId="36" fillId="0" borderId="17" xfId="0" applyNumberFormat="1" applyFont="1" applyFill="1" applyBorder="1"/>
    <xf numFmtId="3" fontId="11" fillId="0" borderId="2" xfId="6" applyFont="1" applyFill="1" applyBorder="1" applyAlignment="1">
      <alignment wrapText="1"/>
    </xf>
    <xf numFmtId="3" fontId="11" fillId="0" borderId="0" xfId="6" applyFont="1" applyFill="1" applyAlignment="1">
      <alignment horizontal="right"/>
    </xf>
    <xf numFmtId="1" fontId="60" fillId="0" borderId="6" xfId="0" applyNumberFormat="1" applyFont="1" applyFill="1" applyBorder="1" applyAlignment="1">
      <alignment horizontal="center" vertical="center" wrapText="1"/>
    </xf>
    <xf numFmtId="1" fontId="60" fillId="0" borderId="2" xfId="0" applyNumberFormat="1" applyFont="1" applyFill="1" applyBorder="1" applyAlignment="1">
      <alignment horizontal="center" vertical="center" wrapText="1"/>
    </xf>
    <xf numFmtId="3" fontId="36" fillId="0" borderId="2" xfId="0" applyNumberFormat="1" applyFont="1" applyFill="1" applyBorder="1" applyAlignment="1">
      <alignment vertical="center" wrapText="1"/>
    </xf>
    <xf numFmtId="167" fontId="14" fillId="0" borderId="25" xfId="0" applyNumberFormat="1" applyFont="1" applyFill="1" applyBorder="1" applyAlignment="1">
      <alignment horizontal="right" vertical="center" wrapText="1"/>
    </xf>
    <xf numFmtId="0" fontId="29" fillId="0" borderId="0" xfId="0" applyFont="1" applyFill="1" applyAlignment="1">
      <alignment vertical="center" wrapText="1"/>
    </xf>
    <xf numFmtId="0" fontId="36" fillId="0" borderId="0" xfId="0" applyFont="1" applyFill="1" applyAlignment="1">
      <alignment vertical="center" wrapText="1"/>
    </xf>
    <xf numFmtId="0" fontId="60" fillId="0" borderId="0" xfId="0" applyFont="1" applyFill="1" applyAlignment="1">
      <alignment vertical="center" wrapText="1"/>
    </xf>
    <xf numFmtId="1" fontId="60" fillId="0" borderId="50" xfId="0" applyNumberFormat="1" applyFont="1" applyFill="1" applyBorder="1" applyAlignment="1">
      <alignment horizontal="center" vertical="center" wrapText="1"/>
    </xf>
    <xf numFmtId="1" fontId="60" fillId="0" borderId="17" xfId="0" applyNumberFormat="1" applyFont="1" applyFill="1" applyBorder="1" applyAlignment="1">
      <alignment horizontal="center" vertical="center" wrapText="1"/>
    </xf>
    <xf numFmtId="1" fontId="41" fillId="0" borderId="50" xfId="0" applyNumberFormat="1" applyFont="1" applyFill="1" applyBorder="1" applyAlignment="1">
      <alignment horizontal="left"/>
    </xf>
    <xf numFmtId="0" fontId="29" fillId="0" borderId="0" xfId="0" applyFont="1" applyFill="1" applyAlignment="1"/>
    <xf numFmtId="3" fontId="64" fillId="0" borderId="0" xfId="0" applyNumberFormat="1" applyFont="1" applyFill="1" applyBorder="1"/>
    <xf numFmtId="3" fontId="54" fillId="0" borderId="0" xfId="0" applyNumberFormat="1" applyFont="1" applyFill="1"/>
    <xf numFmtId="0" fontId="49" fillId="0" borderId="0" xfId="0" applyFont="1" applyFill="1"/>
    <xf numFmtId="1" fontId="82" fillId="0" borderId="0" xfId="0" applyNumberFormat="1" applyFont="1" applyFill="1" applyAlignment="1">
      <alignment horizontal="center"/>
    </xf>
    <xf numFmtId="0" fontId="53" fillId="0" borderId="0" xfId="0" applyNumberFormat="1" applyFont="1" applyFill="1" applyAlignment="1">
      <alignment horizontal="left"/>
    </xf>
    <xf numFmtId="0" fontId="31" fillId="0" borderId="34" xfId="0" applyFont="1" applyFill="1" applyBorder="1" applyAlignment="1">
      <alignment horizontal="left"/>
    </xf>
    <xf numFmtId="0" fontId="60" fillId="0" borderId="10" xfId="0" applyFont="1" applyFill="1" applyBorder="1" applyAlignment="1">
      <alignment wrapText="1"/>
    </xf>
    <xf numFmtId="167" fontId="31" fillId="0" borderId="10" xfId="0" applyNumberFormat="1" applyFont="1" applyFill="1" applyBorder="1" applyAlignment="1">
      <alignment shrinkToFit="1"/>
    </xf>
    <xf numFmtId="1" fontId="4" fillId="0" borderId="0" xfId="0" applyNumberFormat="1" applyFont="1" applyFill="1" applyBorder="1" applyAlignment="1">
      <alignment horizontal="left"/>
    </xf>
    <xf numFmtId="1" fontId="4" fillId="0" borderId="6" xfId="0" applyNumberFormat="1" applyFont="1" applyFill="1" applyBorder="1" applyAlignment="1">
      <alignment horizontal="left"/>
    </xf>
    <xf numFmtId="49" fontId="9" fillId="0" borderId="2" xfId="0" applyNumberFormat="1" applyFont="1" applyFill="1" applyBorder="1" applyAlignment="1">
      <alignment horizontal="left" vertical="top"/>
    </xf>
    <xf numFmtId="1" fontId="4" fillId="0" borderId="34" xfId="0" applyNumberFormat="1" applyFont="1" applyFill="1" applyBorder="1" applyAlignment="1">
      <alignment horizontal="left"/>
    </xf>
    <xf numFmtId="1" fontId="4" fillId="0" borderId="17" xfId="0" applyNumberFormat="1" applyFont="1" applyFill="1" applyBorder="1" applyAlignment="1">
      <alignment horizontal="left"/>
    </xf>
    <xf numFmtId="0" fontId="5" fillId="0" borderId="5" xfId="0" applyFont="1" applyFill="1" applyBorder="1"/>
    <xf numFmtId="3" fontId="7" fillId="0" borderId="8" xfId="0" applyNumberFormat="1" applyFont="1" applyFill="1" applyBorder="1"/>
    <xf numFmtId="167" fontId="52" fillId="0" borderId="24" xfId="0" applyNumberFormat="1" applyFont="1" applyFill="1" applyBorder="1"/>
    <xf numFmtId="1" fontId="37" fillId="0" borderId="0" xfId="0" applyNumberFormat="1" applyFont="1" applyFill="1" applyAlignment="1">
      <alignment horizontal="left"/>
    </xf>
    <xf numFmtId="1" fontId="35" fillId="0" borderId="4" xfId="0" applyNumberFormat="1" applyFont="1" applyFill="1" applyBorder="1" applyAlignment="1">
      <alignment horizontal="center"/>
    </xf>
    <xf numFmtId="167" fontId="21" fillId="0" borderId="30" xfId="0" applyNumberFormat="1" applyFont="1" applyFill="1" applyBorder="1"/>
    <xf numFmtId="3" fontId="36" fillId="0" borderId="2" xfId="0" applyNumberFormat="1" applyFont="1" applyFill="1" applyBorder="1" applyAlignment="1"/>
    <xf numFmtId="3" fontId="12" fillId="0" borderId="17" xfId="5" applyFont="1" applyFill="1" applyBorder="1" applyAlignment="1">
      <alignment horizontal="left" vertical="center" wrapText="1"/>
    </xf>
    <xf numFmtId="1" fontId="41" fillId="0" borderId="10" xfId="0" applyNumberFormat="1" applyFont="1" applyFill="1" applyBorder="1" applyAlignment="1">
      <alignment horizontal="left"/>
    </xf>
    <xf numFmtId="167" fontId="21" fillId="0" borderId="10" xfId="0" applyNumberFormat="1" applyFont="1" applyFill="1" applyBorder="1"/>
    <xf numFmtId="168" fontId="28" fillId="0" borderId="46" xfId="0" applyNumberFormat="1" applyFont="1" applyFill="1" applyBorder="1" applyAlignment="1">
      <alignment horizontal="center"/>
    </xf>
    <xf numFmtId="3" fontId="21" fillId="0" borderId="18" xfId="0" applyNumberFormat="1" applyFont="1" applyFill="1" applyBorder="1"/>
    <xf numFmtId="3" fontId="12" fillId="0" borderId="0" xfId="5" applyFont="1" applyFill="1" applyAlignment="1"/>
    <xf numFmtId="167" fontId="41" fillId="0" borderId="10" xfId="0" applyNumberFormat="1" applyFont="1" applyFill="1" applyBorder="1"/>
    <xf numFmtId="1" fontId="29" fillId="0" borderId="0" xfId="0" applyNumberFormat="1" applyFont="1" applyFill="1" applyAlignment="1">
      <alignment horizontal="left"/>
    </xf>
    <xf numFmtId="167" fontId="21" fillId="0" borderId="0" xfId="0" applyNumberFormat="1" applyFont="1" applyFill="1" applyBorder="1"/>
    <xf numFmtId="167" fontId="23" fillId="0" borderId="0" xfId="0" applyNumberFormat="1" applyFont="1" applyFill="1"/>
    <xf numFmtId="167" fontId="13" fillId="0" borderId="10" xfId="0" applyNumberFormat="1" applyFont="1" applyFill="1" applyBorder="1" applyAlignment="1">
      <alignment horizontal="right"/>
    </xf>
    <xf numFmtId="167" fontId="21" fillId="0" borderId="24" xfId="0" applyNumberFormat="1" applyFont="1" applyFill="1" applyBorder="1"/>
    <xf numFmtId="0" fontId="12" fillId="0" borderId="2" xfId="0" applyFont="1" applyFill="1" applyBorder="1" applyAlignment="1"/>
    <xf numFmtId="166" fontId="51" fillId="0" borderId="0" xfId="0" applyNumberFormat="1" applyFont="1" applyFill="1"/>
    <xf numFmtId="167" fontId="53" fillId="0" borderId="0" xfId="0" applyNumberFormat="1" applyFont="1" applyFill="1"/>
    <xf numFmtId="168" fontId="4" fillId="0" borderId="0" xfId="0" applyNumberFormat="1" applyFont="1" applyFill="1" applyAlignment="1">
      <alignment horizontal="center"/>
    </xf>
    <xf numFmtId="3" fontId="7" fillId="0" borderId="5" xfId="0" applyNumberFormat="1" applyFont="1" applyFill="1" applyBorder="1" applyAlignment="1"/>
    <xf numFmtId="168" fontId="12" fillId="0" borderId="0" xfId="0" applyNumberFormat="1" applyFont="1" applyFill="1" applyAlignment="1">
      <alignment horizontal="left"/>
    </xf>
    <xf numFmtId="3" fontId="11" fillId="0" borderId="0" xfId="0" applyNumberFormat="1" applyFont="1" applyFill="1"/>
    <xf numFmtId="0" fontId="6" fillId="0" borderId="5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left"/>
    </xf>
    <xf numFmtId="3" fontId="25" fillId="0" borderId="5" xfId="0" applyNumberFormat="1" applyFont="1" applyFill="1" applyBorder="1"/>
    <xf numFmtId="167" fontId="8" fillId="0" borderId="22" xfId="0" applyNumberFormat="1" applyFont="1" applyFill="1" applyBorder="1"/>
    <xf numFmtId="0" fontId="16" fillId="0" borderId="0" xfId="0" applyFont="1" applyFill="1" applyBorder="1"/>
    <xf numFmtId="1" fontId="17" fillId="0" borderId="0" xfId="0" applyNumberFormat="1" applyFont="1" applyFill="1" applyBorder="1" applyAlignment="1">
      <alignment horizontal="left"/>
    </xf>
    <xf numFmtId="168" fontId="17" fillId="0" borderId="0" xfId="0" applyNumberFormat="1" applyFont="1" applyFill="1" applyBorder="1" applyAlignment="1">
      <alignment horizontal="left"/>
    </xf>
    <xf numFmtId="0" fontId="17" fillId="0" borderId="0" xfId="0" applyFont="1" applyFill="1" applyBorder="1"/>
    <xf numFmtId="3" fontId="16" fillId="0" borderId="0" xfId="0" applyNumberFormat="1" applyFont="1" applyFill="1" applyBorder="1"/>
    <xf numFmtId="167" fontId="16" fillId="0" borderId="0" xfId="0" applyNumberFormat="1" applyFont="1" applyFill="1" applyBorder="1"/>
    <xf numFmtId="3" fontId="57" fillId="0" borderId="0" xfId="0" applyNumberFormat="1" applyFont="1" applyFill="1"/>
    <xf numFmtId="167" fontId="52" fillId="0" borderId="0" xfId="0" applyNumberFormat="1" applyFont="1" applyFill="1" applyBorder="1"/>
    <xf numFmtId="167" fontId="5" fillId="0" borderId="0" xfId="0" applyNumberFormat="1" applyFont="1" applyFill="1" applyBorder="1"/>
    <xf numFmtId="167" fontId="53" fillId="0" borderId="0" xfId="0" applyNumberFormat="1" applyFont="1" applyFill="1" applyBorder="1"/>
    <xf numFmtId="3" fontId="68" fillId="0" borderId="10" xfId="0" applyNumberFormat="1" applyFont="1" applyFill="1" applyBorder="1"/>
    <xf numFmtId="167" fontId="21" fillId="0" borderId="0" xfId="0" applyNumberFormat="1" applyFont="1" applyFill="1"/>
    <xf numFmtId="3" fontId="36" fillId="0" borderId="0" xfId="0" applyNumberFormat="1" applyFont="1" applyFill="1" applyAlignment="1"/>
    <xf numFmtId="0" fontId="13" fillId="0" borderId="9" xfId="0" applyFont="1" applyFill="1" applyBorder="1"/>
    <xf numFmtId="49" fontId="9" fillId="0" borderId="0" xfId="0" applyNumberFormat="1" applyFont="1" applyFill="1" applyBorder="1" applyAlignment="1">
      <alignment horizontal="left"/>
    </xf>
    <xf numFmtId="0" fontId="8" fillId="0" borderId="2" xfId="0" applyFont="1" applyFill="1" applyBorder="1"/>
    <xf numFmtId="167" fontId="11" fillId="0" borderId="21" xfId="0" applyNumberFormat="1" applyFont="1" applyFill="1" applyBorder="1"/>
    <xf numFmtId="167" fontId="41" fillId="0" borderId="24" xfId="0" applyNumberFormat="1" applyFont="1" applyFill="1" applyBorder="1"/>
    <xf numFmtId="0" fontId="64" fillId="0" borderId="0" xfId="0" applyFont="1" applyFill="1"/>
    <xf numFmtId="3" fontId="41" fillId="0" borderId="10" xfId="0" applyNumberFormat="1" applyFont="1" applyFill="1" applyBorder="1" applyAlignment="1"/>
    <xf numFmtId="3" fontId="41" fillId="0" borderId="0" xfId="0" applyNumberFormat="1" applyFont="1" applyFill="1"/>
    <xf numFmtId="168" fontId="62" fillId="0" borderId="0" xfId="0" applyNumberFormat="1" applyFont="1" applyFill="1" applyAlignment="1">
      <alignment horizontal="center"/>
    </xf>
    <xf numFmtId="3" fontId="23" fillId="0" borderId="0" xfId="0" applyNumberFormat="1" applyFont="1" applyFill="1" applyBorder="1" applyAlignment="1"/>
    <xf numFmtId="167" fontId="13" fillId="0" borderId="21" xfId="0" applyNumberFormat="1" applyFont="1" applyFill="1" applyBorder="1"/>
    <xf numFmtId="0" fontId="41" fillId="0" borderId="14" xfId="0" applyFont="1" applyFill="1" applyBorder="1"/>
    <xf numFmtId="3" fontId="64" fillId="0" borderId="0" xfId="0" applyNumberFormat="1" applyFont="1" applyFill="1"/>
    <xf numFmtId="3" fontId="41" fillId="0" borderId="34" xfId="0" applyNumberFormat="1" applyFont="1" applyFill="1" applyBorder="1" applyAlignment="1"/>
    <xf numFmtId="167" fontId="41" fillId="0" borderId="34" xfId="0" applyNumberFormat="1" applyFont="1" applyFill="1" applyBorder="1"/>
    <xf numFmtId="1" fontId="51" fillId="0" borderId="0" xfId="0" applyNumberFormat="1" applyFont="1" applyFill="1" applyAlignment="1">
      <alignment horizontal="left" vertical="top"/>
    </xf>
    <xf numFmtId="0" fontId="60" fillId="0" borderId="0" xfId="0" applyFont="1" applyFill="1" applyAlignment="1">
      <alignment vertical="top"/>
    </xf>
    <xf numFmtId="3" fontId="51" fillId="0" borderId="0" xfId="0" applyNumberFormat="1" applyFont="1" applyFill="1" applyBorder="1" applyAlignment="1"/>
    <xf numFmtId="167" fontId="13" fillId="0" borderId="0" xfId="0" applyNumberFormat="1" applyFont="1" applyFill="1" applyBorder="1"/>
    <xf numFmtId="167" fontId="11" fillId="0" borderId="0" xfId="0" applyNumberFormat="1" applyFont="1" applyFill="1" applyBorder="1"/>
    <xf numFmtId="1" fontId="53" fillId="0" borderId="0" xfId="0" applyNumberFormat="1" applyFont="1" applyFill="1" applyAlignment="1">
      <alignment horizontal="center"/>
    </xf>
    <xf numFmtId="0" fontId="53" fillId="0" borderId="0" xfId="0" applyFont="1" applyFill="1"/>
    <xf numFmtId="3" fontId="34" fillId="0" borderId="10" xfId="0" applyNumberFormat="1" applyFont="1" applyFill="1" applyBorder="1" applyAlignment="1"/>
    <xf numFmtId="166" fontId="36" fillId="0" borderId="0" xfId="0" applyNumberFormat="1" applyFont="1" applyFill="1"/>
    <xf numFmtId="3" fontId="20" fillId="0" borderId="0" xfId="0" applyNumberFormat="1" applyFont="1" applyFill="1" applyAlignment="1">
      <alignment horizontal="right"/>
    </xf>
    <xf numFmtId="3" fontId="28" fillId="0" borderId="0" xfId="0" applyNumberFormat="1" applyFont="1" applyFill="1"/>
    <xf numFmtId="3" fontId="9" fillId="0" borderId="0" xfId="0" applyNumberFormat="1" applyFont="1" applyFill="1" applyAlignment="1">
      <alignment horizontal="center"/>
    </xf>
    <xf numFmtId="3" fontId="36" fillId="0" borderId="0" xfId="0" applyNumberFormat="1" applyFont="1" applyFill="1" applyAlignment="1">
      <alignment horizontal="right"/>
    </xf>
    <xf numFmtId="166" fontId="28" fillId="0" borderId="0" xfId="0" applyNumberFormat="1" applyFont="1" applyFill="1"/>
    <xf numFmtId="166" fontId="6" fillId="0" borderId="24" xfId="0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left"/>
    </xf>
    <xf numFmtId="3" fontId="8" fillId="0" borderId="2" xfId="0" applyNumberFormat="1" applyFont="1" applyFill="1" applyBorder="1"/>
    <xf numFmtId="166" fontId="8" fillId="0" borderId="21" xfId="0" applyNumberFormat="1" applyFont="1" applyFill="1" applyBorder="1"/>
    <xf numFmtId="3" fontId="11" fillId="0" borderId="15" xfId="0" applyNumberFormat="1" applyFont="1" applyFill="1" applyBorder="1"/>
    <xf numFmtId="166" fontId="14" fillId="0" borderId="21" xfId="0" applyNumberFormat="1" applyFont="1" applyFill="1" applyBorder="1"/>
    <xf numFmtId="3" fontId="8" fillId="0" borderId="5" xfId="0" applyNumberFormat="1" applyFont="1" applyFill="1" applyBorder="1"/>
    <xf numFmtId="166" fontId="8" fillId="0" borderId="24" xfId="0" applyNumberFormat="1" applyFont="1" applyFill="1" applyBorder="1"/>
    <xf numFmtId="166" fontId="8" fillId="0" borderId="23" xfId="0" applyNumberFormat="1" applyFont="1" applyFill="1" applyBorder="1"/>
    <xf numFmtId="3" fontId="14" fillId="0" borderId="2" xfId="0" applyNumberFormat="1" applyFont="1" applyFill="1" applyBorder="1"/>
    <xf numFmtId="166" fontId="14" fillId="0" borderId="25" xfId="0" applyNumberFormat="1" applyFont="1" applyFill="1" applyBorder="1"/>
    <xf numFmtId="3" fontId="27" fillId="0" borderId="2" xfId="0" applyNumberFormat="1" applyFont="1" applyFill="1" applyBorder="1" applyAlignment="1">
      <alignment horizontal="left"/>
    </xf>
    <xf numFmtId="1" fontId="4" fillId="0" borderId="3" xfId="0" applyNumberFormat="1" applyFont="1" applyFill="1" applyBorder="1" applyAlignment="1">
      <alignment horizontal="left"/>
    </xf>
    <xf numFmtId="3" fontId="14" fillId="0" borderId="3" xfId="0" applyNumberFormat="1" applyFont="1" applyFill="1" applyBorder="1"/>
    <xf numFmtId="166" fontId="14" fillId="0" borderId="49" xfId="0" applyNumberFormat="1" applyFont="1" applyFill="1" applyBorder="1"/>
    <xf numFmtId="3" fontId="14" fillId="0" borderId="17" xfId="0" applyNumberFormat="1" applyFont="1" applyFill="1" applyBorder="1"/>
    <xf numFmtId="0" fontId="14" fillId="0" borderId="17" xfId="0" applyFont="1" applyFill="1" applyBorder="1"/>
    <xf numFmtId="3" fontId="8" fillId="0" borderId="17" xfId="0" applyNumberFormat="1" applyFont="1" applyFill="1" applyBorder="1"/>
    <xf numFmtId="166" fontId="8" fillId="0" borderId="25" xfId="0" applyNumberFormat="1" applyFont="1" applyFill="1" applyBorder="1"/>
    <xf numFmtId="3" fontId="11" fillId="0" borderId="17" xfId="0" applyNumberFormat="1" applyFont="1" applyFill="1" applyBorder="1"/>
    <xf numFmtId="166" fontId="13" fillId="0" borderId="25" xfId="0" applyNumberFormat="1" applyFont="1" applyFill="1" applyBorder="1"/>
    <xf numFmtId="3" fontId="9" fillId="0" borderId="9" xfId="0" applyNumberFormat="1" applyFont="1" applyFill="1" applyBorder="1" applyAlignment="1">
      <alignment horizontal="left"/>
    </xf>
    <xf numFmtId="1" fontId="4" fillId="0" borderId="15" xfId="0" applyNumberFormat="1" applyFont="1" applyFill="1" applyBorder="1" applyAlignment="1">
      <alignment horizontal="left"/>
    </xf>
    <xf numFmtId="3" fontId="14" fillId="0" borderId="0" xfId="0" applyNumberFormat="1" applyFont="1" applyFill="1" applyBorder="1"/>
    <xf numFmtId="3" fontId="27" fillId="0" borderId="17" xfId="0" applyNumberFormat="1" applyFont="1" applyFill="1" applyBorder="1" applyAlignment="1">
      <alignment horizontal="left"/>
    </xf>
    <xf numFmtId="0" fontId="14" fillId="0" borderId="15" xfId="0" applyFont="1" applyFill="1" applyBorder="1"/>
    <xf numFmtId="49" fontId="9" fillId="0" borderId="17" xfId="0" applyNumberFormat="1" applyFont="1" applyFill="1" applyBorder="1" applyAlignment="1">
      <alignment horizontal="left" vertical="center"/>
    </xf>
    <xf numFmtId="3" fontId="8" fillId="0" borderId="41" xfId="0" applyNumberFormat="1" applyFont="1" applyFill="1" applyBorder="1"/>
    <xf numFmtId="3" fontId="13" fillId="0" borderId="17" xfId="0" applyNumberFormat="1" applyFont="1" applyFill="1" applyBorder="1"/>
    <xf numFmtId="1" fontId="4" fillId="0" borderId="41" xfId="0" applyNumberFormat="1" applyFont="1" applyFill="1" applyBorder="1" applyAlignment="1">
      <alignment horizontal="left"/>
    </xf>
    <xf numFmtId="0" fontId="8" fillId="0" borderId="52" xfId="0" applyFont="1" applyFill="1" applyBorder="1"/>
    <xf numFmtId="166" fontId="8" fillId="0" borderId="43" xfId="0" applyNumberFormat="1" applyFont="1" applyFill="1" applyBorder="1"/>
    <xf numFmtId="3" fontId="9" fillId="0" borderId="18" xfId="0" applyNumberFormat="1" applyFont="1" applyFill="1" applyBorder="1" applyAlignment="1">
      <alignment horizontal="left"/>
    </xf>
    <xf numFmtId="3" fontId="13" fillId="0" borderId="2" xfId="0" applyNumberFormat="1" applyFont="1" applyFill="1" applyBorder="1"/>
    <xf numFmtId="3" fontId="9" fillId="0" borderId="41" xfId="0" applyNumberFormat="1" applyFont="1" applyFill="1" applyBorder="1" applyAlignment="1">
      <alignment horizontal="left"/>
    </xf>
    <xf numFmtId="166" fontId="13" fillId="0" borderId="21" xfId="0" applyNumberFormat="1" applyFont="1" applyFill="1" applyBorder="1"/>
    <xf numFmtId="166" fontId="11" fillId="0" borderId="21" xfId="0" applyNumberFormat="1" applyFont="1" applyFill="1" applyBorder="1"/>
    <xf numFmtId="166" fontId="14" fillId="0" borderId="42" xfId="0" applyNumberFormat="1" applyFont="1" applyFill="1" applyBorder="1"/>
    <xf numFmtId="166" fontId="8" fillId="0" borderId="42" xfId="0" applyNumberFormat="1" applyFont="1" applyFill="1" applyBorder="1"/>
    <xf numFmtId="49" fontId="9" fillId="0" borderId="0" xfId="0" applyNumberFormat="1" applyFont="1" applyFill="1" applyAlignment="1">
      <alignment horizontal="left" vertical="top"/>
    </xf>
    <xf numFmtId="3" fontId="8" fillId="0" borderId="15" xfId="0" applyNumberFormat="1" applyFont="1" applyFill="1" applyBorder="1"/>
    <xf numFmtId="3" fontId="9" fillId="0" borderId="17" xfId="0" applyNumberFormat="1" applyFont="1" applyFill="1" applyBorder="1" applyAlignment="1">
      <alignment horizontal="left"/>
    </xf>
    <xf numFmtId="0" fontId="8" fillId="0" borderId="9" xfId="0" applyFont="1" applyFill="1" applyBorder="1"/>
    <xf numFmtId="3" fontId="8" fillId="0" borderId="9" xfId="0" applyNumberFormat="1" applyFont="1" applyFill="1" applyBorder="1"/>
    <xf numFmtId="3" fontId="52" fillId="0" borderId="5" xfId="0" applyNumberFormat="1" applyFont="1" applyFill="1" applyBorder="1"/>
    <xf numFmtId="166" fontId="52" fillId="0" borderId="24" xfId="0" applyNumberFormat="1" applyFont="1" applyFill="1" applyBorder="1"/>
    <xf numFmtId="1" fontId="4" fillId="0" borderId="18" xfId="0" applyNumberFormat="1" applyFont="1" applyFill="1" applyBorder="1" applyAlignment="1">
      <alignment horizontal="left"/>
    </xf>
    <xf numFmtId="1" fontId="21" fillId="0" borderId="9" xfId="0" applyNumberFormat="1" applyFont="1" applyFill="1" applyBorder="1" applyAlignment="1">
      <alignment horizontal="right" vertical="center" wrapText="1"/>
    </xf>
    <xf numFmtId="0" fontId="35" fillId="0" borderId="6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/>
    </xf>
    <xf numFmtId="1" fontId="11" fillId="0" borderId="17" xfId="0" applyNumberFormat="1" applyFont="1" applyFill="1" applyBorder="1" applyAlignment="1">
      <alignment horizontal="left"/>
    </xf>
    <xf numFmtId="1" fontId="11" fillId="0" borderId="15" xfId="0" applyNumberFormat="1" applyFont="1" applyFill="1" applyBorder="1" applyAlignment="1">
      <alignment horizontal="left"/>
    </xf>
    <xf numFmtId="3" fontId="8" fillId="0" borderId="53" xfId="0" applyNumberFormat="1" applyFont="1" applyFill="1" applyBorder="1"/>
    <xf numFmtId="3" fontId="14" fillId="0" borderId="14" xfId="0" applyNumberFormat="1" applyFont="1" applyFill="1" applyBorder="1"/>
    <xf numFmtId="166" fontId="14" fillId="0" borderId="35" xfId="0" applyNumberFormat="1" applyFont="1" applyFill="1" applyBorder="1"/>
    <xf numFmtId="3" fontId="8" fillId="0" borderId="14" xfId="0" applyNumberFormat="1" applyFont="1" applyFill="1" applyBorder="1"/>
    <xf numFmtId="3" fontId="27" fillId="0" borderId="15" xfId="0" applyNumberFormat="1" applyFont="1" applyFill="1" applyBorder="1" applyAlignment="1">
      <alignment horizontal="left"/>
    </xf>
    <xf numFmtId="0" fontId="4" fillId="0" borderId="3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3" fontId="13" fillId="0" borderId="9" xfId="0" applyNumberFormat="1" applyFont="1" applyFill="1" applyBorder="1" applyAlignment="1">
      <alignment horizontal="right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center" vertical="center"/>
    </xf>
    <xf numFmtId="3" fontId="11" fillId="0" borderId="2" xfId="0" applyNumberFormat="1" applyFont="1" applyFill="1" applyBorder="1" applyAlignment="1">
      <alignment horizontal="right" vertical="center"/>
    </xf>
    <xf numFmtId="3" fontId="11" fillId="0" borderId="0" xfId="0" applyNumberFormat="1" applyFont="1" applyFill="1" applyBorder="1"/>
    <xf numFmtId="3" fontId="13" fillId="0" borderId="14" xfId="0" applyNumberFormat="1" applyFont="1" applyFill="1" applyBorder="1"/>
    <xf numFmtId="166" fontId="13" fillId="0" borderId="42" xfId="0" applyNumberFormat="1" applyFont="1" applyFill="1" applyBorder="1"/>
    <xf numFmtId="0" fontId="8" fillId="0" borderId="41" xfId="0" applyFont="1" applyFill="1" applyBorder="1"/>
    <xf numFmtId="1" fontId="27" fillId="0" borderId="17" xfId="0" applyNumberFormat="1" applyFont="1" applyFill="1" applyBorder="1" applyAlignment="1">
      <alignment horizontal="right"/>
    </xf>
    <xf numFmtId="3" fontId="27" fillId="0" borderId="41" xfId="0" applyNumberFormat="1" applyFont="1" applyFill="1" applyBorder="1" applyAlignment="1">
      <alignment horizontal="left"/>
    </xf>
    <xf numFmtId="3" fontId="13" fillId="0" borderId="2" xfId="0" applyNumberFormat="1" applyFont="1" applyFill="1" applyBorder="1" applyAlignment="1">
      <alignment horizontal="right" vertical="center"/>
    </xf>
    <xf numFmtId="3" fontId="13" fillId="0" borderId="5" xfId="0" applyNumberFormat="1" applyFont="1" applyFill="1" applyBorder="1"/>
    <xf numFmtId="166" fontId="13" fillId="0" borderId="24" xfId="0" applyNumberFormat="1" applyFont="1" applyFill="1" applyBorder="1"/>
    <xf numFmtId="1" fontId="4" fillId="0" borderId="48" xfId="0" applyNumberFormat="1" applyFont="1" applyFill="1" applyBorder="1" applyAlignment="1">
      <alignment horizontal="left"/>
    </xf>
    <xf numFmtId="3" fontId="14" fillId="0" borderId="48" xfId="0" applyNumberFormat="1" applyFont="1" applyFill="1" applyBorder="1"/>
    <xf numFmtId="166" fontId="14" fillId="0" borderId="0" xfId="0" applyNumberFormat="1" applyFont="1" applyFill="1" applyBorder="1"/>
    <xf numFmtId="171" fontId="9" fillId="0" borderId="0" xfId="0" applyNumberFormat="1" applyFont="1" applyFill="1" applyBorder="1" applyAlignment="1">
      <alignment horizontal="left" vertical="top"/>
    </xf>
    <xf numFmtId="168" fontId="9" fillId="0" borderId="0" xfId="0" applyNumberFormat="1" applyFont="1" applyFill="1" applyBorder="1" applyAlignment="1">
      <alignment horizontal="left"/>
    </xf>
    <xf numFmtId="172" fontId="9" fillId="0" borderId="0" xfId="0" applyNumberFormat="1" applyFont="1" applyFill="1" applyBorder="1" applyAlignment="1">
      <alignment horizontal="left" vertical="top"/>
    </xf>
    <xf numFmtId="3" fontId="12" fillId="0" borderId="0" xfId="0" applyNumberFormat="1" applyFont="1" applyFill="1" applyBorder="1"/>
    <xf numFmtId="166" fontId="18" fillId="0" borderId="24" xfId="0" applyNumberFormat="1" applyFont="1" applyFill="1" applyBorder="1"/>
    <xf numFmtId="166" fontId="8" fillId="0" borderId="54" xfId="0" applyNumberFormat="1" applyFont="1" applyFill="1" applyBorder="1"/>
    <xf numFmtId="3" fontId="28" fillId="0" borderId="0" xfId="0" applyNumberFormat="1" applyFont="1" applyFill="1" applyBorder="1"/>
    <xf numFmtId="0" fontId="6" fillId="0" borderId="17" xfId="0" applyFont="1" applyFill="1" applyBorder="1" applyAlignment="1">
      <alignment horizontal="center" vertical="center"/>
    </xf>
    <xf numFmtId="1" fontId="6" fillId="0" borderId="17" xfId="0" applyNumberFormat="1" applyFont="1" applyFill="1" applyBorder="1" applyAlignment="1">
      <alignment horizontal="center" vertical="center"/>
    </xf>
    <xf numFmtId="3" fontId="8" fillId="0" borderId="17" xfId="0" applyNumberFormat="1" applyFont="1" applyFill="1" applyBorder="1" applyAlignment="1">
      <alignment horizontal="right" vertical="center"/>
    </xf>
    <xf numFmtId="3" fontId="14" fillId="0" borderId="17" xfId="0" applyNumberFormat="1" applyFont="1" applyFill="1" applyBorder="1" applyAlignment="1">
      <alignment horizontal="right"/>
    </xf>
    <xf numFmtId="3" fontId="11" fillId="0" borderId="48" xfId="0" applyNumberFormat="1" applyFont="1" applyFill="1" applyBorder="1"/>
    <xf numFmtId="166" fontId="11" fillId="0" borderId="35" xfId="0" applyNumberFormat="1" applyFont="1" applyFill="1" applyBorder="1"/>
    <xf numFmtId="3" fontId="6" fillId="0" borderId="0" xfId="0" applyNumberFormat="1" applyFont="1" applyFill="1"/>
    <xf numFmtId="1" fontId="4" fillId="0" borderId="55" xfId="0" applyNumberFormat="1" applyFont="1" applyFill="1" applyBorder="1" applyAlignment="1">
      <alignment horizontal="left"/>
    </xf>
    <xf numFmtId="3" fontId="13" fillId="0" borderId="41" xfId="0" applyNumberFormat="1" applyFont="1" applyFill="1" applyBorder="1"/>
    <xf numFmtId="166" fontId="13" fillId="0" borderId="43" xfId="0" applyNumberFormat="1" applyFont="1" applyFill="1" applyBorder="1"/>
    <xf numFmtId="1" fontId="18" fillId="0" borderId="0" xfId="0" applyNumberFormat="1" applyFont="1" applyFill="1" applyAlignment="1">
      <alignment horizontal="left"/>
    </xf>
    <xf numFmtId="3" fontId="37" fillId="0" borderId="0" xfId="0" applyNumberFormat="1" applyFont="1" applyFill="1"/>
    <xf numFmtId="166" fontId="8" fillId="0" borderId="25" xfId="0" applyNumberFormat="1" applyFont="1" applyFill="1" applyBorder="1" applyAlignment="1">
      <alignment horizontal="right"/>
    </xf>
    <xf numFmtId="0" fontId="5" fillId="0" borderId="33" xfId="0" applyFont="1" applyFill="1" applyBorder="1"/>
    <xf numFmtId="3" fontId="4" fillId="0" borderId="0" xfId="0" applyNumberFormat="1" applyFont="1" applyFill="1"/>
    <xf numFmtId="0" fontId="13" fillId="0" borderId="0" xfId="0" applyFont="1" applyFill="1"/>
    <xf numFmtId="3" fontId="13" fillId="0" borderId="0" xfId="0" applyNumberFormat="1" applyFont="1" applyFill="1"/>
    <xf numFmtId="167" fontId="52" fillId="0" borderId="35" xfId="0" applyNumberFormat="1" applyFont="1" applyFill="1" applyBorder="1"/>
    <xf numFmtId="168" fontId="27" fillId="0" borderId="0" xfId="0" applyNumberFormat="1" applyFont="1" applyFill="1" applyAlignment="1">
      <alignment horizontal="center"/>
    </xf>
    <xf numFmtId="0" fontId="12" fillId="0" borderId="2" xfId="0" applyFont="1" applyFill="1" applyBorder="1" applyAlignment="1">
      <alignment horizontal="center"/>
    </xf>
    <xf numFmtId="3" fontId="13" fillId="0" borderId="0" xfId="0" applyNumberFormat="1" applyFont="1" applyFill="1" applyBorder="1"/>
    <xf numFmtId="167" fontId="7" fillId="0" borderId="0" xfId="0" applyNumberFormat="1" applyFont="1" applyFill="1" applyBorder="1" applyAlignment="1">
      <alignment shrinkToFit="1"/>
    </xf>
    <xf numFmtId="167" fontId="7" fillId="0" borderId="35" xfId="0" applyNumberFormat="1" applyFont="1" applyFill="1" applyBorder="1" applyAlignment="1"/>
    <xf numFmtId="1" fontId="17" fillId="0" borderId="0" xfId="0" applyNumberFormat="1" applyFont="1" applyFill="1" applyAlignment="1">
      <alignment horizontal="left"/>
    </xf>
    <xf numFmtId="0" fontId="6" fillId="0" borderId="56" xfId="0" applyFont="1" applyFill="1" applyBorder="1" applyAlignment="1">
      <alignment horizontal="center" vertical="center"/>
    </xf>
    <xf numFmtId="0" fontId="41" fillId="0" borderId="4" xfId="0" applyFont="1" applyFill="1" applyBorder="1" applyAlignment="1"/>
    <xf numFmtId="0" fontId="39" fillId="0" borderId="5" xfId="0" applyFont="1" applyFill="1" applyBorder="1" applyAlignment="1"/>
    <xf numFmtId="168" fontId="62" fillId="0" borderId="5" xfId="0" applyNumberFormat="1" applyFont="1" applyFill="1" applyBorder="1" applyAlignment="1">
      <alignment horizontal="center"/>
    </xf>
    <xf numFmtId="167" fontId="7" fillId="0" borderId="22" xfId="0" applyNumberFormat="1" applyFont="1" applyFill="1" applyBorder="1" applyAlignment="1"/>
    <xf numFmtId="0" fontId="58" fillId="0" borderId="0" xfId="0" applyFont="1" applyFill="1"/>
    <xf numFmtId="167" fontId="67" fillId="0" borderId="0" xfId="0" applyNumberFormat="1" applyFont="1" applyFill="1" applyBorder="1"/>
    <xf numFmtId="1" fontId="52" fillId="0" borderId="0" xfId="0" applyNumberFormat="1" applyFont="1" applyFill="1" applyAlignment="1">
      <alignment horizontal="left"/>
    </xf>
    <xf numFmtId="166" fontId="7" fillId="0" borderId="22" xfId="0" applyNumberFormat="1" applyFont="1" applyFill="1" applyBorder="1"/>
    <xf numFmtId="166" fontId="7" fillId="0" borderId="35" xfId="0" applyNumberFormat="1" applyFont="1" applyFill="1" applyBorder="1"/>
    <xf numFmtId="3" fontId="51" fillId="0" borderId="0" xfId="0" applyNumberFormat="1" applyFont="1" applyFill="1" applyBorder="1" applyAlignment="1">
      <alignment horizontal="right"/>
    </xf>
    <xf numFmtId="3" fontId="54" fillId="0" borderId="0" xfId="0" applyNumberFormat="1" applyFont="1" applyFill="1" applyAlignment="1">
      <alignment horizontal="right"/>
    </xf>
    <xf numFmtId="3" fontId="67" fillId="0" borderId="0" xfId="0" applyNumberFormat="1" applyFont="1" applyFill="1" applyBorder="1"/>
    <xf numFmtId="1" fontId="6" fillId="0" borderId="0" xfId="0" applyNumberFormat="1" applyFont="1" applyFill="1" applyBorder="1" applyAlignment="1">
      <alignment horizontal="left"/>
    </xf>
    <xf numFmtId="168" fontId="9" fillId="0" borderId="0" xfId="0" applyNumberFormat="1" applyFont="1" applyFill="1" applyBorder="1" applyAlignment="1">
      <alignment horizontal="center"/>
    </xf>
    <xf numFmtId="166" fontId="31" fillId="0" borderId="10" xfId="0" applyNumberFormat="1" applyFont="1" applyFill="1" applyBorder="1" applyAlignment="1">
      <alignment shrinkToFit="1"/>
    </xf>
    <xf numFmtId="3" fontId="29" fillId="0" borderId="0" xfId="0" applyNumberFormat="1" applyFont="1" applyFill="1" applyAlignment="1">
      <alignment horizontal="right"/>
    </xf>
    <xf numFmtId="168" fontId="27" fillId="0" borderId="0" xfId="0" applyNumberFormat="1" applyFont="1" applyFill="1" applyAlignment="1">
      <alignment horizontal="left" vertical="top"/>
    </xf>
    <xf numFmtId="3" fontId="11" fillId="0" borderId="0" xfId="0" applyNumberFormat="1" applyFont="1" applyFill="1" applyAlignment="1">
      <alignment horizontal="right" vertical="top"/>
    </xf>
    <xf numFmtId="0" fontId="8" fillId="0" borderId="0" xfId="0" applyFont="1" applyFill="1" applyAlignment="1">
      <alignment horizontal="right"/>
    </xf>
    <xf numFmtId="0" fontId="5" fillId="0" borderId="8" xfId="0" applyFont="1" applyFill="1" applyBorder="1" applyAlignment="1">
      <alignment horizontal="center"/>
    </xf>
    <xf numFmtId="167" fontId="7" fillId="0" borderId="24" xfId="0" applyNumberFormat="1" applyFont="1" applyFill="1" applyBorder="1"/>
    <xf numFmtId="166" fontId="5" fillId="0" borderId="0" xfId="0" applyNumberFormat="1" applyFont="1" applyFill="1"/>
    <xf numFmtId="0" fontId="29" fillId="0" borderId="0" xfId="0" applyFont="1" applyFill="1" applyAlignment="1">
      <alignment horizontal="center"/>
    </xf>
    <xf numFmtId="168" fontId="28" fillId="0" borderId="0" xfId="0" applyNumberFormat="1" applyFont="1" applyFill="1"/>
    <xf numFmtId="166" fontId="29" fillId="0" borderId="0" xfId="0" applyNumberFormat="1" applyFont="1" applyFill="1"/>
    <xf numFmtId="168" fontId="9" fillId="0" borderId="0" xfId="0" applyNumberFormat="1" applyFont="1" applyFill="1" applyAlignment="1">
      <alignment horizontal="left"/>
    </xf>
    <xf numFmtId="3" fontId="4" fillId="0" borderId="0" xfId="0" applyNumberFormat="1" applyFont="1" applyFill="1" applyAlignment="1">
      <alignment horizontal="right"/>
    </xf>
    <xf numFmtId="3" fontId="18" fillId="0" borderId="0" xfId="0" applyNumberFormat="1" applyFont="1" applyFill="1"/>
    <xf numFmtId="167" fontId="18" fillId="0" borderId="0" xfId="0" applyNumberFormat="1" applyFont="1" applyFill="1"/>
    <xf numFmtId="166" fontId="60" fillId="0" borderId="0" xfId="0" applyNumberFormat="1" applyFont="1" applyFill="1"/>
    <xf numFmtId="1" fontId="40" fillId="0" borderId="0" xfId="0" applyNumberFormat="1" applyFont="1" applyFill="1"/>
    <xf numFmtId="1" fontId="60" fillId="0" borderId="0" xfId="0" applyNumberFormat="1" applyFont="1" applyFill="1"/>
    <xf numFmtId="0" fontId="29" fillId="0" borderId="26" xfId="0" applyFont="1" applyFill="1" applyBorder="1"/>
    <xf numFmtId="173" fontId="9" fillId="0" borderId="2" xfId="0" applyNumberFormat="1" applyFont="1" applyFill="1" applyBorder="1" applyAlignment="1">
      <alignment horizontal="center"/>
    </xf>
    <xf numFmtId="0" fontId="29" fillId="0" borderId="38" xfId="0" applyFont="1" applyFill="1" applyBorder="1"/>
    <xf numFmtId="3" fontId="13" fillId="0" borderId="9" xfId="0" applyNumberFormat="1" applyFont="1" applyFill="1" applyBorder="1"/>
    <xf numFmtId="3" fontId="22" fillId="0" borderId="0" xfId="0" applyNumberFormat="1" applyFont="1" applyFill="1"/>
    <xf numFmtId="166" fontId="8" fillId="0" borderId="30" xfId="0" applyNumberFormat="1" applyFont="1" applyFill="1" applyBorder="1"/>
    <xf numFmtId="0" fontId="29" fillId="0" borderId="50" xfId="0" applyFont="1" applyFill="1" applyBorder="1"/>
    <xf numFmtId="173" fontId="9" fillId="0" borderId="14" xfId="0" applyNumberFormat="1" applyFont="1" applyFill="1" applyBorder="1" applyAlignment="1">
      <alignment horizontal="center"/>
    </xf>
    <xf numFmtId="3" fontId="13" fillId="0" borderId="34" xfId="0" applyNumberFormat="1" applyFont="1" applyFill="1" applyBorder="1"/>
    <xf numFmtId="0" fontId="29" fillId="0" borderId="4" xfId="0" applyFont="1" applyFill="1" applyBorder="1"/>
    <xf numFmtId="1" fontId="4" fillId="0" borderId="5" xfId="0" applyNumberFormat="1" applyFont="1" applyFill="1" applyBorder="1" applyAlignment="1">
      <alignment horizontal="left"/>
    </xf>
    <xf numFmtId="173" fontId="9" fillId="0" borderId="5" xfId="0" applyNumberFormat="1" applyFont="1" applyFill="1" applyBorder="1" applyAlignment="1">
      <alignment horizontal="center"/>
    </xf>
    <xf numFmtId="0" fontId="13" fillId="0" borderId="5" xfId="0" applyFont="1" applyFill="1" applyBorder="1"/>
    <xf numFmtId="3" fontId="8" fillId="0" borderId="27" xfId="0" applyNumberFormat="1" applyFont="1" applyFill="1" applyBorder="1"/>
    <xf numFmtId="0" fontId="29" fillId="0" borderId="33" xfId="0" applyFont="1" applyFill="1" applyBorder="1"/>
    <xf numFmtId="166" fontId="8" fillId="0" borderId="35" xfId="0" applyNumberFormat="1" applyFont="1" applyFill="1" applyBorder="1"/>
    <xf numFmtId="173" fontId="9" fillId="0" borderId="9" xfId="0" applyNumberFormat="1" applyFont="1" applyFill="1" applyBorder="1" applyAlignment="1">
      <alignment horizontal="center"/>
    </xf>
    <xf numFmtId="166" fontId="13" fillId="0" borderId="35" xfId="0" applyNumberFormat="1" applyFont="1" applyFill="1" applyBorder="1"/>
    <xf numFmtId="3" fontId="28" fillId="0" borderId="0" xfId="0" applyNumberFormat="1" applyFont="1" applyFill="1" applyAlignment="1">
      <alignment vertical="center"/>
    </xf>
    <xf numFmtId="1" fontId="43" fillId="0" borderId="34" xfId="0" applyNumberFormat="1" applyFont="1" applyFill="1" applyBorder="1" applyAlignment="1"/>
    <xf numFmtId="0" fontId="60" fillId="0" borderId="34" xfId="0" applyFont="1" applyFill="1" applyBorder="1" applyAlignment="1"/>
    <xf numFmtId="3" fontId="43" fillId="0" borderId="34" xfId="0" applyNumberFormat="1" applyFont="1" applyFill="1" applyBorder="1" applyAlignment="1"/>
    <xf numFmtId="3" fontId="81" fillId="0" borderId="34" xfId="0" applyNumberFormat="1" applyFont="1" applyFill="1" applyBorder="1" applyAlignment="1"/>
    <xf numFmtId="166" fontId="68" fillId="0" borderId="34" xfId="0" applyNumberFormat="1" applyFont="1" applyFill="1" applyBorder="1"/>
    <xf numFmtId="0" fontId="43" fillId="0" borderId="0" xfId="0" applyFont="1" applyFill="1" applyAlignment="1">
      <alignment wrapText="1"/>
    </xf>
    <xf numFmtId="3" fontId="22" fillId="0" borderId="0" xfId="0" applyNumberFormat="1" applyFont="1" applyFill="1" applyAlignment="1">
      <alignment wrapText="1"/>
    </xf>
    <xf numFmtId="0" fontId="37" fillId="0" borderId="0" xfId="0" applyFont="1" applyFill="1" applyAlignment="1">
      <alignment wrapText="1"/>
    </xf>
    <xf numFmtId="0" fontId="56" fillId="0" borderId="4" xfId="0" applyFont="1" applyFill="1" applyBorder="1" applyAlignment="1">
      <alignment horizontal="center" vertical="center"/>
    </xf>
    <xf numFmtId="1" fontId="56" fillId="0" borderId="5" xfId="0" applyNumberFormat="1" applyFont="1" applyFill="1" applyBorder="1" applyAlignment="1">
      <alignment horizontal="center" vertical="center"/>
    </xf>
    <xf numFmtId="3" fontId="56" fillId="0" borderId="5" xfId="0" applyNumberFormat="1" applyFont="1" applyFill="1" applyBorder="1" applyAlignment="1">
      <alignment horizontal="center" vertical="center"/>
    </xf>
    <xf numFmtId="3" fontId="56" fillId="0" borderId="56" xfId="0" applyNumberFormat="1" applyFont="1" applyFill="1" applyBorder="1" applyAlignment="1">
      <alignment horizontal="center" vertical="center"/>
    </xf>
    <xf numFmtId="167" fontId="56" fillId="0" borderId="24" xfId="0" applyNumberFormat="1" applyFont="1" applyFill="1" applyBorder="1" applyAlignment="1">
      <alignment horizontal="center" vertical="center"/>
    </xf>
    <xf numFmtId="3" fontId="56" fillId="0" borderId="0" xfId="0" applyNumberFormat="1" applyFont="1" applyFill="1"/>
    <xf numFmtId="0" fontId="56" fillId="0" borderId="0" xfId="0" applyFont="1" applyFill="1"/>
    <xf numFmtId="0" fontId="49" fillId="0" borderId="7" xfId="0" applyFont="1" applyFill="1" applyBorder="1" applyAlignment="1">
      <alignment horizontal="left"/>
    </xf>
    <xf numFmtId="0" fontId="48" fillId="0" borderId="8" xfId="0" applyFont="1" applyFill="1" applyBorder="1"/>
    <xf numFmtId="3" fontId="47" fillId="0" borderId="8" xfId="0" applyNumberFormat="1" applyFont="1" applyFill="1" applyBorder="1" applyAlignment="1">
      <alignment horizontal="center"/>
    </xf>
    <xf numFmtId="0" fontId="34" fillId="0" borderId="56" xfId="0" applyFont="1" applyFill="1" applyBorder="1"/>
    <xf numFmtId="3" fontId="28" fillId="0" borderId="0" xfId="0" applyNumberFormat="1" applyFont="1" applyFill="1" applyAlignment="1">
      <alignment horizontal="left"/>
    </xf>
    <xf numFmtId="3" fontId="47" fillId="0" borderId="8" xfId="0" applyNumberFormat="1" applyFont="1" applyFill="1" applyBorder="1" applyAlignment="1">
      <alignment horizontal="left"/>
    </xf>
    <xf numFmtId="168" fontId="27" fillId="0" borderId="0" xfId="0" applyNumberFormat="1" applyFont="1" applyFill="1" applyBorder="1"/>
    <xf numFmtId="3" fontId="12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" fontId="4" fillId="0" borderId="19" xfId="0" applyNumberFormat="1" applyFont="1" applyFill="1" applyBorder="1" applyAlignment="1">
      <alignment horizontal="left"/>
    </xf>
    <xf numFmtId="168" fontId="27" fillId="0" borderId="19" xfId="0" applyNumberFormat="1" applyFont="1" applyFill="1" applyBorder="1"/>
    <xf numFmtId="3" fontId="12" fillId="0" borderId="19" xfId="0" applyNumberFormat="1" applyFont="1" applyFill="1" applyBorder="1" applyAlignment="1">
      <alignment horizontal="right"/>
    </xf>
    <xf numFmtId="3" fontId="11" fillId="0" borderId="19" xfId="0" applyNumberFormat="1" applyFont="1" applyFill="1" applyBorder="1" applyAlignment="1">
      <alignment horizontal="right"/>
    </xf>
    <xf numFmtId="3" fontId="59" fillId="0" borderId="19" xfId="0" applyNumberFormat="1" applyFont="1" applyFill="1" applyBorder="1" applyAlignment="1">
      <alignment horizontal="right"/>
    </xf>
    <xf numFmtId="167" fontId="8" fillId="0" borderId="19" xfId="0" applyNumberFormat="1" applyFont="1" applyFill="1" applyBorder="1" applyAlignment="1">
      <alignment horizontal="right"/>
    </xf>
    <xf numFmtId="3" fontId="73" fillId="0" borderId="34" xfId="0" applyNumberFormat="1" applyFont="1" applyFill="1" applyBorder="1" applyAlignment="1"/>
    <xf numFmtId="3" fontId="43" fillId="0" borderId="0" xfId="0" applyNumberFormat="1" applyFont="1" applyFill="1" applyBorder="1" applyAlignment="1">
      <alignment wrapText="1"/>
    </xf>
    <xf numFmtId="167" fontId="34" fillId="0" borderId="10" xfId="0" applyNumberFormat="1" applyFont="1" applyFill="1" applyBorder="1"/>
    <xf numFmtId="1" fontId="9" fillId="0" borderId="0" xfId="0" applyNumberFormat="1" applyFont="1" applyFill="1" applyAlignment="1">
      <alignment horizontal="center"/>
    </xf>
    <xf numFmtId="3" fontId="7" fillId="0" borderId="37" xfId="0" applyNumberFormat="1" applyFont="1" applyFill="1" applyBorder="1"/>
    <xf numFmtId="0" fontId="28" fillId="0" borderId="0" xfId="0" applyFont="1" applyFill="1"/>
    <xf numFmtId="1" fontId="4" fillId="0" borderId="38" xfId="2" applyNumberFormat="1" applyFont="1" applyFill="1" applyBorder="1" applyAlignment="1">
      <alignment horizontal="left"/>
    </xf>
    <xf numFmtId="1" fontId="4" fillId="0" borderId="18" xfId="2" applyNumberFormat="1" applyFont="1" applyFill="1" applyBorder="1" applyAlignment="1">
      <alignment horizontal="left"/>
    </xf>
    <xf numFmtId="1" fontId="9" fillId="0" borderId="18" xfId="2" applyNumberFormat="1" applyFont="1" applyFill="1" applyBorder="1" applyAlignment="1">
      <alignment horizontal="left"/>
    </xf>
    <xf numFmtId="3" fontId="8" fillId="0" borderId="18" xfId="2" applyFont="1" applyFill="1" applyBorder="1"/>
    <xf numFmtId="3" fontId="8" fillId="0" borderId="18" xfId="2" applyFont="1" applyFill="1" applyBorder="1" applyAlignment="1">
      <alignment horizontal="right"/>
    </xf>
    <xf numFmtId="3" fontId="13" fillId="0" borderId="18" xfId="2" applyFont="1" applyFill="1" applyBorder="1" applyAlignment="1">
      <alignment horizontal="right"/>
    </xf>
    <xf numFmtId="1" fontId="4" fillId="0" borderId="50" xfId="2" applyNumberFormat="1" applyFont="1" applyFill="1" applyBorder="1" applyAlignment="1">
      <alignment horizontal="left"/>
    </xf>
    <xf numFmtId="1" fontId="4" fillId="0" borderId="48" xfId="2" applyNumberFormat="1" applyFont="1" applyFill="1" applyBorder="1" applyAlignment="1">
      <alignment horizontal="left"/>
    </xf>
    <xf numFmtId="1" fontId="9" fillId="0" borderId="48" xfId="2" applyNumberFormat="1" applyFont="1" applyFill="1" applyBorder="1" applyAlignment="1">
      <alignment horizontal="left"/>
    </xf>
    <xf numFmtId="3" fontId="13" fillId="0" borderId="48" xfId="2" applyFont="1" applyFill="1" applyBorder="1"/>
    <xf numFmtId="3" fontId="8" fillId="0" borderId="48" xfId="2" applyFont="1" applyFill="1" applyBorder="1" applyAlignment="1">
      <alignment horizontal="right"/>
    </xf>
    <xf numFmtId="3" fontId="13" fillId="0" borderId="48" xfId="2" applyFont="1" applyFill="1" applyBorder="1" applyAlignment="1">
      <alignment horizontal="right"/>
    </xf>
    <xf numFmtId="166" fontId="8" fillId="0" borderId="35" xfId="0" applyNumberFormat="1" applyFont="1" applyFill="1" applyBorder="1" applyAlignment="1">
      <alignment horizontal="right"/>
    </xf>
    <xf numFmtId="3" fontId="20" fillId="0" borderId="34" xfId="0" applyNumberFormat="1" applyFont="1" applyFill="1" applyBorder="1" applyAlignment="1">
      <alignment horizontal="center"/>
    </xf>
    <xf numFmtId="166" fontId="52" fillId="0" borderId="0" xfId="0" applyNumberFormat="1" applyFont="1" applyFill="1" applyBorder="1" applyAlignment="1">
      <alignment horizontal="right"/>
    </xf>
    <xf numFmtId="166" fontId="67" fillId="0" borderId="0" xfId="0" applyNumberFormat="1" applyFont="1" applyFill="1" applyBorder="1" applyAlignment="1">
      <alignment horizontal="right"/>
    </xf>
    <xf numFmtId="166" fontId="68" fillId="0" borderId="10" xfId="0" applyNumberFormat="1" applyFont="1" applyFill="1" applyBorder="1" applyAlignment="1">
      <alignment horizontal="right"/>
    </xf>
    <xf numFmtId="0" fontId="17" fillId="0" borderId="0" xfId="0" applyFont="1" applyFill="1"/>
    <xf numFmtId="0" fontId="19" fillId="0" borderId="0" xfId="0" applyFont="1" applyFill="1" applyBorder="1"/>
    <xf numFmtId="1" fontId="15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3" fontId="19" fillId="0" borderId="0" xfId="0" applyNumberFormat="1" applyFont="1" applyFill="1" applyBorder="1"/>
    <xf numFmtId="167" fontId="19" fillId="0" borderId="0" xfId="0" applyNumberFormat="1" applyFont="1" applyFill="1" applyBorder="1"/>
    <xf numFmtId="168" fontId="51" fillId="0" borderId="0" xfId="0" applyNumberFormat="1" applyFont="1" applyFill="1" applyBorder="1" applyAlignment="1">
      <alignment horizontal="right"/>
    </xf>
    <xf numFmtId="168" fontId="54" fillId="0" borderId="0" xfId="0" applyNumberFormat="1" applyFont="1" applyFill="1" applyAlignment="1">
      <alignment horizontal="right"/>
    </xf>
    <xf numFmtId="167" fontId="7" fillId="0" borderId="35" xfId="0" applyNumberFormat="1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left"/>
    </xf>
    <xf numFmtId="166" fontId="7" fillId="0" borderId="22" xfId="0" applyNumberFormat="1" applyFont="1" applyFill="1" applyBorder="1" applyAlignment="1">
      <alignment horizontal="right"/>
    </xf>
    <xf numFmtId="166" fontId="51" fillId="0" borderId="0" xfId="0" applyNumberFormat="1" applyFont="1" applyFill="1" applyBorder="1" applyAlignment="1">
      <alignment horizontal="right"/>
    </xf>
    <xf numFmtId="166" fontId="54" fillId="0" borderId="0" xfId="0" applyNumberFormat="1" applyFont="1" applyFill="1" applyBorder="1" applyAlignment="1">
      <alignment horizontal="right"/>
    </xf>
    <xf numFmtId="1" fontId="6" fillId="0" borderId="24" xfId="0" applyNumberFormat="1" applyFont="1" applyFill="1" applyBorder="1" applyAlignment="1">
      <alignment horizontal="center" vertical="center"/>
    </xf>
    <xf numFmtId="167" fontId="7" fillId="0" borderId="22" xfId="0" applyNumberFormat="1" applyFont="1" applyFill="1" applyBorder="1" applyAlignment="1">
      <alignment horizontal="right"/>
    </xf>
    <xf numFmtId="3" fontId="35" fillId="0" borderId="37" xfId="0" applyNumberFormat="1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/>
    </xf>
    <xf numFmtId="1" fontId="9" fillId="0" borderId="27" xfId="0" applyNumberFormat="1" applyFont="1" applyFill="1" applyBorder="1" applyAlignment="1">
      <alignment horizontal="left"/>
    </xf>
    <xf numFmtId="3" fontId="12" fillId="0" borderId="27" xfId="0" applyNumberFormat="1" applyFont="1" applyFill="1" applyBorder="1"/>
    <xf numFmtId="1" fontId="8" fillId="0" borderId="27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left"/>
    </xf>
    <xf numFmtId="1" fontId="8" fillId="0" borderId="0" xfId="0" applyNumberFormat="1" applyFont="1" applyFill="1" applyBorder="1" applyAlignment="1">
      <alignment horizontal="right"/>
    </xf>
    <xf numFmtId="1" fontId="26" fillId="0" borderId="2" xfId="0" applyNumberFormat="1" applyFont="1" applyFill="1" applyBorder="1" applyAlignment="1">
      <alignment horizontal="left"/>
    </xf>
    <xf numFmtId="0" fontId="10" fillId="0" borderId="0" xfId="0" applyFont="1" applyFill="1" applyBorder="1"/>
    <xf numFmtId="167" fontId="13" fillId="0" borderId="21" xfId="0" applyNumberFormat="1" applyFont="1" applyFill="1" applyBorder="1" applyAlignment="1">
      <alignment horizontal="right"/>
    </xf>
    <xf numFmtId="1" fontId="4" fillId="0" borderId="11" xfId="0" applyNumberFormat="1" applyFont="1" applyFill="1" applyBorder="1" applyAlignment="1">
      <alignment horizontal="left"/>
    </xf>
    <xf numFmtId="1" fontId="27" fillId="0" borderId="3" xfId="0" applyNumberFormat="1" applyFont="1" applyFill="1" applyBorder="1" applyAlignment="1">
      <alignment horizontal="left"/>
    </xf>
    <xf numFmtId="3" fontId="8" fillId="0" borderId="3" xfId="0" applyNumberFormat="1" applyFont="1" applyFill="1" applyBorder="1"/>
    <xf numFmtId="3" fontId="11" fillId="0" borderId="3" xfId="0" applyNumberFormat="1" applyFont="1" applyFill="1" applyBorder="1"/>
    <xf numFmtId="3" fontId="13" fillId="0" borderId="3" xfId="0" applyNumberFormat="1" applyFont="1" applyFill="1" applyBorder="1"/>
    <xf numFmtId="167" fontId="13" fillId="0" borderId="49" xfId="0" applyNumberFormat="1" applyFont="1" applyFill="1" applyBorder="1" applyAlignment="1">
      <alignment horizontal="right"/>
    </xf>
    <xf numFmtId="167" fontId="67" fillId="0" borderId="0" xfId="0" applyNumberFormat="1" applyFont="1" applyFill="1" applyBorder="1" applyAlignment="1">
      <alignment horizontal="right"/>
    </xf>
    <xf numFmtId="0" fontId="18" fillId="0" borderId="0" xfId="0" applyFont="1" applyFill="1"/>
    <xf numFmtId="1" fontId="18" fillId="0" borderId="0" xfId="0" applyNumberFormat="1" applyFont="1" applyFill="1" applyAlignment="1">
      <alignment horizontal="right"/>
    </xf>
    <xf numFmtId="1" fontId="11" fillId="0" borderId="27" xfId="0" applyNumberFormat="1" applyFont="1" applyFill="1" applyBorder="1" applyAlignment="1">
      <alignment horizontal="left"/>
    </xf>
    <xf numFmtId="0" fontId="12" fillId="0" borderId="0" xfId="0" applyFont="1"/>
    <xf numFmtId="0" fontId="8" fillId="0" borderId="0" xfId="0" applyFont="1" applyBorder="1"/>
    <xf numFmtId="0" fontId="13" fillId="0" borderId="0" xfId="0" applyFont="1" applyBorder="1" applyAlignment="1">
      <alignment wrapText="1"/>
    </xf>
    <xf numFmtId="49" fontId="9" fillId="0" borderId="0" xfId="0" applyNumberFormat="1" applyFont="1" applyBorder="1" applyAlignment="1">
      <alignment horizontal="left"/>
    </xf>
    <xf numFmtId="1" fontId="4" fillId="0" borderId="9" xfId="0" applyNumberFormat="1" applyFont="1" applyBorder="1" applyAlignment="1">
      <alignment horizontal="left"/>
    </xf>
    <xf numFmtId="0" fontId="8" fillId="0" borderId="9" xfId="0" applyFont="1" applyBorder="1"/>
    <xf numFmtId="167" fontId="8" fillId="0" borderId="25" xfId="0" applyNumberFormat="1" applyFont="1" applyBorder="1" applyAlignment="1">
      <alignment horizontal="right"/>
    </xf>
    <xf numFmtId="0" fontId="12" fillId="0" borderId="0" xfId="0" applyFont="1" applyBorder="1"/>
    <xf numFmtId="0" fontId="12" fillId="0" borderId="0" xfId="0" applyFont="1" applyBorder="1" applyAlignment="1"/>
    <xf numFmtId="167" fontId="11" fillId="0" borderId="25" xfId="0" applyNumberFormat="1" applyFont="1" applyBorder="1" applyAlignment="1">
      <alignment horizontal="right"/>
    </xf>
    <xf numFmtId="1" fontId="9" fillId="0" borderId="9" xfId="0" applyNumberFormat="1" applyFont="1" applyBorder="1" applyAlignment="1">
      <alignment horizontal="left"/>
    </xf>
    <xf numFmtId="1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 vertical="top"/>
    </xf>
    <xf numFmtId="49" fontId="9" fillId="0" borderId="2" xfId="0" applyNumberFormat="1" applyFont="1" applyBorder="1" applyAlignment="1">
      <alignment horizontal="left"/>
    </xf>
    <xf numFmtId="3" fontId="20" fillId="0" borderId="14" xfId="0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left"/>
    </xf>
    <xf numFmtId="3" fontId="8" fillId="0" borderId="9" xfId="0" applyNumberFormat="1" applyFont="1" applyBorder="1" applyAlignment="1">
      <alignment horizontal="right"/>
    </xf>
    <xf numFmtId="166" fontId="8" fillId="0" borderId="25" xfId="0" applyNumberFormat="1" applyFont="1" applyBorder="1" applyAlignment="1">
      <alignment horizontal="right"/>
    </xf>
    <xf numFmtId="166" fontId="11" fillId="0" borderId="25" xfId="0" applyNumberFormat="1" applyFont="1" applyBorder="1" applyAlignment="1">
      <alignment horizontal="right"/>
    </xf>
    <xf numFmtId="0" fontId="13" fillId="0" borderId="0" xfId="0" applyFont="1" applyBorder="1" applyAlignment="1"/>
    <xf numFmtId="1" fontId="4" fillId="0" borderId="33" xfId="0" applyNumberFormat="1" applyFont="1" applyBorder="1" applyAlignment="1">
      <alignment horizontal="left"/>
    </xf>
    <xf numFmtId="0" fontId="8" fillId="0" borderId="34" xfId="0" applyFont="1" applyBorder="1"/>
    <xf numFmtId="166" fontId="8" fillId="0" borderId="35" xfId="0" applyNumberFormat="1" applyFont="1" applyBorder="1" applyAlignment="1">
      <alignment horizontal="right"/>
    </xf>
    <xf numFmtId="0" fontId="12" fillId="0" borderId="0" xfId="0" applyFont="1" applyBorder="1" applyAlignment="1">
      <alignment wrapText="1"/>
    </xf>
    <xf numFmtId="1" fontId="13" fillId="0" borderId="0" xfId="0" applyNumberFormat="1" applyFont="1" applyBorder="1" applyAlignment="1">
      <alignment horizontal="left"/>
    </xf>
    <xf numFmtId="49" fontId="9" fillId="0" borderId="14" xfId="0" applyNumberFormat="1" applyFont="1" applyBorder="1" applyAlignment="1">
      <alignment horizontal="left"/>
    </xf>
    <xf numFmtId="1" fontId="4" fillId="0" borderId="14" xfId="0" applyNumberFormat="1" applyFont="1" applyBorder="1" applyAlignment="1">
      <alignment horizontal="left"/>
    </xf>
    <xf numFmtId="3" fontId="8" fillId="0" borderId="14" xfId="0" applyNumberFormat="1" applyFont="1" applyBorder="1" applyAlignment="1">
      <alignment horizontal="right"/>
    </xf>
    <xf numFmtId="49" fontId="27" fillId="0" borderId="2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168" fontId="9" fillId="0" borderId="2" xfId="0" applyNumberFormat="1" applyFont="1" applyBorder="1" applyAlignment="1">
      <alignment horizontal="left" vertical="top"/>
    </xf>
    <xf numFmtId="1" fontId="12" fillId="0" borderId="14" xfId="0" applyNumberFormat="1" applyFont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1" fontId="4" fillId="0" borderId="0" xfId="0" applyNumberFormat="1" applyFont="1" applyAlignment="1">
      <alignment horizontal="right"/>
    </xf>
    <xf numFmtId="3" fontId="12" fillId="0" borderId="0" xfId="0" applyNumberFormat="1" applyFont="1"/>
    <xf numFmtId="0" fontId="4" fillId="0" borderId="0" xfId="0" applyFont="1" applyBorder="1" applyAlignment="1"/>
    <xf numFmtId="1" fontId="4" fillId="0" borderId="34" xfId="0" applyNumberFormat="1" applyFont="1" applyBorder="1" applyAlignment="1">
      <alignment horizontal="left"/>
    </xf>
    <xf numFmtId="3" fontId="12" fillId="0" borderId="2" xfId="0" applyNumberFormat="1" applyFont="1" applyBorder="1" applyAlignment="1">
      <alignment horizontal="right"/>
    </xf>
    <xf numFmtId="1" fontId="4" fillId="0" borderId="38" xfId="0" applyNumberFormat="1" applyFont="1" applyBorder="1" applyAlignment="1">
      <alignment horizontal="left"/>
    </xf>
    <xf numFmtId="1" fontId="4" fillId="0" borderId="50" xfId="0" applyNumberFormat="1" applyFont="1" applyBorder="1" applyAlignment="1">
      <alignment horizontal="left"/>
    </xf>
    <xf numFmtId="166" fontId="11" fillId="0" borderId="35" xfId="0" applyNumberFormat="1" applyFont="1" applyBorder="1" applyAlignment="1">
      <alignment horizontal="right"/>
    </xf>
    <xf numFmtId="0" fontId="17" fillId="0" borderId="0" xfId="0" applyFont="1" applyBorder="1"/>
    <xf numFmtId="0" fontId="12" fillId="0" borderId="17" xfId="0" applyFont="1" applyBorder="1" applyAlignment="1"/>
    <xf numFmtId="3" fontId="8" fillId="0" borderId="17" xfId="0" applyNumberFormat="1" applyFont="1" applyBorder="1" applyAlignment="1">
      <alignment horizontal="right"/>
    </xf>
    <xf numFmtId="3" fontId="11" fillId="0" borderId="14" xfId="0" applyNumberFormat="1" applyFont="1" applyBorder="1" applyAlignment="1">
      <alignment horizontal="right"/>
    </xf>
    <xf numFmtId="168" fontId="27" fillId="3" borderId="9" xfId="0" applyNumberFormat="1" applyFont="1" applyFill="1" applyBorder="1" applyAlignment="1">
      <alignment horizontal="left"/>
    </xf>
    <xf numFmtId="168" fontId="27" fillId="3" borderId="2" xfId="0" applyNumberFormat="1" applyFont="1" applyFill="1" applyBorder="1" applyAlignment="1">
      <alignment horizontal="left"/>
    </xf>
    <xf numFmtId="49" fontId="9" fillId="0" borderId="2" xfId="0" applyNumberFormat="1" applyFont="1" applyBorder="1" applyAlignment="1">
      <alignment horizontal="center"/>
    </xf>
    <xf numFmtId="0" fontId="12" fillId="0" borderId="34" xfId="0" applyFont="1" applyBorder="1"/>
    <xf numFmtId="1" fontId="9" fillId="0" borderId="2" xfId="0" applyNumberFormat="1" applyFont="1" applyBorder="1" applyAlignment="1">
      <alignment horizontal="center"/>
    </xf>
    <xf numFmtId="0" fontId="13" fillId="3" borderId="34" xfId="0" applyFont="1" applyFill="1" applyBorder="1"/>
    <xf numFmtId="49" fontId="9" fillId="0" borderId="14" xfId="0" applyNumberFormat="1" applyFont="1" applyBorder="1" applyAlignment="1">
      <alignment horizontal="center"/>
    </xf>
    <xf numFmtId="0" fontId="12" fillId="3" borderId="0" xfId="0" applyFont="1" applyFill="1"/>
    <xf numFmtId="1" fontId="9" fillId="0" borderId="14" xfId="0" applyNumberFormat="1" applyFont="1" applyBorder="1" applyAlignment="1">
      <alignment horizontal="left"/>
    </xf>
    <xf numFmtId="166" fontId="8" fillId="0" borderId="30" xfId="0" applyNumberFormat="1" applyFont="1" applyBorder="1" applyAlignment="1">
      <alignment horizontal="right"/>
    </xf>
    <xf numFmtId="0" fontId="12" fillId="3" borderId="0" xfId="0" applyFont="1" applyFill="1" applyBorder="1" applyAlignment="1"/>
    <xf numFmtId="0" fontId="8" fillId="0" borderId="0" xfId="0" applyFont="1" applyBorder="1" applyAlignment="1">
      <alignment wrapText="1"/>
    </xf>
    <xf numFmtId="0" fontId="12" fillId="0" borderId="0" xfId="0" applyFont="1" applyBorder="1" applyAlignment="1">
      <alignment horizontal="right"/>
    </xf>
    <xf numFmtId="0" fontId="13" fillId="3" borderId="27" xfId="0" applyFont="1" applyFill="1" applyBorder="1"/>
    <xf numFmtId="49" fontId="27" fillId="3" borderId="2" xfId="0" applyNumberFormat="1" applyFont="1" applyFill="1" applyBorder="1" applyAlignment="1">
      <alignment horizontal="left"/>
    </xf>
    <xf numFmtId="168" fontId="27" fillId="0" borderId="2" xfId="0" applyNumberFormat="1" applyFont="1" applyBorder="1" applyAlignment="1">
      <alignment horizontal="left"/>
    </xf>
    <xf numFmtId="168" fontId="27" fillId="0" borderId="14" xfId="0" applyNumberFormat="1" applyFont="1" applyBorder="1" applyAlignment="1">
      <alignment horizontal="left"/>
    </xf>
    <xf numFmtId="0" fontId="8" fillId="0" borderId="27" xfId="0" applyFont="1" applyBorder="1"/>
    <xf numFmtId="49" fontId="27" fillId="0" borderId="2" xfId="0" applyNumberFormat="1" applyFont="1" applyBorder="1" applyAlignment="1">
      <alignment horizontal="left" vertical="top"/>
    </xf>
    <xf numFmtId="3" fontId="12" fillId="3" borderId="2" xfId="0" applyNumberFormat="1" applyFont="1" applyFill="1" applyBorder="1" applyAlignment="1">
      <alignment horizontal="right"/>
    </xf>
    <xf numFmtId="3" fontId="14" fillId="0" borderId="2" xfId="0" applyNumberFormat="1" applyFont="1" applyBorder="1" applyAlignment="1">
      <alignment horizontal="right"/>
    </xf>
    <xf numFmtId="0" fontId="12" fillId="0" borderId="14" xfId="0" applyFont="1" applyBorder="1"/>
    <xf numFmtId="49" fontId="27" fillId="0" borderId="14" xfId="0" applyNumberFormat="1" applyFont="1" applyBorder="1" applyAlignment="1">
      <alignment horizontal="left"/>
    </xf>
    <xf numFmtId="3" fontId="13" fillId="0" borderId="14" xfId="0" applyNumberFormat="1" applyFont="1" applyBorder="1" applyAlignment="1">
      <alignment horizontal="right"/>
    </xf>
    <xf numFmtId="0" fontId="8" fillId="0" borderId="17" xfId="0" applyFont="1" applyBorder="1"/>
    <xf numFmtId="0" fontId="12" fillId="0" borderId="17" xfId="0" applyFont="1" applyBorder="1"/>
    <xf numFmtId="0" fontId="13" fillId="0" borderId="17" xfId="0" applyFont="1" applyBorder="1" applyAlignment="1">
      <alignment wrapText="1"/>
    </xf>
    <xf numFmtId="3" fontId="12" fillId="0" borderId="0" xfId="7" applyFont="1"/>
    <xf numFmtId="3" fontId="12" fillId="3" borderId="0" xfId="7" applyFont="1" applyFill="1" applyBorder="1"/>
    <xf numFmtId="3" fontId="13" fillId="0" borderId="9" xfId="7" applyFont="1" applyFill="1" applyBorder="1" applyAlignment="1">
      <alignment horizontal="right"/>
    </xf>
    <xf numFmtId="3" fontId="11" fillId="0" borderId="2" xfId="7" applyFont="1" applyFill="1" applyBorder="1" applyAlignment="1">
      <alignment horizontal="right"/>
    </xf>
    <xf numFmtId="3" fontId="13" fillId="0" borderId="2" xfId="7" applyFont="1" applyFill="1" applyBorder="1" applyAlignment="1">
      <alignment horizontal="right"/>
    </xf>
    <xf numFmtId="3" fontId="11" fillId="0" borderId="14" xfId="7" applyFont="1" applyFill="1" applyBorder="1" applyAlignment="1">
      <alignment horizontal="right"/>
    </xf>
    <xf numFmtId="3" fontId="13" fillId="3" borderId="2" xfId="7" applyFont="1" applyFill="1" applyBorder="1" applyAlignment="1">
      <alignment horizontal="right"/>
    </xf>
    <xf numFmtId="3" fontId="13" fillId="3" borderId="9" xfId="7" applyFont="1" applyFill="1" applyBorder="1"/>
    <xf numFmtId="3" fontId="12" fillId="0" borderId="2" xfId="7" applyBorder="1" applyAlignment="1"/>
    <xf numFmtId="3" fontId="13" fillId="3" borderId="2" xfId="7" applyFont="1" applyFill="1" applyBorder="1"/>
    <xf numFmtId="3" fontId="12" fillId="0" borderId="14" xfId="7" applyBorder="1" applyAlignment="1"/>
    <xf numFmtId="168" fontId="27" fillId="3" borderId="9" xfId="7" applyNumberFormat="1" applyFont="1" applyFill="1" applyBorder="1" applyAlignment="1">
      <alignment horizontal="left"/>
    </xf>
    <xf numFmtId="49" fontId="9" fillId="0" borderId="2" xfId="7" applyNumberFormat="1" applyFont="1" applyBorder="1" applyAlignment="1">
      <alignment horizontal="left"/>
    </xf>
    <xf numFmtId="168" fontId="27" fillId="3" borderId="2" xfId="7" applyNumberFormat="1" applyFont="1" applyFill="1" applyBorder="1" applyAlignment="1">
      <alignment horizontal="left"/>
    </xf>
    <xf numFmtId="49" fontId="9" fillId="0" borderId="14" xfId="7" applyNumberFormat="1" applyFont="1" applyBorder="1" applyAlignment="1">
      <alignment horizontal="left"/>
    </xf>
    <xf numFmtId="0" fontId="66" fillId="0" borderId="0" xfId="0" applyFont="1"/>
    <xf numFmtId="1" fontId="8" fillId="0" borderId="0" xfId="0" applyNumberFormat="1" applyFont="1" applyBorder="1" applyAlignment="1">
      <alignment horizontal="left"/>
    </xf>
    <xf numFmtId="1" fontId="13" fillId="0" borderId="0" xfId="0" applyNumberFormat="1" applyFont="1" applyAlignment="1">
      <alignment horizontal="left"/>
    </xf>
    <xf numFmtId="0" fontId="14" fillId="0" borderId="0" xfId="0" applyFont="1"/>
    <xf numFmtId="167" fontId="52" fillId="0" borderId="22" xfId="0" applyNumberFormat="1" applyFont="1" applyFill="1" applyBorder="1"/>
    <xf numFmtId="1" fontId="41" fillId="0" borderId="34" xfId="0" applyNumberFormat="1" applyFont="1" applyFill="1" applyBorder="1" applyAlignment="1">
      <alignment horizontal="center"/>
    </xf>
    <xf numFmtId="168" fontId="41" fillId="0" borderId="34" xfId="0" applyNumberFormat="1" applyFont="1" applyFill="1" applyBorder="1" applyAlignment="1">
      <alignment horizontal="center"/>
    </xf>
    <xf numFmtId="0" fontId="41" fillId="0" borderId="34" xfId="0" applyFont="1" applyFill="1" applyBorder="1"/>
    <xf numFmtId="167" fontId="8" fillId="0" borderId="34" xfId="0" applyNumberFormat="1" applyFont="1" applyFill="1" applyBorder="1"/>
    <xf numFmtId="1" fontId="41" fillId="0" borderId="51" xfId="0" applyNumberFormat="1" applyFont="1" applyFill="1" applyBorder="1" applyAlignment="1">
      <alignment horizontal="center"/>
    </xf>
    <xf numFmtId="168" fontId="41" fillId="0" borderId="51" xfId="0" applyNumberFormat="1" applyFont="1" applyFill="1" applyBorder="1" applyAlignment="1">
      <alignment horizontal="center"/>
    </xf>
    <xf numFmtId="0" fontId="41" fillId="0" borderId="51" xfId="0" applyFont="1" applyFill="1" applyBorder="1"/>
    <xf numFmtId="3" fontId="41" fillId="0" borderId="51" xfId="0" applyNumberFormat="1" applyFont="1" applyFill="1" applyBorder="1"/>
    <xf numFmtId="167" fontId="21" fillId="0" borderId="51" xfId="0" applyNumberFormat="1" applyFont="1" applyFill="1" applyBorder="1"/>
    <xf numFmtId="1" fontId="8" fillId="0" borderId="2" xfId="0" applyNumberFormat="1" applyFont="1" applyBorder="1" applyAlignment="1">
      <alignment horizontal="left"/>
    </xf>
    <xf numFmtId="1" fontId="13" fillId="0" borderId="2" xfId="0" applyNumberFormat="1" applyFont="1" applyBorder="1" applyAlignment="1">
      <alignment horizontal="left"/>
    </xf>
    <xf numFmtId="1" fontId="12" fillId="0" borderId="34" xfId="0" applyNumberFormat="1" applyFont="1" applyBorder="1" applyAlignment="1">
      <alignment horizontal="left"/>
    </xf>
    <xf numFmtId="0" fontId="13" fillId="0" borderId="34" xfId="0" applyFont="1" applyBorder="1"/>
    <xf numFmtId="1" fontId="12" fillId="0" borderId="26" xfId="0" applyNumberFormat="1" applyFont="1" applyBorder="1" applyAlignment="1">
      <alignment horizontal="left"/>
    </xf>
    <xf numFmtId="1" fontId="45" fillId="0" borderId="12" xfId="0" applyNumberFormat="1" applyFont="1" applyBorder="1" applyAlignment="1">
      <alignment horizontal="left"/>
    </xf>
    <xf numFmtId="3" fontId="25" fillId="0" borderId="8" xfId="0" applyNumberFormat="1" applyFont="1" applyFill="1" applyBorder="1"/>
    <xf numFmtId="0" fontId="11" fillId="0" borderId="2" xfId="0" applyFont="1" applyBorder="1"/>
    <xf numFmtId="0" fontId="12" fillId="0" borderId="2" xfId="0" applyFont="1" applyBorder="1" applyAlignment="1">
      <alignment vertical="top"/>
    </xf>
    <xf numFmtId="168" fontId="20" fillId="0" borderId="5" xfId="0" applyNumberFormat="1" applyFont="1" applyFill="1" applyBorder="1" applyAlignment="1">
      <alignment horizontal="center"/>
    </xf>
    <xf numFmtId="49" fontId="27" fillId="3" borderId="2" xfId="0" applyNumberFormat="1" applyFont="1" applyFill="1" applyBorder="1"/>
    <xf numFmtId="0" fontId="13" fillId="0" borderId="0" xfId="0" applyFont="1" applyBorder="1" applyAlignment="1">
      <alignment vertical="top" wrapText="1"/>
    </xf>
    <xf numFmtId="1" fontId="12" fillId="3" borderId="6" xfId="0" applyNumberFormat="1" applyFont="1" applyFill="1" applyBorder="1" applyAlignment="1">
      <alignment horizontal="left"/>
    </xf>
    <xf numFmtId="0" fontId="64" fillId="0" borderId="0" xfId="0" applyFont="1" applyFill="1" applyBorder="1" applyAlignment="1"/>
    <xf numFmtId="0" fontId="11" fillId="0" borderId="0" xfId="0" applyFont="1"/>
    <xf numFmtId="1" fontId="4" fillId="0" borderId="27" xfId="0" applyNumberFormat="1" applyFont="1" applyBorder="1" applyAlignment="1">
      <alignment horizontal="left"/>
    </xf>
    <xf numFmtId="0" fontId="13" fillId="0" borderId="34" xfId="0" applyFont="1" applyBorder="1" applyAlignment="1"/>
    <xf numFmtId="0" fontId="8" fillId="0" borderId="34" xfId="0" applyFont="1" applyFill="1" applyBorder="1" applyAlignment="1">
      <alignment horizontal="right"/>
    </xf>
    <xf numFmtId="167" fontId="7" fillId="0" borderId="35" xfId="0" applyNumberFormat="1" applyFont="1" applyFill="1" applyBorder="1" applyAlignment="1">
      <alignment shrinkToFit="1"/>
    </xf>
    <xf numFmtId="167" fontId="8" fillId="0" borderId="35" xfId="0" applyNumberFormat="1" applyFont="1" applyFill="1" applyBorder="1" applyAlignment="1">
      <alignment shrinkToFit="1"/>
    </xf>
    <xf numFmtId="0" fontId="8" fillId="0" borderId="14" xfId="0" applyFont="1" applyFill="1" applyBorder="1" applyAlignment="1">
      <alignment horizontal="right"/>
    </xf>
    <xf numFmtId="0" fontId="8" fillId="0" borderId="14" xfId="0" applyFont="1" applyBorder="1" applyAlignment="1">
      <alignment wrapText="1"/>
    </xf>
    <xf numFmtId="168" fontId="9" fillId="0" borderId="9" xfId="0" applyNumberFormat="1" applyFont="1" applyBorder="1" applyAlignment="1">
      <alignment horizontal="left"/>
    </xf>
    <xf numFmtId="168" fontId="27" fillId="0" borderId="14" xfId="0" applyNumberFormat="1" applyFont="1" applyBorder="1" applyAlignment="1"/>
    <xf numFmtId="1" fontId="12" fillId="3" borderId="8" xfId="0" applyNumberFormat="1" applyFont="1" applyFill="1" applyBorder="1" applyAlignment="1">
      <alignment horizontal="left"/>
    </xf>
    <xf numFmtId="0" fontId="13" fillId="3" borderId="8" xfId="0" applyFont="1" applyFill="1" applyBorder="1"/>
    <xf numFmtId="0" fontId="13" fillId="0" borderId="8" xfId="0" applyFont="1" applyFill="1" applyBorder="1" applyAlignment="1">
      <alignment horizontal="right"/>
    </xf>
    <xf numFmtId="0" fontId="7" fillId="3" borderId="22" xfId="0" applyFont="1" applyFill="1" applyBorder="1" applyAlignment="1">
      <alignment horizontal="right"/>
    </xf>
    <xf numFmtId="0" fontId="55" fillId="0" borderId="5" xfId="0" applyFont="1" applyFill="1" applyBorder="1" applyAlignment="1">
      <alignment horizontal="right"/>
    </xf>
    <xf numFmtId="0" fontId="13" fillId="3" borderId="5" xfId="0" applyFont="1" applyFill="1" applyBorder="1" applyAlignment="1">
      <alignment horizontal="right"/>
    </xf>
    <xf numFmtId="168" fontId="27" fillId="3" borderId="5" xfId="0" applyNumberFormat="1" applyFont="1" applyFill="1" applyBorder="1" applyAlignment="1">
      <alignment horizontal="left"/>
    </xf>
    <xf numFmtId="1" fontId="12" fillId="3" borderId="4" xfId="0" applyNumberFormat="1" applyFont="1" applyFill="1" applyBorder="1" applyAlignment="1">
      <alignment horizontal="left"/>
    </xf>
    <xf numFmtId="3" fontId="11" fillId="0" borderId="9" xfId="0" applyNumberFormat="1" applyFont="1" applyBorder="1" applyAlignment="1">
      <alignment horizontal="right"/>
    </xf>
    <xf numFmtId="49" fontId="9" fillId="0" borderId="14" xfId="0" applyNumberFormat="1" applyFont="1" applyBorder="1" applyAlignment="1">
      <alignment horizontal="left" vertical="top"/>
    </xf>
    <xf numFmtId="0" fontId="13" fillId="0" borderId="27" xfId="0" applyFont="1" applyFill="1" applyBorder="1"/>
    <xf numFmtId="0" fontId="13" fillId="0" borderId="27" xfId="0" applyFont="1" applyBorder="1"/>
    <xf numFmtId="0" fontId="4" fillId="0" borderId="0" xfId="0" applyFont="1" applyBorder="1" applyAlignment="1">
      <alignment vertical="center"/>
    </xf>
    <xf numFmtId="168" fontId="27" fillId="0" borderId="9" xfId="0" applyNumberFormat="1" applyFont="1" applyBorder="1" applyAlignment="1">
      <alignment horizontal="left"/>
    </xf>
    <xf numFmtId="0" fontId="12" fillId="0" borderId="0" xfId="0" applyFont="1" applyAlignment="1">
      <alignment vertical="top"/>
    </xf>
    <xf numFmtId="1" fontId="39" fillId="0" borderId="0" xfId="0" applyNumberFormat="1" applyFont="1" applyFill="1" applyBorder="1"/>
    <xf numFmtId="1" fontId="60" fillId="0" borderId="0" xfId="0" applyNumberFormat="1" applyFont="1" applyFill="1" applyBorder="1"/>
    <xf numFmtId="0" fontId="60" fillId="0" borderId="0" xfId="0" applyFont="1" applyFill="1" applyBorder="1" applyAlignment="1">
      <alignment horizontal="left"/>
    </xf>
    <xf numFmtId="0" fontId="60" fillId="0" borderId="0" xfId="0" applyFont="1" applyFill="1" applyBorder="1"/>
    <xf numFmtId="3" fontId="39" fillId="0" borderId="0" xfId="0" applyNumberFormat="1" applyFont="1" applyFill="1" applyBorder="1"/>
    <xf numFmtId="0" fontId="12" fillId="0" borderId="0" xfId="0" applyFont="1" applyBorder="1" applyAlignment="1">
      <alignment vertical="top"/>
    </xf>
    <xf numFmtId="166" fontId="11" fillId="3" borderId="25" xfId="0" applyNumberFormat="1" applyFont="1" applyFill="1" applyBorder="1" applyAlignment="1">
      <alignment horizontal="right"/>
    </xf>
    <xf numFmtId="0" fontId="35" fillId="0" borderId="38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1" fontId="35" fillId="0" borderId="9" xfId="0" applyNumberFormat="1" applyFont="1" applyFill="1" applyBorder="1" applyAlignment="1">
      <alignment horizontal="center" vertical="center" wrapText="1"/>
    </xf>
    <xf numFmtId="1" fontId="35" fillId="0" borderId="46" xfId="0" applyNumberFormat="1" applyFont="1" applyFill="1" applyBorder="1" applyAlignment="1">
      <alignment horizontal="center" vertical="center" wrapText="1"/>
    </xf>
    <xf numFmtId="1" fontId="35" fillId="0" borderId="23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/>
    </xf>
    <xf numFmtId="0" fontId="21" fillId="0" borderId="27" xfId="0" applyFont="1" applyFill="1" applyBorder="1" applyAlignment="1">
      <alignment horizontal="left" vertical="center"/>
    </xf>
    <xf numFmtId="0" fontId="13" fillId="0" borderId="34" xfId="0" applyFont="1" applyFill="1" applyBorder="1"/>
    <xf numFmtId="3" fontId="21" fillId="0" borderId="27" xfId="0" applyNumberFormat="1" applyFont="1" applyFill="1" applyBorder="1" applyAlignment="1">
      <alignment horizontal="right" vertical="center" wrapText="1"/>
    </xf>
    <xf numFmtId="3" fontId="21" fillId="0" borderId="0" xfId="0" applyNumberFormat="1" applyFont="1" applyFill="1" applyBorder="1" applyAlignment="1">
      <alignment horizontal="right" vertical="center" wrapText="1"/>
    </xf>
    <xf numFmtId="3" fontId="13" fillId="0" borderId="27" xfId="0" applyNumberFormat="1" applyFont="1" applyFill="1" applyBorder="1"/>
    <xf numFmtId="166" fontId="13" fillId="0" borderId="30" xfId="0" applyNumberFormat="1" applyFont="1" applyFill="1" applyBorder="1"/>
    <xf numFmtId="0" fontId="29" fillId="0" borderId="7" xfId="0" applyFont="1" applyFill="1" applyBorder="1"/>
    <xf numFmtId="1" fontId="4" fillId="0" borderId="8" xfId="0" applyNumberFormat="1" applyFont="1" applyFill="1" applyBorder="1" applyAlignment="1">
      <alignment horizontal="left"/>
    </xf>
    <xf numFmtId="0" fontId="13" fillId="0" borderId="8" xfId="0" applyFont="1" applyFill="1" applyBorder="1"/>
    <xf numFmtId="3" fontId="13" fillId="0" borderId="8" xfId="0" applyNumberFormat="1" applyFont="1" applyFill="1" applyBorder="1"/>
    <xf numFmtId="166" fontId="13" fillId="0" borderId="22" xfId="0" applyNumberFormat="1" applyFont="1" applyFill="1" applyBorder="1"/>
    <xf numFmtId="0" fontId="21" fillId="0" borderId="34" xfId="0" applyFont="1" applyFill="1" applyBorder="1" applyAlignment="1">
      <alignment horizontal="left" vertical="center"/>
    </xf>
    <xf numFmtId="3" fontId="21" fillId="0" borderId="14" xfId="0" applyNumberFormat="1" applyFont="1" applyFill="1" applyBorder="1" applyAlignment="1">
      <alignment horizontal="right" vertical="center" wrapText="1"/>
    </xf>
    <xf numFmtId="3" fontId="21" fillId="0" borderId="34" xfId="0" applyNumberFormat="1" applyFont="1" applyFill="1" applyBorder="1" applyAlignment="1">
      <alignment horizontal="right" vertical="center" wrapText="1"/>
    </xf>
    <xf numFmtId="3" fontId="21" fillId="0" borderId="17" xfId="0" applyNumberFormat="1" applyFont="1" applyFill="1" applyBorder="1" applyAlignment="1">
      <alignment horizontal="right" vertical="center" wrapText="1"/>
    </xf>
    <xf numFmtId="0" fontId="21" fillId="0" borderId="17" xfId="0" applyFont="1" applyFill="1" applyBorder="1" applyAlignment="1">
      <alignment horizontal="left" vertical="center"/>
    </xf>
    <xf numFmtId="173" fontId="9" fillId="0" borderId="17" xfId="0" applyNumberFormat="1" applyFont="1" applyFill="1" applyBorder="1" applyAlignment="1">
      <alignment horizontal="center"/>
    </xf>
    <xf numFmtId="0" fontId="21" fillId="0" borderId="8" xfId="0" applyFont="1" applyFill="1" applyBorder="1" applyAlignment="1">
      <alignment horizontal="left" vertical="center"/>
    </xf>
    <xf numFmtId="3" fontId="21" fillId="0" borderId="5" xfId="0" applyNumberFormat="1" applyFont="1" applyFill="1" applyBorder="1" applyAlignment="1">
      <alignment horizontal="right" vertical="center" wrapText="1"/>
    </xf>
    <xf numFmtId="3" fontId="21" fillId="0" borderId="8" xfId="0" applyNumberFormat="1" applyFont="1" applyFill="1" applyBorder="1" applyAlignment="1">
      <alignment horizontal="right" vertical="center" wrapText="1"/>
    </xf>
    <xf numFmtId="3" fontId="13" fillId="0" borderId="18" xfId="0" applyNumberFormat="1" applyFont="1" applyFill="1" applyBorder="1"/>
    <xf numFmtId="0" fontId="13" fillId="0" borderId="18" xfId="0" applyFont="1" applyFill="1" applyBorder="1"/>
    <xf numFmtId="173" fontId="9" fillId="0" borderId="18" xfId="0" applyNumberFormat="1" applyFont="1" applyFill="1" applyBorder="1" applyAlignment="1">
      <alignment horizontal="center"/>
    </xf>
    <xf numFmtId="3" fontId="13" fillId="0" borderId="48" xfId="0" applyNumberFormat="1" applyFont="1" applyFill="1" applyBorder="1"/>
    <xf numFmtId="0" fontId="13" fillId="0" borderId="48" xfId="0" applyFont="1" applyFill="1" applyBorder="1"/>
    <xf numFmtId="173" fontId="9" fillId="0" borderId="48" xfId="0" applyNumberFormat="1" applyFont="1" applyFill="1" applyBorder="1" applyAlignment="1">
      <alignment horizontal="center"/>
    </xf>
    <xf numFmtId="0" fontId="13" fillId="0" borderId="17" xfId="0" applyFont="1" applyFill="1" applyBorder="1"/>
    <xf numFmtId="0" fontId="29" fillId="0" borderId="6" xfId="0" applyFont="1" applyFill="1" applyBorder="1"/>
    <xf numFmtId="0" fontId="21" fillId="0" borderId="5" xfId="0" applyFont="1" applyFill="1" applyBorder="1" applyAlignment="1">
      <alignment horizontal="left" vertical="center"/>
    </xf>
    <xf numFmtId="1" fontId="21" fillId="0" borderId="9" xfId="0" applyNumberFormat="1" applyFont="1" applyFill="1" applyBorder="1" applyAlignment="1">
      <alignment horizontal="center" vertical="center" wrapText="1"/>
    </xf>
    <xf numFmtId="1" fontId="21" fillId="0" borderId="27" xfId="0" applyNumberFormat="1" applyFont="1" applyFill="1" applyBorder="1" applyAlignment="1">
      <alignment horizontal="right" vertical="center" wrapText="1"/>
    </xf>
    <xf numFmtId="1" fontId="21" fillId="0" borderId="5" xfId="0" applyNumberFormat="1" applyFont="1" applyFill="1" applyBorder="1" applyAlignment="1">
      <alignment horizontal="right" vertical="center" wrapText="1"/>
    </xf>
    <xf numFmtId="1" fontId="4" fillId="0" borderId="56" xfId="0" applyNumberFormat="1" applyFont="1" applyFill="1" applyBorder="1" applyAlignment="1">
      <alignment horizontal="left"/>
    </xf>
    <xf numFmtId="173" fontId="9" fillId="0" borderId="56" xfId="0" applyNumberFormat="1" applyFont="1" applyFill="1" applyBorder="1" applyAlignment="1">
      <alignment horizontal="center"/>
    </xf>
    <xf numFmtId="0" fontId="13" fillId="0" borderId="56" xfId="0" applyFont="1" applyFill="1" applyBorder="1"/>
    <xf numFmtId="3" fontId="13" fillId="0" borderId="56" xfId="0" applyNumberFormat="1" applyFont="1" applyFill="1" applyBorder="1"/>
    <xf numFmtId="1" fontId="4" fillId="0" borderId="8" xfId="0" applyNumberFormat="1" applyFont="1" applyFill="1" applyBorder="1" applyAlignment="1">
      <alignment horizontal="center"/>
    </xf>
    <xf numFmtId="0" fontId="22" fillId="0" borderId="6" xfId="0" applyFont="1" applyFill="1" applyBorder="1" applyAlignment="1"/>
    <xf numFmtId="0" fontId="22" fillId="0" borderId="17" xfId="0" applyFont="1" applyFill="1" applyBorder="1" applyAlignment="1"/>
    <xf numFmtId="0" fontId="22" fillId="0" borderId="0" xfId="0" applyFont="1" applyFill="1" applyBorder="1" applyAlignment="1"/>
    <xf numFmtId="1" fontId="21" fillId="0" borderId="18" xfId="0" applyNumberFormat="1" applyFont="1" applyFill="1" applyBorder="1" applyAlignment="1">
      <alignment horizontal="right" vertical="center" wrapText="1"/>
    </xf>
    <xf numFmtId="0" fontId="13" fillId="0" borderId="14" xfId="0" applyFont="1" applyFill="1" applyBorder="1"/>
    <xf numFmtId="3" fontId="21" fillId="0" borderId="18" xfId="0" applyNumberFormat="1" applyFont="1" applyFill="1" applyBorder="1" applyAlignment="1">
      <alignment horizontal="right" vertical="center" wrapText="1"/>
    </xf>
    <xf numFmtId="0" fontId="21" fillId="0" borderId="18" xfId="0" applyFont="1" applyFill="1" applyBorder="1" applyAlignment="1">
      <alignment horizontal="left" vertical="center"/>
    </xf>
    <xf numFmtId="0" fontId="21" fillId="0" borderId="56" xfId="0" applyFont="1" applyFill="1" applyBorder="1" applyAlignment="1">
      <alignment horizontal="left" vertical="center"/>
    </xf>
    <xf numFmtId="3" fontId="21" fillId="0" borderId="56" xfId="0" applyNumberFormat="1" applyFont="1" applyFill="1" applyBorder="1" applyAlignment="1">
      <alignment horizontal="right" vertical="center" wrapText="1"/>
    </xf>
    <xf numFmtId="1" fontId="21" fillId="0" borderId="56" xfId="0" applyNumberFormat="1" applyFont="1" applyFill="1" applyBorder="1" applyAlignment="1">
      <alignment horizontal="right" vertical="center" wrapText="1"/>
    </xf>
    <xf numFmtId="0" fontId="22" fillId="0" borderId="38" xfId="0" applyFont="1" applyFill="1" applyBorder="1" applyAlignment="1"/>
    <xf numFmtId="0" fontId="22" fillId="0" borderId="18" xfId="0" applyFont="1" applyFill="1" applyBorder="1" applyAlignment="1"/>
    <xf numFmtId="0" fontId="29" fillId="0" borderId="38" xfId="0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0" fontId="29" fillId="0" borderId="27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/>
    </xf>
    <xf numFmtId="0" fontId="29" fillId="0" borderId="48" xfId="0" applyFont="1" applyFill="1" applyBorder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1" fontId="37" fillId="0" borderId="0" xfId="0" applyNumberFormat="1" applyFont="1" applyFill="1" applyAlignment="1"/>
    <xf numFmtId="0" fontId="37" fillId="0" borderId="34" xfId="0" applyFont="1" applyBorder="1" applyAlignment="1"/>
    <xf numFmtId="0" fontId="29" fillId="0" borderId="4" xfId="0" applyFont="1" applyFill="1" applyBorder="1" applyAlignment="1">
      <alignment horizontal="center" vertical="center"/>
    </xf>
    <xf numFmtId="0" fontId="29" fillId="0" borderId="56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0" fontId="29" fillId="0" borderId="26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0" fontId="82" fillId="0" borderId="0" xfId="0" applyFont="1" applyFill="1"/>
    <xf numFmtId="3" fontId="82" fillId="0" borderId="0" xfId="0" applyNumberFormat="1" applyFont="1" applyFill="1"/>
    <xf numFmtId="0" fontId="12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vertical="top"/>
    </xf>
    <xf numFmtId="0" fontId="4" fillId="0" borderId="2" xfId="0" applyFont="1" applyBorder="1" applyAlignment="1"/>
    <xf numFmtId="0" fontId="45" fillId="0" borderId="2" xfId="0" applyFont="1" applyBorder="1" applyAlignment="1"/>
    <xf numFmtId="0" fontId="11" fillId="0" borderId="2" xfId="0" applyFont="1" applyBorder="1" applyAlignment="1"/>
    <xf numFmtId="0" fontId="12" fillId="0" borderId="34" xfId="0" applyFont="1" applyBorder="1" applyAlignment="1">
      <alignment vertical="top"/>
    </xf>
    <xf numFmtId="1" fontId="11" fillId="0" borderId="2" xfId="0" applyNumberFormat="1" applyFont="1" applyBorder="1" applyAlignment="1">
      <alignment horizontal="left"/>
    </xf>
    <xf numFmtId="0" fontId="9" fillId="0" borderId="0" xfId="0" applyFont="1" applyFill="1"/>
    <xf numFmtId="3" fontId="9" fillId="0" borderId="0" xfId="0" applyNumberFormat="1" applyFont="1" applyFill="1"/>
    <xf numFmtId="3" fontId="11" fillId="0" borderId="0" xfId="0" applyNumberFormat="1" applyFont="1" applyBorder="1" applyAlignment="1">
      <alignment horizontal="right"/>
    </xf>
    <xf numFmtId="0" fontId="29" fillId="0" borderId="1" xfId="0" applyFont="1" applyFill="1" applyBorder="1"/>
    <xf numFmtId="1" fontId="29" fillId="0" borderId="0" xfId="0" applyNumberFormat="1" applyFont="1" applyFill="1" applyAlignment="1">
      <alignment horizontal="right"/>
    </xf>
    <xf numFmtId="0" fontId="29" fillId="0" borderId="27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29" fillId="0" borderId="2" xfId="0" applyFont="1" applyFill="1" applyBorder="1" applyAlignment="1">
      <alignment horizontal="center"/>
    </xf>
    <xf numFmtId="0" fontId="29" fillId="0" borderId="3" xfId="0" applyFont="1" applyFill="1" applyBorder="1" applyAlignment="1">
      <alignment horizontal="center"/>
    </xf>
    <xf numFmtId="167" fontId="29" fillId="0" borderId="0" xfId="0" applyNumberFormat="1" applyFont="1" applyFill="1" applyAlignment="1">
      <alignment horizontal="right"/>
    </xf>
    <xf numFmtId="1" fontId="60" fillId="0" borderId="0" xfId="0" applyNumberFormat="1" applyFont="1" applyFill="1" applyAlignment="1">
      <alignment horizontal="right"/>
    </xf>
    <xf numFmtId="167" fontId="29" fillId="0" borderId="0" xfId="0" applyNumberFormat="1" applyFont="1" applyFill="1" applyAlignment="1">
      <alignment shrinkToFit="1"/>
    </xf>
    <xf numFmtId="3" fontId="17" fillId="0" borderId="0" xfId="0" applyNumberFormat="1" applyFont="1" applyFill="1"/>
    <xf numFmtId="0" fontId="11" fillId="0" borderId="0" xfId="0" applyFont="1" applyAlignment="1">
      <alignment horizontal="right"/>
    </xf>
    <xf numFmtId="0" fontId="29" fillId="0" borderId="0" xfId="0" applyFont="1" applyAlignment="1">
      <alignment vertical="top" wrapText="1"/>
    </xf>
    <xf numFmtId="3" fontId="29" fillId="0" borderId="0" xfId="0" applyNumberFormat="1" applyFont="1" applyFill="1" applyAlignment="1"/>
    <xf numFmtId="168" fontId="29" fillId="0" borderId="0" xfId="0" applyNumberFormat="1" applyFont="1" applyFill="1"/>
    <xf numFmtId="3" fontId="8" fillId="0" borderId="0" xfId="0" applyNumberFormat="1" applyFont="1" applyBorder="1" applyAlignment="1">
      <alignment horizontal="right"/>
    </xf>
    <xf numFmtId="49" fontId="9" fillId="0" borderId="17" xfId="0" applyNumberFormat="1" applyFont="1" applyBorder="1" applyAlignment="1">
      <alignment horizontal="left" vertical="top"/>
    </xf>
    <xf numFmtId="0" fontId="11" fillId="0" borderId="2" xfId="0" applyFont="1" applyBorder="1" applyAlignment="1">
      <alignment vertical="top"/>
    </xf>
    <xf numFmtId="0" fontId="14" fillId="0" borderId="17" xfId="0" applyFont="1" applyBorder="1" applyAlignment="1">
      <alignment vertical="top"/>
    </xf>
    <xf numFmtId="0" fontId="14" fillId="0" borderId="17" xfId="0" applyFont="1" applyBorder="1" applyAlignment="1"/>
    <xf numFmtId="0" fontId="11" fillId="0" borderId="17" xfId="0" applyFont="1" applyBorder="1" applyAlignment="1">
      <alignment vertical="top"/>
    </xf>
    <xf numFmtId="0" fontId="11" fillId="0" borderId="17" xfId="0" applyFont="1" applyBorder="1" applyAlignment="1"/>
    <xf numFmtId="0" fontId="11" fillId="0" borderId="0" xfId="0" applyFont="1" applyBorder="1"/>
    <xf numFmtId="49" fontId="9" fillId="0" borderId="17" xfId="0" applyNumberFormat="1" applyFont="1" applyFill="1" applyBorder="1" applyAlignment="1">
      <alignment horizontal="left" vertical="top"/>
    </xf>
    <xf numFmtId="1" fontId="11" fillId="0" borderId="17" xfId="0" applyNumberFormat="1" applyFont="1" applyFill="1" applyBorder="1" applyAlignment="1">
      <alignment horizontal="left" vertical="top" wrapText="1"/>
    </xf>
    <xf numFmtId="3" fontId="14" fillId="0" borderId="17" xfId="0" applyNumberFormat="1" applyFont="1" applyFill="1" applyBorder="1" applyAlignment="1">
      <alignment vertical="top"/>
    </xf>
    <xf numFmtId="166" fontId="14" fillId="0" borderId="21" xfId="0" applyNumberFormat="1" applyFont="1" applyFill="1" applyBorder="1" applyAlignment="1">
      <alignment vertical="top"/>
    </xf>
    <xf numFmtId="3" fontId="13" fillId="0" borderId="17" xfId="0" applyNumberFormat="1" applyFont="1" applyFill="1" applyBorder="1" applyAlignment="1">
      <alignment vertical="top"/>
    </xf>
    <xf numFmtId="166" fontId="13" fillId="0" borderId="25" xfId="0" applyNumberFormat="1" applyFont="1" applyFill="1" applyBorder="1" applyAlignment="1">
      <alignment vertical="top"/>
    </xf>
    <xf numFmtId="166" fontId="14" fillId="0" borderId="25" xfId="0" applyNumberFormat="1" applyFont="1" applyFill="1" applyBorder="1" applyAlignment="1">
      <alignment vertical="top"/>
    </xf>
    <xf numFmtId="3" fontId="14" fillId="0" borderId="2" xfId="0" applyNumberFormat="1" applyFont="1" applyFill="1" applyBorder="1" applyAlignment="1">
      <alignment vertical="top"/>
    </xf>
    <xf numFmtId="49" fontId="9" fillId="0" borderId="2" xfId="0" applyNumberFormat="1" applyFont="1" applyFill="1" applyBorder="1" applyAlignment="1">
      <alignment horizontal="left" vertical="center"/>
    </xf>
    <xf numFmtId="49" fontId="9" fillId="0" borderId="2" xfId="3" applyNumberFormat="1" applyFont="1" applyBorder="1" applyAlignment="1">
      <alignment horizontal="left"/>
    </xf>
    <xf numFmtId="3" fontId="11" fillId="0" borderId="21" xfId="3" applyFont="1" applyBorder="1" applyAlignment="1">
      <alignment horizontal="right"/>
    </xf>
    <xf numFmtId="3" fontId="11" fillId="0" borderId="0" xfId="3" applyFont="1"/>
    <xf numFmtId="49" fontId="9" fillId="0" borderId="14" xfId="3" applyNumberFormat="1" applyFont="1" applyBorder="1" applyAlignment="1">
      <alignment horizontal="left" vertical="top"/>
    </xf>
    <xf numFmtId="3" fontId="14" fillId="0" borderId="0" xfId="3" applyFont="1" applyAlignment="1">
      <alignment wrapText="1"/>
    </xf>
    <xf numFmtId="1" fontId="21" fillId="0" borderId="17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vertical="top"/>
    </xf>
    <xf numFmtId="0" fontId="35" fillId="0" borderId="2" xfId="0" applyFont="1" applyFill="1" applyBorder="1" applyAlignment="1">
      <alignment horizontal="center" vertical="center"/>
    </xf>
    <xf numFmtId="3" fontId="14" fillId="0" borderId="0" xfId="0" applyNumberFormat="1" applyFont="1" applyBorder="1" applyAlignment="1">
      <alignment horizontal="right"/>
    </xf>
    <xf numFmtId="3" fontId="84" fillId="0" borderId="0" xfId="0" applyNumberFormat="1" applyFont="1" applyFill="1" applyBorder="1" applyAlignment="1">
      <alignment horizontal="center" vertical="center"/>
    </xf>
    <xf numFmtId="3" fontId="85" fillId="0" borderId="0" xfId="0" applyNumberFormat="1" applyFont="1" applyFill="1" applyBorder="1" applyAlignment="1">
      <alignment horizontal="center" vertical="center"/>
    </xf>
    <xf numFmtId="4" fontId="86" fillId="0" borderId="0" xfId="0" applyNumberFormat="1" applyFont="1" applyFill="1" applyBorder="1"/>
    <xf numFmtId="4" fontId="87" fillId="0" borderId="0" xfId="0" applyNumberFormat="1" applyFont="1" applyFill="1" applyBorder="1"/>
    <xf numFmtId="4" fontId="88" fillId="0" borderId="0" xfId="0" applyNumberFormat="1" applyFont="1" applyFill="1"/>
    <xf numFmtId="4" fontId="89" fillId="0" borderId="0" xfId="0" applyNumberFormat="1" applyFont="1" applyFill="1"/>
    <xf numFmtId="0" fontId="84" fillId="0" borderId="0" xfId="0" applyFont="1" applyFill="1"/>
    <xf numFmtId="0" fontId="21" fillId="0" borderId="12" xfId="0" applyFont="1" applyFill="1" applyBorder="1" applyAlignment="1">
      <alignment vertical="top"/>
    </xf>
    <xf numFmtId="0" fontId="23" fillId="0" borderId="17" xfId="0" applyFont="1" applyFill="1" applyBorder="1" applyAlignment="1">
      <alignment vertical="center" wrapText="1"/>
    </xf>
    <xf numFmtId="4" fontId="86" fillId="0" borderId="0" xfId="0" applyNumberFormat="1" applyFont="1" applyFill="1" applyBorder="1" applyAlignment="1">
      <alignment vertical="center" wrapText="1"/>
    </xf>
    <xf numFmtId="3" fontId="8" fillId="0" borderId="27" xfId="0" applyNumberFormat="1" applyFont="1" applyFill="1" applyBorder="1" applyAlignment="1">
      <alignment horizontal="right"/>
    </xf>
    <xf numFmtId="167" fontId="68" fillId="0" borderId="10" xfId="0" applyNumberFormat="1" applyFont="1" applyFill="1" applyBorder="1" applyAlignment="1"/>
    <xf numFmtId="1" fontId="35" fillId="0" borderId="0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left" vertical="top"/>
    </xf>
    <xf numFmtId="0" fontId="13" fillId="0" borderId="17" xfId="0" applyFont="1" applyFill="1" applyBorder="1" applyAlignment="1">
      <alignment horizontal="right"/>
    </xf>
    <xf numFmtId="0" fontId="8" fillId="0" borderId="17" xfId="0" applyFont="1" applyFill="1" applyBorder="1" applyAlignment="1">
      <alignment horizontal="right"/>
    </xf>
    <xf numFmtId="1" fontId="9" fillId="0" borderId="17" xfId="0" applyNumberFormat="1" applyFont="1" applyBorder="1" applyAlignment="1">
      <alignment horizontal="left"/>
    </xf>
    <xf numFmtId="167" fontId="8" fillId="0" borderId="35" xfId="0" applyNumberFormat="1" applyFont="1" applyBorder="1" applyAlignment="1">
      <alignment horizontal="right"/>
    </xf>
    <xf numFmtId="3" fontId="11" fillId="0" borderId="2" xfId="0" applyNumberFormat="1" applyFont="1" applyFill="1" applyBorder="1" applyAlignment="1">
      <alignment horizontal="right" vertical="top"/>
    </xf>
    <xf numFmtId="3" fontId="11" fillId="0" borderId="0" xfId="0" applyNumberFormat="1" applyFont="1" applyFill="1" applyBorder="1" applyAlignment="1">
      <alignment horizontal="right" vertical="top"/>
    </xf>
    <xf numFmtId="167" fontId="8" fillId="0" borderId="30" xfId="0" applyNumberFormat="1" applyFont="1" applyBorder="1" applyAlignment="1">
      <alignment horizontal="right"/>
    </xf>
    <xf numFmtId="167" fontId="13" fillId="0" borderId="30" xfId="0" applyNumberFormat="1" applyFont="1" applyBorder="1" applyAlignment="1">
      <alignment horizontal="right"/>
    </xf>
    <xf numFmtId="0" fontId="5" fillId="0" borderId="14" xfId="0" applyFont="1" applyFill="1" applyBorder="1"/>
    <xf numFmtId="167" fontId="11" fillId="0" borderId="35" xfId="0" applyNumberFormat="1" applyFont="1" applyBorder="1" applyAlignment="1">
      <alignment horizontal="right"/>
    </xf>
    <xf numFmtId="167" fontId="13" fillId="0" borderId="35" xfId="0" applyNumberFormat="1" applyFont="1" applyBorder="1" applyAlignment="1">
      <alignment horizontal="right"/>
    </xf>
    <xf numFmtId="1" fontId="9" fillId="0" borderId="9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1" fontId="4" fillId="0" borderId="0" xfId="0" applyNumberFormat="1" applyFont="1" applyBorder="1" applyAlignment="1">
      <alignment horizontal="left" vertical="top"/>
    </xf>
    <xf numFmtId="3" fontId="8" fillId="0" borderId="0" xfId="0" applyNumberFormat="1" applyFont="1" applyFill="1" applyBorder="1" applyAlignment="1">
      <alignment horizontal="right" vertical="top"/>
    </xf>
    <xf numFmtId="167" fontId="8" fillId="0" borderId="25" xfId="0" applyNumberFormat="1" applyFont="1" applyBorder="1" applyAlignment="1">
      <alignment horizontal="right" vertical="top"/>
    </xf>
    <xf numFmtId="1" fontId="4" fillId="0" borderId="6" xfId="0" applyNumberFormat="1" applyFont="1" applyBorder="1" applyAlignment="1">
      <alignment horizontal="left" vertical="top"/>
    </xf>
    <xf numFmtId="1" fontId="8" fillId="0" borderId="17" xfId="0" applyNumberFormat="1" applyFont="1" applyBorder="1" applyAlignment="1">
      <alignment horizontal="left"/>
    </xf>
    <xf numFmtId="0" fontId="13" fillId="0" borderId="17" xfId="0" applyFont="1" applyBorder="1" applyAlignment="1">
      <alignment vertical="center" wrapText="1"/>
    </xf>
    <xf numFmtId="1" fontId="13" fillId="0" borderId="17" xfId="0" applyNumberFormat="1" applyFont="1" applyBorder="1" applyAlignment="1">
      <alignment horizontal="left"/>
    </xf>
    <xf numFmtId="0" fontId="13" fillId="0" borderId="17" xfId="0" applyFont="1" applyBorder="1" applyAlignment="1"/>
    <xf numFmtId="168" fontId="27" fillId="0" borderId="2" xfId="0" applyNumberFormat="1" applyFont="1" applyBorder="1" applyAlignment="1">
      <alignment horizontal="left" vertical="top"/>
    </xf>
    <xf numFmtId="1" fontId="27" fillId="0" borderId="2" xfId="0" applyNumberFormat="1" applyFont="1" applyBorder="1" applyAlignment="1">
      <alignment horizontal="left"/>
    </xf>
    <xf numFmtId="166" fontId="11" fillId="0" borderId="25" xfId="0" applyNumberFormat="1" applyFont="1" applyBorder="1" applyAlignment="1">
      <alignment horizontal="right" vertical="top"/>
    </xf>
    <xf numFmtId="1" fontId="12" fillId="0" borderId="6" xfId="0" applyNumberFormat="1" applyFont="1" applyBorder="1" applyAlignment="1">
      <alignment horizontal="left"/>
    </xf>
    <xf numFmtId="49" fontId="9" fillId="0" borderId="0" xfId="0" applyNumberFormat="1" applyFont="1" applyAlignment="1">
      <alignment horizontal="left" vertical="top"/>
    </xf>
    <xf numFmtId="3" fontId="23" fillId="0" borderId="17" xfId="0" applyNumberFormat="1" applyFont="1" applyFill="1" applyBorder="1" applyAlignment="1"/>
    <xf numFmtId="1" fontId="66" fillId="0" borderId="0" xfId="0" applyNumberFormat="1" applyFont="1" applyBorder="1" applyAlignment="1">
      <alignment horizontal="left"/>
    </xf>
    <xf numFmtId="1" fontId="66" fillId="0" borderId="6" xfId="0" applyNumberFormat="1" applyFont="1" applyBorder="1" applyAlignment="1">
      <alignment horizontal="left"/>
    </xf>
    <xf numFmtId="49" fontId="27" fillId="0" borderId="34" xfId="0" applyNumberFormat="1" applyFont="1" applyBorder="1" applyAlignment="1">
      <alignment horizontal="left"/>
    </xf>
    <xf numFmtId="3" fontId="11" fillId="0" borderId="34" xfId="0" applyNumberFormat="1" applyFont="1" applyBorder="1" applyAlignment="1">
      <alignment horizontal="right"/>
    </xf>
    <xf numFmtId="0" fontId="12" fillId="0" borderId="0" xfId="0" applyFont="1" applyAlignment="1">
      <alignment wrapText="1"/>
    </xf>
    <xf numFmtId="3" fontId="12" fillId="3" borderId="0" xfId="0" applyNumberFormat="1" applyFont="1" applyFill="1" applyBorder="1"/>
    <xf numFmtId="167" fontId="11" fillId="3" borderId="25" xfId="0" applyNumberFormat="1" applyFont="1" applyFill="1" applyBorder="1" applyAlignment="1">
      <alignment horizontal="right"/>
    </xf>
    <xf numFmtId="167" fontId="11" fillId="0" borderId="25" xfId="0" applyNumberFormat="1" applyFont="1" applyBorder="1" applyAlignment="1">
      <alignment horizontal="right" vertical="top"/>
    </xf>
    <xf numFmtId="167" fontId="13" fillId="3" borderId="25" xfId="0" applyNumberFormat="1" applyFont="1" applyFill="1" applyBorder="1" applyAlignment="1">
      <alignment horizontal="right"/>
    </xf>
    <xf numFmtId="0" fontId="60" fillId="0" borderId="0" xfId="0" applyFont="1" applyAlignment="1"/>
    <xf numFmtId="168" fontId="9" fillId="3" borderId="0" xfId="0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168" fontId="20" fillId="3" borderId="0" xfId="0" applyNumberFormat="1" applyFont="1" applyFill="1" applyBorder="1" applyAlignment="1"/>
    <xf numFmtId="0" fontId="11" fillId="0" borderId="0" xfId="0" applyFont="1" applyFill="1" applyAlignment="1">
      <alignment horizontal="right"/>
    </xf>
    <xf numFmtId="49" fontId="9" fillId="0" borderId="34" xfId="0" applyNumberFormat="1" applyFont="1" applyBorder="1" applyAlignment="1">
      <alignment horizontal="left"/>
    </xf>
    <xf numFmtId="3" fontId="12" fillId="0" borderId="0" xfId="0" applyNumberFormat="1" applyFont="1" applyBorder="1" applyAlignment="1">
      <alignment horizontal="right"/>
    </xf>
    <xf numFmtId="0" fontId="8" fillId="0" borderId="2" xfId="0" applyFont="1" applyBorder="1"/>
    <xf numFmtId="0" fontId="13" fillId="0" borderId="2" xfId="0" applyFont="1" applyBorder="1" applyAlignment="1">
      <alignment vertical="top" wrapText="1"/>
    </xf>
    <xf numFmtId="0" fontId="13" fillId="0" borderId="2" xfId="0" applyFont="1" applyBorder="1" applyAlignment="1">
      <alignment vertical="top"/>
    </xf>
    <xf numFmtId="0" fontId="13" fillId="0" borderId="9" xfId="0" applyFont="1" applyBorder="1" applyAlignment="1"/>
    <xf numFmtId="1" fontId="8" fillId="0" borderId="9" xfId="0" applyNumberFormat="1" applyFont="1" applyBorder="1" applyAlignment="1">
      <alignment horizontal="left"/>
    </xf>
    <xf numFmtId="0" fontId="12" fillId="0" borderId="14" xfId="0" applyFont="1" applyBorder="1" applyAlignment="1"/>
    <xf numFmtId="3" fontId="7" fillId="0" borderId="53" xfId="0" applyNumberFormat="1" applyFont="1" applyFill="1" applyBorder="1"/>
    <xf numFmtId="1" fontId="4" fillId="0" borderId="12" xfId="0" applyNumberFormat="1" applyFont="1" applyFill="1" applyBorder="1" applyAlignment="1">
      <alignment horizontal="left"/>
    </xf>
    <xf numFmtId="0" fontId="7" fillId="3" borderId="2" xfId="0" applyFont="1" applyFill="1" applyBorder="1"/>
    <xf numFmtId="0" fontId="9" fillId="3" borderId="27" xfId="0" applyFont="1" applyFill="1" applyBorder="1" applyAlignment="1">
      <alignment horizontal="left"/>
    </xf>
    <xf numFmtId="1" fontId="7" fillId="3" borderId="12" xfId="0" applyNumberFormat="1" applyFont="1" applyFill="1" applyBorder="1" applyAlignment="1">
      <alignment horizontal="left"/>
    </xf>
    <xf numFmtId="168" fontId="9" fillId="0" borderId="0" xfId="0" applyNumberFormat="1" applyFont="1" applyBorder="1" applyAlignment="1">
      <alignment horizontal="left"/>
    </xf>
    <xf numFmtId="49" fontId="27" fillId="0" borderId="0" xfId="0" applyNumberFormat="1" applyFont="1" applyBorder="1" applyAlignment="1">
      <alignment horizontal="left"/>
    </xf>
    <xf numFmtId="1" fontId="12" fillId="0" borderId="12" xfId="0" applyNumberFormat="1" applyFont="1" applyBorder="1" applyAlignment="1">
      <alignment horizontal="left"/>
    </xf>
    <xf numFmtId="3" fontId="11" fillId="0" borderId="2" xfId="0" applyNumberFormat="1" applyFont="1" applyFill="1" applyBorder="1" applyAlignment="1">
      <alignment vertical="top"/>
    </xf>
    <xf numFmtId="168" fontId="9" fillId="0" borderId="27" xfId="0" applyNumberFormat="1" applyFont="1" applyBorder="1" applyAlignment="1">
      <alignment horizontal="left" vertical="top"/>
    </xf>
    <xf numFmtId="168" fontId="27" fillId="0" borderId="0" xfId="0" applyNumberFormat="1" applyFont="1" applyFill="1" applyBorder="1" applyAlignment="1">
      <alignment horizontal="center"/>
    </xf>
    <xf numFmtId="49" fontId="9" fillId="3" borderId="0" xfId="0" applyNumberFormat="1" applyFont="1" applyFill="1" applyBorder="1" applyAlignment="1">
      <alignment horizontal="left" vertical="top"/>
    </xf>
    <xf numFmtId="3" fontId="11" fillId="0" borderId="27" xfId="0" applyNumberFormat="1" applyFont="1" applyBorder="1" applyAlignment="1">
      <alignment horizontal="right"/>
    </xf>
    <xf numFmtId="3" fontId="55" fillId="0" borderId="5" xfId="0" applyNumberFormat="1" applyFont="1" applyFill="1" applyBorder="1"/>
    <xf numFmtId="3" fontId="39" fillId="0" borderId="5" xfId="0" applyNumberFormat="1" applyFont="1" applyFill="1" applyBorder="1" applyAlignment="1"/>
    <xf numFmtId="3" fontId="55" fillId="0" borderId="14" xfId="0" applyNumberFormat="1" applyFont="1" applyFill="1" applyBorder="1"/>
    <xf numFmtId="3" fontId="11" fillId="0" borderId="14" xfId="0" applyNumberFormat="1" applyFont="1" applyFill="1" applyBorder="1" applyAlignment="1">
      <alignment horizontal="right" vertical="top"/>
    </xf>
    <xf numFmtId="168" fontId="9" fillId="0" borderId="0" xfId="0" applyNumberFormat="1" applyFont="1" applyBorder="1" applyAlignment="1">
      <alignment horizontal="left" vertical="top"/>
    </xf>
    <xf numFmtId="166" fontId="52" fillId="0" borderId="0" xfId="0" applyNumberFormat="1" applyFont="1" applyFill="1" applyBorder="1"/>
    <xf numFmtId="1" fontId="60" fillId="0" borderId="19" xfId="0" applyNumberFormat="1" applyFont="1" applyFill="1" applyBorder="1" applyAlignment="1">
      <alignment horizontal="center"/>
    </xf>
    <xf numFmtId="1" fontId="35" fillId="0" borderId="5" xfId="0" applyNumberFormat="1" applyFont="1" applyFill="1" applyBorder="1" applyAlignment="1">
      <alignment horizontal="center" vertical="center"/>
    </xf>
    <xf numFmtId="3" fontId="23" fillId="0" borderId="2" xfId="0" applyNumberFormat="1" applyFont="1" applyFill="1" applyBorder="1" applyAlignment="1">
      <alignment horizontal="right" vertical="center" wrapText="1"/>
    </xf>
    <xf numFmtId="167" fontId="8" fillId="0" borderId="25" xfId="0" applyNumberFormat="1" applyFont="1" applyFill="1" applyBorder="1" applyAlignment="1">
      <alignment horizontal="right"/>
    </xf>
    <xf numFmtId="0" fontId="3" fillId="0" borderId="1" xfId="0" applyFont="1" applyFill="1" applyBorder="1"/>
    <xf numFmtId="166" fontId="3" fillId="0" borderId="0" xfId="0" applyNumberFormat="1" applyFont="1" applyFill="1"/>
    <xf numFmtId="0" fontId="3" fillId="0" borderId="38" xfId="0" applyFont="1" applyFill="1" applyBorder="1"/>
    <xf numFmtId="0" fontId="3" fillId="0" borderId="2" xfId="0" applyFont="1" applyFill="1" applyBorder="1"/>
    <xf numFmtId="0" fontId="3" fillId="0" borderId="17" xfId="0" applyFont="1" applyFill="1" applyBorder="1"/>
    <xf numFmtId="0" fontId="3" fillId="0" borderId="50" xfId="0" applyFont="1" applyFill="1" applyBorder="1"/>
    <xf numFmtId="0" fontId="3" fillId="0" borderId="48" xfId="0" applyFont="1" applyFill="1" applyBorder="1"/>
    <xf numFmtId="1" fontId="11" fillId="0" borderId="48" xfId="0" applyNumberFormat="1" applyFont="1" applyFill="1" applyBorder="1" applyAlignment="1">
      <alignment horizontal="left"/>
    </xf>
    <xf numFmtId="0" fontId="3" fillId="0" borderId="0" xfId="0" applyFont="1" applyFill="1" applyBorder="1"/>
    <xf numFmtId="0" fontId="3" fillId="0" borderId="15" xfId="0" applyFont="1" applyFill="1" applyBorder="1"/>
    <xf numFmtId="0" fontId="3" fillId="0" borderId="6" xfId="0" applyFont="1" applyFill="1" applyBorder="1" applyAlignment="1">
      <alignment horizontal="center" vertical="center"/>
    </xf>
    <xf numFmtId="0" fontId="3" fillId="0" borderId="14" xfId="0" applyFont="1" applyFill="1" applyBorder="1"/>
    <xf numFmtId="0" fontId="23" fillId="0" borderId="2" xfId="0" applyFont="1" applyBorder="1"/>
    <xf numFmtId="0" fontId="3" fillId="0" borderId="47" xfId="0" applyFont="1" applyFill="1" applyBorder="1"/>
    <xf numFmtId="0" fontId="3" fillId="0" borderId="41" xfId="0" applyFont="1" applyFill="1" applyBorder="1"/>
    <xf numFmtId="1" fontId="13" fillId="0" borderId="17" xfId="0" applyNumberFormat="1" applyFont="1" applyFill="1" applyBorder="1" applyAlignment="1">
      <alignment horizontal="left" vertical="top" wrapText="1"/>
    </xf>
    <xf numFmtId="49" fontId="9" fillId="0" borderId="2" xfId="0" applyNumberFormat="1" applyFont="1" applyBorder="1" applyAlignment="1">
      <alignment horizontal="left" vertical="center"/>
    </xf>
    <xf numFmtId="49" fontId="9" fillId="3" borderId="2" xfId="0" applyNumberFormat="1" applyFont="1" applyFill="1" applyBorder="1" applyAlignment="1">
      <alignment horizontal="left" vertical="top"/>
    </xf>
    <xf numFmtId="0" fontId="23" fillId="3" borderId="2" xfId="0" applyFont="1" applyFill="1" applyBorder="1" applyAlignment="1">
      <alignment wrapText="1"/>
    </xf>
    <xf numFmtId="0" fontId="11" fillId="0" borderId="14" xfId="0" applyFont="1" applyBorder="1"/>
    <xf numFmtId="3" fontId="23" fillId="0" borderId="17" xfId="0" applyNumberFormat="1" applyFont="1" applyFill="1" applyBorder="1" applyAlignment="1">
      <alignment horizontal="right" vertical="center" wrapText="1"/>
    </xf>
    <xf numFmtId="166" fontId="13" fillId="0" borderId="0" xfId="0" applyNumberFormat="1" applyFont="1" applyFill="1" applyBorder="1"/>
    <xf numFmtId="1" fontId="21" fillId="0" borderId="2" xfId="0" applyNumberFormat="1" applyFont="1" applyFill="1" applyBorder="1" applyAlignment="1">
      <alignment horizontal="right" vertical="center" wrapText="1"/>
    </xf>
    <xf numFmtId="1" fontId="35" fillId="0" borderId="17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/>
    <xf numFmtId="0" fontId="3" fillId="0" borderId="3" xfId="0" applyFont="1" applyFill="1" applyBorder="1"/>
    <xf numFmtId="0" fontId="3" fillId="0" borderId="8" xfId="0" applyFont="1" applyBorder="1"/>
    <xf numFmtId="0" fontId="3" fillId="0" borderId="56" xfId="0" applyFont="1" applyBorder="1"/>
    <xf numFmtId="0" fontId="3" fillId="0" borderId="0" xfId="0" applyFont="1" applyBorder="1"/>
    <xf numFmtId="0" fontId="51" fillId="0" borderId="0" xfId="0" applyFont="1" applyFill="1" applyBorder="1" applyAlignment="1">
      <alignment horizontal="left"/>
    </xf>
    <xf numFmtId="166" fontId="51" fillId="0" borderId="0" xfId="0" applyNumberFormat="1" applyFont="1" applyFill="1" applyBorder="1" applyAlignment="1">
      <alignment horizontal="right" vertical="center"/>
    </xf>
    <xf numFmtId="0" fontId="51" fillId="0" borderId="0" xfId="0" applyFont="1" applyFill="1" applyBorder="1"/>
    <xf numFmtId="0" fontId="54" fillId="0" borderId="0" xfId="0" applyFont="1" applyFill="1" applyBorder="1" applyAlignment="1">
      <alignment horizontal="left"/>
    </xf>
    <xf numFmtId="3" fontId="54" fillId="0" borderId="0" xfId="0" applyNumberFormat="1" applyFont="1" applyFill="1" applyBorder="1" applyAlignment="1">
      <alignment horizontal="right"/>
    </xf>
    <xf numFmtId="166" fontId="54" fillId="0" borderId="0" xfId="0" applyNumberFormat="1" applyFont="1" applyFill="1" applyBorder="1" applyAlignment="1">
      <alignment horizontal="right" vertical="center"/>
    </xf>
    <xf numFmtId="0" fontId="54" fillId="0" borderId="0" xfId="0" applyFont="1" applyFill="1" applyBorder="1"/>
    <xf numFmtId="0" fontId="90" fillId="0" borderId="0" xfId="0" applyFont="1" applyFill="1"/>
    <xf numFmtId="3" fontId="31" fillId="0" borderId="10" xfId="0" applyNumberFormat="1" applyFont="1" applyFill="1" applyBorder="1" applyAlignment="1">
      <alignment shrinkToFit="1"/>
    </xf>
    <xf numFmtId="0" fontId="13" fillId="0" borderId="17" xfId="0" applyFont="1" applyBorder="1"/>
    <xf numFmtId="166" fontId="13" fillId="0" borderId="30" xfId="7" applyNumberFormat="1" applyFont="1" applyBorder="1" applyAlignment="1">
      <alignment horizontal="right"/>
    </xf>
    <xf numFmtId="166" fontId="11" fillId="0" borderId="25" xfId="7" applyNumberFormat="1" applyFont="1" applyBorder="1" applyAlignment="1">
      <alignment horizontal="right"/>
    </xf>
    <xf numFmtId="166" fontId="13" fillId="0" borderId="25" xfId="7" applyNumberFormat="1" applyFont="1" applyBorder="1" applyAlignment="1">
      <alignment horizontal="right"/>
    </xf>
    <xf numFmtId="166" fontId="8" fillId="3" borderId="25" xfId="7" applyNumberFormat="1" applyFont="1" applyFill="1" applyBorder="1" applyAlignment="1">
      <alignment horizontal="right"/>
    </xf>
    <xf numFmtId="166" fontId="11" fillId="3" borderId="35" xfId="7" applyNumberFormat="1" applyFont="1" applyFill="1" applyBorder="1" applyAlignment="1">
      <alignment horizontal="right"/>
    </xf>
    <xf numFmtId="3" fontId="21" fillId="0" borderId="2" xfId="0" applyNumberFormat="1" applyFont="1" applyFill="1" applyBorder="1" applyAlignment="1"/>
    <xf numFmtId="3" fontId="41" fillId="0" borderId="51" xfId="0" applyNumberFormat="1" applyFont="1" applyFill="1" applyBorder="1" applyAlignment="1"/>
    <xf numFmtId="167" fontId="41" fillId="0" borderId="51" xfId="0" applyNumberFormat="1" applyFont="1" applyFill="1" applyBorder="1"/>
    <xf numFmtId="1" fontId="41" fillId="0" borderId="10" xfId="0" applyNumberFormat="1" applyFont="1" applyFill="1" applyBorder="1" applyAlignment="1">
      <alignment horizontal="left" vertical="top"/>
    </xf>
    <xf numFmtId="3" fontId="41" fillId="0" borderId="10" xfId="0" applyNumberFormat="1" applyFont="1" applyFill="1" applyBorder="1" applyAlignment="1">
      <alignment vertical="top"/>
    </xf>
    <xf numFmtId="167" fontId="41" fillId="0" borderId="10" xfId="0" applyNumberFormat="1" applyFont="1" applyFill="1" applyBorder="1" applyAlignment="1">
      <alignment vertical="top"/>
    </xf>
    <xf numFmtId="1" fontId="12" fillId="3" borderId="15" xfId="0" applyNumberFormat="1" applyFont="1" applyFill="1" applyBorder="1" applyAlignment="1">
      <alignment horizontal="left"/>
    </xf>
    <xf numFmtId="3" fontId="11" fillId="0" borderId="27" xfId="0" applyNumberFormat="1" applyFont="1" applyFill="1" applyBorder="1" applyAlignment="1">
      <alignment horizontal="right"/>
    </xf>
    <xf numFmtId="3" fontId="53" fillId="0" borderId="0" xfId="0" applyNumberFormat="1" applyFont="1" applyFill="1" applyBorder="1" applyAlignment="1"/>
    <xf numFmtId="3" fontId="23" fillId="0" borderId="2" xfId="0" applyNumberFormat="1" applyFont="1" applyFill="1" applyBorder="1" applyAlignment="1">
      <alignment horizontal="right" vertical="center"/>
    </xf>
    <xf numFmtId="3" fontId="23" fillId="0" borderId="0" xfId="0" applyNumberFormat="1" applyFont="1" applyFill="1" applyBorder="1" applyAlignment="1">
      <alignment horizontal="right" vertical="center" wrapText="1"/>
    </xf>
    <xf numFmtId="0" fontId="67" fillId="0" borderId="0" xfId="0" applyFont="1" applyFill="1" applyAlignment="1">
      <alignment vertical="top"/>
    </xf>
    <xf numFmtId="1" fontId="12" fillId="0" borderId="17" xfId="0" applyNumberFormat="1" applyFont="1" applyBorder="1" applyAlignment="1">
      <alignment horizontal="left"/>
    </xf>
    <xf numFmtId="4" fontId="29" fillId="0" borderId="0" xfId="0" applyNumberFormat="1" applyFont="1" applyFill="1"/>
    <xf numFmtId="1" fontId="12" fillId="0" borderId="50" xfId="0" applyNumberFormat="1" applyFont="1" applyBorder="1" applyAlignment="1">
      <alignment horizontal="left"/>
    </xf>
    <xf numFmtId="1" fontId="22" fillId="0" borderId="9" xfId="0" applyNumberFormat="1" applyFont="1" applyFill="1" applyBorder="1" applyAlignment="1">
      <alignment horizontal="center"/>
    </xf>
    <xf numFmtId="1" fontId="54" fillId="0" borderId="0" xfId="0" applyNumberFormat="1" applyFont="1" applyFill="1" applyAlignment="1">
      <alignment horizontal="left" vertical="top"/>
    </xf>
    <xf numFmtId="3" fontId="13" fillId="0" borderId="48" xfId="0" applyNumberFormat="1" applyFont="1" applyBorder="1" applyAlignment="1">
      <alignment horizontal="right"/>
    </xf>
    <xf numFmtId="3" fontId="13" fillId="0" borderId="17" xfId="0" applyNumberFormat="1" applyFont="1" applyBorder="1" applyAlignment="1">
      <alignment horizontal="right"/>
    </xf>
    <xf numFmtId="166" fontId="11" fillId="0" borderId="21" xfId="0" applyNumberFormat="1" applyFont="1" applyBorder="1" applyAlignment="1">
      <alignment horizontal="right"/>
    </xf>
    <xf numFmtId="49" fontId="27" fillId="0" borderId="48" xfId="0" applyNumberFormat="1" applyFont="1" applyBorder="1" applyAlignment="1">
      <alignment horizontal="left"/>
    </xf>
    <xf numFmtId="168" fontId="54" fillId="0" borderId="0" xfId="0" applyNumberFormat="1" applyFont="1" applyFill="1" applyAlignment="1">
      <alignment horizontal="center" vertical="top"/>
    </xf>
    <xf numFmtId="0" fontId="54" fillId="0" borderId="0" xfId="0" applyFont="1" applyFill="1" applyAlignment="1">
      <alignment horizontal="left" vertical="top"/>
    </xf>
    <xf numFmtId="3" fontId="54" fillId="0" borderId="0" xfId="0" applyNumberFormat="1" applyFont="1" applyFill="1" applyAlignment="1">
      <alignment vertical="top"/>
    </xf>
    <xf numFmtId="0" fontId="51" fillId="0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3" fontId="92" fillId="0" borderId="0" xfId="0" applyNumberFormat="1" applyFont="1" applyFill="1"/>
    <xf numFmtId="3" fontId="9" fillId="0" borderId="0" xfId="0" applyNumberFormat="1" applyFont="1" applyFill="1" applyBorder="1"/>
    <xf numFmtId="3" fontId="4" fillId="0" borderId="0" xfId="0" applyNumberFormat="1" applyFont="1" applyFill="1" applyBorder="1"/>
    <xf numFmtId="3" fontId="23" fillId="0" borderId="1" xfId="0" applyNumberFormat="1" applyFont="1" applyFill="1" applyBorder="1"/>
    <xf numFmtId="168" fontId="23" fillId="0" borderId="0" xfId="0" applyNumberFormat="1" applyFont="1" applyFill="1" applyAlignment="1">
      <alignment horizontal="left"/>
    </xf>
    <xf numFmtId="168" fontId="53" fillId="0" borderId="0" xfId="0" applyNumberFormat="1" applyFont="1" applyFill="1" applyAlignment="1">
      <alignment horizontal="center"/>
    </xf>
    <xf numFmtId="1" fontId="53" fillId="0" borderId="0" xfId="0" applyNumberFormat="1" applyFont="1" applyFill="1" applyAlignment="1">
      <alignment horizontal="left"/>
    </xf>
    <xf numFmtId="0" fontId="53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8" fillId="0" borderId="24" xfId="0" applyFont="1" applyFill="1" applyBorder="1" applyAlignment="1">
      <alignment horizontal="right" vertical="center"/>
    </xf>
    <xf numFmtId="166" fontId="35" fillId="0" borderId="24" xfId="0" applyNumberFormat="1" applyFont="1" applyFill="1" applyBorder="1" applyAlignment="1">
      <alignment horizontal="right" vertical="center"/>
    </xf>
    <xf numFmtId="0" fontId="76" fillId="0" borderId="0" xfId="0" applyFont="1" applyFill="1" applyAlignment="1">
      <alignment horizontal="right"/>
    </xf>
    <xf numFmtId="0" fontId="77" fillId="0" borderId="0" xfId="0" applyFont="1" applyFill="1" applyAlignment="1">
      <alignment horizontal="right"/>
    </xf>
    <xf numFmtId="167" fontId="39" fillId="0" borderId="0" xfId="0" applyNumberFormat="1" applyFont="1" applyFill="1" applyAlignment="1">
      <alignment horizontal="right"/>
    </xf>
    <xf numFmtId="167" fontId="36" fillId="0" borderId="0" xfId="0" applyNumberFormat="1" applyFont="1" applyFill="1" applyAlignment="1">
      <alignment horizontal="right"/>
    </xf>
    <xf numFmtId="167" fontId="60" fillId="0" borderId="0" xfId="0" applyNumberFormat="1" applyFont="1" applyFill="1" applyAlignment="1">
      <alignment horizontal="right"/>
    </xf>
    <xf numFmtId="167" fontId="6" fillId="0" borderId="24" xfId="0" applyNumberFormat="1" applyFont="1" applyFill="1" applyBorder="1" applyAlignment="1">
      <alignment horizontal="right" vertical="center"/>
    </xf>
    <xf numFmtId="1" fontId="35" fillId="0" borderId="24" xfId="0" applyNumberFormat="1" applyFont="1" applyFill="1" applyBorder="1" applyAlignment="1">
      <alignment horizontal="right" vertical="center" wrapText="1"/>
    </xf>
    <xf numFmtId="166" fontId="8" fillId="0" borderId="0" xfId="0" applyNumberFormat="1" applyFont="1" applyFill="1" applyAlignment="1">
      <alignment horizontal="right"/>
    </xf>
    <xf numFmtId="166" fontId="6" fillId="0" borderId="23" xfId="0" applyNumberFormat="1" applyFont="1" applyFill="1" applyBorder="1" applyAlignment="1">
      <alignment horizontal="right" vertical="center"/>
    </xf>
    <xf numFmtId="166" fontId="52" fillId="0" borderId="35" xfId="0" applyNumberFormat="1" applyFont="1" applyFill="1" applyBorder="1" applyAlignment="1">
      <alignment horizontal="right"/>
    </xf>
    <xf numFmtId="167" fontId="35" fillId="0" borderId="24" xfId="0" applyNumberFormat="1" applyFont="1" applyFill="1" applyBorder="1" applyAlignment="1">
      <alignment horizontal="right"/>
    </xf>
    <xf numFmtId="167" fontId="21" fillId="0" borderId="23" xfId="0" applyNumberFormat="1" applyFont="1" applyFill="1" applyBorder="1" applyAlignment="1">
      <alignment horizontal="right"/>
    </xf>
    <xf numFmtId="167" fontId="41" fillId="0" borderId="0" xfId="0" applyNumberFormat="1" applyFont="1" applyFill="1" applyBorder="1" applyAlignment="1">
      <alignment horizontal="right"/>
    </xf>
    <xf numFmtId="167" fontId="51" fillId="0" borderId="10" xfId="0" applyNumberFormat="1" applyFont="1" applyFill="1" applyBorder="1" applyAlignment="1">
      <alignment horizontal="right"/>
    </xf>
    <xf numFmtId="167" fontId="51" fillId="0" borderId="0" xfId="0" applyNumberFormat="1" applyFont="1" applyFill="1" applyAlignment="1">
      <alignment horizontal="right"/>
    </xf>
    <xf numFmtId="167" fontId="53" fillId="0" borderId="51" xfId="0" applyNumberFormat="1" applyFont="1" applyFill="1" applyBorder="1" applyAlignment="1">
      <alignment horizontal="right"/>
    </xf>
    <xf numFmtId="167" fontId="51" fillId="0" borderId="34" xfId="0" applyNumberFormat="1" applyFont="1" applyFill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167" fontId="51" fillId="0" borderId="24" xfId="0" applyNumberFormat="1" applyFont="1" applyFill="1" applyBorder="1" applyAlignment="1">
      <alignment horizontal="right"/>
    </xf>
    <xf numFmtId="167" fontId="21" fillId="0" borderId="0" xfId="0" applyNumberFormat="1" applyFont="1" applyFill="1" applyAlignment="1">
      <alignment horizontal="right"/>
    </xf>
    <xf numFmtId="167" fontId="41" fillId="0" borderId="24" xfId="0" applyNumberFormat="1" applyFont="1" applyFill="1" applyBorder="1" applyAlignment="1">
      <alignment horizontal="right"/>
    </xf>
    <xf numFmtId="167" fontId="54" fillId="0" borderId="0" xfId="0" applyNumberFormat="1" applyFont="1" applyFill="1" applyAlignment="1">
      <alignment horizontal="right"/>
    </xf>
    <xf numFmtId="167" fontId="54" fillId="0" borderId="0" xfId="0" applyNumberFormat="1" applyFont="1" applyFill="1" applyAlignment="1">
      <alignment horizontal="right" vertical="top"/>
    </xf>
    <xf numFmtId="3" fontId="13" fillId="0" borderId="17" xfId="0" applyNumberFormat="1" applyFont="1" applyFill="1" applyBorder="1" applyAlignment="1">
      <alignment horizontal="right"/>
    </xf>
    <xf numFmtId="0" fontId="23" fillId="0" borderId="2" xfId="0" applyFont="1" applyFill="1" applyBorder="1"/>
    <xf numFmtId="1" fontId="23" fillId="0" borderId="17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vertical="top"/>
    </xf>
    <xf numFmtId="3" fontId="18" fillId="0" borderId="0" xfId="0" applyNumberFormat="1" applyFont="1" applyFill="1" applyBorder="1" applyAlignment="1">
      <alignment vertical="top"/>
    </xf>
    <xf numFmtId="166" fontId="18" fillId="0" borderId="0" xfId="0" applyNumberFormat="1" applyFont="1" applyFill="1" applyBorder="1" applyAlignment="1">
      <alignment vertical="top"/>
    </xf>
    <xf numFmtId="0" fontId="3" fillId="0" borderId="0" xfId="0" applyFont="1" applyFill="1" applyAlignment="1">
      <alignment vertical="top"/>
    </xf>
    <xf numFmtId="0" fontId="3" fillId="0" borderId="38" xfId="0" applyFont="1" applyFill="1" applyBorder="1" applyAlignment="1">
      <alignment vertical="top"/>
    </xf>
    <xf numFmtId="1" fontId="4" fillId="0" borderId="9" xfId="0" applyNumberFormat="1" applyFont="1" applyFill="1" applyBorder="1" applyAlignment="1">
      <alignment horizontal="left" vertical="top"/>
    </xf>
    <xf numFmtId="3" fontId="9" fillId="0" borderId="9" xfId="0" applyNumberFormat="1" applyFont="1" applyFill="1" applyBorder="1" applyAlignment="1">
      <alignment horizontal="left" vertical="top"/>
    </xf>
    <xf numFmtId="0" fontId="8" fillId="0" borderId="9" xfId="0" applyFont="1" applyFill="1" applyBorder="1" applyAlignment="1">
      <alignment vertical="top"/>
    </xf>
    <xf numFmtId="3" fontId="8" fillId="0" borderId="9" xfId="0" applyNumberFormat="1" applyFont="1" applyFill="1" applyBorder="1" applyAlignment="1">
      <alignment vertical="top"/>
    </xf>
    <xf numFmtId="166" fontId="8" fillId="0" borderId="23" xfId="0" applyNumberFormat="1" applyFont="1" applyFill="1" applyBorder="1" applyAlignment="1">
      <alignment vertical="top"/>
    </xf>
    <xf numFmtId="3" fontId="23" fillId="0" borderId="15" xfId="0" applyNumberFormat="1" applyFont="1" applyFill="1" applyBorder="1" applyAlignment="1">
      <alignment horizontal="right" vertical="center" wrapText="1"/>
    </xf>
    <xf numFmtId="1" fontId="23" fillId="0" borderId="2" xfId="0" applyNumberFormat="1" applyFont="1" applyFill="1" applyBorder="1" applyAlignment="1">
      <alignment horizontal="right" vertical="center" wrapText="1"/>
    </xf>
    <xf numFmtId="1" fontId="23" fillId="0" borderId="15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vertical="top" wrapText="1"/>
    </xf>
    <xf numFmtId="3" fontId="8" fillId="0" borderId="5" xfId="0" applyNumberFormat="1" applyFont="1" applyFill="1" applyBorder="1" applyAlignment="1">
      <alignment vertical="top"/>
    </xf>
    <xf numFmtId="166" fontId="8" fillId="0" borderId="24" xfId="0" applyNumberFormat="1" applyFont="1" applyFill="1" applyBorder="1" applyAlignment="1">
      <alignment vertical="top"/>
    </xf>
    <xf numFmtId="3" fontId="3" fillId="0" borderId="0" xfId="0" applyNumberFormat="1" applyFont="1" applyFill="1" applyAlignment="1">
      <alignment vertical="top"/>
    </xf>
    <xf numFmtId="1" fontId="4" fillId="0" borderId="0" xfId="0" applyNumberFormat="1" applyFont="1" applyFill="1" applyAlignment="1">
      <alignment horizontal="left" vertical="top"/>
    </xf>
    <xf numFmtId="3" fontId="28" fillId="0" borderId="0" xfId="0" applyNumberFormat="1" applyFont="1" applyFill="1" applyAlignment="1">
      <alignment vertical="top"/>
    </xf>
    <xf numFmtId="166" fontId="3" fillId="0" borderId="0" xfId="0" applyNumberFormat="1" applyFont="1" applyFill="1" applyAlignment="1">
      <alignment vertical="top"/>
    </xf>
    <xf numFmtId="0" fontId="11" fillId="0" borderId="2" xfId="0" applyFont="1" applyBorder="1" applyAlignment="1">
      <alignment wrapText="1"/>
    </xf>
    <xf numFmtId="0" fontId="3" fillId="0" borderId="33" xfId="0" applyFont="1" applyFill="1" applyBorder="1"/>
    <xf numFmtId="0" fontId="35" fillId="0" borderId="4" xfId="0" applyFont="1" applyFill="1" applyBorder="1" applyAlignment="1">
      <alignment horizontal="center" vertical="top"/>
    </xf>
    <xf numFmtId="0" fontId="35" fillId="0" borderId="5" xfId="0" applyFont="1" applyFill="1" applyBorder="1" applyAlignment="1">
      <alignment horizontal="center" vertical="top"/>
    </xf>
    <xf numFmtId="1" fontId="35" fillId="0" borderId="5" xfId="0" applyNumberFormat="1" applyFont="1" applyFill="1" applyBorder="1" applyAlignment="1">
      <alignment horizontal="center" vertical="top" wrapText="1"/>
    </xf>
    <xf numFmtId="1" fontId="35" fillId="0" borderId="37" xfId="0" applyNumberFormat="1" applyFont="1" applyFill="1" applyBorder="1" applyAlignment="1">
      <alignment horizontal="center" vertical="top" wrapText="1"/>
    </xf>
    <xf numFmtId="1" fontId="35" fillId="0" borderId="24" xfId="0" applyNumberFormat="1" applyFont="1" applyFill="1" applyBorder="1" applyAlignment="1">
      <alignment horizontal="center" vertical="top" wrapText="1"/>
    </xf>
    <xf numFmtId="0" fontId="28" fillId="0" borderId="0" xfId="0" applyFont="1" applyFill="1" applyAlignment="1">
      <alignment vertical="top"/>
    </xf>
    <xf numFmtId="0" fontId="3" fillId="0" borderId="6" xfId="0" applyFont="1" applyFill="1" applyBorder="1" applyAlignment="1">
      <alignment vertical="top"/>
    </xf>
    <xf numFmtId="1" fontId="4" fillId="0" borderId="2" xfId="0" applyNumberFormat="1" applyFont="1" applyFill="1" applyBorder="1" applyAlignment="1">
      <alignment horizontal="left" vertical="top"/>
    </xf>
    <xf numFmtId="0" fontId="23" fillId="0" borderId="2" xfId="0" applyFont="1" applyFill="1" applyBorder="1" applyAlignment="1">
      <alignment vertical="top"/>
    </xf>
    <xf numFmtId="0" fontId="37" fillId="0" borderId="0" xfId="0" applyFont="1" applyFill="1" applyAlignment="1">
      <alignment vertical="top"/>
    </xf>
    <xf numFmtId="0" fontId="3" fillId="0" borderId="27" xfId="0" applyFont="1" applyFill="1" applyBorder="1"/>
    <xf numFmtId="49" fontId="9" fillId="0" borderId="27" xfId="0" applyNumberFormat="1" applyFont="1" applyFill="1" applyBorder="1" applyAlignment="1">
      <alignment horizontal="left"/>
    </xf>
    <xf numFmtId="3" fontId="14" fillId="0" borderId="27" xfId="0" applyNumberFormat="1" applyFont="1" applyFill="1" applyBorder="1"/>
    <xf numFmtId="166" fontId="14" fillId="0" borderId="27" xfId="0" applyNumberFormat="1" applyFont="1" applyFill="1" applyBorder="1"/>
    <xf numFmtId="166" fontId="14" fillId="0" borderId="62" xfId="0" applyNumberFormat="1" applyFont="1" applyFill="1" applyBorder="1"/>
    <xf numFmtId="0" fontId="3" fillId="0" borderId="63" xfId="0" applyFont="1" applyFill="1" applyBorder="1"/>
    <xf numFmtId="166" fontId="13" fillId="0" borderId="62" xfId="0" applyNumberFormat="1" applyFont="1" applyFill="1" applyBorder="1"/>
    <xf numFmtId="0" fontId="3" fillId="3" borderId="2" xfId="0" applyFont="1" applyFill="1" applyBorder="1" applyAlignment="1">
      <alignment wrapText="1"/>
    </xf>
    <xf numFmtId="0" fontId="4" fillId="0" borderId="6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vertical="top"/>
    </xf>
    <xf numFmtId="166" fontId="8" fillId="0" borderId="0" xfId="0" applyNumberFormat="1" applyFont="1" applyFill="1" applyBorder="1" applyAlignment="1">
      <alignment vertical="top"/>
    </xf>
    <xf numFmtId="1" fontId="4" fillId="0" borderId="17" xfId="0" applyNumberFormat="1" applyFont="1" applyFill="1" applyBorder="1" applyAlignment="1">
      <alignment horizontal="left" vertical="top"/>
    </xf>
    <xf numFmtId="0" fontId="3" fillId="0" borderId="17" xfId="0" applyFont="1" applyFill="1" applyBorder="1" applyAlignment="1">
      <alignment vertical="top"/>
    </xf>
    <xf numFmtId="1" fontId="11" fillId="0" borderId="2" xfId="0" applyNumberFormat="1" applyFont="1" applyFill="1" applyBorder="1" applyAlignment="1">
      <alignment horizontal="left" vertical="top"/>
    </xf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Alignment="1">
      <alignment vertical="top" wrapText="1"/>
    </xf>
    <xf numFmtId="3" fontId="62" fillId="0" borderId="0" xfId="0" applyNumberFormat="1" applyFont="1" applyFill="1"/>
    <xf numFmtId="166" fontId="23" fillId="0" borderId="0" xfId="0" applyNumberFormat="1" applyFont="1" applyFill="1"/>
    <xf numFmtId="3" fontId="23" fillId="0" borderId="0" xfId="0" applyNumberFormat="1" applyFont="1" applyFill="1" applyAlignment="1">
      <alignment horizontal="right"/>
    </xf>
    <xf numFmtId="3" fontId="23" fillId="0" borderId="0" xfId="0" applyNumberFormat="1" applyFont="1" applyFill="1" applyAlignment="1">
      <alignment vertical="top"/>
    </xf>
    <xf numFmtId="166" fontId="23" fillId="0" borderId="0" xfId="0" applyNumberFormat="1" applyFont="1" applyFill="1" applyAlignment="1">
      <alignment vertical="top"/>
    </xf>
    <xf numFmtId="166" fontId="28" fillId="0" borderId="0" xfId="0" applyNumberFormat="1" applyFont="1" applyFill="1" applyAlignment="1">
      <alignment vertical="top"/>
    </xf>
    <xf numFmtId="0" fontId="6" fillId="0" borderId="4" xfId="0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center" vertical="top"/>
    </xf>
    <xf numFmtId="1" fontId="6" fillId="0" borderId="5" xfId="0" applyNumberFormat="1" applyFont="1" applyFill="1" applyBorder="1" applyAlignment="1">
      <alignment horizontal="center" vertical="top"/>
    </xf>
    <xf numFmtId="3" fontId="6" fillId="0" borderId="5" xfId="0" applyNumberFormat="1" applyFont="1" applyFill="1" applyBorder="1" applyAlignment="1">
      <alignment horizontal="center" vertical="top"/>
    </xf>
    <xf numFmtId="166" fontId="6" fillId="0" borderId="24" xfId="0" applyNumberFormat="1" applyFont="1" applyFill="1" applyBorder="1" applyAlignment="1">
      <alignment horizontal="center" vertical="top"/>
    </xf>
    <xf numFmtId="0" fontId="6" fillId="0" borderId="0" xfId="0" applyFont="1" applyFill="1" applyAlignment="1">
      <alignment vertical="top"/>
    </xf>
    <xf numFmtId="0" fontId="3" fillId="0" borderId="2" xfId="0" applyFont="1" applyFill="1" applyBorder="1" applyAlignment="1">
      <alignment vertical="top"/>
    </xf>
    <xf numFmtId="3" fontId="27" fillId="0" borderId="2" xfId="0" applyNumberFormat="1" applyFont="1" applyFill="1" applyBorder="1" applyAlignment="1">
      <alignment horizontal="left" vertical="top"/>
    </xf>
    <xf numFmtId="0" fontId="8" fillId="0" borderId="2" xfId="0" applyFont="1" applyFill="1" applyBorder="1" applyAlignment="1">
      <alignment vertical="top"/>
    </xf>
    <xf numFmtId="3" fontId="8" fillId="0" borderId="2" xfId="0" applyNumberFormat="1" applyFont="1" applyFill="1" applyBorder="1" applyAlignment="1">
      <alignment vertical="top"/>
    </xf>
    <xf numFmtId="166" fontId="8" fillId="0" borderId="21" xfId="0" applyNumberFormat="1" applyFont="1" applyFill="1" applyBorder="1" applyAlignment="1">
      <alignment vertical="top"/>
    </xf>
    <xf numFmtId="3" fontId="9" fillId="0" borderId="2" xfId="0" applyNumberFormat="1" applyFont="1" applyFill="1" applyBorder="1" applyAlignment="1">
      <alignment horizontal="left" vertical="top"/>
    </xf>
    <xf numFmtId="0" fontId="8" fillId="0" borderId="17" xfId="0" applyFont="1" applyFill="1" applyBorder="1" applyAlignment="1">
      <alignment vertical="top"/>
    </xf>
    <xf numFmtId="3" fontId="8" fillId="0" borderId="17" xfId="0" applyNumberFormat="1" applyFont="1" applyFill="1" applyBorder="1" applyAlignment="1">
      <alignment vertical="top"/>
    </xf>
    <xf numFmtId="166" fontId="8" fillId="0" borderId="25" xfId="0" applyNumberFormat="1" applyFont="1" applyFill="1" applyBorder="1" applyAlignment="1">
      <alignment vertical="top"/>
    </xf>
    <xf numFmtId="3" fontId="8" fillId="0" borderId="41" xfId="0" applyNumberFormat="1" applyFont="1" applyFill="1" applyBorder="1" applyAlignment="1">
      <alignment vertical="top"/>
    </xf>
    <xf numFmtId="3" fontId="11" fillId="0" borderId="17" xfId="0" applyNumberFormat="1" applyFont="1" applyFill="1" applyBorder="1" applyAlignment="1">
      <alignment vertical="top"/>
    </xf>
    <xf numFmtId="0" fontId="3" fillId="0" borderId="47" xfId="0" applyFont="1" applyFill="1" applyBorder="1" applyAlignment="1">
      <alignment vertical="top"/>
    </xf>
    <xf numFmtId="1" fontId="4" fillId="0" borderId="41" xfId="0" applyNumberFormat="1" applyFont="1" applyFill="1" applyBorder="1" applyAlignment="1">
      <alignment horizontal="left" vertical="top"/>
    </xf>
    <xf numFmtId="3" fontId="9" fillId="0" borderId="41" xfId="0" applyNumberFormat="1" applyFont="1" applyFill="1" applyBorder="1" applyAlignment="1">
      <alignment horizontal="left" vertical="top"/>
    </xf>
    <xf numFmtId="166" fontId="8" fillId="0" borderId="43" xfId="0" applyNumberFormat="1" applyFont="1" applyFill="1" applyBorder="1" applyAlignment="1">
      <alignment vertical="top"/>
    </xf>
    <xf numFmtId="0" fontId="3" fillId="0" borderId="12" xfId="0" applyFont="1" applyFill="1" applyBorder="1" applyAlignment="1">
      <alignment vertical="top"/>
    </xf>
    <xf numFmtId="1" fontId="4" fillId="0" borderId="15" xfId="0" applyNumberFormat="1" applyFont="1" applyFill="1" applyBorder="1" applyAlignment="1">
      <alignment horizontal="left" vertical="top"/>
    </xf>
    <xf numFmtId="166" fontId="11" fillId="0" borderId="21" xfId="0" applyNumberFormat="1" applyFont="1" applyFill="1" applyBorder="1" applyAlignment="1">
      <alignment vertical="top"/>
    </xf>
    <xf numFmtId="3" fontId="14" fillId="0" borderId="15" xfId="0" applyNumberFormat="1" applyFont="1" applyFill="1" applyBorder="1" applyAlignment="1">
      <alignment vertical="top"/>
    </xf>
    <xf numFmtId="3" fontId="9" fillId="0" borderId="17" xfId="0" applyNumberFormat="1" applyFont="1" applyFill="1" applyBorder="1" applyAlignment="1">
      <alignment horizontal="left" vertical="top"/>
    </xf>
    <xf numFmtId="168" fontId="9" fillId="0" borderId="2" xfId="0" applyNumberFormat="1" applyFont="1" applyFill="1" applyBorder="1" applyAlignment="1">
      <alignment horizontal="left" vertical="top"/>
    </xf>
    <xf numFmtId="3" fontId="13" fillId="0" borderId="2" xfId="0" applyNumberFormat="1" applyFont="1" applyFill="1" applyBorder="1" applyAlignment="1">
      <alignment vertical="top"/>
    </xf>
    <xf numFmtId="166" fontId="13" fillId="0" borderId="21" xfId="0" applyNumberFormat="1" applyFont="1" applyFill="1" applyBorder="1" applyAlignment="1">
      <alignment vertical="top"/>
    </xf>
    <xf numFmtId="49" fontId="27" fillId="0" borderId="14" xfId="4" applyNumberFormat="1" applyFont="1" applyBorder="1" applyAlignment="1">
      <alignment horizontal="left" vertical="top"/>
    </xf>
    <xf numFmtId="3" fontId="14" fillId="0" borderId="14" xfId="4" applyFont="1" applyBorder="1" applyAlignment="1">
      <alignment vertical="top"/>
    </xf>
    <xf numFmtId="0" fontId="14" fillId="0" borderId="17" xfId="0" applyFont="1" applyFill="1" applyBorder="1" applyAlignment="1">
      <alignment vertical="top"/>
    </xf>
    <xf numFmtId="166" fontId="11" fillId="0" borderId="25" xfId="0" applyNumberFormat="1" applyFont="1" applyFill="1" applyBorder="1" applyAlignment="1">
      <alignment vertical="top"/>
    </xf>
    <xf numFmtId="3" fontId="12" fillId="0" borderId="15" xfId="0" applyNumberFormat="1" applyFont="1" applyBorder="1" applyAlignment="1">
      <alignment horizontal="left" vertical="center" wrapText="1"/>
    </xf>
    <xf numFmtId="3" fontId="8" fillId="0" borderId="0" xfId="0" applyNumberFormat="1" applyFont="1" applyFill="1" applyBorder="1" applyAlignment="1">
      <alignment horizontal="right" vertical="center"/>
    </xf>
    <xf numFmtId="3" fontId="13" fillId="0" borderId="64" xfId="0" applyNumberFormat="1" applyFont="1" applyBorder="1" applyAlignment="1">
      <alignment horizontal="left" vertical="center" wrapText="1"/>
    </xf>
    <xf numFmtId="3" fontId="13" fillId="0" borderId="15" xfId="0" applyNumberFormat="1" applyFont="1" applyBorder="1" applyAlignment="1">
      <alignment horizontal="left" vertical="center" wrapText="1"/>
    </xf>
    <xf numFmtId="3" fontId="13" fillId="0" borderId="53" xfId="0" applyNumberFormat="1" applyFont="1" applyBorder="1" applyAlignment="1">
      <alignment horizontal="left" vertical="center" wrapText="1"/>
    </xf>
    <xf numFmtId="0" fontId="12" fillId="0" borderId="6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3" fontId="8" fillId="0" borderId="34" xfId="0" applyNumberFormat="1" applyFont="1" applyFill="1" applyBorder="1" applyAlignment="1">
      <alignment horizontal="right" vertical="center"/>
    </xf>
    <xf numFmtId="3" fontId="13" fillId="0" borderId="9" xfId="0" applyNumberFormat="1" applyFont="1" applyBorder="1" applyAlignment="1">
      <alignment horizontal="right" vertical="center" wrapText="1"/>
    </xf>
    <xf numFmtId="3" fontId="13" fillId="0" borderId="2" xfId="0" applyNumberFormat="1" applyFont="1" applyBorder="1" applyAlignment="1">
      <alignment horizontal="right" vertical="center" wrapText="1"/>
    </xf>
    <xf numFmtId="3" fontId="11" fillId="0" borderId="2" xfId="0" applyNumberFormat="1" applyFont="1" applyBorder="1" applyAlignment="1">
      <alignment horizontal="right" vertical="center" wrapText="1"/>
    </xf>
    <xf numFmtId="3" fontId="13" fillId="0" borderId="14" xfId="0" applyNumberFormat="1" applyFont="1" applyBorder="1" applyAlignment="1">
      <alignment horizontal="right" vertical="center" wrapText="1"/>
    </xf>
    <xf numFmtId="0" fontId="12" fillId="0" borderId="0" xfId="0" applyFont="1" applyBorder="1" applyAlignment="1">
      <alignment wrapText="1"/>
    </xf>
    <xf numFmtId="3" fontId="13" fillId="0" borderId="14" xfId="0" applyNumberFormat="1" applyFont="1" applyFill="1" applyBorder="1" applyAlignment="1">
      <alignment horizontal="right" vertical="center"/>
    </xf>
    <xf numFmtId="167" fontId="8" fillId="0" borderId="25" xfId="0" applyNumberFormat="1" applyFont="1" applyBorder="1" applyAlignment="1">
      <alignment horizontal="right" vertical="center"/>
    </xf>
    <xf numFmtId="167" fontId="8" fillId="0" borderId="42" xfId="0" applyNumberFormat="1" applyFont="1" applyBorder="1" applyAlignment="1">
      <alignment horizontal="right" vertical="center"/>
    </xf>
    <xf numFmtId="0" fontId="3" fillId="0" borderId="0" xfId="9" applyFont="1" applyFill="1"/>
    <xf numFmtId="0" fontId="12" fillId="0" borderId="6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1" fontId="3" fillId="0" borderId="0" xfId="9" applyNumberFormat="1" applyFont="1" applyFill="1" applyAlignment="1">
      <alignment horizontal="right"/>
    </xf>
    <xf numFmtId="3" fontId="3" fillId="0" borderId="0" xfId="9" applyNumberFormat="1" applyFont="1" applyFill="1"/>
    <xf numFmtId="0" fontId="3" fillId="0" borderId="0" xfId="9" applyFont="1" applyFill="1" applyAlignment="1">
      <alignment horizontal="center"/>
    </xf>
    <xf numFmtId="1" fontId="4" fillId="0" borderId="0" xfId="9" applyNumberFormat="1" applyFont="1" applyFill="1" applyAlignment="1">
      <alignment horizontal="left"/>
    </xf>
    <xf numFmtId="0" fontId="33" fillId="0" borderId="0" xfId="9" applyFont="1" applyFill="1"/>
    <xf numFmtId="167" fontId="31" fillId="0" borderId="10" xfId="9" applyNumberFormat="1" applyFont="1" applyFill="1" applyBorder="1" applyAlignment="1">
      <alignment horizontal="right" shrinkToFit="1"/>
    </xf>
    <xf numFmtId="3" fontId="31" fillId="0" borderId="10" xfId="9" applyNumberFormat="1" applyFont="1" applyFill="1" applyBorder="1"/>
    <xf numFmtId="0" fontId="3" fillId="0" borderId="10" xfId="9" applyFont="1" applyFill="1" applyBorder="1"/>
    <xf numFmtId="1" fontId="32" fillId="0" borderId="10" xfId="9" applyNumberFormat="1" applyFont="1" applyFill="1" applyBorder="1" applyAlignment="1">
      <alignment horizontal="center"/>
    </xf>
    <xf numFmtId="0" fontId="31" fillId="0" borderId="10" xfId="9" applyFont="1" applyFill="1" applyBorder="1" applyAlignment="1">
      <alignment horizontal="left"/>
    </xf>
    <xf numFmtId="167" fontId="3" fillId="0" borderId="0" xfId="9" applyNumberFormat="1" applyFont="1" applyFill="1" applyAlignment="1">
      <alignment horizontal="right"/>
    </xf>
    <xf numFmtId="167" fontId="5" fillId="0" borderId="0" xfId="9" applyNumberFormat="1" applyFont="1" applyFill="1" applyBorder="1" applyAlignment="1">
      <alignment horizontal="right"/>
    </xf>
    <xf numFmtId="3" fontId="53" fillId="0" borderId="0" xfId="9" applyNumberFormat="1" applyFont="1" applyFill="1" applyAlignment="1">
      <alignment horizontal="right"/>
    </xf>
    <xf numFmtId="168" fontId="53" fillId="0" borderId="0" xfId="9" applyNumberFormat="1" applyFont="1" applyFill="1" applyAlignment="1">
      <alignment horizontal="center"/>
    </xf>
    <xf numFmtId="1" fontId="53" fillId="0" borderId="0" xfId="9" applyNumberFormat="1" applyFont="1" applyFill="1" applyAlignment="1">
      <alignment horizontal="left"/>
    </xf>
    <xf numFmtId="0" fontId="67" fillId="0" borderId="0" xfId="9" applyFont="1" applyFill="1"/>
    <xf numFmtId="3" fontId="53" fillId="0" borderId="0" xfId="9" applyNumberFormat="1" applyFont="1" applyFill="1"/>
    <xf numFmtId="168" fontId="53" fillId="0" borderId="0" xfId="9" applyNumberFormat="1" applyFont="1" applyFill="1" applyAlignment="1">
      <alignment horizontal="right"/>
    </xf>
    <xf numFmtId="1" fontId="53" fillId="0" borderId="0" xfId="9" applyNumberFormat="1" applyFont="1" applyFill="1" applyAlignment="1">
      <alignment horizontal="center"/>
    </xf>
    <xf numFmtId="167" fontId="52" fillId="0" borderId="0" xfId="9" applyNumberFormat="1" applyFont="1" applyFill="1" applyBorder="1" applyAlignment="1">
      <alignment horizontal="right"/>
    </xf>
    <xf numFmtId="168" fontId="51" fillId="0" borderId="0" xfId="9" applyNumberFormat="1" applyFont="1" applyFill="1" applyBorder="1" applyAlignment="1">
      <alignment horizontal="right"/>
    </xf>
    <xf numFmtId="168" fontId="41" fillId="0" borderId="0" xfId="9" applyNumberFormat="1" applyFont="1" applyFill="1" applyBorder="1" applyAlignment="1">
      <alignment horizontal="center"/>
    </xf>
    <xf numFmtId="1" fontId="41" fillId="0" borderId="0" xfId="9" applyNumberFormat="1" applyFont="1" applyFill="1" applyBorder="1" applyAlignment="1">
      <alignment horizontal="center"/>
    </xf>
    <xf numFmtId="1" fontId="41" fillId="0" borderId="0" xfId="9" applyNumberFormat="1" applyFont="1" applyFill="1" applyBorder="1" applyAlignment="1">
      <alignment horizontal="left"/>
    </xf>
    <xf numFmtId="0" fontId="5" fillId="0" borderId="0" xfId="9" applyFont="1" applyFill="1"/>
    <xf numFmtId="167" fontId="7" fillId="0" borderId="22" xfId="9" applyNumberFormat="1" applyFont="1" applyFill="1" applyBorder="1" applyAlignment="1">
      <alignment horizontal="right"/>
    </xf>
    <xf numFmtId="3" fontId="7" fillId="0" borderId="5" xfId="9" applyNumberFormat="1" applyFont="1" applyFill="1" applyBorder="1"/>
    <xf numFmtId="0" fontId="3" fillId="0" borderId="48" xfId="9" applyFont="1" applyFill="1" applyBorder="1"/>
    <xf numFmtId="3" fontId="20" fillId="0" borderId="8" xfId="9" applyNumberFormat="1" applyFont="1" applyFill="1" applyBorder="1" applyAlignment="1">
      <alignment horizontal="center"/>
    </xf>
    <xf numFmtId="0" fontId="5" fillId="0" borderId="8" xfId="9" applyFont="1" applyFill="1" applyBorder="1"/>
    <xf numFmtId="0" fontId="25" fillId="0" borderId="7" xfId="9" applyFont="1" applyFill="1" applyBorder="1" applyAlignment="1">
      <alignment horizontal="left"/>
    </xf>
    <xf numFmtId="0" fontId="12" fillId="0" borderId="0" xfId="9" applyFont="1"/>
    <xf numFmtId="167" fontId="11" fillId="0" borderId="25" xfId="9" applyNumberFormat="1" applyFont="1" applyBorder="1" applyAlignment="1">
      <alignment horizontal="right"/>
    </xf>
    <xf numFmtId="3" fontId="11" fillId="0" borderId="2" xfId="9" applyNumberFormat="1" applyFont="1" applyFill="1" applyBorder="1" applyAlignment="1">
      <alignment horizontal="right"/>
    </xf>
    <xf numFmtId="3" fontId="11" fillId="0" borderId="0" xfId="9" applyNumberFormat="1" applyFont="1" applyFill="1" applyBorder="1" applyAlignment="1">
      <alignment horizontal="right"/>
    </xf>
    <xf numFmtId="3" fontId="11" fillId="0" borderId="2" xfId="9" applyNumberFormat="1" applyFont="1" applyBorder="1" applyAlignment="1">
      <alignment horizontal="right"/>
    </xf>
    <xf numFmtId="49" fontId="9" fillId="0" borderId="2" xfId="9" applyNumberFormat="1" applyFont="1" applyBorder="1" applyAlignment="1">
      <alignment horizontal="left" vertical="top"/>
    </xf>
    <xf numFmtId="1" fontId="4" fillId="0" borderId="2" xfId="9" applyNumberFormat="1" applyFont="1" applyBorder="1" applyAlignment="1">
      <alignment horizontal="left"/>
    </xf>
    <xf numFmtId="1" fontId="4" fillId="0" borderId="12" xfId="9" applyNumberFormat="1" applyFont="1" applyBorder="1" applyAlignment="1">
      <alignment horizontal="left"/>
    </xf>
    <xf numFmtId="1" fontId="12" fillId="0" borderId="0" xfId="9" applyNumberFormat="1" applyFont="1" applyBorder="1" applyAlignment="1">
      <alignment horizontal="left"/>
    </xf>
    <xf numFmtId="49" fontId="9" fillId="0" borderId="2" xfId="9" applyNumberFormat="1" applyFont="1" applyBorder="1" applyAlignment="1">
      <alignment horizontal="left"/>
    </xf>
    <xf numFmtId="167" fontId="13" fillId="0" borderId="25" xfId="9" applyNumberFormat="1" applyFont="1" applyBorder="1" applyAlignment="1">
      <alignment horizontal="right"/>
    </xf>
    <xf numFmtId="3" fontId="13" fillId="0" borderId="2" xfId="9" applyNumberFormat="1" applyFont="1" applyFill="1" applyBorder="1" applyAlignment="1">
      <alignment horizontal="right"/>
    </xf>
    <xf numFmtId="3" fontId="13" fillId="0" borderId="0" xfId="9" applyNumberFormat="1" applyFont="1" applyFill="1" applyBorder="1" applyAlignment="1">
      <alignment horizontal="right"/>
    </xf>
    <xf numFmtId="0" fontId="13" fillId="0" borderId="0" xfId="9" applyFont="1" applyBorder="1"/>
    <xf numFmtId="49" fontId="27" fillId="0" borderId="2" xfId="9" applyNumberFormat="1" applyFont="1" applyBorder="1" applyAlignment="1">
      <alignment horizontal="left"/>
    </xf>
    <xf numFmtId="0" fontId="12" fillId="0" borderId="0" xfId="9" applyFont="1" applyBorder="1"/>
    <xf numFmtId="0" fontId="3" fillId="0" borderId="0" xfId="9" applyBorder="1" applyAlignment="1"/>
    <xf numFmtId="3" fontId="13" fillId="0" borderId="2" xfId="9" applyNumberFormat="1" applyFont="1" applyBorder="1" applyAlignment="1">
      <alignment horizontal="right"/>
    </xf>
    <xf numFmtId="0" fontId="13" fillId="0" borderId="0" xfId="9" applyFont="1" applyBorder="1" applyAlignment="1"/>
    <xf numFmtId="167" fontId="8" fillId="0" borderId="25" xfId="9" applyNumberFormat="1" applyFont="1" applyBorder="1" applyAlignment="1">
      <alignment horizontal="right"/>
    </xf>
    <xf numFmtId="0" fontId="8" fillId="0" borderId="0" xfId="9" applyFont="1" applyBorder="1" applyAlignment="1"/>
    <xf numFmtId="3" fontId="13" fillId="0" borderId="9" xfId="9" applyNumberFormat="1" applyFont="1" applyFill="1" applyBorder="1" applyAlignment="1">
      <alignment horizontal="right"/>
    </xf>
    <xf numFmtId="3" fontId="13" fillId="0" borderId="27" xfId="9" applyNumberFormat="1" applyFont="1" applyFill="1" applyBorder="1" applyAlignment="1">
      <alignment horizontal="right"/>
    </xf>
    <xf numFmtId="0" fontId="28" fillId="0" borderId="0" xfId="9" applyFont="1" applyFill="1" applyAlignment="1">
      <alignment vertical="center"/>
    </xf>
    <xf numFmtId="0" fontId="6" fillId="0" borderId="0" xfId="9" applyFont="1" applyFill="1" applyBorder="1"/>
    <xf numFmtId="1" fontId="35" fillId="0" borderId="24" xfId="9" applyNumberFormat="1" applyFont="1" applyFill="1" applyBorder="1" applyAlignment="1">
      <alignment horizontal="center" vertical="center" wrapText="1"/>
    </xf>
    <xf numFmtId="1" fontId="35" fillId="0" borderId="5" xfId="9" applyNumberFormat="1" applyFont="1" applyFill="1" applyBorder="1" applyAlignment="1">
      <alignment horizontal="center" vertical="center" wrapText="1"/>
    </xf>
    <xf numFmtId="0" fontId="35" fillId="0" borderId="5" xfId="9" applyFont="1" applyFill="1" applyBorder="1" applyAlignment="1">
      <alignment horizontal="center" vertical="center"/>
    </xf>
    <xf numFmtId="0" fontId="35" fillId="0" borderId="4" xfId="9" applyFont="1" applyFill="1" applyBorder="1" applyAlignment="1">
      <alignment horizontal="center" vertical="center"/>
    </xf>
    <xf numFmtId="0" fontId="6" fillId="0" borderId="0" xfId="9" applyFont="1" applyFill="1"/>
    <xf numFmtId="1" fontId="6" fillId="0" borderId="24" xfId="9" applyNumberFormat="1" applyFont="1" applyFill="1" applyBorder="1" applyAlignment="1">
      <alignment horizontal="center" vertical="center"/>
    </xf>
    <xf numFmtId="0" fontId="6" fillId="0" borderId="5" xfId="9" applyFont="1" applyFill="1" applyBorder="1" applyAlignment="1">
      <alignment horizontal="center" vertical="center"/>
    </xf>
    <xf numFmtId="165" fontId="6" fillId="0" borderId="5" xfId="9" applyNumberFormat="1" applyFont="1" applyFill="1" applyBorder="1" applyAlignment="1">
      <alignment horizontal="center" vertical="center"/>
    </xf>
    <xf numFmtId="1" fontId="6" fillId="0" borderId="5" xfId="9" applyNumberFormat="1" applyFont="1" applyFill="1" applyBorder="1" applyAlignment="1">
      <alignment horizontal="center" vertical="center"/>
    </xf>
    <xf numFmtId="0" fontId="6" fillId="0" borderId="4" xfId="9" applyFont="1" applyFill="1" applyBorder="1" applyAlignment="1">
      <alignment horizontal="center" vertical="center"/>
    </xf>
    <xf numFmtId="3" fontId="3" fillId="0" borderId="0" xfId="9" applyNumberFormat="1" applyFont="1" applyFill="1" applyAlignment="1">
      <alignment horizontal="right"/>
    </xf>
    <xf numFmtId="165" fontId="6" fillId="0" borderId="0" xfId="9" applyNumberFormat="1" applyFont="1" applyFill="1" applyAlignment="1">
      <alignment horizontal="center"/>
    </xf>
    <xf numFmtId="1" fontId="4" fillId="0" borderId="0" xfId="9" applyNumberFormat="1" applyFont="1" applyFill="1" applyAlignment="1">
      <alignment horizontal="center"/>
    </xf>
    <xf numFmtId="1" fontId="7" fillId="0" borderId="0" xfId="9" applyNumberFormat="1" applyFont="1" applyFill="1" applyBorder="1" applyAlignment="1">
      <alignment horizontal="right"/>
    </xf>
    <xf numFmtId="3" fontId="7" fillId="0" borderId="0" xfId="9" applyNumberFormat="1" applyFont="1" applyFill="1" applyBorder="1"/>
    <xf numFmtId="3" fontId="7" fillId="0" borderId="0" xfId="9" applyNumberFormat="1" applyFont="1" applyFill="1" applyBorder="1" applyAlignment="1">
      <alignment horizontal="right"/>
    </xf>
    <xf numFmtId="3" fontId="3" fillId="0" borderId="0" xfId="9" applyNumberFormat="1" applyFont="1" applyFill="1" applyBorder="1"/>
    <xf numFmtId="0" fontId="3" fillId="0" borderId="0" xfId="9" applyFont="1" applyFill="1" applyBorder="1"/>
    <xf numFmtId="165" fontId="46" fillId="0" borderId="0" xfId="9" applyNumberFormat="1" applyFont="1" applyFill="1" applyBorder="1" applyAlignment="1">
      <alignment horizontal="center"/>
    </xf>
    <xf numFmtId="0" fontId="18" fillId="0" borderId="0" xfId="9" applyFont="1" applyFill="1" applyBorder="1" applyAlignment="1">
      <alignment horizontal="center"/>
    </xf>
    <xf numFmtId="1" fontId="30" fillId="0" borderId="0" xfId="9" applyNumberFormat="1" applyFont="1" applyFill="1" applyBorder="1" applyAlignment="1">
      <alignment horizontal="left"/>
    </xf>
    <xf numFmtId="1" fontId="8" fillId="0" borderId="0" xfId="9" applyNumberFormat="1" applyFont="1" applyFill="1" applyAlignment="1">
      <alignment horizontal="right"/>
    </xf>
    <xf numFmtId="3" fontId="8" fillId="0" borderId="0" xfId="9" applyNumberFormat="1" applyFont="1" applyFill="1"/>
    <xf numFmtId="3" fontId="12" fillId="0" borderId="0" xfId="9" applyNumberFormat="1" applyFont="1" applyFill="1"/>
    <xf numFmtId="0" fontId="8" fillId="0" borderId="0" xfId="9" applyFont="1" applyFill="1"/>
    <xf numFmtId="165" fontId="46" fillId="0" borderId="8" xfId="9" applyNumberFormat="1" applyFont="1" applyFill="1" applyBorder="1" applyAlignment="1">
      <alignment horizontal="center"/>
    </xf>
    <xf numFmtId="3" fontId="4" fillId="0" borderId="0" xfId="9" applyNumberFormat="1" applyFont="1" applyAlignment="1">
      <alignment horizontal="left"/>
    </xf>
    <xf numFmtId="166" fontId="13" fillId="0" borderId="35" xfId="9" applyNumberFormat="1" applyFont="1" applyBorder="1" applyAlignment="1">
      <alignment horizontal="right"/>
    </xf>
    <xf numFmtId="3" fontId="8" fillId="0" borderId="14" xfId="9" applyNumberFormat="1" applyFont="1" applyFill="1" applyBorder="1" applyAlignment="1">
      <alignment horizontal="right"/>
    </xf>
    <xf numFmtId="3" fontId="8" fillId="0" borderId="34" xfId="9" applyNumberFormat="1" applyFont="1" applyFill="1" applyBorder="1" applyAlignment="1">
      <alignment horizontal="right"/>
    </xf>
    <xf numFmtId="3" fontId="8" fillId="0" borderId="14" xfId="9" applyNumberFormat="1" applyFont="1" applyBorder="1" applyAlignment="1">
      <alignment horizontal="right"/>
    </xf>
    <xf numFmtId="0" fontId="8" fillId="0" borderId="34" xfId="9" applyFont="1" applyBorder="1"/>
    <xf numFmtId="168" fontId="9" fillId="0" borderId="14" xfId="9" applyNumberFormat="1" applyFont="1" applyBorder="1" applyAlignment="1">
      <alignment horizontal="left"/>
    </xf>
    <xf numFmtId="1" fontId="4" fillId="0" borderId="14" xfId="9" applyNumberFormat="1" applyFont="1" applyBorder="1" applyAlignment="1">
      <alignment horizontal="left"/>
    </xf>
    <xf numFmtId="1" fontId="4" fillId="0" borderId="33" xfId="9" applyNumberFormat="1" applyFont="1" applyBorder="1" applyAlignment="1">
      <alignment horizontal="left"/>
    </xf>
    <xf numFmtId="166" fontId="13" fillId="0" borderId="25" xfId="9" applyNumberFormat="1" applyFont="1" applyBorder="1" applyAlignment="1">
      <alignment horizontal="right"/>
    </xf>
    <xf numFmtId="3" fontId="8" fillId="0" borderId="0" xfId="9" applyNumberFormat="1" applyFont="1" applyFill="1" applyBorder="1" applyAlignment="1">
      <alignment horizontal="right"/>
    </xf>
    <xf numFmtId="0" fontId="8" fillId="0" borderId="0" xfId="9" applyFont="1" applyBorder="1"/>
    <xf numFmtId="166" fontId="11" fillId="0" borderId="25" xfId="9" applyNumberFormat="1" applyFont="1" applyBorder="1" applyAlignment="1">
      <alignment horizontal="right"/>
    </xf>
    <xf numFmtId="3" fontId="14" fillId="0" borderId="2" xfId="9" applyNumberFormat="1" applyFont="1" applyFill="1" applyBorder="1" applyAlignment="1">
      <alignment horizontal="right"/>
    </xf>
    <xf numFmtId="3" fontId="14" fillId="0" borderId="0" xfId="9" applyNumberFormat="1" applyFont="1" applyFill="1" applyBorder="1" applyAlignment="1">
      <alignment horizontal="right"/>
    </xf>
    <xf numFmtId="49" fontId="27" fillId="0" borderId="2" xfId="9" applyNumberFormat="1" applyFont="1" applyBorder="1" applyAlignment="1">
      <alignment horizontal="left" vertical="center"/>
    </xf>
    <xf numFmtId="166" fontId="8" fillId="0" borderId="25" xfId="9" applyNumberFormat="1" applyFont="1" applyBorder="1" applyAlignment="1">
      <alignment horizontal="right"/>
    </xf>
    <xf numFmtId="3" fontId="8" fillId="0" borderId="2" xfId="9" applyNumberFormat="1" applyFont="1" applyFill="1" applyBorder="1" applyAlignment="1">
      <alignment horizontal="right"/>
    </xf>
    <xf numFmtId="3" fontId="8" fillId="0" borderId="2" xfId="9" applyNumberFormat="1" applyFont="1" applyBorder="1" applyAlignment="1">
      <alignment horizontal="right"/>
    </xf>
    <xf numFmtId="168" fontId="9" fillId="0" borderId="2" xfId="9" applyNumberFormat="1" applyFont="1" applyBorder="1" applyAlignment="1">
      <alignment horizontal="left"/>
    </xf>
    <xf numFmtId="0" fontId="21" fillId="0" borderId="0" xfId="9" applyFont="1" applyBorder="1" applyAlignment="1"/>
    <xf numFmtId="3" fontId="6" fillId="0" borderId="5" xfId="9" applyNumberFormat="1" applyFont="1" applyFill="1" applyBorder="1" applyAlignment="1">
      <alignment horizontal="center" vertical="center"/>
    </xf>
    <xf numFmtId="1" fontId="9" fillId="0" borderId="0" xfId="9" applyNumberFormat="1" applyFont="1" applyFill="1" applyAlignment="1">
      <alignment horizontal="left"/>
    </xf>
    <xf numFmtId="3" fontId="12" fillId="0" borderId="0" xfId="9" applyNumberFormat="1" applyFont="1"/>
    <xf numFmtId="0" fontId="12" fillId="0" borderId="0" xfId="9" applyFont="1" applyBorder="1" applyAlignment="1">
      <alignment wrapText="1"/>
    </xf>
    <xf numFmtId="0" fontId="13" fillId="0" borderId="0" xfId="9" applyFont="1" applyFill="1" applyBorder="1"/>
    <xf numFmtId="0" fontId="12" fillId="0" borderId="17" xfId="9" applyFont="1" applyBorder="1" applyAlignment="1"/>
    <xf numFmtId="49" fontId="27" fillId="0" borderId="2" xfId="9" applyNumberFormat="1" applyFont="1" applyBorder="1" applyAlignment="1">
      <alignment horizontal="left" vertical="top"/>
    </xf>
    <xf numFmtId="1" fontId="4" fillId="0" borderId="0" xfId="9" applyNumberFormat="1" applyFont="1" applyBorder="1" applyAlignment="1">
      <alignment horizontal="left"/>
    </xf>
    <xf numFmtId="1" fontId="4" fillId="0" borderId="6" xfId="9" applyNumberFormat="1" applyFont="1" applyBorder="1" applyAlignment="1">
      <alignment horizontal="left"/>
    </xf>
    <xf numFmtId="168" fontId="9" fillId="0" borderId="2" xfId="9" applyNumberFormat="1" applyFont="1" applyBorder="1" applyAlignment="1"/>
    <xf numFmtId="168" fontId="27" fillId="0" borderId="2" xfId="9" applyNumberFormat="1" applyFont="1" applyFill="1" applyBorder="1"/>
    <xf numFmtId="0" fontId="8" fillId="0" borderId="2" xfId="9" applyFont="1" applyFill="1" applyBorder="1"/>
    <xf numFmtId="1" fontId="4" fillId="0" borderId="34" xfId="9" applyNumberFormat="1" applyFont="1" applyBorder="1" applyAlignment="1">
      <alignment horizontal="left"/>
    </xf>
    <xf numFmtId="1" fontId="4" fillId="0" borderId="50" xfId="9" applyNumberFormat="1" applyFont="1" applyBorder="1" applyAlignment="1">
      <alignment horizontal="left"/>
    </xf>
    <xf numFmtId="3" fontId="11" fillId="0" borderId="0" xfId="9" applyNumberFormat="1" applyFont="1" applyBorder="1" applyAlignment="1">
      <alignment horizontal="right"/>
    </xf>
    <xf numFmtId="0" fontId="3" fillId="0" borderId="0" xfId="9" applyBorder="1" applyAlignment="1">
      <alignment vertical="top"/>
    </xf>
    <xf numFmtId="0" fontId="12" fillId="0" borderId="0" xfId="9" applyFont="1" applyFill="1"/>
    <xf numFmtId="3" fontId="11" fillId="0" borderId="0" xfId="9" applyNumberFormat="1" applyFont="1" applyFill="1" applyBorder="1" applyAlignment="1">
      <alignment horizontal="right" vertical="top"/>
    </xf>
    <xf numFmtId="3" fontId="11" fillId="0" borderId="2" xfId="9" applyNumberFormat="1" applyFont="1" applyFill="1" applyBorder="1" applyAlignment="1">
      <alignment horizontal="right" vertical="top"/>
    </xf>
    <xf numFmtId="3" fontId="13" fillId="0" borderId="2" xfId="9" applyNumberFormat="1" applyFont="1" applyFill="1" applyBorder="1" applyAlignment="1">
      <alignment horizontal="right" vertical="top"/>
    </xf>
    <xf numFmtId="3" fontId="13" fillId="0" borderId="0" xfId="9" applyNumberFormat="1" applyFont="1" applyFill="1" applyBorder="1" applyAlignment="1">
      <alignment horizontal="right" vertical="top"/>
    </xf>
    <xf numFmtId="0" fontId="7" fillId="0" borderId="0" xfId="9" applyFont="1" applyFill="1" applyBorder="1"/>
    <xf numFmtId="1" fontId="7" fillId="0" borderId="6" xfId="9" applyNumberFormat="1" applyFont="1" applyFill="1" applyBorder="1" applyAlignment="1">
      <alignment horizontal="left"/>
    </xf>
    <xf numFmtId="0" fontId="8" fillId="0" borderId="27" xfId="9" applyFont="1" applyBorder="1"/>
    <xf numFmtId="49" fontId="9" fillId="0" borderId="9" xfId="9" applyNumberFormat="1" applyFont="1" applyBorder="1" applyAlignment="1">
      <alignment horizontal="left"/>
    </xf>
    <xf numFmtId="1" fontId="4" fillId="0" borderId="27" xfId="9" applyNumberFormat="1" applyFont="1" applyBorder="1" applyAlignment="1">
      <alignment horizontal="left"/>
    </xf>
    <xf numFmtId="1" fontId="4" fillId="0" borderId="38" xfId="9" applyNumberFormat="1" applyFont="1" applyBorder="1" applyAlignment="1">
      <alignment horizontal="left"/>
    </xf>
    <xf numFmtId="0" fontId="20" fillId="0" borderId="0" xfId="9" applyFont="1" applyFill="1" applyBorder="1"/>
    <xf numFmtId="1" fontId="7" fillId="0" borderId="0" xfId="9" applyNumberFormat="1" applyFont="1" applyFill="1" applyBorder="1" applyAlignment="1">
      <alignment horizontal="left"/>
    </xf>
    <xf numFmtId="0" fontId="23" fillId="0" borderId="0" xfId="9" applyFont="1" applyFill="1" applyAlignment="1">
      <alignment horizontal="left"/>
    </xf>
    <xf numFmtId="3" fontId="18" fillId="0" borderId="0" xfId="9" applyNumberFormat="1" applyFont="1" applyFill="1" applyAlignment="1">
      <alignment horizontal="right"/>
    </xf>
    <xf numFmtId="1" fontId="11" fillId="0" borderId="0" xfId="9" applyNumberFormat="1" applyFont="1" applyFill="1" applyBorder="1" applyAlignment="1">
      <alignment horizontal="left"/>
    </xf>
    <xf numFmtId="3" fontId="7" fillId="0" borderId="1" xfId="9" applyNumberFormat="1" applyFont="1" applyFill="1" applyBorder="1"/>
    <xf numFmtId="3" fontId="3" fillId="0" borderId="1" xfId="9" applyNumberFormat="1" applyFont="1" applyFill="1" applyBorder="1"/>
    <xf numFmtId="0" fontId="20" fillId="0" borderId="1" xfId="9" applyFont="1" applyFill="1" applyBorder="1"/>
    <xf numFmtId="0" fontId="18" fillId="0" borderId="1" xfId="9" applyFont="1" applyFill="1" applyBorder="1" applyAlignment="1">
      <alignment horizontal="center"/>
    </xf>
    <xf numFmtId="1" fontId="7" fillId="0" borderId="1" xfId="9" applyNumberFormat="1" applyFont="1" applyFill="1" applyBorder="1" applyAlignment="1">
      <alignment horizontal="left"/>
    </xf>
    <xf numFmtId="49" fontId="27" fillId="0" borderId="2" xfId="9" applyNumberFormat="1" applyFont="1" applyFill="1" applyBorder="1" applyAlignment="1"/>
    <xf numFmtId="168" fontId="27" fillId="0" borderId="14" xfId="9" applyNumberFormat="1" applyFont="1" applyFill="1" applyBorder="1" applyAlignment="1"/>
    <xf numFmtId="0" fontId="13" fillId="0" borderId="34" xfId="9" applyFont="1" applyFill="1" applyBorder="1"/>
    <xf numFmtId="3" fontId="13" fillId="0" borderId="14" xfId="9" applyNumberFormat="1" applyFont="1" applyFill="1" applyBorder="1" applyAlignment="1">
      <alignment horizontal="right"/>
    </xf>
    <xf numFmtId="166" fontId="8" fillId="0" borderId="35" xfId="9" applyNumberFormat="1" applyFont="1" applyBorder="1" applyAlignment="1">
      <alignment horizontal="right"/>
    </xf>
    <xf numFmtId="0" fontId="3" fillId="0" borderId="14" xfId="9" applyBorder="1" applyAlignment="1"/>
    <xf numFmtId="3" fontId="11" fillId="0" borderId="0" xfId="9" applyNumberFormat="1" applyFont="1" applyFill="1"/>
    <xf numFmtId="173" fontId="28" fillId="0" borderId="2" xfId="1" applyNumberFormat="1" applyFont="1" applyFill="1" applyBorder="1" applyAlignment="1">
      <alignment horizontal="center" vertical="center" wrapText="1"/>
    </xf>
    <xf numFmtId="173" fontId="22" fillId="0" borderId="0" xfId="1" applyNumberFormat="1" applyFill="1" applyBorder="1" applyAlignment="1">
      <alignment horizontal="center" vertical="center" wrapText="1"/>
    </xf>
    <xf numFmtId="3" fontId="8" fillId="0" borderId="15" xfId="0" applyNumberFormat="1" applyFont="1" applyFill="1" applyBorder="1" applyAlignment="1">
      <alignment horizontal="right"/>
    </xf>
    <xf numFmtId="3" fontId="91" fillId="0" borderId="0" xfId="0" applyNumberFormat="1" applyFont="1" applyFill="1"/>
    <xf numFmtId="0" fontId="12" fillId="0" borderId="0" xfId="0" applyFont="1" applyBorder="1" applyAlignment="1">
      <alignment wrapText="1"/>
    </xf>
    <xf numFmtId="0" fontId="13" fillId="0" borderId="0" xfId="0" applyFont="1" applyBorder="1" applyAlignment="1">
      <alignment wrapText="1"/>
    </xf>
    <xf numFmtId="3" fontId="11" fillId="0" borderId="0" xfId="0" applyNumberFormat="1" applyFont="1" applyFill="1" applyAlignment="1">
      <alignment horizontal="right"/>
    </xf>
    <xf numFmtId="0" fontId="93" fillId="0" borderId="0" xfId="0" applyFont="1" applyAlignment="1">
      <alignment vertical="center"/>
    </xf>
    <xf numFmtId="168" fontId="23" fillId="0" borderId="0" xfId="0" applyNumberFormat="1" applyFont="1" applyFill="1"/>
    <xf numFmtId="3" fontId="11" fillId="3" borderId="14" xfId="7" applyFont="1" applyFill="1" applyBorder="1" applyAlignment="1">
      <alignment horizontal="right"/>
    </xf>
    <xf numFmtId="0" fontId="12" fillId="0" borderId="17" xfId="0" applyFont="1" applyBorder="1" applyAlignment="1">
      <alignment wrapText="1"/>
    </xf>
    <xf numFmtId="167" fontId="11" fillId="0" borderId="27" xfId="0" applyNumberFormat="1" applyFont="1" applyBorder="1" applyAlignment="1">
      <alignment horizontal="right"/>
    </xf>
    <xf numFmtId="3" fontId="94" fillId="0" borderId="0" xfId="0" applyNumberFormat="1" applyFont="1" applyFill="1" applyBorder="1" applyAlignment="1">
      <alignment horizontal="right"/>
    </xf>
    <xf numFmtId="3" fontId="95" fillId="0" borderId="0" xfId="0" applyNumberFormat="1" applyFont="1" applyFill="1" applyBorder="1" applyAlignment="1">
      <alignment horizontal="right"/>
    </xf>
    <xf numFmtId="0" fontId="96" fillId="0" borderId="0" xfId="0" applyFont="1" applyFill="1"/>
    <xf numFmtId="3" fontId="12" fillId="0" borderId="0" xfId="0" applyNumberFormat="1" applyFont="1" applyFill="1"/>
    <xf numFmtId="0" fontId="12" fillId="0" borderId="0" xfId="0" applyFont="1" applyBorder="1" applyAlignment="1">
      <alignment wrapText="1"/>
    </xf>
    <xf numFmtId="1" fontId="13" fillId="0" borderId="0" xfId="0" applyNumberFormat="1" applyFont="1" applyFill="1" applyAlignment="1">
      <alignment horizontal="left"/>
    </xf>
    <xf numFmtId="1" fontId="13" fillId="0" borderId="2" xfId="0" applyNumberFormat="1" applyFont="1" applyFill="1" applyBorder="1" applyAlignment="1">
      <alignment horizontal="left"/>
    </xf>
    <xf numFmtId="1" fontId="35" fillId="0" borderId="24" xfId="0" applyNumberFormat="1" applyFont="1" applyFill="1" applyBorder="1" applyAlignment="1">
      <alignment horizontal="center" vertical="center"/>
    </xf>
    <xf numFmtId="3" fontId="23" fillId="0" borderId="0" xfId="0" applyNumberFormat="1" applyFont="1" applyFill="1" applyAlignment="1"/>
    <xf numFmtId="1" fontId="3" fillId="0" borderId="0" xfId="0" applyNumberFormat="1" applyFont="1" applyFill="1" applyAlignment="1">
      <alignment horizontal="left"/>
    </xf>
    <xf numFmtId="1" fontId="3" fillId="0" borderId="0" xfId="0" applyNumberFormat="1" applyFont="1" applyFill="1" applyAlignment="1">
      <alignment horizontal="center"/>
    </xf>
    <xf numFmtId="1" fontId="23" fillId="0" borderId="0" xfId="0" applyNumberFormat="1" applyFont="1" applyFill="1" applyAlignment="1">
      <alignment horizontal="left"/>
    </xf>
    <xf numFmtId="1" fontId="23" fillId="0" borderId="0" xfId="0" applyNumberFormat="1" applyFont="1" applyFill="1" applyAlignment="1">
      <alignment horizontal="center"/>
    </xf>
    <xf numFmtId="168" fontId="3" fillId="0" borderId="0" xfId="0" applyNumberFormat="1" applyFont="1" applyFill="1" applyAlignment="1">
      <alignment horizontal="left"/>
    </xf>
    <xf numFmtId="1" fontId="98" fillId="0" borderId="0" xfId="0" applyNumberFormat="1" applyFont="1" applyFill="1" applyAlignment="1">
      <alignment horizontal="left"/>
    </xf>
    <xf numFmtId="167" fontId="3" fillId="0" borderId="0" xfId="0" applyNumberFormat="1" applyFont="1" applyFill="1"/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1" fontId="11" fillId="0" borderId="0" xfId="0" applyNumberFormat="1" applyFont="1" applyAlignment="1">
      <alignment horizontal="left"/>
    </xf>
    <xf numFmtId="1" fontId="3" fillId="0" borderId="6" xfId="0" applyNumberFormat="1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/>
    </xf>
    <xf numFmtId="1" fontId="3" fillId="0" borderId="15" xfId="0" applyNumberFormat="1" applyFont="1" applyFill="1" applyBorder="1" applyAlignment="1">
      <alignment horizontal="center"/>
    </xf>
    <xf numFmtId="1" fontId="64" fillId="0" borderId="0" xfId="0" applyNumberFormat="1" applyFont="1" applyFill="1" applyBorder="1" applyAlignment="1">
      <alignment horizontal="left"/>
    </xf>
    <xf numFmtId="1" fontId="64" fillId="0" borderId="0" xfId="0" applyNumberFormat="1" applyFont="1" applyFill="1" applyBorder="1" applyAlignment="1">
      <alignment horizontal="center"/>
    </xf>
    <xf numFmtId="168" fontId="64" fillId="0" borderId="0" xfId="0" applyNumberFormat="1" applyFont="1" applyFill="1" applyBorder="1" applyAlignment="1">
      <alignment horizontal="center"/>
    </xf>
    <xf numFmtId="0" fontId="64" fillId="0" borderId="0" xfId="0" applyFont="1" applyFill="1" applyBorder="1"/>
    <xf numFmtId="3" fontId="64" fillId="0" borderId="0" xfId="0" applyNumberFormat="1" applyFont="1" applyFill="1" applyBorder="1" applyAlignment="1"/>
    <xf numFmtId="167" fontId="64" fillId="0" borderId="0" xfId="0" applyNumberFormat="1" applyFont="1" applyFill="1" applyBorder="1"/>
    <xf numFmtId="168" fontId="28" fillId="0" borderId="0" xfId="0" applyNumberFormat="1" applyFont="1" applyFill="1" applyBorder="1" applyAlignment="1">
      <alignment horizontal="center"/>
    </xf>
    <xf numFmtId="167" fontId="23" fillId="0" borderId="0" xfId="0" applyNumberFormat="1" applyFont="1" applyFill="1" applyBorder="1"/>
    <xf numFmtId="0" fontId="3" fillId="0" borderId="0" xfId="0" applyFont="1" applyFill="1" applyAlignment="1"/>
    <xf numFmtId="0" fontId="3" fillId="0" borderId="0" xfId="0" applyFont="1" applyAlignment="1">
      <alignment vertical="top" wrapText="1"/>
    </xf>
    <xf numFmtId="0" fontId="3" fillId="0" borderId="14" xfId="0" applyFont="1" applyBorder="1" applyAlignment="1">
      <alignment vertical="top" wrapText="1"/>
    </xf>
    <xf numFmtId="1" fontId="11" fillId="0" borderId="0" xfId="0" applyNumberFormat="1" applyFont="1" applyBorder="1" applyAlignment="1">
      <alignment horizontal="left"/>
    </xf>
    <xf numFmtId="1" fontId="37" fillId="0" borderId="0" xfId="0" applyNumberFormat="1" applyFont="1" applyFill="1" applyAlignment="1">
      <alignment horizontal="center"/>
    </xf>
    <xf numFmtId="49" fontId="70" fillId="3" borderId="2" xfId="0" applyNumberFormat="1" applyFont="1" applyFill="1" applyBorder="1" applyAlignment="1">
      <alignment horizontal="left"/>
    </xf>
    <xf numFmtId="0" fontId="15" fillId="0" borderId="0" xfId="0" applyFont="1"/>
    <xf numFmtId="49" fontId="70" fillId="0" borderId="2" xfId="0" applyNumberFormat="1" applyFont="1" applyBorder="1" applyAlignment="1">
      <alignment horizontal="left" vertical="top"/>
    </xf>
    <xf numFmtId="0" fontId="15" fillId="3" borderId="0" xfId="0" applyFont="1" applyFill="1"/>
    <xf numFmtId="168" fontId="70" fillId="0" borderId="0" xfId="0" applyNumberFormat="1" applyFont="1" applyAlignment="1">
      <alignment horizontal="left"/>
    </xf>
    <xf numFmtId="49" fontId="70" fillId="0" borderId="2" xfId="0" applyNumberFormat="1" applyFont="1" applyBorder="1" applyAlignment="1">
      <alignment horizontal="left"/>
    </xf>
    <xf numFmtId="49" fontId="70" fillId="0" borderId="14" xfId="0" applyNumberFormat="1" applyFont="1" applyBorder="1" applyAlignment="1">
      <alignment horizontal="left"/>
    </xf>
    <xf numFmtId="0" fontId="17" fillId="0" borderId="8" xfId="0" applyFont="1" applyFill="1" applyBorder="1"/>
    <xf numFmtId="168" fontId="70" fillId="0" borderId="8" xfId="0" applyNumberFormat="1" applyFont="1" applyFill="1" applyBorder="1" applyAlignment="1">
      <alignment horizontal="center"/>
    </xf>
    <xf numFmtId="3" fontId="55" fillId="0" borderId="5" xfId="0" applyNumberFormat="1" applyFont="1" applyFill="1" applyBorder="1" applyAlignment="1"/>
    <xf numFmtId="167" fontId="55" fillId="0" borderId="22" xfId="0" applyNumberFormat="1" applyFont="1" applyFill="1" applyBorder="1"/>
    <xf numFmtId="1" fontId="37" fillId="0" borderId="38" xfId="0" applyNumberFormat="1" applyFont="1" applyFill="1" applyBorder="1" applyAlignment="1">
      <alignment horizontal="center"/>
    </xf>
    <xf numFmtId="1" fontId="37" fillId="0" borderId="9" xfId="0" applyNumberFormat="1" applyFont="1" applyFill="1" applyBorder="1" applyAlignment="1">
      <alignment horizontal="center"/>
    </xf>
    <xf numFmtId="168" fontId="62" fillId="0" borderId="9" xfId="0" applyNumberFormat="1" applyFont="1" applyFill="1" applyBorder="1" applyAlignment="1">
      <alignment horizontal="center"/>
    </xf>
    <xf numFmtId="0" fontId="37" fillId="0" borderId="0" xfId="0" applyFont="1" applyFill="1" applyAlignment="1"/>
    <xf numFmtId="1" fontId="37" fillId="0" borderId="6" xfId="0" applyNumberFormat="1" applyFont="1" applyFill="1" applyBorder="1" applyAlignment="1">
      <alignment horizontal="center"/>
    </xf>
    <xf numFmtId="1" fontId="37" fillId="0" borderId="2" xfId="0" applyNumberFormat="1" applyFont="1" applyFill="1" applyBorder="1" applyAlignment="1">
      <alignment horizontal="center"/>
    </xf>
    <xf numFmtId="168" fontId="62" fillId="0" borderId="2" xfId="0" applyNumberFormat="1" applyFont="1" applyFill="1" applyBorder="1" applyAlignment="1">
      <alignment horizontal="center"/>
    </xf>
    <xf numFmtId="49" fontId="20" fillId="0" borderId="2" xfId="0" applyNumberFormat="1" applyFont="1" applyFill="1" applyBorder="1" applyAlignment="1">
      <alignment horizontal="left"/>
    </xf>
    <xf numFmtId="0" fontId="41" fillId="0" borderId="10" xfId="0" applyFont="1" applyFill="1" applyBorder="1" applyAlignment="1"/>
    <xf numFmtId="1" fontId="15" fillId="0" borderId="38" xfId="0" applyNumberFormat="1" applyFont="1" applyBorder="1" applyAlignment="1">
      <alignment horizontal="left"/>
    </xf>
    <xf numFmtId="1" fontId="18" fillId="0" borderId="27" xfId="0" applyNumberFormat="1" applyFont="1" applyBorder="1" applyAlignment="1">
      <alignment horizontal="left"/>
    </xf>
    <xf numFmtId="49" fontId="20" fillId="0" borderId="9" xfId="0" applyNumberFormat="1" applyFont="1" applyBorder="1" applyAlignment="1">
      <alignment horizontal="left"/>
    </xf>
    <xf numFmtId="0" fontId="51" fillId="0" borderId="0" xfId="0" applyFont="1" applyFill="1" applyAlignment="1">
      <alignment horizontal="left"/>
    </xf>
    <xf numFmtId="0" fontId="47" fillId="0" borderId="0" xfId="0" applyFont="1" applyFill="1"/>
    <xf numFmtId="3" fontId="100" fillId="0" borderId="0" xfId="0" applyNumberFormat="1" applyFont="1" applyFill="1"/>
    <xf numFmtId="49" fontId="27" fillId="0" borderId="27" xfId="0" applyNumberFormat="1" applyFont="1" applyBorder="1" applyAlignment="1">
      <alignment horizontal="left"/>
    </xf>
    <xf numFmtId="3" fontId="41" fillId="0" borderId="60" xfId="0" applyNumberFormat="1" applyFont="1" applyFill="1" applyBorder="1"/>
    <xf numFmtId="167" fontId="8" fillId="0" borderId="60" xfId="0" applyNumberFormat="1" applyFont="1" applyFill="1" applyBorder="1"/>
    <xf numFmtId="3" fontId="8" fillId="0" borderId="34" xfId="0" applyNumberFormat="1" applyFont="1" applyFill="1" applyBorder="1"/>
    <xf numFmtId="3" fontId="11" fillId="0" borderId="34" xfId="0" applyNumberFormat="1" applyFont="1" applyFill="1" applyBorder="1"/>
    <xf numFmtId="167" fontId="29" fillId="0" borderId="34" xfId="0" applyNumberFormat="1" applyFont="1" applyFill="1" applyBorder="1"/>
    <xf numFmtId="3" fontId="80" fillId="0" borderId="0" xfId="0" applyNumberFormat="1" applyFont="1" applyFill="1"/>
    <xf numFmtId="0" fontId="29" fillId="0" borderId="2" xfId="0" applyFont="1" applyFill="1" applyBorder="1" applyAlignment="1"/>
    <xf numFmtId="167" fontId="14" fillId="0" borderId="21" xfId="0" applyNumberFormat="1" applyFont="1" applyFill="1" applyBorder="1" applyAlignment="1">
      <alignment horizontal="right"/>
    </xf>
    <xf numFmtId="1" fontId="22" fillId="0" borderId="2" xfId="0" applyNumberFormat="1" applyFont="1" applyFill="1" applyBorder="1" applyAlignment="1">
      <alignment horizontal="center"/>
    </xf>
    <xf numFmtId="167" fontId="23" fillId="0" borderId="25" xfId="0" applyNumberFormat="1" applyFont="1" applyFill="1" applyBorder="1"/>
    <xf numFmtId="1" fontId="3" fillId="0" borderId="38" xfId="0" applyNumberFormat="1" applyFont="1" applyFill="1" applyBorder="1" applyAlignment="1">
      <alignment horizontal="center"/>
    </xf>
    <xf numFmtId="0" fontId="12" fillId="0" borderId="15" xfId="0" applyFont="1" applyBorder="1" applyAlignment="1">
      <alignment wrapText="1"/>
    </xf>
    <xf numFmtId="1" fontId="4" fillId="0" borderId="48" xfId="0" applyNumberFormat="1" applyFont="1" applyBorder="1" applyAlignment="1">
      <alignment horizontal="left"/>
    </xf>
    <xf numFmtId="0" fontId="12" fillId="0" borderId="48" xfId="0" applyFont="1" applyBorder="1"/>
    <xf numFmtId="0" fontId="35" fillId="0" borderId="12" xfId="0" applyFont="1" applyFill="1" applyBorder="1" applyAlignment="1">
      <alignment horizontal="center" vertical="center"/>
    </xf>
    <xf numFmtId="0" fontId="4" fillId="0" borderId="17" xfId="0" applyFont="1" applyBorder="1" applyAlignment="1"/>
    <xf numFmtId="0" fontId="4" fillId="0" borderId="2" xfId="0" applyFont="1" applyBorder="1" applyAlignment="1">
      <alignment horizontal="left"/>
    </xf>
    <xf numFmtId="168" fontId="9" fillId="3" borderId="2" xfId="0" applyNumberFormat="1" applyFont="1" applyFill="1" applyBorder="1" applyAlignment="1">
      <alignment horizontal="left"/>
    </xf>
    <xf numFmtId="3" fontId="12" fillId="0" borderId="34" xfId="0" applyNumberFormat="1" applyFont="1" applyFill="1" applyBorder="1" applyAlignment="1">
      <alignment horizontal="right" vertical="top"/>
    </xf>
    <xf numFmtId="166" fontId="11" fillId="0" borderId="35" xfId="0" applyNumberFormat="1" applyFont="1" applyBorder="1" applyAlignment="1">
      <alignment horizontal="right" vertical="top"/>
    </xf>
    <xf numFmtId="0" fontId="3" fillId="0" borderId="2" xfId="0" applyFont="1" applyBorder="1"/>
    <xf numFmtId="0" fontId="3" fillId="0" borderId="17" xfId="0" applyFont="1" applyBorder="1"/>
    <xf numFmtId="0" fontId="12" fillId="0" borderId="17" xfId="0" applyFont="1" applyBorder="1" applyAlignment="1">
      <alignment vertical="top"/>
    </xf>
    <xf numFmtId="0" fontId="13" fillId="0" borderId="17" xfId="0" applyFont="1" applyBorder="1" applyAlignment="1">
      <alignment vertical="top" wrapText="1"/>
    </xf>
    <xf numFmtId="0" fontId="13" fillId="3" borderId="17" xfId="0" applyFont="1" applyFill="1" applyBorder="1"/>
    <xf numFmtId="0" fontId="3" fillId="0" borderId="2" xfId="0" applyFont="1" applyBorder="1" applyAlignment="1">
      <alignment vertical="top"/>
    </xf>
    <xf numFmtId="0" fontId="3" fillId="0" borderId="2" xfId="0" applyFont="1" applyBorder="1" applyAlignment="1"/>
    <xf numFmtId="0" fontId="3" fillId="0" borderId="17" xfId="0" applyFont="1" applyBorder="1" applyAlignment="1">
      <alignment vertical="top" wrapText="1"/>
    </xf>
    <xf numFmtId="0" fontId="3" fillId="0" borderId="48" xfId="0" applyFont="1" applyBorder="1" applyAlignment="1">
      <alignment vertical="top" wrapText="1"/>
    </xf>
    <xf numFmtId="0" fontId="12" fillId="0" borderId="27" xfId="9" applyFont="1" applyBorder="1"/>
    <xf numFmtId="168" fontId="20" fillId="0" borderId="1" xfId="9" applyNumberFormat="1" applyFont="1" applyFill="1" applyBorder="1" applyAlignment="1">
      <alignment horizontal="center"/>
    </xf>
    <xf numFmtId="168" fontId="20" fillId="0" borderId="0" xfId="9" applyNumberFormat="1" applyFont="1" applyFill="1" applyBorder="1" applyAlignment="1">
      <alignment horizontal="center"/>
    </xf>
    <xf numFmtId="166" fontId="7" fillId="0" borderId="0" xfId="9" applyNumberFormat="1" applyFont="1" applyFill="1" applyBorder="1" applyAlignment="1">
      <alignment horizontal="right"/>
    </xf>
    <xf numFmtId="168" fontId="23" fillId="0" borderId="0" xfId="9" applyNumberFormat="1" applyFont="1" applyFill="1"/>
    <xf numFmtId="0" fontId="3" fillId="0" borderId="0" xfId="9" applyFill="1" applyAlignment="1">
      <alignment horizontal="center"/>
    </xf>
    <xf numFmtId="0" fontId="3" fillId="0" borderId="0" xfId="9" applyFill="1"/>
    <xf numFmtId="3" fontId="3" fillId="0" borderId="0" xfId="9" applyNumberFormat="1" applyFill="1"/>
    <xf numFmtId="166" fontId="3" fillId="0" borderId="0" xfId="9" applyNumberFormat="1" applyFill="1" applyAlignment="1">
      <alignment horizontal="right"/>
    </xf>
    <xf numFmtId="0" fontId="39" fillId="0" borderId="0" xfId="9" applyFont="1" applyFill="1" applyAlignment="1"/>
    <xf numFmtId="0" fontId="51" fillId="0" borderId="0" xfId="9" applyFont="1" applyFill="1" applyAlignment="1"/>
    <xf numFmtId="0" fontId="75" fillId="0" borderId="0" xfId="9" applyFont="1" applyFill="1" applyAlignment="1">
      <alignment horizontal="left"/>
    </xf>
    <xf numFmtId="0" fontId="28" fillId="0" borderId="4" xfId="9" applyFont="1" applyFill="1" applyBorder="1" applyAlignment="1">
      <alignment horizontal="center" vertical="center"/>
    </xf>
    <xf numFmtId="0" fontId="28" fillId="0" borderId="5" xfId="9" applyFont="1" applyFill="1" applyBorder="1" applyAlignment="1">
      <alignment horizontal="center" vertical="center"/>
    </xf>
    <xf numFmtId="0" fontId="28" fillId="0" borderId="5" xfId="9" applyFont="1" applyFill="1" applyBorder="1" applyAlignment="1">
      <alignment vertical="center"/>
    </xf>
    <xf numFmtId="3" fontId="28" fillId="0" borderId="5" xfId="9" applyNumberFormat="1" applyFont="1" applyFill="1" applyBorder="1" applyAlignment="1">
      <alignment horizontal="center" vertical="center" wrapText="1"/>
    </xf>
    <xf numFmtId="3" fontId="28" fillId="0" borderId="37" xfId="9" applyNumberFormat="1" applyFont="1" applyFill="1" applyBorder="1" applyAlignment="1">
      <alignment horizontal="center" vertical="center" wrapText="1"/>
    </xf>
    <xf numFmtId="166" fontId="3" fillId="0" borderId="24" xfId="9" applyNumberFormat="1" applyFill="1" applyBorder="1" applyAlignment="1">
      <alignment horizontal="right" vertical="center"/>
    </xf>
    <xf numFmtId="3" fontId="35" fillId="0" borderId="5" xfId="9" applyNumberFormat="1" applyFont="1" applyFill="1" applyBorder="1" applyAlignment="1">
      <alignment horizontal="center" vertical="center" wrapText="1"/>
    </xf>
    <xf numFmtId="3" fontId="35" fillId="0" borderId="37" xfId="9" applyNumberFormat="1" applyFont="1" applyFill="1" applyBorder="1" applyAlignment="1">
      <alignment horizontal="center" vertical="center" wrapText="1"/>
    </xf>
    <xf numFmtId="166" fontId="35" fillId="0" borderId="24" xfId="9" applyNumberFormat="1" applyFont="1" applyFill="1" applyBorder="1" applyAlignment="1">
      <alignment horizontal="center" vertical="center"/>
    </xf>
    <xf numFmtId="0" fontId="3" fillId="0" borderId="6" xfId="9" applyFill="1" applyBorder="1" applyAlignment="1">
      <alignment horizontal="center"/>
    </xf>
    <xf numFmtId="0" fontId="3" fillId="0" borderId="2" xfId="9" applyFill="1" applyBorder="1" applyAlignment="1">
      <alignment horizontal="center"/>
    </xf>
    <xf numFmtId="0" fontId="3" fillId="0" borderId="9" xfId="9" applyFill="1" applyBorder="1" applyAlignment="1">
      <alignment horizontal="center"/>
    </xf>
    <xf numFmtId="0" fontId="37" fillId="0" borderId="2" xfId="9" applyFont="1" applyFill="1" applyBorder="1"/>
    <xf numFmtId="3" fontId="21" fillId="0" borderId="9" xfId="9" applyNumberFormat="1" applyFont="1" applyFill="1" applyBorder="1"/>
    <xf numFmtId="3" fontId="21" fillId="0" borderId="5" xfId="9" applyNumberFormat="1" applyFont="1" applyFill="1" applyBorder="1"/>
    <xf numFmtId="166" fontId="21" fillId="0" borderId="23" xfId="9" applyNumberFormat="1" applyFont="1" applyFill="1" applyBorder="1" applyAlignment="1">
      <alignment horizontal="center" vertical="center"/>
    </xf>
    <xf numFmtId="3" fontId="21" fillId="0" borderId="2" xfId="9" applyNumberFormat="1" applyFont="1" applyFill="1" applyBorder="1"/>
    <xf numFmtId="3" fontId="21" fillId="0" borderId="14" xfId="9" applyNumberFormat="1" applyFont="1" applyFill="1" applyBorder="1"/>
    <xf numFmtId="166" fontId="21" fillId="0" borderId="21" xfId="9" applyNumberFormat="1" applyFont="1" applyFill="1" applyBorder="1" applyAlignment="1">
      <alignment horizontal="center" vertical="center"/>
    </xf>
    <xf numFmtId="166" fontId="21" fillId="0" borderId="24" xfId="9" applyNumberFormat="1" applyFont="1" applyFill="1" applyBorder="1" applyAlignment="1">
      <alignment horizontal="center" vertical="center"/>
    </xf>
    <xf numFmtId="0" fontId="21" fillId="0" borderId="0" xfId="9" applyFont="1" applyFill="1" applyBorder="1" applyAlignment="1">
      <alignment horizontal="left"/>
    </xf>
    <xf numFmtId="3" fontId="21" fillId="0" borderId="0" xfId="9" applyNumberFormat="1" applyFont="1" applyFill="1" applyBorder="1"/>
    <xf numFmtId="166" fontId="21" fillId="0" borderId="0" xfId="9" applyNumberFormat="1" applyFont="1" applyFill="1" applyBorder="1" applyAlignment="1">
      <alignment horizontal="right" vertical="center"/>
    </xf>
    <xf numFmtId="0" fontId="3" fillId="0" borderId="0" xfId="9" applyFill="1" applyAlignment="1">
      <alignment horizontal="right"/>
    </xf>
    <xf numFmtId="0" fontId="3" fillId="0" borderId="14" xfId="9" applyFill="1" applyBorder="1" applyAlignment="1">
      <alignment horizontal="center"/>
    </xf>
    <xf numFmtId="166" fontId="21" fillId="0" borderId="42" xfId="9" applyNumberFormat="1" applyFont="1" applyFill="1" applyBorder="1" applyAlignment="1">
      <alignment horizontal="center" vertical="center"/>
    </xf>
    <xf numFmtId="0" fontId="21" fillId="0" borderId="0" xfId="9" applyFont="1" applyFill="1"/>
    <xf numFmtId="4" fontId="3" fillId="0" borderId="0" xfId="9" applyNumberFormat="1" applyFill="1"/>
    <xf numFmtId="0" fontId="3" fillId="0" borderId="38" xfId="9" applyFill="1" applyBorder="1" applyAlignment="1">
      <alignment horizontal="center"/>
    </xf>
    <xf numFmtId="0" fontId="37" fillId="0" borderId="14" xfId="9" applyFont="1" applyFill="1" applyBorder="1"/>
    <xf numFmtId="0" fontId="3" fillId="0" borderId="0" xfId="9" applyFill="1" applyAlignment="1"/>
    <xf numFmtId="0" fontId="21" fillId="0" borderId="9" xfId="9" applyFont="1" applyFill="1" applyBorder="1"/>
    <xf numFmtId="3" fontId="21" fillId="0" borderId="9" xfId="9" applyNumberFormat="1" applyFont="1" applyFill="1" applyBorder="1" applyAlignment="1">
      <alignment vertical="center"/>
    </xf>
    <xf numFmtId="4" fontId="28" fillId="0" borderId="5" xfId="9" applyNumberFormat="1" applyFont="1" applyFill="1" applyBorder="1" applyAlignment="1">
      <alignment horizontal="center" vertical="center" wrapText="1"/>
    </xf>
    <xf numFmtId="4" fontId="28" fillId="0" borderId="37" xfId="9" applyNumberFormat="1" applyFont="1" applyFill="1" applyBorder="1" applyAlignment="1">
      <alignment horizontal="center" vertical="center" wrapText="1"/>
    </xf>
    <xf numFmtId="3" fontId="3" fillId="0" borderId="24" xfId="9" applyNumberFormat="1" applyFill="1" applyBorder="1" applyAlignment="1">
      <alignment horizontal="center" vertical="center"/>
    </xf>
    <xf numFmtId="0" fontId="21" fillId="0" borderId="2" xfId="9" applyFont="1" applyFill="1" applyBorder="1" applyAlignment="1">
      <alignment vertical="center" wrapText="1"/>
    </xf>
    <xf numFmtId="0" fontId="21" fillId="0" borderId="7" xfId="9" applyFont="1" applyFill="1" applyBorder="1" applyAlignment="1"/>
    <xf numFmtId="0" fontId="21" fillId="0" borderId="8" xfId="9" applyFont="1" applyFill="1" applyBorder="1" applyAlignment="1"/>
    <xf numFmtId="0" fontId="21" fillId="0" borderId="56" xfId="9" applyFont="1" applyFill="1" applyBorder="1" applyAlignment="1"/>
    <xf numFmtId="0" fontId="3" fillId="0" borderId="33" xfId="9" applyFill="1" applyBorder="1" applyAlignment="1">
      <alignment horizontal="center"/>
    </xf>
    <xf numFmtId="0" fontId="3" fillId="0" borderId="34" xfId="9" applyFill="1" applyBorder="1" applyAlignment="1">
      <alignment horizontal="center"/>
    </xf>
    <xf numFmtId="0" fontId="21" fillId="0" borderId="14" xfId="9" applyFont="1" applyFill="1" applyBorder="1" applyAlignment="1">
      <alignment vertical="center" wrapText="1"/>
    </xf>
    <xf numFmtId="3" fontId="21" fillId="0" borderId="14" xfId="9" applyNumberFormat="1" applyFont="1" applyFill="1" applyBorder="1" applyAlignment="1">
      <alignment vertical="center"/>
    </xf>
    <xf numFmtId="0" fontId="3" fillId="0" borderId="38" xfId="9" applyFill="1" applyBorder="1" applyAlignment="1">
      <alignment horizontal="center" vertical="center"/>
    </xf>
    <xf numFmtId="0" fontId="3" fillId="0" borderId="9" xfId="9" applyFill="1" applyBorder="1" applyAlignment="1">
      <alignment horizontal="center" vertical="center"/>
    </xf>
    <xf numFmtId="3" fontId="21" fillId="0" borderId="2" xfId="9" applyNumberFormat="1" applyFont="1" applyFill="1" applyBorder="1" applyAlignment="1">
      <alignment vertical="center"/>
    </xf>
    <xf numFmtId="0" fontId="3" fillId="0" borderId="0" xfId="9" applyFill="1" applyAlignment="1">
      <alignment vertical="center"/>
    </xf>
    <xf numFmtId="0" fontId="3" fillId="0" borderId="50" xfId="9" applyFill="1" applyBorder="1" applyAlignment="1">
      <alignment horizontal="center"/>
    </xf>
    <xf numFmtId="0" fontId="3" fillId="0" borderId="38" xfId="9" applyFill="1" applyBorder="1" applyAlignment="1">
      <alignment horizontal="left" vertical="center"/>
    </xf>
    <xf numFmtId="3" fontId="21" fillId="0" borderId="14" xfId="9" applyNumberFormat="1" applyFont="1" applyFill="1" applyBorder="1" applyAlignment="1">
      <alignment horizontal="right" vertical="center"/>
    </xf>
    <xf numFmtId="0" fontId="21" fillId="0" borderId="0" xfId="9" applyFont="1" applyFill="1" applyBorder="1" applyAlignment="1"/>
    <xf numFmtId="166" fontId="21" fillId="0" borderId="0" xfId="9" applyNumberFormat="1" applyFont="1" applyFill="1" applyBorder="1" applyAlignment="1">
      <alignment horizontal="center" vertical="center"/>
    </xf>
    <xf numFmtId="166" fontId="35" fillId="0" borderId="24" xfId="9" applyNumberFormat="1" applyFont="1" applyFill="1" applyBorder="1" applyAlignment="1">
      <alignment horizontal="right" vertical="center"/>
    </xf>
    <xf numFmtId="166" fontId="21" fillId="0" borderId="21" xfId="9" applyNumberFormat="1" applyFont="1" applyFill="1" applyBorder="1" applyAlignment="1">
      <alignment horizontal="right" vertical="center"/>
    </xf>
    <xf numFmtId="0" fontId="3" fillId="0" borderId="0" xfId="9" applyFill="1" applyBorder="1"/>
    <xf numFmtId="0" fontId="3" fillId="0" borderId="6" xfId="9" applyFill="1" applyBorder="1" applyAlignment="1">
      <alignment horizontal="left" vertical="center"/>
    </xf>
    <xf numFmtId="3" fontId="21" fillId="0" borderId="9" xfId="9" applyNumberFormat="1" applyFont="1" applyFill="1" applyBorder="1" applyAlignment="1">
      <alignment horizontal="right" vertical="center"/>
    </xf>
    <xf numFmtId="3" fontId="21" fillId="0" borderId="2" xfId="9" applyNumberFormat="1" applyFont="1" applyFill="1" applyBorder="1" applyAlignment="1">
      <alignment horizontal="right" vertical="center"/>
    </xf>
    <xf numFmtId="0" fontId="3" fillId="0" borderId="50" xfId="9" applyFill="1" applyBorder="1" applyAlignment="1">
      <alignment horizontal="left" vertical="center"/>
    </xf>
    <xf numFmtId="0" fontId="3" fillId="0" borderId="0" xfId="9" applyAlignment="1"/>
    <xf numFmtId="0" fontId="3" fillId="0" borderId="33" xfId="9" applyFill="1" applyBorder="1" applyAlignment="1">
      <alignment horizontal="left" vertical="center"/>
    </xf>
    <xf numFmtId="0" fontId="35" fillId="0" borderId="9" xfId="9" applyFont="1" applyFill="1" applyBorder="1" applyAlignment="1">
      <alignment horizontal="center" vertical="center"/>
    </xf>
    <xf numFmtId="0" fontId="21" fillId="0" borderId="9" xfId="9" applyFont="1" applyFill="1" applyBorder="1" applyAlignment="1">
      <alignment vertical="center" wrapText="1"/>
    </xf>
    <xf numFmtId="0" fontId="35" fillId="0" borderId="2" xfId="9" applyFont="1" applyFill="1" applyBorder="1" applyAlignment="1">
      <alignment horizontal="center" vertical="center"/>
    </xf>
    <xf numFmtId="0" fontId="3" fillId="0" borderId="12" xfId="9" applyFill="1" applyBorder="1" applyAlignment="1">
      <alignment horizontal="left" vertical="center"/>
    </xf>
    <xf numFmtId="0" fontId="3" fillId="0" borderId="0" xfId="9" applyFill="1" applyBorder="1" applyAlignment="1">
      <alignment horizontal="center"/>
    </xf>
    <xf numFmtId="0" fontId="3" fillId="0" borderId="53" xfId="9" applyFill="1" applyBorder="1" applyAlignment="1">
      <alignment horizontal="center"/>
    </xf>
    <xf numFmtId="1" fontId="79" fillId="0" borderId="0" xfId="9" applyNumberFormat="1" applyFont="1" applyFill="1" applyBorder="1" applyAlignment="1">
      <alignment horizontal="left"/>
    </xf>
    <xf numFmtId="1" fontId="79" fillId="0" borderId="0" xfId="9" applyNumberFormat="1" applyFont="1" applyFill="1" applyBorder="1" applyAlignment="1">
      <alignment horizontal="center"/>
    </xf>
    <xf numFmtId="168" fontId="79" fillId="0" borderId="0" xfId="9" applyNumberFormat="1" applyFont="1" applyFill="1" applyBorder="1" applyAlignment="1">
      <alignment horizontal="center"/>
    </xf>
    <xf numFmtId="0" fontId="79" fillId="0" borderId="0" xfId="9" applyFont="1" applyFill="1" applyBorder="1"/>
    <xf numFmtId="3" fontId="51" fillId="0" borderId="0" xfId="9" applyNumberFormat="1" applyFont="1" applyFill="1"/>
    <xf numFmtId="166" fontId="5" fillId="0" borderId="0" xfId="9" applyNumberFormat="1" applyFont="1" applyFill="1" applyBorder="1" applyAlignment="1">
      <alignment horizontal="right"/>
    </xf>
    <xf numFmtId="4" fontId="51" fillId="0" borderId="0" xfId="9" applyNumberFormat="1" applyFont="1" applyFill="1"/>
    <xf numFmtId="0" fontId="53" fillId="0" borderId="0" xfId="9" applyFont="1" applyFill="1"/>
    <xf numFmtId="4" fontId="53" fillId="0" borderId="0" xfId="9" applyNumberFormat="1" applyFont="1" applyFill="1"/>
    <xf numFmtId="0" fontId="53" fillId="0" borderId="0" xfId="9" applyFont="1" applyFill="1" applyAlignment="1">
      <alignment horizontal="left"/>
    </xf>
    <xf numFmtId="166" fontId="53" fillId="0" borderId="0" xfId="9" applyNumberFormat="1" applyFont="1" applyFill="1" applyAlignment="1">
      <alignment horizontal="right"/>
    </xf>
    <xf numFmtId="166" fontId="16" fillId="0" borderId="10" xfId="9" applyNumberFormat="1" applyFont="1" applyFill="1" applyBorder="1" applyAlignment="1">
      <alignment horizontal="right" shrinkToFit="1"/>
    </xf>
    <xf numFmtId="0" fontId="80" fillId="0" borderId="0" xfId="9" applyFont="1" applyFill="1"/>
    <xf numFmtId="3" fontId="80" fillId="0" borderId="0" xfId="9" applyNumberFormat="1" applyFont="1" applyFill="1"/>
    <xf numFmtId="0" fontId="39" fillId="0" borderId="1" xfId="9" applyFont="1" applyFill="1" applyBorder="1" applyAlignment="1"/>
    <xf numFmtId="0" fontId="3" fillId="0" borderId="1" xfId="9" applyFill="1" applyBorder="1" applyAlignment="1"/>
    <xf numFmtId="0" fontId="39" fillId="0" borderId="0" xfId="9" applyFont="1" applyFill="1" applyAlignment="1">
      <alignment horizontal="right"/>
    </xf>
    <xf numFmtId="1" fontId="35" fillId="0" borderId="37" xfId="9" applyNumberFormat="1" applyFont="1" applyFill="1" applyBorder="1" applyAlignment="1">
      <alignment horizontal="center" vertical="center" wrapText="1"/>
    </xf>
    <xf numFmtId="0" fontId="3" fillId="0" borderId="0" xfId="9" applyFont="1" applyFill="1" applyAlignment="1">
      <alignment vertical="center"/>
    </xf>
    <xf numFmtId="167" fontId="17" fillId="0" borderId="0" xfId="9" applyNumberFormat="1" applyFont="1" applyFill="1" applyBorder="1" applyAlignment="1">
      <alignment horizontal="right"/>
    </xf>
    <xf numFmtId="4" fontId="51" fillId="0" borderId="0" xfId="9" applyNumberFormat="1" applyFont="1" applyFill="1" applyAlignment="1">
      <alignment vertical="center"/>
    </xf>
    <xf numFmtId="4" fontId="53" fillId="0" borderId="0" xfId="9" applyNumberFormat="1" applyFont="1" applyFill="1" applyAlignment="1">
      <alignment vertical="center"/>
    </xf>
    <xf numFmtId="167" fontId="16" fillId="0" borderId="10" xfId="9" applyNumberFormat="1" applyFont="1" applyFill="1" applyBorder="1" applyAlignment="1">
      <alignment horizontal="right" shrinkToFit="1"/>
    </xf>
    <xf numFmtId="167" fontId="11" fillId="0" borderId="0" xfId="9" applyNumberFormat="1" applyFont="1" applyFill="1" applyBorder="1" applyAlignment="1">
      <alignment horizontal="right"/>
    </xf>
    <xf numFmtId="167" fontId="13" fillId="0" borderId="0" xfId="9" applyNumberFormat="1" applyFont="1" applyFill="1" applyBorder="1" applyAlignment="1">
      <alignment horizontal="right"/>
    </xf>
    <xf numFmtId="3" fontId="21" fillId="0" borderId="15" xfId="9" applyNumberFormat="1" applyFont="1" applyFill="1" applyBorder="1" applyAlignment="1">
      <alignment vertical="center"/>
    </xf>
    <xf numFmtId="0" fontId="21" fillId="0" borderId="2" xfId="9" applyFont="1" applyFill="1" applyBorder="1"/>
    <xf numFmtId="169" fontId="3" fillId="0" borderId="2" xfId="9" applyNumberFormat="1" applyFill="1" applyBorder="1" applyAlignment="1">
      <alignment horizontal="center"/>
    </xf>
    <xf numFmtId="3" fontId="21" fillId="0" borderId="46" xfId="9" applyNumberFormat="1" applyFont="1" applyFill="1" applyBorder="1" applyAlignment="1">
      <alignment vertical="center"/>
    </xf>
    <xf numFmtId="169" fontId="3" fillId="0" borderId="0" xfId="9" applyNumberFormat="1" applyFill="1" applyBorder="1" applyAlignment="1">
      <alignment horizontal="center"/>
    </xf>
    <xf numFmtId="0" fontId="3" fillId="0" borderId="12" xfId="9" applyFill="1" applyBorder="1" applyAlignment="1">
      <alignment horizontal="center"/>
    </xf>
    <xf numFmtId="3" fontId="3" fillId="0" borderId="0" xfId="9" applyNumberFormat="1" applyFill="1" applyBorder="1" applyAlignment="1">
      <alignment horizontal="center" vertical="center"/>
    </xf>
    <xf numFmtId="4" fontId="3" fillId="0" borderId="0" xfId="9" applyNumberFormat="1" applyFill="1" applyAlignment="1">
      <alignment horizontal="right"/>
    </xf>
    <xf numFmtId="0" fontId="28" fillId="0" borderId="0" xfId="9" applyFont="1" applyFill="1" applyBorder="1" applyAlignment="1">
      <alignment horizontal="center" vertical="center"/>
    </xf>
    <xf numFmtId="4" fontId="28" fillId="0" borderId="0" xfId="9" applyNumberFormat="1" applyFont="1" applyFill="1" applyBorder="1" applyAlignment="1">
      <alignment horizontal="center" vertical="center" wrapText="1"/>
    </xf>
    <xf numFmtId="0" fontId="28" fillId="0" borderId="0" xfId="9" applyFont="1" applyFill="1" applyBorder="1" applyAlignment="1">
      <alignment vertical="center"/>
    </xf>
    <xf numFmtId="0" fontId="21" fillId="0" borderId="2" xfId="9" applyFont="1" applyFill="1" applyBorder="1" applyAlignment="1">
      <alignment horizontal="justify" vertical="justify" wrapText="1"/>
    </xf>
    <xf numFmtId="0" fontId="3" fillId="0" borderId="17" xfId="9" applyFill="1" applyBorder="1" applyAlignment="1">
      <alignment horizontal="center" vertical="center"/>
    </xf>
    <xf numFmtId="0" fontId="3" fillId="0" borderId="6" xfId="9" applyFill="1" applyBorder="1" applyAlignment="1">
      <alignment horizontal="center" vertical="center"/>
    </xf>
    <xf numFmtId="0" fontId="3" fillId="0" borderId="17" xfId="9" applyFill="1" applyBorder="1" applyAlignment="1">
      <alignment horizontal="center"/>
    </xf>
    <xf numFmtId="0" fontId="51" fillId="0" borderId="0" xfId="9" applyFont="1" applyFill="1"/>
    <xf numFmtId="0" fontId="3" fillId="0" borderId="0" xfId="9" applyFill="1" applyAlignment="1">
      <alignment horizontal="left"/>
    </xf>
    <xf numFmtId="3" fontId="3" fillId="0" borderId="1" xfId="9" applyNumberFormat="1" applyFont="1" applyFill="1" applyBorder="1" applyAlignment="1">
      <alignment horizontal="right"/>
    </xf>
    <xf numFmtId="3" fontId="35" fillId="0" borderId="24" xfId="9" applyNumberFormat="1" applyFont="1" applyFill="1" applyBorder="1" applyAlignment="1">
      <alignment horizontal="center" vertical="center"/>
    </xf>
    <xf numFmtId="173" fontId="3" fillId="0" borderId="9" xfId="9" applyNumberFormat="1" applyFill="1" applyBorder="1" applyAlignment="1">
      <alignment horizontal="center"/>
    </xf>
    <xf numFmtId="0" fontId="3" fillId="0" borderId="2" xfId="9" applyFill="1" applyBorder="1" applyAlignment="1">
      <alignment horizontal="center" vertical="center"/>
    </xf>
    <xf numFmtId="173" fontId="3" fillId="0" borderId="2" xfId="9" applyNumberFormat="1" applyFill="1" applyBorder="1" applyAlignment="1">
      <alignment horizontal="center" vertical="center"/>
    </xf>
    <xf numFmtId="0" fontId="3" fillId="0" borderId="2" xfId="9" applyFill="1" applyBorder="1" applyAlignment="1">
      <alignment horizontal="center" vertical="center" wrapText="1"/>
    </xf>
    <xf numFmtId="173" fontId="3" fillId="0" borderId="2" xfId="9" applyNumberFormat="1" applyFill="1" applyBorder="1" applyAlignment="1">
      <alignment horizontal="center" vertical="center" wrapText="1"/>
    </xf>
    <xf numFmtId="0" fontId="3" fillId="0" borderId="0" xfId="9" applyFill="1" applyAlignment="1">
      <alignment vertical="center" wrapText="1"/>
    </xf>
    <xf numFmtId="3" fontId="21" fillId="0" borderId="0" xfId="9" applyNumberFormat="1" applyFont="1" applyFill="1" applyBorder="1" applyAlignment="1">
      <alignment vertical="center"/>
    </xf>
    <xf numFmtId="0" fontId="21" fillId="0" borderId="2" xfId="9" applyFont="1" applyFill="1" applyBorder="1" applyAlignment="1">
      <alignment vertical="justify" wrapText="1"/>
    </xf>
    <xf numFmtId="4" fontId="21" fillId="0" borderId="0" xfId="9" applyNumberFormat="1" applyFont="1" applyFill="1"/>
    <xf numFmtId="0" fontId="3" fillId="0" borderId="34" xfId="9" applyFill="1" applyBorder="1"/>
    <xf numFmtId="4" fontId="3" fillId="0" borderId="34" xfId="9" applyNumberFormat="1" applyFill="1" applyBorder="1"/>
    <xf numFmtId="4" fontId="3" fillId="0" borderId="0" xfId="9" applyNumberFormat="1" applyFill="1" applyBorder="1"/>
    <xf numFmtId="4" fontId="3" fillId="0" borderId="0" xfId="9" applyNumberFormat="1" applyFill="1" applyBorder="1" applyAlignment="1">
      <alignment vertical="center"/>
    </xf>
    <xf numFmtId="0" fontId="21" fillId="0" borderId="17" xfId="9" applyFont="1" applyFill="1" applyBorder="1" applyAlignment="1">
      <alignment vertical="center" wrapText="1"/>
    </xf>
    <xf numFmtId="0" fontId="3" fillId="0" borderId="50" xfId="9" applyFill="1" applyBorder="1" applyAlignment="1">
      <alignment horizontal="center" vertical="center"/>
    </xf>
    <xf numFmtId="0" fontId="3" fillId="0" borderId="14" xfId="9" applyFill="1" applyBorder="1" applyAlignment="1">
      <alignment horizontal="center" vertical="center"/>
    </xf>
    <xf numFmtId="0" fontId="3" fillId="0" borderId="2" xfId="9" applyFont="1" applyBorder="1" applyAlignment="1">
      <alignment horizontal="center" vertical="center"/>
    </xf>
    <xf numFmtId="0" fontId="21" fillId="0" borderId="2" xfId="9" applyFont="1" applyBorder="1" applyAlignment="1">
      <alignment vertical="center" wrapText="1"/>
    </xf>
    <xf numFmtId="0" fontId="21" fillId="0" borderId="9" xfId="9" applyFont="1" applyBorder="1" applyAlignment="1">
      <alignment vertical="center" wrapText="1"/>
    </xf>
    <xf numFmtId="0" fontId="21" fillId="0" borderId="14" xfId="9" applyFont="1" applyBorder="1" applyAlignment="1">
      <alignment vertical="center" wrapText="1"/>
    </xf>
    <xf numFmtId="0" fontId="21" fillId="0" borderId="2" xfId="9" applyFont="1" applyFill="1" applyBorder="1" applyAlignment="1">
      <alignment wrapText="1"/>
    </xf>
    <xf numFmtId="0" fontId="3" fillId="0" borderId="2" xfId="9" applyBorder="1" applyAlignment="1">
      <alignment horizontal="center" vertical="center"/>
    </xf>
    <xf numFmtId="0" fontId="75" fillId="0" borderId="0" xfId="9" applyFont="1" applyAlignment="1">
      <alignment horizontal="left"/>
    </xf>
    <xf numFmtId="4" fontId="3" fillId="0" borderId="0" xfId="9" applyNumberFormat="1"/>
    <xf numFmtId="0" fontId="3" fillId="0" borderId="0" xfId="9" applyAlignment="1">
      <alignment horizontal="center"/>
    </xf>
    <xf numFmtId="0" fontId="3" fillId="0" borderId="0" xfId="9"/>
    <xf numFmtId="4" fontId="3" fillId="0" borderId="0" xfId="9" applyNumberFormat="1" applyAlignment="1">
      <alignment horizontal="right"/>
    </xf>
    <xf numFmtId="0" fontId="28" fillId="0" borderId="4" xfId="9" applyFont="1" applyBorder="1" applyAlignment="1">
      <alignment horizontal="center" vertical="center"/>
    </xf>
    <xf numFmtId="0" fontId="28" fillId="0" borderId="56" xfId="9" applyFont="1" applyBorder="1" applyAlignment="1">
      <alignment horizontal="center" vertical="center"/>
    </xf>
    <xf numFmtId="0" fontId="28" fillId="0" borderId="56" xfId="9" applyFont="1" applyBorder="1" applyAlignment="1">
      <alignment vertical="center"/>
    </xf>
    <xf numFmtId="4" fontId="28" fillId="0" borderId="56" xfId="9" applyNumberFormat="1" applyFont="1" applyBorder="1" applyAlignment="1">
      <alignment horizontal="center" vertical="center" wrapText="1"/>
    </xf>
    <xf numFmtId="4" fontId="28" fillId="0" borderId="8" xfId="9" applyNumberFormat="1" applyFont="1" applyBorder="1" applyAlignment="1">
      <alignment horizontal="center" vertical="center" wrapText="1"/>
    </xf>
    <xf numFmtId="3" fontId="3" fillId="0" borderId="24" xfId="9" applyNumberFormat="1" applyBorder="1" applyAlignment="1">
      <alignment horizontal="center" vertical="center"/>
    </xf>
    <xf numFmtId="0" fontId="35" fillId="0" borderId="50" xfId="9" applyFont="1" applyBorder="1" applyAlignment="1">
      <alignment horizontal="center" vertical="center"/>
    </xf>
    <xf numFmtId="0" fontId="35" fillId="0" borderId="48" xfId="9" applyFont="1" applyBorder="1" applyAlignment="1">
      <alignment horizontal="center" vertical="center"/>
    </xf>
    <xf numFmtId="1" fontId="35" fillId="0" borderId="48" xfId="9" applyNumberFormat="1" applyFont="1" applyBorder="1" applyAlignment="1">
      <alignment horizontal="center" vertical="center" wrapText="1"/>
    </xf>
    <xf numFmtId="1" fontId="35" fillId="0" borderId="34" xfId="9" applyNumberFormat="1" applyFont="1" applyBorder="1" applyAlignment="1">
      <alignment horizontal="center" vertical="center" wrapText="1"/>
    </xf>
    <xf numFmtId="166" fontId="35" fillId="0" borderId="42" xfId="9" applyNumberFormat="1" applyFont="1" applyBorder="1" applyAlignment="1">
      <alignment horizontal="center" vertical="center"/>
    </xf>
    <xf numFmtId="0" fontId="3" fillId="0" borderId="6" xfId="9" applyBorder="1" applyAlignment="1">
      <alignment horizontal="center" vertical="center"/>
    </xf>
    <xf numFmtId="0" fontId="3" fillId="0" borderId="17" xfId="9" applyBorder="1" applyAlignment="1">
      <alignment horizontal="center" vertical="center"/>
    </xf>
    <xf numFmtId="3" fontId="21" fillId="0" borderId="17" xfId="9" applyNumberFormat="1" applyFont="1" applyBorder="1" applyAlignment="1">
      <alignment vertical="center"/>
    </xf>
    <xf numFmtId="3" fontId="21" fillId="0" borderId="0" xfId="9" applyNumberFormat="1" applyFont="1" applyAlignment="1">
      <alignment vertical="center"/>
    </xf>
    <xf numFmtId="166" fontId="21" fillId="0" borderId="21" xfId="9" applyNumberFormat="1" applyFont="1" applyBorder="1" applyAlignment="1">
      <alignment horizontal="center" vertical="center"/>
    </xf>
    <xf numFmtId="0" fontId="21" fillId="0" borderId="7" xfId="9" applyFont="1" applyBorder="1"/>
    <xf numFmtId="0" fontId="21" fillId="0" borderId="8" xfId="9" applyFont="1" applyBorder="1"/>
    <xf numFmtId="0" fontId="21" fillId="0" borderId="56" xfId="9" applyFont="1" applyBorder="1"/>
    <xf numFmtId="3" fontId="21" fillId="0" borderId="56" xfId="9" applyNumberFormat="1" applyFont="1" applyBorder="1"/>
    <xf numFmtId="166" fontId="21" fillId="0" borderId="22" xfId="9" applyNumberFormat="1" applyFont="1" applyBorder="1" applyAlignment="1">
      <alignment horizontal="center" vertical="center"/>
    </xf>
    <xf numFmtId="0" fontId="21" fillId="0" borderId="17" xfId="9" applyFont="1" applyBorder="1" applyAlignment="1">
      <alignment vertical="center" wrapText="1"/>
    </xf>
    <xf numFmtId="0" fontId="3" fillId="0" borderId="12" xfId="9" applyFill="1" applyBorder="1" applyAlignment="1">
      <alignment horizontal="center" vertical="center"/>
    </xf>
    <xf numFmtId="0" fontId="3" fillId="0" borderId="15" xfId="9" applyFill="1" applyBorder="1" applyAlignment="1">
      <alignment horizontal="center" vertical="center"/>
    </xf>
    <xf numFmtId="0" fontId="3" fillId="0" borderId="0" xfId="9" applyFill="1" applyBorder="1" applyAlignment="1">
      <alignment horizontal="center" vertical="center"/>
    </xf>
    <xf numFmtId="0" fontId="21" fillId="0" borderId="17" xfId="9" applyFont="1" applyFill="1" applyBorder="1"/>
    <xf numFmtId="0" fontId="3" fillId="0" borderId="15" xfId="9" applyFill="1" applyBorder="1" applyAlignment="1">
      <alignment horizontal="center"/>
    </xf>
    <xf numFmtId="0" fontId="3" fillId="0" borderId="0" xfId="9" applyBorder="1" applyAlignment="1">
      <alignment horizontal="center" vertical="center"/>
    </xf>
    <xf numFmtId="3" fontId="21" fillId="0" borderId="2" xfId="9" applyNumberFormat="1" applyFont="1" applyBorder="1" applyAlignment="1">
      <alignment vertical="center"/>
    </xf>
    <xf numFmtId="0" fontId="3" fillId="0" borderId="50" xfId="9" applyBorder="1" applyAlignment="1">
      <alignment horizontal="center" vertical="center"/>
    </xf>
    <xf numFmtId="0" fontId="3" fillId="0" borderId="14" xfId="9" applyBorder="1" applyAlignment="1">
      <alignment horizontal="center" vertical="center"/>
    </xf>
    <xf numFmtId="3" fontId="21" fillId="0" borderId="14" xfId="9" applyNumberFormat="1" applyFont="1" applyBorder="1" applyAlignment="1">
      <alignment vertical="center"/>
    </xf>
    <xf numFmtId="4" fontId="21" fillId="0" borderId="0" xfId="9" applyNumberFormat="1" applyFont="1" applyFill="1" applyBorder="1"/>
    <xf numFmtId="49" fontId="3" fillId="0" borderId="2" xfId="9" applyNumberFormat="1" applyFont="1" applyFill="1" applyBorder="1" applyAlignment="1">
      <alignment horizontal="center" vertical="center"/>
    </xf>
    <xf numFmtId="49" fontId="3" fillId="0" borderId="2" xfId="9" applyNumberFormat="1" applyFill="1" applyBorder="1" applyAlignment="1">
      <alignment horizontal="center" vertical="center"/>
    </xf>
    <xf numFmtId="49" fontId="3" fillId="0" borderId="6" xfId="9" applyNumberFormat="1" applyFill="1" applyBorder="1" applyAlignment="1">
      <alignment horizontal="center" vertical="center"/>
    </xf>
    <xf numFmtId="49" fontId="3" fillId="0" borderId="2" xfId="9" applyNumberFormat="1" applyFill="1" applyBorder="1" applyAlignment="1">
      <alignment horizontal="center"/>
    </xf>
    <xf numFmtId="166" fontId="21" fillId="0" borderId="27" xfId="9" applyNumberFormat="1" applyFont="1" applyFill="1" applyBorder="1" applyAlignment="1">
      <alignment horizontal="center" vertical="center"/>
    </xf>
    <xf numFmtId="4" fontId="3" fillId="0" borderId="0" xfId="9" applyNumberFormat="1" applyFont="1" applyFill="1"/>
    <xf numFmtId="4" fontId="3" fillId="0" borderId="0" xfId="9" applyNumberFormat="1" applyFont="1" applyFill="1" applyAlignment="1">
      <alignment horizontal="right"/>
    </xf>
    <xf numFmtId="0" fontId="21" fillId="0" borderId="2" xfId="9" applyFont="1" applyFill="1" applyBorder="1" applyAlignment="1">
      <alignment horizontal="left" vertical="center" wrapText="1"/>
    </xf>
    <xf numFmtId="0" fontId="28" fillId="0" borderId="0" xfId="9" applyFont="1" applyFill="1" applyAlignment="1">
      <alignment horizontal="center" vertical="center"/>
    </xf>
    <xf numFmtId="49" fontId="3" fillId="0" borderId="2" xfId="9" applyNumberFormat="1" applyFont="1" applyFill="1" applyBorder="1" applyAlignment="1">
      <alignment horizontal="center"/>
    </xf>
    <xf numFmtId="0" fontId="3" fillId="0" borderId="2" xfId="9" applyNumberFormat="1" applyFill="1" applyBorder="1" applyAlignment="1">
      <alignment horizontal="center" vertical="center"/>
    </xf>
    <xf numFmtId="0" fontId="39" fillId="0" borderId="0" xfId="9" applyFont="1" applyFill="1" applyAlignment="1">
      <alignment horizontal="left" wrapText="1"/>
    </xf>
    <xf numFmtId="173" fontId="3" fillId="0" borderId="2" xfId="9" applyNumberFormat="1" applyFill="1" applyBorder="1" applyAlignment="1">
      <alignment horizontal="center"/>
    </xf>
    <xf numFmtId="173" fontId="3" fillId="0" borderId="14" xfId="9" applyNumberFormat="1" applyFill="1" applyBorder="1" applyAlignment="1">
      <alignment horizontal="center" vertical="center"/>
    </xf>
    <xf numFmtId="0" fontId="75" fillId="0" borderId="0" xfId="9" applyFont="1" applyFill="1" applyAlignment="1"/>
    <xf numFmtId="0" fontId="21" fillId="0" borderId="0" xfId="9" applyFont="1" applyFill="1" applyAlignment="1"/>
    <xf numFmtId="0" fontId="23" fillId="0" borderId="0" xfId="9" applyFont="1" applyFill="1" applyAlignment="1">
      <alignment horizontal="center"/>
    </xf>
    <xf numFmtId="0" fontId="75" fillId="4" borderId="0" xfId="9" applyFont="1" applyFill="1" applyAlignment="1">
      <alignment horizontal="left"/>
    </xf>
    <xf numFmtId="1" fontId="7" fillId="4" borderId="1" xfId="9" applyNumberFormat="1" applyFont="1" applyFill="1" applyBorder="1" applyAlignment="1">
      <alignment horizontal="left"/>
    </xf>
    <xf numFmtId="0" fontId="18" fillId="4" borderId="1" xfId="9" applyFont="1" applyFill="1" applyBorder="1" applyAlignment="1">
      <alignment horizontal="center"/>
    </xf>
    <xf numFmtId="168" fontId="20" fillId="4" borderId="1" xfId="9" applyNumberFormat="1" applyFont="1" applyFill="1" applyBorder="1" applyAlignment="1">
      <alignment horizontal="center"/>
    </xf>
    <xf numFmtId="3" fontId="3" fillId="4" borderId="1" xfId="9" applyNumberFormat="1" applyFont="1" applyFill="1" applyBorder="1"/>
    <xf numFmtId="3" fontId="7" fillId="4" borderId="1" xfId="9" applyNumberFormat="1" applyFont="1" applyFill="1" applyBorder="1"/>
    <xf numFmtId="3" fontId="3" fillId="4" borderId="1" xfId="9" applyNumberFormat="1" applyFont="1" applyFill="1" applyBorder="1" applyAlignment="1">
      <alignment horizontal="right"/>
    </xf>
    <xf numFmtId="0" fontId="3" fillId="4" borderId="0" xfId="9" applyFill="1"/>
    <xf numFmtId="0" fontId="51" fillId="4" borderId="0" xfId="9" applyFont="1" applyFill="1" applyAlignment="1"/>
    <xf numFmtId="0" fontId="3" fillId="4" borderId="0" xfId="9" applyFill="1" applyAlignment="1"/>
    <xf numFmtId="0" fontId="39" fillId="4" borderId="0" xfId="9" applyFont="1" applyFill="1" applyAlignment="1">
      <alignment horizontal="right"/>
    </xf>
    <xf numFmtId="1" fontId="11" fillId="4" borderId="0" xfId="9" applyNumberFormat="1" applyFont="1" applyFill="1" applyBorder="1" applyAlignment="1">
      <alignment horizontal="left"/>
    </xf>
    <xf numFmtId="168" fontId="23" fillId="4" borderId="0" xfId="9" applyNumberFormat="1" applyFont="1" applyFill="1"/>
    <xf numFmtId="0" fontId="39" fillId="4" borderId="0" xfId="9" applyFont="1" applyFill="1" applyAlignment="1"/>
    <xf numFmtId="0" fontId="3" fillId="4" borderId="0" xfId="9" applyFill="1" applyAlignment="1">
      <alignment horizontal="center"/>
    </xf>
    <xf numFmtId="4" fontId="3" fillId="4" borderId="0" xfId="9" applyNumberFormat="1" applyFill="1"/>
    <xf numFmtId="4" fontId="3" fillId="4" borderId="0" xfId="9" applyNumberFormat="1" applyFill="1" applyAlignment="1">
      <alignment horizontal="right"/>
    </xf>
    <xf numFmtId="0" fontId="28" fillId="4" borderId="4" xfId="9" applyFont="1" applyFill="1" applyBorder="1" applyAlignment="1">
      <alignment horizontal="center" vertical="center"/>
    </xf>
    <xf numFmtId="0" fontId="28" fillId="4" borderId="5" xfId="9" applyFont="1" applyFill="1" applyBorder="1" applyAlignment="1">
      <alignment horizontal="center" vertical="center"/>
    </xf>
    <xf numFmtId="0" fontId="28" fillId="4" borderId="5" xfId="9" applyFont="1" applyFill="1" applyBorder="1" applyAlignment="1">
      <alignment vertical="center"/>
    </xf>
    <xf numFmtId="4" fontId="28" fillId="4" borderId="5" xfId="9" applyNumberFormat="1" applyFont="1" applyFill="1" applyBorder="1" applyAlignment="1">
      <alignment horizontal="center" vertical="center" wrapText="1"/>
    </xf>
    <xf numFmtId="4" fontId="28" fillId="4" borderId="37" xfId="9" applyNumberFormat="1" applyFont="1" applyFill="1" applyBorder="1" applyAlignment="1">
      <alignment horizontal="center" vertical="center" wrapText="1"/>
    </xf>
    <xf numFmtId="3" fontId="3" fillId="4" borderId="24" xfId="9" applyNumberFormat="1" applyFill="1" applyBorder="1" applyAlignment="1">
      <alignment horizontal="center" vertical="center"/>
    </xf>
    <xf numFmtId="0" fontId="35" fillId="4" borderId="4" xfId="9" applyFont="1" applyFill="1" applyBorder="1" applyAlignment="1">
      <alignment horizontal="center" vertical="center"/>
    </xf>
    <xf numFmtId="0" fontId="35" fillId="4" borderId="5" xfId="9" applyFont="1" applyFill="1" applyBorder="1" applyAlignment="1">
      <alignment horizontal="center" vertical="center"/>
    </xf>
    <xf numFmtId="1" fontId="35" fillId="4" borderId="5" xfId="9" applyNumberFormat="1" applyFont="1" applyFill="1" applyBorder="1" applyAlignment="1">
      <alignment horizontal="center" vertical="center" wrapText="1"/>
    </xf>
    <xf numFmtId="1" fontId="35" fillId="4" borderId="37" xfId="9" applyNumberFormat="1" applyFont="1" applyFill="1" applyBorder="1" applyAlignment="1">
      <alignment horizontal="center" vertical="center" wrapText="1"/>
    </xf>
    <xf numFmtId="3" fontId="35" fillId="4" borderId="24" xfId="9" applyNumberFormat="1" applyFont="1" applyFill="1" applyBorder="1" applyAlignment="1">
      <alignment horizontal="center" vertical="center"/>
    </xf>
    <xf numFmtId="0" fontId="3" fillId="4" borderId="38" xfId="9" applyFill="1" applyBorder="1" applyAlignment="1">
      <alignment horizontal="center" vertical="center"/>
    </xf>
    <xf numFmtId="0" fontId="3" fillId="4" borderId="9" xfId="9" applyFill="1" applyBorder="1" applyAlignment="1">
      <alignment horizontal="center" vertical="center"/>
    </xf>
    <xf numFmtId="0" fontId="21" fillId="4" borderId="9" xfId="9" applyFont="1" applyFill="1" applyBorder="1" applyAlignment="1">
      <alignment vertical="center" wrapText="1"/>
    </xf>
    <xf numFmtId="3" fontId="21" fillId="4" borderId="9" xfId="9" applyNumberFormat="1" applyFont="1" applyFill="1" applyBorder="1" applyAlignment="1">
      <alignment vertical="center"/>
    </xf>
    <xf numFmtId="166" fontId="21" fillId="4" borderId="23" xfId="9" applyNumberFormat="1" applyFont="1" applyFill="1" applyBorder="1" applyAlignment="1">
      <alignment horizontal="center" vertical="center"/>
    </xf>
    <xf numFmtId="0" fontId="3" fillId="4" borderId="6" xfId="9" applyFill="1" applyBorder="1" applyAlignment="1">
      <alignment horizontal="center" vertical="center"/>
    </xf>
    <xf numFmtId="0" fontId="3" fillId="4" borderId="2" xfId="9" applyFill="1" applyBorder="1" applyAlignment="1">
      <alignment horizontal="center" vertical="center"/>
    </xf>
    <xf numFmtId="0" fontId="21" fillId="4" borderId="2" xfId="9" applyFont="1" applyFill="1" applyBorder="1" applyAlignment="1">
      <alignment vertical="center" wrapText="1"/>
    </xf>
    <xf numFmtId="3" fontId="21" fillId="4" borderId="2" xfId="9" applyNumberFormat="1" applyFont="1" applyFill="1" applyBorder="1" applyAlignment="1">
      <alignment vertical="center"/>
    </xf>
    <xf numFmtId="166" fontId="21" fillId="4" borderId="21" xfId="9" applyNumberFormat="1" applyFont="1" applyFill="1" applyBorder="1" applyAlignment="1">
      <alignment horizontal="center" vertical="center"/>
    </xf>
    <xf numFmtId="173" fontId="3" fillId="4" borderId="2" xfId="9" applyNumberFormat="1" applyFill="1" applyBorder="1" applyAlignment="1">
      <alignment horizontal="center" vertical="center" wrapText="1"/>
    </xf>
    <xf numFmtId="166" fontId="21" fillId="4" borderId="42" xfId="9" applyNumberFormat="1" applyFont="1" applyFill="1" applyBorder="1" applyAlignment="1">
      <alignment horizontal="center" vertical="center"/>
    </xf>
    <xf numFmtId="3" fontId="21" fillId="4" borderId="5" xfId="9" applyNumberFormat="1" applyFont="1" applyFill="1" applyBorder="1"/>
    <xf numFmtId="166" fontId="21" fillId="4" borderId="24" xfId="9" applyNumberFormat="1" applyFont="1" applyFill="1" applyBorder="1" applyAlignment="1">
      <alignment horizontal="center" vertical="center"/>
    </xf>
    <xf numFmtId="166" fontId="35" fillId="4" borderId="24" xfId="9" applyNumberFormat="1" applyFont="1" applyFill="1" applyBorder="1" applyAlignment="1">
      <alignment horizontal="center" vertical="center"/>
    </xf>
    <xf numFmtId="3" fontId="21" fillId="4" borderId="46" xfId="9" applyNumberFormat="1" applyFont="1" applyFill="1" applyBorder="1" applyAlignment="1">
      <alignment vertical="center"/>
    </xf>
    <xf numFmtId="3" fontId="21" fillId="4" borderId="15" xfId="9" applyNumberFormat="1" applyFont="1" applyFill="1" applyBorder="1" applyAlignment="1">
      <alignment vertical="center"/>
    </xf>
    <xf numFmtId="0" fontId="21" fillId="4" borderId="7" xfId="9" applyFont="1" applyFill="1" applyBorder="1" applyAlignment="1"/>
    <xf numFmtId="0" fontId="21" fillId="4" borderId="8" xfId="9" applyFont="1" applyFill="1" applyBorder="1" applyAlignment="1"/>
    <xf numFmtId="0" fontId="21" fillId="4" borderId="56" xfId="9" applyFont="1" applyFill="1" applyBorder="1" applyAlignment="1"/>
    <xf numFmtId="0" fontId="3" fillId="4" borderId="12" xfId="9" applyFill="1" applyBorder="1" applyAlignment="1">
      <alignment horizontal="center" vertical="center"/>
    </xf>
    <xf numFmtId="0" fontId="3" fillId="4" borderId="15" xfId="9" applyFill="1" applyBorder="1" applyAlignment="1">
      <alignment horizontal="center" vertical="center"/>
    </xf>
    <xf numFmtId="0" fontId="21" fillId="4" borderId="17" xfId="9" applyFont="1" applyFill="1" applyBorder="1" applyAlignment="1">
      <alignment vertical="center" wrapText="1"/>
    </xf>
    <xf numFmtId="0" fontId="3" fillId="4" borderId="14" xfId="9" applyFill="1" applyBorder="1" applyAlignment="1">
      <alignment horizontal="center" vertical="center"/>
    </xf>
    <xf numFmtId="0" fontId="3" fillId="4" borderId="0" xfId="9" applyFill="1" applyBorder="1" applyAlignment="1">
      <alignment horizontal="center" vertical="center"/>
    </xf>
    <xf numFmtId="0" fontId="21" fillId="4" borderId="14" xfId="9" applyFont="1" applyFill="1" applyBorder="1" applyAlignment="1">
      <alignment vertical="center" wrapText="1"/>
    </xf>
    <xf numFmtId="0" fontId="3" fillId="4" borderId="6" xfId="9" applyFill="1" applyBorder="1" applyAlignment="1">
      <alignment horizontal="center"/>
    </xf>
    <xf numFmtId="0" fontId="3" fillId="4" borderId="2" xfId="9" applyFill="1" applyBorder="1" applyAlignment="1">
      <alignment horizontal="center"/>
    </xf>
    <xf numFmtId="0" fontId="21" fillId="4" borderId="2" xfId="9" applyFont="1" applyFill="1" applyBorder="1"/>
    <xf numFmtId="0" fontId="21" fillId="4" borderId="17" xfId="9" applyFont="1" applyFill="1" applyBorder="1"/>
    <xf numFmtId="0" fontId="3" fillId="4" borderId="50" xfId="9" applyFill="1" applyBorder="1" applyAlignment="1">
      <alignment horizontal="center"/>
    </xf>
    <xf numFmtId="0" fontId="3" fillId="4" borderId="14" xfId="9" applyFill="1" applyBorder="1" applyAlignment="1">
      <alignment horizontal="center"/>
    </xf>
    <xf numFmtId="0" fontId="21" fillId="4" borderId="2" xfId="9" applyFont="1" applyFill="1" applyBorder="1" applyAlignment="1">
      <alignment wrapText="1"/>
    </xf>
    <xf numFmtId="1" fontId="79" fillId="4" borderId="0" xfId="9" applyNumberFormat="1" applyFont="1" applyFill="1" applyBorder="1" applyAlignment="1">
      <alignment horizontal="left"/>
    </xf>
    <xf numFmtId="1" fontId="79" fillId="4" borderId="0" xfId="9" applyNumberFormat="1" applyFont="1" applyFill="1" applyBorder="1" applyAlignment="1">
      <alignment horizontal="center"/>
    </xf>
    <xf numFmtId="168" fontId="79" fillId="4" borderId="0" xfId="9" applyNumberFormat="1" applyFont="1" applyFill="1" applyBorder="1" applyAlignment="1">
      <alignment horizontal="center"/>
    </xf>
    <xf numFmtId="0" fontId="79" fillId="4" borderId="0" xfId="9" applyFont="1" applyFill="1" applyBorder="1"/>
    <xf numFmtId="3" fontId="51" fillId="4" borderId="0" xfId="9" applyNumberFormat="1" applyFont="1" applyFill="1"/>
    <xf numFmtId="167" fontId="13" fillId="4" borderId="0" xfId="9" applyNumberFormat="1" applyFont="1" applyFill="1" applyBorder="1" applyAlignment="1">
      <alignment horizontal="right"/>
    </xf>
    <xf numFmtId="4" fontId="51" fillId="4" borderId="0" xfId="9" applyNumberFormat="1" applyFont="1" applyFill="1"/>
    <xf numFmtId="0" fontId="67" fillId="4" borderId="0" xfId="9" applyFont="1" applyFill="1"/>
    <xf numFmtId="1" fontId="53" fillId="4" borderId="0" xfId="9" applyNumberFormat="1" applyFont="1" applyFill="1" applyAlignment="1">
      <alignment horizontal="center"/>
    </xf>
    <xf numFmtId="168" fontId="53" fillId="4" borderId="0" xfId="9" applyNumberFormat="1" applyFont="1" applyFill="1" applyAlignment="1">
      <alignment horizontal="center"/>
    </xf>
    <xf numFmtId="0" fontId="53" fillId="4" borderId="0" xfId="9" applyFont="1" applyFill="1"/>
    <xf numFmtId="3" fontId="53" fillId="4" borderId="0" xfId="9" applyNumberFormat="1" applyFont="1" applyFill="1"/>
    <xf numFmtId="167" fontId="11" fillId="4" borderId="0" xfId="9" applyNumberFormat="1" applyFont="1" applyFill="1" applyBorder="1" applyAlignment="1">
      <alignment horizontal="right"/>
    </xf>
    <xf numFmtId="4" fontId="53" fillId="4" borderId="0" xfId="9" applyNumberFormat="1" applyFont="1" applyFill="1"/>
    <xf numFmtId="1" fontId="53" fillId="4" borderId="0" xfId="9" applyNumberFormat="1" applyFont="1" applyFill="1" applyAlignment="1">
      <alignment horizontal="left"/>
    </xf>
    <xf numFmtId="0" fontId="53" fillId="4" borderId="0" xfId="9" applyFont="1" applyFill="1" applyAlignment="1">
      <alignment horizontal="left"/>
    </xf>
    <xf numFmtId="3" fontId="53" fillId="4" borderId="0" xfId="9" applyNumberFormat="1" applyFont="1" applyFill="1" applyAlignment="1">
      <alignment horizontal="right"/>
    </xf>
    <xf numFmtId="3" fontId="31" fillId="4" borderId="10" xfId="9" applyNumberFormat="1" applyFont="1" applyFill="1" applyBorder="1"/>
    <xf numFmtId="167" fontId="31" fillId="4" borderId="10" xfId="9" applyNumberFormat="1" applyFont="1" applyFill="1" applyBorder="1" applyAlignment="1">
      <alignment horizontal="right" shrinkToFit="1"/>
    </xf>
    <xf numFmtId="0" fontId="21" fillId="4" borderId="0" xfId="9" applyFont="1" applyFill="1" applyBorder="1" applyAlignment="1">
      <alignment horizontal="left"/>
    </xf>
    <xf numFmtId="3" fontId="21" fillId="4" borderId="0" xfId="9" applyNumberFormat="1" applyFont="1" applyFill="1" applyBorder="1"/>
    <xf numFmtId="166" fontId="21" fillId="4" borderId="0" xfId="9" applyNumberFormat="1" applyFont="1" applyFill="1" applyBorder="1" applyAlignment="1">
      <alignment horizontal="center" vertical="center"/>
    </xf>
    <xf numFmtId="0" fontId="21" fillId="4" borderId="2" xfId="9" applyFont="1" applyFill="1" applyBorder="1" applyAlignment="1">
      <alignment vertical="justify" wrapText="1"/>
    </xf>
    <xf numFmtId="0" fontId="3" fillId="4" borderId="12" xfId="9" applyFill="1" applyBorder="1" applyAlignment="1">
      <alignment horizontal="center"/>
    </xf>
    <xf numFmtId="49" fontId="3" fillId="4" borderId="2" xfId="9" applyNumberFormat="1" applyFill="1" applyBorder="1" applyAlignment="1">
      <alignment horizontal="center" vertical="center"/>
    </xf>
    <xf numFmtId="3" fontId="21" fillId="4" borderId="14" xfId="9" applyNumberFormat="1" applyFont="1" applyFill="1" applyBorder="1" applyAlignment="1">
      <alignment vertical="center"/>
    </xf>
    <xf numFmtId="3" fontId="3" fillId="4" borderId="0" xfId="9" applyNumberFormat="1" applyFill="1" applyBorder="1" applyAlignment="1">
      <alignment horizontal="center" vertical="center"/>
    </xf>
    <xf numFmtId="0" fontId="75" fillId="4" borderId="0" xfId="9" applyFont="1" applyFill="1" applyAlignment="1"/>
    <xf numFmtId="0" fontId="21" fillId="4" borderId="0" xfId="9" applyFont="1" applyFill="1" applyAlignment="1"/>
    <xf numFmtId="0" fontId="23" fillId="4" borderId="0" xfId="9" applyFont="1" applyFill="1" applyAlignment="1">
      <alignment horizontal="center"/>
    </xf>
    <xf numFmtId="0" fontId="28" fillId="4" borderId="0" xfId="9" applyFont="1" applyFill="1" applyAlignment="1">
      <alignment vertical="center"/>
    </xf>
    <xf numFmtId="173" fontId="3" fillId="4" borderId="2" xfId="9" applyNumberFormat="1" applyFill="1" applyBorder="1" applyAlignment="1">
      <alignment horizontal="center" vertical="center"/>
    </xf>
    <xf numFmtId="0" fontId="3" fillId="4" borderId="0" xfId="9" applyFill="1" applyAlignment="1">
      <alignment vertical="center" wrapText="1"/>
    </xf>
    <xf numFmtId="0" fontId="3" fillId="4" borderId="2" xfId="9" applyFill="1" applyBorder="1" applyAlignment="1">
      <alignment horizontal="center" vertical="center" wrapText="1"/>
    </xf>
    <xf numFmtId="0" fontId="3" fillId="4" borderId="0" xfId="9" applyFill="1" applyAlignment="1">
      <alignment vertical="center"/>
    </xf>
    <xf numFmtId="4" fontId="21" fillId="4" borderId="0" xfId="9" applyNumberFormat="1" applyFont="1" applyFill="1"/>
    <xf numFmtId="0" fontId="21" fillId="4" borderId="0" xfId="9" applyFont="1" applyFill="1"/>
    <xf numFmtId="0" fontId="3" fillId="4" borderId="34" xfId="9" applyFill="1" applyBorder="1" applyAlignment="1">
      <alignment horizontal="center"/>
    </xf>
    <xf numFmtId="0" fontId="3" fillId="4" borderId="34" xfId="9" applyFill="1" applyBorder="1"/>
    <xf numFmtId="4" fontId="3" fillId="4" borderId="34" xfId="9" applyNumberFormat="1" applyFill="1" applyBorder="1"/>
    <xf numFmtId="0" fontId="3" fillId="4" borderId="0" xfId="9" applyFill="1" applyBorder="1" applyAlignment="1">
      <alignment horizontal="center"/>
    </xf>
    <xf numFmtId="0" fontId="3" fillId="4" borderId="0" xfId="9" applyFill="1" applyBorder="1"/>
    <xf numFmtId="4" fontId="3" fillId="4" borderId="0" xfId="9" applyNumberFormat="1" applyFill="1" applyBorder="1"/>
    <xf numFmtId="169" fontId="3" fillId="4" borderId="2" xfId="9" applyNumberFormat="1" applyFill="1" applyBorder="1" applyAlignment="1">
      <alignment horizontal="center"/>
    </xf>
    <xf numFmtId="0" fontId="18" fillId="4" borderId="0" xfId="9" applyFont="1" applyFill="1" applyBorder="1" applyAlignment="1">
      <alignment horizontal="center"/>
    </xf>
    <xf numFmtId="0" fontId="3" fillId="4" borderId="0" xfId="9" applyFont="1" applyFill="1"/>
    <xf numFmtId="1" fontId="7" fillId="4" borderId="0" xfId="9" applyNumberFormat="1" applyFont="1" applyFill="1" applyBorder="1" applyAlignment="1">
      <alignment horizontal="left"/>
    </xf>
    <xf numFmtId="0" fontId="3" fillId="4" borderId="0" xfId="9" applyFill="1" applyAlignment="1">
      <alignment horizontal="right"/>
    </xf>
    <xf numFmtId="0" fontId="21" fillId="4" borderId="2" xfId="9" applyFont="1" applyFill="1" applyBorder="1" applyAlignment="1">
      <alignment horizontal="left" vertical="center" wrapText="1"/>
    </xf>
    <xf numFmtId="3" fontId="21" fillId="4" borderId="2" xfId="9" applyNumberFormat="1" applyFont="1" applyFill="1" applyBorder="1" applyAlignment="1">
      <alignment horizontal="center" vertical="center"/>
    </xf>
    <xf numFmtId="0" fontId="3" fillId="4" borderId="0" xfId="9" applyFont="1" applyFill="1" applyAlignment="1">
      <alignment vertical="center"/>
    </xf>
    <xf numFmtId="167" fontId="17" fillId="4" borderId="0" xfId="9" applyNumberFormat="1" applyFont="1" applyFill="1" applyBorder="1" applyAlignment="1">
      <alignment horizontal="right"/>
    </xf>
    <xf numFmtId="4" fontId="51" fillId="4" borderId="0" xfId="9" applyNumberFormat="1" applyFont="1" applyFill="1" applyAlignment="1">
      <alignment vertical="center"/>
    </xf>
    <xf numFmtId="167" fontId="5" fillId="4" borderId="0" xfId="9" applyNumberFormat="1" applyFont="1" applyFill="1" applyBorder="1" applyAlignment="1">
      <alignment horizontal="right"/>
    </xf>
    <xf numFmtId="4" fontId="53" fillId="4" borderId="0" xfId="9" applyNumberFormat="1" applyFont="1" applyFill="1" applyAlignment="1">
      <alignment vertical="center"/>
    </xf>
    <xf numFmtId="167" fontId="16" fillId="4" borderId="10" xfId="9" applyNumberFormat="1" applyFont="1" applyFill="1" applyBorder="1" applyAlignment="1">
      <alignment horizontal="right" shrinkToFit="1"/>
    </xf>
    <xf numFmtId="3" fontId="13" fillId="4" borderId="0" xfId="0" applyNumberFormat="1" applyFont="1" applyFill="1" applyBorder="1"/>
    <xf numFmtId="3" fontId="21" fillId="0" borderId="0" xfId="0" applyNumberFormat="1" applyFont="1" applyFill="1" applyBorder="1"/>
    <xf numFmtId="0" fontId="101" fillId="0" borderId="0" xfId="0" applyFont="1" applyFill="1"/>
    <xf numFmtId="167" fontId="31" fillId="0" borderId="10" xfId="9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wrapText="1"/>
    </xf>
    <xf numFmtId="49" fontId="9" fillId="0" borderId="2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21" fillId="0" borderId="7" xfId="0" applyFont="1" applyFill="1" applyBorder="1" applyAlignment="1"/>
    <xf numFmtId="0" fontId="23" fillId="0" borderId="2" xfId="0" applyFont="1" applyBorder="1" applyAlignment="1">
      <alignment wrapText="1"/>
    </xf>
    <xf numFmtId="0" fontId="14" fillId="0" borderId="0" xfId="0" applyFont="1" applyFill="1" applyBorder="1" applyAlignment="1">
      <alignment vertical="top" wrapText="1"/>
    </xf>
    <xf numFmtId="4" fontId="102" fillId="0" borderId="0" xfId="0" applyNumberFormat="1" applyFont="1" applyFill="1"/>
    <xf numFmtId="3" fontId="21" fillId="0" borderId="0" xfId="0" applyNumberFormat="1" applyFont="1" applyFill="1" applyAlignment="1">
      <alignment vertical="center" wrapText="1"/>
    </xf>
    <xf numFmtId="0" fontId="101" fillId="0" borderId="0" xfId="0" applyFont="1" applyFill="1" applyAlignment="1">
      <alignment horizontal="center" vertical="center"/>
    </xf>
    <xf numFmtId="0" fontId="103" fillId="0" borderId="0" xfId="0" applyFont="1" applyFill="1" applyAlignment="1">
      <alignment horizontal="center" vertical="center"/>
    </xf>
    <xf numFmtId="3" fontId="101" fillId="0" borderId="0" xfId="0" applyNumberFormat="1" applyFont="1" applyFill="1"/>
    <xf numFmtId="4" fontId="102" fillId="0" borderId="0" xfId="0" applyNumberFormat="1" applyFont="1" applyFill="1" applyAlignment="1">
      <alignment vertical="center" wrapText="1"/>
    </xf>
    <xf numFmtId="4" fontId="101" fillId="0" borderId="0" xfId="0" applyNumberFormat="1" applyFont="1" applyFill="1"/>
    <xf numFmtId="4" fontId="104" fillId="0" borderId="0" xfId="0" applyNumberFormat="1" applyFont="1" applyFill="1"/>
    <xf numFmtId="1" fontId="13" fillId="0" borderId="2" xfId="0" applyNumberFormat="1" applyFont="1" applyFill="1" applyBorder="1" applyAlignment="1">
      <alignment horizontal="right"/>
    </xf>
    <xf numFmtId="0" fontId="3" fillId="0" borderId="17" xfId="0" applyFont="1" applyFill="1" applyBorder="1" applyAlignment="1">
      <alignment horizontal="center" vertical="center"/>
    </xf>
    <xf numFmtId="3" fontId="13" fillId="0" borderId="15" xfId="0" applyNumberFormat="1" applyFont="1" applyFill="1" applyBorder="1"/>
    <xf numFmtId="0" fontId="23" fillId="0" borderId="17" xfId="0" applyFont="1" applyBorder="1"/>
    <xf numFmtId="0" fontId="3" fillId="0" borderId="6" xfId="0" applyFont="1" applyFill="1" applyBorder="1" applyAlignment="1"/>
    <xf numFmtId="0" fontId="23" fillId="0" borderId="2" xfId="0" applyFont="1" applyBorder="1" applyAlignment="1">
      <alignment vertical="top"/>
    </xf>
    <xf numFmtId="0" fontId="11" fillId="3" borderId="2" xfId="0" applyFont="1" applyFill="1" applyBorder="1"/>
    <xf numFmtId="49" fontId="9" fillId="3" borderId="17" xfId="0" applyNumberFormat="1" applyFont="1" applyFill="1" applyBorder="1" applyAlignment="1">
      <alignment horizontal="left" vertical="top"/>
    </xf>
    <xf numFmtId="0" fontId="23" fillId="0" borderId="2" xfId="0" applyFont="1" applyBorder="1" applyAlignment="1"/>
    <xf numFmtId="3" fontId="11" fillId="0" borderId="12" xfId="0" applyNumberFormat="1" applyFont="1" applyFill="1" applyBorder="1"/>
    <xf numFmtId="0" fontId="3" fillId="0" borderId="17" xfId="0" applyFont="1" applyBorder="1" applyAlignment="1">
      <alignment horizontal="left" vertical="top" wrapText="1"/>
    </xf>
    <xf numFmtId="49" fontId="9" fillId="0" borderId="48" xfId="0" applyNumberFormat="1" applyFont="1" applyFill="1" applyBorder="1" applyAlignment="1">
      <alignment horizontal="left"/>
    </xf>
    <xf numFmtId="3" fontId="14" fillId="0" borderId="48" xfId="0" applyNumberFormat="1" applyFont="1" applyFill="1" applyBorder="1" applyAlignment="1">
      <alignment vertical="top"/>
    </xf>
    <xf numFmtId="166" fontId="14" fillId="0" borderId="35" xfId="0" applyNumberFormat="1" applyFont="1" applyFill="1" applyBorder="1" applyAlignment="1">
      <alignment vertical="top"/>
    </xf>
    <xf numFmtId="166" fontId="11" fillId="0" borderId="0" xfId="0" applyNumberFormat="1" applyFont="1" applyFill="1" applyBorder="1"/>
    <xf numFmtId="3" fontId="21" fillId="4" borderId="2" xfId="9" applyNumberFormat="1" applyFont="1" applyFill="1" applyBorder="1" applyAlignment="1">
      <alignment horizontal="right" vertical="center"/>
    </xf>
    <xf numFmtId="173" fontId="3" fillId="4" borderId="0" xfId="9" applyNumberFormat="1" applyFill="1" applyBorder="1" applyAlignment="1">
      <alignment horizontal="center"/>
    </xf>
    <xf numFmtId="3" fontId="11" fillId="0" borderId="2" xfId="7" applyFont="1" applyBorder="1" applyAlignment="1">
      <alignment horizontal="right"/>
    </xf>
    <xf numFmtId="3" fontId="13" fillId="0" borderId="9" xfId="7" applyFont="1" applyBorder="1" applyAlignment="1">
      <alignment horizontal="right"/>
    </xf>
    <xf numFmtId="3" fontId="13" fillId="0" borderId="2" xfId="7" applyFont="1" applyBorder="1" applyAlignment="1">
      <alignment horizontal="right"/>
    </xf>
    <xf numFmtId="1" fontId="12" fillId="3" borderId="9" xfId="7" applyNumberFormat="1" applyFont="1" applyFill="1" applyBorder="1" applyAlignment="1">
      <alignment horizontal="center" vertical="center"/>
    </xf>
    <xf numFmtId="1" fontId="12" fillId="3" borderId="2" xfId="7" applyNumberFormat="1" applyFont="1" applyFill="1" applyBorder="1" applyAlignment="1">
      <alignment horizontal="center" vertical="center"/>
    </xf>
    <xf numFmtId="1" fontId="12" fillId="3" borderId="14" xfId="7" applyNumberFormat="1" applyFont="1" applyFill="1" applyBorder="1" applyAlignment="1">
      <alignment horizontal="center" vertical="center"/>
    </xf>
    <xf numFmtId="1" fontId="12" fillId="3" borderId="26" xfId="7" applyNumberFormat="1" applyFont="1" applyFill="1" applyBorder="1" applyAlignment="1">
      <alignment horizontal="center" vertical="center"/>
    </xf>
    <xf numFmtId="1" fontId="12" fillId="3" borderId="12" xfId="7" applyNumberFormat="1" applyFont="1" applyFill="1" applyBorder="1" applyAlignment="1">
      <alignment horizontal="center" vertical="center"/>
    </xf>
    <xf numFmtId="1" fontId="12" fillId="3" borderId="33" xfId="7" applyNumberFormat="1" applyFont="1" applyFill="1" applyBorder="1" applyAlignment="1">
      <alignment horizontal="center" vertical="center"/>
    </xf>
    <xf numFmtId="1" fontId="12" fillId="0" borderId="9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horizontal="center" vertical="center"/>
    </xf>
    <xf numFmtId="1" fontId="12" fillId="0" borderId="26" xfId="0" applyNumberFormat="1" applyFont="1" applyFill="1" applyBorder="1" applyAlignment="1">
      <alignment horizontal="center" vertical="center"/>
    </xf>
    <xf numFmtId="1" fontId="12" fillId="0" borderId="12" xfId="0" applyNumberFormat="1" applyFont="1" applyFill="1" applyBorder="1" applyAlignment="1">
      <alignment horizontal="center" vertical="center"/>
    </xf>
    <xf numFmtId="0" fontId="12" fillId="0" borderId="2" xfId="9" applyFont="1" applyBorder="1" applyAlignment="1">
      <alignment wrapText="1"/>
    </xf>
    <xf numFmtId="0" fontId="12" fillId="0" borderId="0" xfId="0" applyFont="1" applyBorder="1" applyAlignment="1">
      <alignment horizontal="left"/>
    </xf>
    <xf numFmtId="0" fontId="12" fillId="0" borderId="0" xfId="0" applyFont="1" applyBorder="1" applyAlignment="1">
      <alignment wrapText="1"/>
    </xf>
    <xf numFmtId="0" fontId="3" fillId="0" borderId="0" xfId="0" applyFont="1" applyFill="1" applyAlignment="1">
      <alignment horizontal="center"/>
    </xf>
    <xf numFmtId="168" fontId="23" fillId="0" borderId="0" xfId="0" applyNumberFormat="1" applyFont="1" applyFill="1" applyAlignment="1">
      <alignment horizontal="left"/>
    </xf>
    <xf numFmtId="3" fontId="0" fillId="0" borderId="0" xfId="0" applyNumberFormat="1" applyFill="1" applyAlignment="1">
      <alignment horizontal="right"/>
    </xf>
    <xf numFmtId="0" fontId="13" fillId="0" borderId="14" xfId="0" applyFont="1" applyBorder="1"/>
    <xf numFmtId="167" fontId="13" fillId="0" borderId="21" xfId="0" applyNumberFormat="1" applyFont="1" applyBorder="1" applyAlignment="1">
      <alignment horizontal="right"/>
    </xf>
    <xf numFmtId="167" fontId="13" fillId="0" borderId="42" xfId="0" applyNumberFormat="1" applyFont="1" applyBorder="1" applyAlignment="1">
      <alignment horizontal="right"/>
    </xf>
    <xf numFmtId="167" fontId="21" fillId="0" borderId="25" xfId="0" applyNumberFormat="1" applyFont="1" applyFill="1" applyBorder="1" applyAlignment="1">
      <alignment horizontal="right" vertical="center" wrapText="1"/>
    </xf>
    <xf numFmtId="167" fontId="11" fillId="0" borderId="21" xfId="0" applyNumberFormat="1" applyFont="1" applyBorder="1" applyAlignment="1">
      <alignment horizontal="right"/>
    </xf>
    <xf numFmtId="167" fontId="11" fillId="0" borderId="21" xfId="0" applyNumberFormat="1" applyFont="1" applyFill="1" applyBorder="1" applyAlignment="1"/>
    <xf numFmtId="167" fontId="34" fillId="0" borderId="34" xfId="0" applyNumberFormat="1" applyFont="1" applyFill="1" applyBorder="1" applyAlignment="1">
      <alignment horizontal="right"/>
    </xf>
    <xf numFmtId="1" fontId="12" fillId="0" borderId="33" xfId="0" applyNumberFormat="1" applyFont="1" applyFill="1" applyBorder="1" applyAlignment="1">
      <alignment horizontal="center" vertical="center"/>
    </xf>
    <xf numFmtId="1" fontId="12" fillId="0" borderId="14" xfId="0" applyNumberFormat="1" applyFont="1" applyFill="1" applyBorder="1" applyAlignment="1">
      <alignment horizontal="center" vertical="center"/>
    </xf>
    <xf numFmtId="168" fontId="27" fillId="0" borderId="14" xfId="0" applyNumberFormat="1" applyFont="1" applyFill="1" applyBorder="1" applyAlignment="1">
      <alignment horizontal="left"/>
    </xf>
    <xf numFmtId="0" fontId="13" fillId="0" borderId="53" xfId="0" applyFont="1" applyFill="1" applyBorder="1"/>
    <xf numFmtId="3" fontId="43" fillId="0" borderId="0" xfId="0" applyNumberFormat="1" applyFont="1" applyFill="1" applyBorder="1" applyAlignment="1">
      <alignment horizontal="right"/>
    </xf>
    <xf numFmtId="166" fontId="43" fillId="0" borderId="0" xfId="0" applyNumberFormat="1" applyFont="1" applyFill="1" applyBorder="1" applyAlignment="1">
      <alignment horizontal="right" vertical="center" shrinkToFit="1"/>
    </xf>
    <xf numFmtId="3" fontId="43" fillId="0" borderId="60" xfId="0" applyNumberFormat="1" applyFont="1" applyFill="1" applyBorder="1" applyAlignment="1">
      <alignment horizontal="right"/>
    </xf>
    <xf numFmtId="166" fontId="43" fillId="0" borderId="60" xfId="0" applyNumberFormat="1" applyFont="1" applyFill="1" applyBorder="1" applyAlignment="1">
      <alignment horizontal="right" vertical="center" shrinkToFit="1"/>
    </xf>
    <xf numFmtId="3" fontId="43" fillId="0" borderId="34" xfId="0" applyNumberFormat="1" applyFont="1" applyFill="1" applyBorder="1" applyAlignment="1">
      <alignment horizontal="right"/>
    </xf>
    <xf numFmtId="166" fontId="43" fillId="0" borderId="34" xfId="0" applyNumberFormat="1" applyFont="1" applyFill="1" applyBorder="1" applyAlignment="1">
      <alignment horizontal="right" vertical="center" shrinkToFit="1"/>
    </xf>
    <xf numFmtId="3" fontId="0" fillId="0" borderId="34" xfId="0" applyNumberFormat="1" applyFill="1" applyBorder="1"/>
    <xf numFmtId="0" fontId="0" fillId="0" borderId="34" xfId="0" applyFill="1" applyBorder="1" applyAlignment="1">
      <alignment horizontal="right"/>
    </xf>
    <xf numFmtId="3" fontId="43" fillId="0" borderId="60" xfId="0" applyNumberFormat="1" applyFont="1" applyFill="1" applyBorder="1" applyAlignment="1"/>
    <xf numFmtId="3" fontId="43" fillId="0" borderId="0" xfId="0" applyNumberFormat="1" applyFont="1" applyFill="1" applyBorder="1" applyAlignment="1"/>
    <xf numFmtId="1" fontId="37" fillId="0" borderId="15" xfId="0" applyNumberFormat="1" applyFont="1" applyFill="1" applyBorder="1" applyAlignment="1">
      <alignment horizontal="center"/>
    </xf>
    <xf numFmtId="167" fontId="21" fillId="0" borderId="21" xfId="0" applyNumberFormat="1" applyFont="1" applyFill="1" applyBorder="1"/>
    <xf numFmtId="0" fontId="12" fillId="0" borderId="14" xfId="0" applyFont="1" applyFill="1" applyBorder="1"/>
    <xf numFmtId="0" fontId="3" fillId="0" borderId="2" xfId="9" applyBorder="1" applyAlignment="1"/>
    <xf numFmtId="0" fontId="12" fillId="0" borderId="2" xfId="0" applyFont="1" applyBorder="1" applyAlignment="1">
      <alignment wrapText="1"/>
    </xf>
    <xf numFmtId="0" fontId="12" fillId="0" borderId="2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168" fontId="23" fillId="0" borderId="0" xfId="0" applyNumberFormat="1" applyFont="1" applyFill="1" applyAlignment="1">
      <alignment horizontal="left"/>
    </xf>
    <xf numFmtId="0" fontId="21" fillId="0" borderId="4" xfId="9" applyFont="1" applyFill="1" applyBorder="1" applyAlignment="1">
      <alignment horizontal="left"/>
    </xf>
    <xf numFmtId="0" fontId="21" fillId="0" borderId="5" xfId="9" applyFont="1" applyFill="1" applyBorder="1" applyAlignment="1">
      <alignment horizontal="left"/>
    </xf>
    <xf numFmtId="3" fontId="7" fillId="0" borderId="0" xfId="9" applyNumberFormat="1" applyFont="1" applyFill="1" applyBorder="1" applyAlignment="1">
      <alignment horizontal="right"/>
    </xf>
    <xf numFmtId="0" fontId="3" fillId="0" borderId="0" xfId="9" applyFont="1" applyFill="1" applyAlignment="1">
      <alignment horizontal="right"/>
    </xf>
    <xf numFmtId="0" fontId="75" fillId="0" borderId="0" xfId="9" applyFont="1" applyFill="1" applyAlignment="1">
      <alignment horizontal="left" wrapText="1"/>
    </xf>
    <xf numFmtId="0" fontId="3" fillId="0" borderId="0" xfId="9" applyFill="1" applyAlignment="1">
      <alignment wrapText="1"/>
    </xf>
    <xf numFmtId="0" fontId="21" fillId="4" borderId="4" xfId="9" applyFont="1" applyFill="1" applyBorder="1" applyAlignment="1">
      <alignment horizontal="left"/>
    </xf>
    <xf numFmtId="0" fontId="21" fillId="4" borderId="5" xfId="9" applyFont="1" applyFill="1" applyBorder="1" applyAlignment="1">
      <alignment horizontal="left"/>
    </xf>
    <xf numFmtId="0" fontId="13" fillId="0" borderId="14" xfId="0" applyFont="1" applyBorder="1" applyAlignment="1">
      <alignment wrapText="1"/>
    </xf>
    <xf numFmtId="1" fontId="13" fillId="0" borderId="27" xfId="0" applyNumberFormat="1" applyFont="1" applyBorder="1" applyAlignment="1">
      <alignment horizontal="left"/>
    </xf>
    <xf numFmtId="49" fontId="9" fillId="0" borderId="27" xfId="0" applyNumberFormat="1" applyFont="1" applyBorder="1" applyAlignment="1">
      <alignment horizontal="left" vertical="top"/>
    </xf>
    <xf numFmtId="0" fontId="3" fillId="0" borderId="27" xfId="0" applyFont="1" applyBorder="1" applyAlignment="1">
      <alignment vertical="top" wrapText="1"/>
    </xf>
    <xf numFmtId="3" fontId="12" fillId="0" borderId="27" xfId="0" applyNumberFormat="1" applyFont="1" applyBorder="1" applyAlignment="1">
      <alignment horizontal="right"/>
    </xf>
    <xf numFmtId="3" fontId="11" fillId="0" borderId="27" xfId="0" applyNumberFormat="1" applyFont="1" applyFill="1" applyBorder="1" applyAlignment="1">
      <alignment horizontal="right" vertical="top"/>
    </xf>
    <xf numFmtId="166" fontId="11" fillId="0" borderId="27" xfId="0" applyNumberFormat="1" applyFont="1" applyBorder="1" applyAlignment="1">
      <alignment horizontal="right" vertical="top"/>
    </xf>
    <xf numFmtId="166" fontId="11" fillId="0" borderId="0" xfId="0" applyNumberFormat="1" applyFont="1" applyBorder="1" applyAlignment="1">
      <alignment horizontal="right" vertical="top"/>
    </xf>
    <xf numFmtId="0" fontId="35" fillId="0" borderId="6" xfId="9" applyFont="1" applyFill="1" applyBorder="1" applyAlignment="1">
      <alignment horizontal="center" vertical="center"/>
    </xf>
    <xf numFmtId="1" fontId="35" fillId="0" borderId="2" xfId="9" applyNumberFormat="1" applyFont="1" applyFill="1" applyBorder="1" applyAlignment="1">
      <alignment horizontal="center" vertical="center" wrapText="1"/>
    </xf>
    <xf numFmtId="1" fontId="35" fillId="0" borderId="15" xfId="9" applyNumberFormat="1" applyFont="1" applyFill="1" applyBorder="1" applyAlignment="1">
      <alignment horizontal="center" vertical="center" wrapText="1"/>
    </xf>
    <xf numFmtId="3" fontId="35" fillId="0" borderId="21" xfId="9" applyNumberFormat="1" applyFont="1" applyFill="1" applyBorder="1" applyAlignment="1">
      <alignment horizontal="center" vertical="center"/>
    </xf>
    <xf numFmtId="3" fontId="28" fillId="0" borderId="0" xfId="9" applyNumberFormat="1" applyFont="1" applyFill="1" applyAlignment="1">
      <alignment vertical="center"/>
    </xf>
    <xf numFmtId="3" fontId="21" fillId="0" borderId="17" xfId="9" applyNumberFormat="1" applyFont="1" applyFill="1" applyBorder="1" applyAlignment="1">
      <alignment vertical="center"/>
    </xf>
    <xf numFmtId="166" fontId="21" fillId="0" borderId="25" xfId="9" applyNumberFormat="1" applyFont="1" applyFill="1" applyBorder="1" applyAlignment="1">
      <alignment horizontal="center" vertical="center"/>
    </xf>
    <xf numFmtId="173" fontId="3" fillId="0" borderId="9" xfId="9" applyNumberFormat="1" applyFill="1" applyBorder="1" applyAlignment="1">
      <alignment horizontal="center" vertical="center"/>
    </xf>
    <xf numFmtId="0" fontId="21" fillId="4" borderId="0" xfId="9" applyFont="1" applyFill="1" applyBorder="1" applyAlignment="1"/>
    <xf numFmtId="0" fontId="93" fillId="0" borderId="0" xfId="9" applyFont="1" applyBorder="1" applyAlignment="1">
      <alignment vertical="center"/>
    </xf>
    <xf numFmtId="0" fontId="93" fillId="4" borderId="0" xfId="9" applyFont="1" applyFill="1" applyBorder="1" applyAlignment="1">
      <alignment vertical="center"/>
    </xf>
    <xf numFmtId="0" fontId="3" fillId="5" borderId="2" xfId="9" applyFont="1" applyFill="1" applyBorder="1" applyAlignment="1">
      <alignment horizontal="center" vertical="center"/>
    </xf>
    <xf numFmtId="0" fontId="3" fillId="5" borderId="17" xfId="9" applyFont="1" applyFill="1" applyBorder="1" applyAlignment="1">
      <alignment horizontal="center" vertical="center"/>
    </xf>
    <xf numFmtId="0" fontId="21" fillId="5" borderId="17" xfId="9" applyFont="1" applyFill="1" applyBorder="1" applyAlignment="1">
      <alignment vertical="center" wrapText="1"/>
    </xf>
    <xf numFmtId="173" fontId="3" fillId="5" borderId="2" xfId="9" applyNumberFormat="1" applyFont="1" applyFill="1" applyBorder="1" applyAlignment="1">
      <alignment horizontal="center" vertical="center" wrapText="1"/>
    </xf>
    <xf numFmtId="0" fontId="39" fillId="0" borderId="0" xfId="9" applyFont="1" applyFill="1" applyBorder="1" applyAlignment="1">
      <alignment horizontal="left"/>
    </xf>
    <xf numFmtId="0" fontId="3" fillId="0" borderId="0" xfId="9" applyFill="1" applyBorder="1" applyAlignment="1"/>
    <xf numFmtId="0" fontId="39" fillId="0" borderId="19" xfId="9" applyFont="1" applyFill="1" applyBorder="1" applyAlignment="1"/>
    <xf numFmtId="0" fontId="3" fillId="0" borderId="19" xfId="9" applyFill="1" applyBorder="1" applyAlignment="1"/>
    <xf numFmtId="3" fontId="21" fillId="0" borderId="0" xfId="9" applyNumberFormat="1" applyFont="1" applyFill="1" applyAlignment="1">
      <alignment horizontal="right" vertical="center"/>
    </xf>
    <xf numFmtId="166" fontId="21" fillId="0" borderId="24" xfId="9" applyNumberFormat="1" applyFont="1" applyFill="1" applyBorder="1" applyAlignment="1">
      <alignment horizontal="right" vertical="center"/>
    </xf>
    <xf numFmtId="3" fontId="21" fillId="0" borderId="5" xfId="9" applyNumberFormat="1" applyFont="1" applyFill="1" applyBorder="1" applyAlignment="1">
      <alignment horizontal="right"/>
    </xf>
    <xf numFmtId="3" fontId="21" fillId="0" borderId="37" xfId="9" applyNumberFormat="1" applyFont="1" applyFill="1" applyBorder="1" applyAlignment="1">
      <alignment horizontal="right"/>
    </xf>
    <xf numFmtId="166" fontId="21" fillId="0" borderId="42" xfId="9" applyNumberFormat="1" applyFont="1" applyFill="1" applyBorder="1" applyAlignment="1">
      <alignment horizontal="right" vertical="center"/>
    </xf>
    <xf numFmtId="0" fontId="8" fillId="0" borderId="15" xfId="0" applyFont="1" applyFill="1" applyBorder="1"/>
    <xf numFmtId="49" fontId="9" fillId="0" borderId="27" xfId="0" applyNumberFormat="1" applyFont="1" applyBorder="1" applyAlignment="1">
      <alignment horizontal="left"/>
    </xf>
    <xf numFmtId="3" fontId="8" fillId="0" borderId="27" xfId="0" applyNumberFormat="1" applyFont="1" applyBorder="1" applyAlignment="1">
      <alignment horizontal="right"/>
    </xf>
    <xf numFmtId="167" fontId="8" fillId="0" borderId="27" xfId="0" applyNumberFormat="1" applyFont="1" applyBorder="1" applyAlignment="1">
      <alignment horizontal="right"/>
    </xf>
    <xf numFmtId="4" fontId="74" fillId="4" borderId="0" xfId="9" applyNumberFormat="1" applyFont="1" applyFill="1" applyAlignment="1">
      <alignment vertical="center"/>
    </xf>
    <xf numFmtId="4" fontId="74" fillId="4" borderId="0" xfId="9" applyNumberFormat="1" applyFont="1" applyFill="1"/>
    <xf numFmtId="4" fontId="74" fillId="4" borderId="28" xfId="9" applyNumberFormat="1" applyFont="1" applyFill="1" applyBorder="1"/>
    <xf numFmtId="4" fontId="74" fillId="4" borderId="19" xfId="9" applyNumberFormat="1" applyFont="1" applyFill="1" applyBorder="1"/>
    <xf numFmtId="4" fontId="74" fillId="4" borderId="12" xfId="9" applyNumberFormat="1" applyFont="1" applyFill="1" applyBorder="1"/>
    <xf numFmtId="4" fontId="74" fillId="4" borderId="0" xfId="9" applyNumberFormat="1" applyFont="1" applyFill="1" applyBorder="1"/>
    <xf numFmtId="168" fontId="23" fillId="0" borderId="0" xfId="0" applyNumberFormat="1" applyFont="1" applyFill="1" applyAlignment="1">
      <alignment horizontal="left"/>
    </xf>
    <xf numFmtId="49" fontId="27" fillId="0" borderId="2" xfId="4" applyNumberFormat="1" applyFont="1" applyBorder="1" applyAlignment="1">
      <alignment horizontal="left" vertical="top"/>
    </xf>
    <xf numFmtId="3" fontId="14" fillId="0" borderId="2" xfId="4" applyFont="1" applyBorder="1" applyAlignment="1">
      <alignment vertical="top"/>
    </xf>
    <xf numFmtId="3" fontId="124" fillId="0" borderId="0" xfId="50" applyNumberFormat="1" applyFont="1"/>
    <xf numFmtId="166" fontId="11" fillId="0" borderId="42" xfId="0" applyNumberFormat="1" applyFont="1" applyFill="1" applyBorder="1"/>
    <xf numFmtId="3" fontId="14" fillId="0" borderId="0" xfId="0" applyNumberFormat="1" applyFont="1" applyFill="1" applyBorder="1" applyAlignment="1">
      <alignment vertical="top"/>
    </xf>
    <xf numFmtId="166" fontId="14" fillId="0" borderId="0" xfId="0" applyNumberFormat="1" applyFont="1" applyFill="1" applyBorder="1" applyAlignment="1">
      <alignment vertical="top"/>
    </xf>
    <xf numFmtId="0" fontId="124" fillId="0" borderId="2" xfId="50" applyFont="1" applyBorder="1"/>
    <xf numFmtId="0" fontId="14" fillId="0" borderId="0" xfId="0" applyFont="1" applyFill="1" applyBorder="1" applyAlignment="1">
      <alignment vertical="top" wrapText="1"/>
    </xf>
    <xf numFmtId="1" fontId="13" fillId="0" borderId="2" xfId="0" applyNumberFormat="1" applyFont="1" applyFill="1" applyBorder="1" applyAlignment="1">
      <alignment horizontal="left" vertical="top" wrapText="1"/>
    </xf>
    <xf numFmtId="3" fontId="13" fillId="0" borderId="21" xfId="0" applyNumberFormat="1" applyFont="1" applyFill="1" applyBorder="1"/>
    <xf numFmtId="0" fontId="23" fillId="0" borderId="2" xfId="0" applyFont="1" applyBorder="1" applyAlignment="1">
      <alignment vertical="center"/>
    </xf>
    <xf numFmtId="49" fontId="9" fillId="3" borderId="14" xfId="0" applyNumberFormat="1" applyFont="1" applyFill="1" applyBorder="1" applyAlignment="1">
      <alignment horizontal="left" vertical="top"/>
    </xf>
    <xf numFmtId="0" fontId="23" fillId="0" borderId="14" xfId="0" applyFont="1" applyBorder="1"/>
    <xf numFmtId="166" fontId="11" fillId="0" borderId="0" xfId="0" applyNumberFormat="1" applyFont="1" applyBorder="1" applyAlignment="1">
      <alignment horizontal="right"/>
    </xf>
    <xf numFmtId="49" fontId="27" fillId="0" borderId="0" xfId="9" applyNumberFormat="1" applyFont="1" applyBorder="1" applyAlignment="1">
      <alignment horizontal="left" vertical="center"/>
    </xf>
    <xf numFmtId="166" fontId="11" fillId="0" borderId="0" xfId="9" applyNumberFormat="1" applyFont="1" applyBorder="1" applyAlignment="1">
      <alignment horizontal="right"/>
    </xf>
    <xf numFmtId="49" fontId="27" fillId="0" borderId="14" xfId="9" applyNumberFormat="1" applyFont="1" applyBorder="1" applyAlignment="1">
      <alignment horizontal="left" vertical="center"/>
    </xf>
    <xf numFmtId="0" fontId="12" fillId="0" borderId="34" xfId="9" applyFont="1" applyBorder="1"/>
    <xf numFmtId="3" fontId="11" fillId="0" borderId="14" xfId="9" applyNumberFormat="1" applyFont="1" applyBorder="1" applyAlignment="1">
      <alignment horizontal="right"/>
    </xf>
    <xf numFmtId="3" fontId="14" fillId="0" borderId="34" xfId="9" applyNumberFormat="1" applyFont="1" applyFill="1" applyBorder="1" applyAlignment="1">
      <alignment horizontal="right"/>
    </xf>
    <xf numFmtId="3" fontId="14" fillId="0" borderId="14" xfId="9" applyNumberFormat="1" applyFont="1" applyFill="1" applyBorder="1" applyAlignment="1">
      <alignment horizontal="right"/>
    </xf>
    <xf numFmtId="166" fontId="11" fillId="0" borderId="35" xfId="9" applyNumberFormat="1" applyFont="1" applyBorder="1" applyAlignment="1">
      <alignment horizontal="right"/>
    </xf>
    <xf numFmtId="167" fontId="8" fillId="0" borderId="0" xfId="0" applyNumberFormat="1" applyFont="1" applyBorder="1" applyAlignment="1">
      <alignment horizontal="right"/>
    </xf>
    <xf numFmtId="0" fontId="3" fillId="0" borderId="14" xfId="9" applyNumberFormat="1" applyFill="1" applyBorder="1" applyAlignment="1">
      <alignment horizontal="center" vertical="center"/>
    </xf>
    <xf numFmtId="0" fontId="3" fillId="4" borderId="50" xfId="9" applyFill="1" applyBorder="1" applyAlignment="1">
      <alignment horizontal="center" vertical="center"/>
    </xf>
    <xf numFmtId="0" fontId="3" fillId="4" borderId="0" xfId="0" applyFont="1" applyFill="1"/>
    <xf numFmtId="0" fontId="21" fillId="4" borderId="0" xfId="0" applyFont="1" applyFill="1"/>
    <xf numFmtId="164" fontId="3" fillId="4" borderId="0" xfId="0" applyNumberFormat="1" applyFont="1" applyFill="1" applyAlignment="1">
      <alignment horizontal="center"/>
    </xf>
    <xf numFmtId="3" fontId="23" fillId="4" borderId="0" xfId="0" applyNumberFormat="1" applyFont="1" applyFill="1"/>
    <xf numFmtId="0" fontId="23" fillId="4" borderId="0" xfId="0" applyFont="1" applyFill="1"/>
    <xf numFmtId="3" fontId="3" fillId="4" borderId="0" xfId="0" applyNumberFormat="1" applyFont="1" applyFill="1"/>
    <xf numFmtId="0" fontId="3" fillId="4" borderId="4" xfId="0" applyFont="1" applyFill="1" applyBorder="1" applyAlignment="1">
      <alignment horizontal="center" vertical="center"/>
    </xf>
    <xf numFmtId="164" fontId="3" fillId="4" borderId="5" xfId="0" applyNumberFormat="1" applyFont="1" applyFill="1" applyBorder="1" applyAlignment="1">
      <alignment horizontal="center" vertical="center"/>
    </xf>
    <xf numFmtId="3" fontId="3" fillId="4" borderId="5" xfId="0" applyNumberFormat="1" applyFont="1" applyFill="1" applyBorder="1" applyAlignment="1">
      <alignment horizontal="center" vertical="center" wrapText="1"/>
    </xf>
    <xf numFmtId="3" fontId="3" fillId="4" borderId="24" xfId="0" applyNumberFormat="1" applyFont="1" applyFill="1" applyBorder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5" fillId="4" borderId="38" xfId="0" applyFont="1" applyFill="1" applyBorder="1" applyAlignment="1">
      <alignment horizontal="center" vertical="center"/>
    </xf>
    <xf numFmtId="1" fontId="35" fillId="4" borderId="9" xfId="0" applyNumberFormat="1" applyFont="1" applyFill="1" applyBorder="1" applyAlignment="1">
      <alignment horizontal="center" vertical="center"/>
    </xf>
    <xf numFmtId="3" fontId="35" fillId="4" borderId="9" xfId="0" applyNumberFormat="1" applyFont="1" applyFill="1" applyBorder="1" applyAlignment="1">
      <alignment horizontal="center" vertical="center" wrapText="1"/>
    </xf>
    <xf numFmtId="3" fontId="35" fillId="4" borderId="23" xfId="0" applyNumberFormat="1" applyFont="1" applyFill="1" applyBorder="1" applyAlignment="1">
      <alignment horizontal="center" vertical="center"/>
    </xf>
    <xf numFmtId="0" fontId="35" fillId="4" borderId="0" xfId="0" applyFont="1" applyFill="1" applyAlignment="1">
      <alignment vertical="center"/>
    </xf>
    <xf numFmtId="0" fontId="21" fillId="4" borderId="38" xfId="0" applyFont="1" applyFill="1" applyBorder="1"/>
    <xf numFmtId="164" fontId="37" fillId="4" borderId="9" xfId="0" applyNumberFormat="1" applyFont="1" applyFill="1" applyBorder="1" applyAlignment="1">
      <alignment horizontal="center"/>
    </xf>
    <xf numFmtId="3" fontId="21" fillId="4" borderId="9" xfId="0" applyNumberFormat="1" applyFont="1" applyFill="1" applyBorder="1"/>
    <xf numFmtId="166" fontId="21" fillId="4" borderId="23" xfId="0" applyNumberFormat="1" applyFont="1" applyFill="1" applyBorder="1"/>
    <xf numFmtId="4" fontId="97" fillId="4" borderId="0" xfId="0" applyNumberFormat="1" applyFont="1" applyFill="1" applyBorder="1"/>
    <xf numFmtId="0" fontId="3" fillId="4" borderId="6" xfId="0" applyFont="1" applyFill="1" applyBorder="1"/>
    <xf numFmtId="164" fontId="3" fillId="4" borderId="2" xfId="0" applyNumberFormat="1" applyFont="1" applyFill="1" applyBorder="1" applyAlignment="1">
      <alignment horizontal="center"/>
    </xf>
    <xf numFmtId="3" fontId="23" fillId="4" borderId="2" xfId="0" applyNumberFormat="1" applyFont="1" applyFill="1" applyBorder="1"/>
    <xf numFmtId="166" fontId="23" fillId="4" borderId="21" xfId="0" applyNumberFormat="1" applyFont="1" applyFill="1" applyBorder="1"/>
    <xf numFmtId="4" fontId="74" fillId="4" borderId="0" xfId="0" applyNumberFormat="1" applyFont="1" applyFill="1" applyBorder="1"/>
    <xf numFmtId="164" fontId="3" fillId="4" borderId="17" xfId="0" applyNumberFormat="1" applyFont="1" applyFill="1" applyBorder="1" applyAlignment="1">
      <alignment horizontal="center"/>
    </xf>
    <xf numFmtId="0" fontId="12" fillId="4" borderId="12" xfId="0" applyFont="1" applyFill="1" applyBorder="1"/>
    <xf numFmtId="0" fontId="3" fillId="4" borderId="11" xfId="0" applyFont="1" applyFill="1" applyBorder="1"/>
    <xf numFmtId="164" fontId="3" fillId="4" borderId="3" xfId="0" applyNumberFormat="1" applyFont="1" applyFill="1" applyBorder="1" applyAlignment="1">
      <alignment horizontal="center"/>
    </xf>
    <xf numFmtId="3" fontId="23" fillId="4" borderId="3" xfId="0" applyNumberFormat="1" applyFont="1" applyFill="1" applyBorder="1"/>
    <xf numFmtId="166" fontId="23" fillId="4" borderId="49" xfId="0" applyNumberFormat="1" applyFont="1" applyFill="1" applyBorder="1"/>
    <xf numFmtId="4" fontId="74" fillId="4" borderId="28" xfId="0" applyNumberFormat="1" applyFont="1" applyFill="1" applyBorder="1"/>
    <xf numFmtId="4" fontId="74" fillId="4" borderId="19" xfId="0" applyNumberFormat="1" applyFont="1" applyFill="1" applyBorder="1"/>
    <xf numFmtId="0" fontId="21" fillId="4" borderId="47" xfId="0" applyFont="1" applyFill="1" applyBorder="1"/>
    <xf numFmtId="164" fontId="37" fillId="4" borderId="41" xfId="0" applyNumberFormat="1" applyFont="1" applyFill="1" applyBorder="1" applyAlignment="1">
      <alignment horizontal="center"/>
    </xf>
    <xf numFmtId="3" fontId="21" fillId="4" borderId="41" xfId="0" applyNumberFormat="1" applyFont="1" applyFill="1" applyBorder="1"/>
    <xf numFmtId="166" fontId="21" fillId="4" borderId="43" xfId="0" applyNumberFormat="1" applyFont="1" applyFill="1" applyBorder="1"/>
    <xf numFmtId="0" fontId="37" fillId="4" borderId="0" xfId="0" applyFont="1" applyFill="1"/>
    <xf numFmtId="4" fontId="74" fillId="4" borderId="12" xfId="0" applyNumberFormat="1" applyFont="1" applyFill="1" applyBorder="1"/>
    <xf numFmtId="0" fontId="12" fillId="4" borderId="28" xfId="0" applyFont="1" applyFill="1" applyBorder="1"/>
    <xf numFmtId="164" fontId="37" fillId="4" borderId="2" xfId="0" applyNumberFormat="1" applyFont="1" applyFill="1" applyBorder="1" applyAlignment="1">
      <alignment horizontal="center"/>
    </xf>
    <xf numFmtId="166" fontId="21" fillId="4" borderId="21" xfId="0" applyNumberFormat="1" applyFont="1" applyFill="1" applyBorder="1"/>
    <xf numFmtId="0" fontId="12" fillId="4" borderId="11" xfId="0" applyFont="1" applyFill="1" applyBorder="1"/>
    <xf numFmtId="0" fontId="21" fillId="4" borderId="12" xfId="0" applyFont="1" applyFill="1" applyBorder="1"/>
    <xf numFmtId="0" fontId="3" fillId="4" borderId="12" xfId="0" applyFont="1" applyFill="1" applyBorder="1"/>
    <xf numFmtId="164" fontId="37" fillId="4" borderId="3" xfId="0" applyNumberFormat="1" applyFont="1" applyFill="1" applyBorder="1" applyAlignment="1">
      <alignment horizontal="center"/>
    </xf>
    <xf numFmtId="3" fontId="21" fillId="4" borderId="2" xfId="0" applyNumberFormat="1" applyFont="1" applyFill="1" applyBorder="1"/>
    <xf numFmtId="0" fontId="21" fillId="4" borderId="47" xfId="0" applyFont="1" applyFill="1" applyBorder="1" applyAlignment="1">
      <alignment wrapText="1"/>
    </xf>
    <xf numFmtId="4" fontId="72" fillId="4" borderId="0" xfId="0" applyNumberFormat="1" applyFont="1" applyFill="1" applyBorder="1"/>
    <xf numFmtId="0" fontId="72" fillId="4" borderId="0" xfId="0" applyFont="1" applyFill="1"/>
    <xf numFmtId="0" fontId="12" fillId="4" borderId="33" xfId="0" applyFont="1" applyFill="1" applyBorder="1"/>
    <xf numFmtId="164" fontId="3" fillId="4" borderId="14" xfId="0" applyNumberFormat="1" applyFont="1" applyFill="1" applyBorder="1" applyAlignment="1">
      <alignment horizontal="center"/>
    </xf>
    <xf numFmtId="3" fontId="23" fillId="4" borderId="14" xfId="0" applyNumberFormat="1" applyFont="1" applyFill="1" applyBorder="1"/>
    <xf numFmtId="166" fontId="23" fillId="4" borderId="42" xfId="0" applyNumberFormat="1" applyFont="1" applyFill="1" applyBorder="1"/>
    <xf numFmtId="0" fontId="12" fillId="4" borderId="0" xfId="0" applyFont="1" applyFill="1" applyBorder="1"/>
    <xf numFmtId="164" fontId="3" fillId="4" borderId="0" xfId="0" applyNumberFormat="1" applyFont="1" applyFill="1" applyBorder="1" applyAlignment="1">
      <alignment horizontal="center"/>
    </xf>
    <xf numFmtId="0" fontId="106" fillId="4" borderId="0" xfId="0" applyFont="1" applyFill="1"/>
    <xf numFmtId="166" fontId="3" fillId="4" borderId="0" xfId="0" applyNumberFormat="1" applyFont="1" applyFill="1" applyBorder="1"/>
    <xf numFmtId="0" fontId="35" fillId="4" borderId="4" xfId="0" applyFont="1" applyFill="1" applyBorder="1" applyAlignment="1">
      <alignment horizontal="center" vertical="center"/>
    </xf>
    <xf numFmtId="1" fontId="35" fillId="4" borderId="5" xfId="0" applyNumberFormat="1" applyFont="1" applyFill="1" applyBorder="1" applyAlignment="1">
      <alignment horizontal="center" vertical="center"/>
    </xf>
    <xf numFmtId="3" fontId="35" fillId="4" borderId="5" xfId="0" applyNumberFormat="1" applyFont="1" applyFill="1" applyBorder="1" applyAlignment="1">
      <alignment horizontal="center" vertical="center" wrapText="1"/>
    </xf>
    <xf numFmtId="3" fontId="35" fillId="4" borderId="24" xfId="0" applyNumberFormat="1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left"/>
    </xf>
    <xf numFmtId="3" fontId="37" fillId="4" borderId="2" xfId="0" applyNumberFormat="1" applyFont="1" applyFill="1" applyBorder="1" applyAlignment="1">
      <alignment horizontal="center"/>
    </xf>
    <xf numFmtId="4" fontId="75" fillId="4" borderId="0" xfId="0" applyNumberFormat="1" applyFont="1" applyFill="1" applyBorder="1"/>
    <xf numFmtId="0" fontId="74" fillId="4" borderId="6" xfId="0" applyFont="1" applyFill="1" applyBorder="1" applyAlignment="1">
      <alignment wrapText="1"/>
    </xf>
    <xf numFmtId="3" fontId="74" fillId="4" borderId="2" xfId="0" applyNumberFormat="1" applyFont="1" applyFill="1" applyBorder="1"/>
    <xf numFmtId="3" fontId="3" fillId="4" borderId="2" xfId="0" applyNumberFormat="1" applyFont="1" applyFill="1" applyBorder="1" applyAlignment="1">
      <alignment horizontal="center"/>
    </xf>
    <xf numFmtId="4" fontId="23" fillId="4" borderId="0" xfId="0" applyNumberFormat="1" applyFont="1" applyFill="1" applyBorder="1"/>
    <xf numFmtId="3" fontId="3" fillId="4" borderId="17" xfId="0" applyNumberFormat="1" applyFont="1" applyFill="1" applyBorder="1" applyAlignment="1">
      <alignment horizontal="center"/>
    </xf>
    <xf numFmtId="0" fontId="12" fillId="4" borderId="6" xfId="0" applyFont="1" applyFill="1" applyBorder="1"/>
    <xf numFmtId="0" fontId="63" fillId="4" borderId="6" xfId="0" applyFont="1" applyFill="1" applyBorder="1"/>
    <xf numFmtId="0" fontId="74" fillId="4" borderId="6" xfId="0" applyFont="1" applyFill="1" applyBorder="1"/>
    <xf numFmtId="3" fontId="37" fillId="4" borderId="41" xfId="0" applyNumberFormat="1" applyFont="1" applyFill="1" applyBorder="1" applyAlignment="1">
      <alignment horizontal="center"/>
    </xf>
    <xf numFmtId="166" fontId="74" fillId="4" borderId="21" xfId="0" applyNumberFormat="1" applyFont="1" applyFill="1" applyBorder="1"/>
    <xf numFmtId="3" fontId="37" fillId="4" borderId="0" xfId="0" applyNumberFormat="1" applyFont="1" applyFill="1"/>
    <xf numFmtId="0" fontId="12" fillId="4" borderId="50" xfId="0" applyFont="1" applyFill="1" applyBorder="1"/>
    <xf numFmtId="2" fontId="74" fillId="4" borderId="19" xfId="0" applyNumberFormat="1" applyFont="1" applyFill="1" applyBorder="1"/>
    <xf numFmtId="0" fontId="21" fillId="4" borderId="6" xfId="0" applyFont="1" applyFill="1" applyBorder="1"/>
    <xf numFmtId="0" fontId="21" fillId="4" borderId="57" xfId="0" applyFont="1" applyFill="1" applyBorder="1"/>
    <xf numFmtId="3" fontId="37" fillId="4" borderId="13" xfId="0" applyNumberFormat="1" applyFont="1" applyFill="1" applyBorder="1" applyAlignment="1">
      <alignment horizontal="center"/>
    </xf>
    <xf numFmtId="3" fontId="21" fillId="4" borderId="13" xfId="0" applyNumberFormat="1" applyFont="1" applyFill="1" applyBorder="1"/>
    <xf numFmtId="166" fontId="21" fillId="4" borderId="49" xfId="0" applyNumberFormat="1" applyFont="1" applyFill="1" applyBorder="1"/>
    <xf numFmtId="4" fontId="97" fillId="4" borderId="28" xfId="0" applyNumberFormat="1" applyFont="1" applyFill="1" applyBorder="1"/>
    <xf numFmtId="4" fontId="97" fillId="4" borderId="19" xfId="0" applyNumberFormat="1" applyFont="1" applyFill="1" applyBorder="1"/>
    <xf numFmtId="166" fontId="21" fillId="4" borderId="58" xfId="0" applyNumberFormat="1" applyFont="1" applyFill="1" applyBorder="1"/>
    <xf numFmtId="4" fontId="97" fillId="4" borderId="31" xfId="0" applyNumberFormat="1" applyFont="1" applyFill="1" applyBorder="1"/>
    <xf numFmtId="4" fontId="97" fillId="4" borderId="20" xfId="0" applyNumberFormat="1" applyFont="1" applyFill="1" applyBorder="1"/>
    <xf numFmtId="1" fontId="37" fillId="4" borderId="2" xfId="0" applyNumberFormat="1" applyFont="1" applyFill="1" applyBorder="1" applyAlignment="1">
      <alignment horizontal="center"/>
    </xf>
    <xf numFmtId="0" fontId="13" fillId="4" borderId="12" xfId="0" applyFont="1" applyFill="1" applyBorder="1"/>
    <xf numFmtId="3" fontId="37" fillId="4" borderId="3" xfId="0" applyNumberFormat="1" applyFont="1" applyFill="1" applyBorder="1" applyAlignment="1">
      <alignment horizontal="center"/>
    </xf>
    <xf numFmtId="3" fontId="23" fillId="4" borderId="2" xfId="0" applyNumberFormat="1" applyFont="1" applyFill="1" applyBorder="1" applyAlignment="1"/>
    <xf numFmtId="166" fontId="23" fillId="4" borderId="43" xfId="0" applyNumberFormat="1" applyFont="1" applyFill="1" applyBorder="1"/>
    <xf numFmtId="3" fontId="21" fillId="4" borderId="2" xfId="0" applyNumberFormat="1" applyFont="1" applyFill="1" applyBorder="1" applyAlignment="1"/>
    <xf numFmtId="3" fontId="21" fillId="4" borderId="2" xfId="0" applyNumberFormat="1" applyFont="1" applyFill="1" applyBorder="1" applyAlignment="1">
      <alignment vertical="center"/>
    </xf>
    <xf numFmtId="166" fontId="21" fillId="4" borderId="21" xfId="0" applyNumberFormat="1" applyFont="1" applyFill="1" applyBorder="1" applyAlignment="1">
      <alignment vertical="center"/>
    </xf>
    <xf numFmtId="4" fontId="97" fillId="4" borderId="0" xfId="0" applyNumberFormat="1" applyFont="1" applyFill="1" applyBorder="1" applyAlignment="1">
      <alignment vertical="center"/>
    </xf>
    <xf numFmtId="4" fontId="107" fillId="4" borderId="0" xfId="9" applyNumberFormat="1" applyFont="1" applyFill="1"/>
    <xf numFmtId="0" fontId="3" fillId="4" borderId="27" xfId="0" applyFont="1" applyFill="1" applyBorder="1"/>
    <xf numFmtId="3" fontId="37" fillId="4" borderId="27" xfId="0" applyNumberFormat="1" applyFont="1" applyFill="1" applyBorder="1" applyAlignment="1">
      <alignment horizontal="center"/>
    </xf>
    <xf numFmtId="3" fontId="23" fillId="4" borderId="27" xfId="0" applyNumberFormat="1" applyFont="1" applyFill="1" applyBorder="1"/>
    <xf numFmtId="166" fontId="23" fillId="4" borderId="27" xfId="0" applyNumberFormat="1" applyFont="1" applyFill="1" applyBorder="1"/>
    <xf numFmtId="4" fontId="97" fillId="4" borderId="12" xfId="0" applyNumberFormat="1" applyFont="1" applyFill="1" applyBorder="1"/>
    <xf numFmtId="0" fontId="21" fillId="4" borderId="47" xfId="0" applyFont="1" applyFill="1" applyBorder="1" applyAlignment="1"/>
    <xf numFmtId="4" fontId="97" fillId="4" borderId="0" xfId="0" applyNumberFormat="1" applyFont="1" applyFill="1"/>
    <xf numFmtId="0" fontId="3" fillId="4" borderId="0" xfId="0" applyFont="1" applyFill="1" applyBorder="1"/>
    <xf numFmtId="3" fontId="37" fillId="4" borderId="0" xfId="0" applyNumberFormat="1" applyFont="1" applyFill="1" applyBorder="1" applyAlignment="1">
      <alignment horizontal="center"/>
    </xf>
    <xf numFmtId="3" fontId="23" fillId="4" borderId="0" xfId="0" applyNumberFormat="1" applyFont="1" applyFill="1" applyBorder="1"/>
    <xf numFmtId="166" fontId="23" fillId="4" borderId="0" xfId="0" applyNumberFormat="1" applyFont="1" applyFill="1" applyBorder="1"/>
    <xf numFmtId="0" fontId="15" fillId="4" borderId="0" xfId="0" applyFont="1" applyFill="1" applyBorder="1"/>
    <xf numFmtId="0" fontId="55" fillId="4" borderId="0" xfId="0" applyFont="1" applyFill="1" applyBorder="1"/>
    <xf numFmtId="3" fontId="11" fillId="4" borderId="0" xfId="0" applyNumberFormat="1" applyFont="1" applyFill="1" applyBorder="1"/>
    <xf numFmtId="3" fontId="12" fillId="4" borderId="0" xfId="0" applyNumberFormat="1" applyFont="1" applyFill="1" applyBorder="1"/>
    <xf numFmtId="3" fontId="3" fillId="4" borderId="0" xfId="0" applyNumberFormat="1" applyFont="1" applyFill="1" applyAlignment="1">
      <alignment horizontal="right"/>
    </xf>
    <xf numFmtId="0" fontId="21" fillId="4" borderId="6" xfId="0" applyFont="1" applyFill="1" applyBorder="1" applyAlignment="1">
      <alignment wrapText="1"/>
    </xf>
    <xf numFmtId="4" fontId="97" fillId="4" borderId="10" xfId="0" applyNumberFormat="1" applyFont="1" applyFill="1" applyBorder="1"/>
    <xf numFmtId="3" fontId="39" fillId="4" borderId="5" xfId="0" applyNumberFormat="1" applyFont="1" applyFill="1" applyBorder="1"/>
    <xf numFmtId="166" fontId="39" fillId="4" borderId="24" xfId="0" applyNumberFormat="1" applyFont="1" applyFill="1" applyBorder="1"/>
    <xf numFmtId="4" fontId="21" fillId="4" borderId="37" xfId="0" applyNumberFormat="1" applyFont="1" applyFill="1" applyBorder="1"/>
    <xf numFmtId="1" fontId="11" fillId="4" borderId="0" xfId="0" applyNumberFormat="1" applyFont="1" applyFill="1" applyBorder="1" applyAlignment="1">
      <alignment horizontal="left"/>
    </xf>
    <xf numFmtId="0" fontId="51" fillId="4" borderId="10" xfId="0" applyFont="1" applyFill="1" applyBorder="1" applyAlignment="1">
      <alignment wrapText="1"/>
    </xf>
    <xf numFmtId="164" fontId="39" fillId="4" borderId="10" xfId="0" applyNumberFormat="1" applyFont="1" applyFill="1" applyBorder="1" applyAlignment="1">
      <alignment horizontal="center"/>
    </xf>
    <xf numFmtId="3" fontId="39" fillId="4" borderId="10" xfId="0" applyNumberFormat="1" applyFont="1" applyFill="1" applyBorder="1"/>
    <xf numFmtId="3" fontId="39" fillId="4" borderId="10" xfId="0" applyNumberFormat="1" applyFont="1" applyFill="1" applyBorder="1" applyAlignment="1">
      <alignment shrinkToFit="1"/>
    </xf>
    <xf numFmtId="166" fontId="39" fillId="4" borderId="10" xfId="0" applyNumberFormat="1" applyFont="1" applyFill="1" applyBorder="1"/>
    <xf numFmtId="4" fontId="21" fillId="4" borderId="10" xfId="0" applyNumberFormat="1" applyFont="1" applyFill="1" applyBorder="1"/>
    <xf numFmtId="4" fontId="21" fillId="4" borderId="0" xfId="0" applyNumberFormat="1" applyFont="1" applyFill="1"/>
    <xf numFmtId="3" fontId="28" fillId="4" borderId="0" xfId="0" applyNumberFormat="1" applyFont="1" applyFill="1"/>
    <xf numFmtId="3" fontId="21" fillId="4" borderId="0" xfId="0" applyNumberFormat="1" applyFont="1" applyFill="1"/>
    <xf numFmtId="3" fontId="62" fillId="4" borderId="0" xfId="0" applyNumberFormat="1" applyFont="1" applyFill="1"/>
    <xf numFmtId="0" fontId="13" fillId="4" borderId="0" xfId="0" applyFont="1" applyFill="1" applyBorder="1" applyAlignment="1">
      <alignment horizontal="left"/>
    </xf>
    <xf numFmtId="0" fontId="21" fillId="4" borderId="0" xfId="0" applyFont="1" applyFill="1" applyBorder="1" applyAlignment="1">
      <alignment vertical="center" wrapText="1"/>
    </xf>
    <xf numFmtId="164" fontId="21" fillId="4" borderId="0" xfId="0" applyNumberFormat="1" applyFont="1" applyFill="1" applyAlignment="1">
      <alignment horizontal="center"/>
    </xf>
    <xf numFmtId="0" fontId="21" fillId="4" borderId="0" xfId="0" applyFont="1" applyFill="1" applyBorder="1"/>
    <xf numFmtId="0" fontId="21" fillId="4" borderId="10" xfId="0" applyFont="1" applyFill="1" applyBorder="1"/>
    <xf numFmtId="164" fontId="21" fillId="4" borderId="10" xfId="0" applyNumberFormat="1" applyFont="1" applyFill="1" applyBorder="1" applyAlignment="1">
      <alignment horizontal="center"/>
    </xf>
    <xf numFmtId="3" fontId="21" fillId="4" borderId="10" xfId="0" applyNumberFormat="1" applyFont="1" applyFill="1" applyBorder="1"/>
    <xf numFmtId="164" fontId="37" fillId="4" borderId="0" xfId="0" applyNumberFormat="1" applyFont="1" applyFill="1" applyAlignment="1">
      <alignment horizontal="center"/>
    </xf>
    <xf numFmtId="164" fontId="37" fillId="4" borderId="10" xfId="0" applyNumberFormat="1" applyFont="1" applyFill="1" applyBorder="1" applyAlignment="1">
      <alignment horizontal="center"/>
    </xf>
    <xf numFmtId="3" fontId="21" fillId="4" borderId="0" xfId="0" applyNumberFormat="1" applyFont="1" applyFill="1" applyBorder="1"/>
    <xf numFmtId="4" fontId="23" fillId="4" borderId="0" xfId="0" applyNumberFormat="1" applyFont="1" applyFill="1"/>
    <xf numFmtId="3" fontId="21" fillId="4" borderId="19" xfId="0" applyNumberFormat="1" applyFont="1" applyFill="1" applyBorder="1"/>
    <xf numFmtId="164" fontId="3" fillId="4" borderId="19" xfId="0" applyNumberFormat="1" applyFont="1" applyFill="1" applyBorder="1" applyAlignment="1">
      <alignment horizontal="center"/>
    </xf>
    <xf numFmtId="3" fontId="23" fillId="4" borderId="19" xfId="0" applyNumberFormat="1" applyFont="1" applyFill="1" applyBorder="1"/>
    <xf numFmtId="4" fontId="21" fillId="4" borderId="19" xfId="0" applyNumberFormat="1" applyFont="1" applyFill="1" applyBorder="1"/>
    <xf numFmtId="4" fontId="23" fillId="4" borderId="19" xfId="0" applyNumberFormat="1" applyFont="1" applyFill="1" applyBorder="1"/>
    <xf numFmtId="0" fontId="23" fillId="4" borderId="60" xfId="0" applyFont="1" applyFill="1" applyBorder="1"/>
    <xf numFmtId="164" fontId="3" fillId="4" borderId="60" xfId="0" applyNumberFormat="1" applyFont="1" applyFill="1" applyBorder="1" applyAlignment="1">
      <alignment horizontal="center"/>
    </xf>
    <xf numFmtId="3" fontId="21" fillId="4" borderId="60" xfId="0" applyNumberFormat="1" applyFont="1" applyFill="1" applyBorder="1"/>
    <xf numFmtId="4" fontId="21" fillId="4" borderId="60" xfId="0" applyNumberFormat="1" applyFont="1" applyFill="1" applyBorder="1"/>
    <xf numFmtId="0" fontId="23" fillId="4" borderId="34" xfId="0" applyFont="1" applyFill="1" applyBorder="1"/>
    <xf numFmtId="164" fontId="3" fillId="4" borderId="34" xfId="0" applyNumberFormat="1" applyFont="1" applyFill="1" applyBorder="1" applyAlignment="1">
      <alignment horizontal="center"/>
    </xf>
    <xf numFmtId="3" fontId="23" fillId="4" borderId="34" xfId="0" applyNumberFormat="1" applyFont="1" applyFill="1" applyBorder="1"/>
    <xf numFmtId="4" fontId="21" fillId="4" borderId="34" xfId="0" applyNumberFormat="1" applyFont="1" applyFill="1" applyBorder="1"/>
    <xf numFmtId="0" fontId="23" fillId="4" borderId="0" xfId="0" applyFont="1" applyFill="1" applyBorder="1"/>
    <xf numFmtId="4" fontId="3" fillId="4" borderId="0" xfId="0" applyNumberFormat="1" applyFont="1" applyFill="1" applyAlignment="1">
      <alignment horizontal="left"/>
    </xf>
    <xf numFmtId="4" fontId="3" fillId="4" borderId="0" xfId="0" applyNumberFormat="1" applyFont="1" applyFill="1" applyAlignment="1">
      <alignment horizontal="center"/>
    </xf>
    <xf numFmtId="4" fontId="3" fillId="4" borderId="0" xfId="0" applyNumberFormat="1" applyFont="1" applyFill="1"/>
    <xf numFmtId="4" fontId="3" fillId="4" borderId="28" xfId="0" applyNumberFormat="1" applyFont="1" applyFill="1" applyBorder="1" applyAlignment="1">
      <alignment horizontal="center" vertical="center"/>
    </xf>
    <xf numFmtId="4" fontId="3" fillId="4" borderId="19" xfId="0" applyNumberFormat="1" applyFont="1" applyFill="1" applyBorder="1" applyAlignment="1">
      <alignment horizontal="center" vertical="center"/>
    </xf>
    <xf numFmtId="4" fontId="3" fillId="4" borderId="0" xfId="0" applyNumberFormat="1" applyFont="1" applyFill="1" applyBorder="1" applyAlignment="1">
      <alignment horizontal="center" vertical="center"/>
    </xf>
    <xf numFmtId="4" fontId="35" fillId="4" borderId="0" xfId="0" applyNumberFormat="1" applyFont="1" applyFill="1" applyBorder="1" applyAlignment="1">
      <alignment horizontal="center" vertical="center"/>
    </xf>
    <xf numFmtId="4" fontId="3" fillId="4" borderId="0" xfId="0" applyNumberFormat="1" applyFont="1" applyFill="1" applyBorder="1"/>
    <xf numFmtId="4" fontId="107" fillId="4" borderId="28" xfId="9" applyNumberFormat="1" applyFont="1" applyFill="1" applyBorder="1"/>
    <xf numFmtId="4" fontId="107" fillId="4" borderId="19" xfId="9" applyNumberFormat="1" applyFont="1" applyFill="1" applyBorder="1"/>
    <xf numFmtId="0" fontId="37" fillId="4" borderId="0" xfId="0" applyFont="1" applyFill="1" applyBorder="1"/>
    <xf numFmtId="4" fontId="37" fillId="4" borderId="0" xfId="0" applyNumberFormat="1" applyFont="1" applyFill="1"/>
    <xf numFmtId="4" fontId="74" fillId="4" borderId="0" xfId="0" applyNumberFormat="1" applyFont="1" applyFill="1"/>
    <xf numFmtId="3" fontId="15" fillId="4" borderId="0" xfId="0" applyNumberFormat="1" applyFont="1" applyFill="1" applyBorder="1"/>
    <xf numFmtId="0" fontId="59" fillId="4" borderId="0" xfId="0" applyFont="1" applyFill="1" applyBorder="1"/>
    <xf numFmtId="4" fontId="21" fillId="4" borderId="0" xfId="0" applyNumberFormat="1" applyFont="1" applyFill="1" applyBorder="1"/>
    <xf numFmtId="4" fontId="59" fillId="4" borderId="0" xfId="0" applyNumberFormat="1" applyFont="1" applyFill="1" applyBorder="1" applyAlignment="1">
      <alignment horizontal="right"/>
    </xf>
    <xf numFmtId="4" fontId="12" fillId="4" borderId="0" xfId="0" applyNumberFormat="1" applyFont="1" applyFill="1" applyBorder="1" applyAlignment="1">
      <alignment horizontal="justify"/>
    </xf>
    <xf numFmtId="1" fontId="12" fillId="4" borderId="0" xfId="0" applyNumberFormat="1" applyFont="1" applyFill="1" applyBorder="1" applyAlignment="1">
      <alignment horizontal="left"/>
    </xf>
    <xf numFmtId="0" fontId="12" fillId="4" borderId="0" xfId="0" applyFont="1" applyFill="1" applyBorder="1" applyAlignment="1">
      <alignment horizontal="right"/>
    </xf>
    <xf numFmtId="0" fontId="0" fillId="4" borderId="0" xfId="0" applyFill="1"/>
    <xf numFmtId="0" fontId="0" fillId="4" borderId="0" xfId="0" applyFill="1" applyBorder="1"/>
    <xf numFmtId="3" fontId="0" fillId="4" borderId="0" xfId="0" applyNumberFormat="1" applyFill="1" applyBorder="1"/>
    <xf numFmtId="0" fontId="51" fillId="4" borderId="0" xfId="0" applyFont="1" applyFill="1"/>
    <xf numFmtId="0" fontId="36" fillId="4" borderId="0" xfId="0" applyFont="1" applyFill="1"/>
    <xf numFmtId="164" fontId="0" fillId="4" borderId="0" xfId="0" applyNumberFormat="1" applyFill="1" applyAlignment="1">
      <alignment horizontal="center"/>
    </xf>
    <xf numFmtId="3" fontId="36" fillId="4" borderId="0" xfId="0" applyNumberFormat="1" applyFont="1" applyFill="1"/>
    <xf numFmtId="3" fontId="36" fillId="4" borderId="2" xfId="0" applyNumberFormat="1" applyFont="1" applyFill="1" applyBorder="1"/>
    <xf numFmtId="166" fontId="23" fillId="4" borderId="25" xfId="0" applyNumberFormat="1" applyFont="1" applyFill="1" applyBorder="1"/>
    <xf numFmtId="3" fontId="36" fillId="4" borderId="3" xfId="0" applyNumberFormat="1" applyFont="1" applyFill="1" applyBorder="1"/>
    <xf numFmtId="164" fontId="51" fillId="4" borderId="14" xfId="0" applyNumberFormat="1" applyFont="1" applyFill="1" applyBorder="1" applyAlignment="1"/>
    <xf numFmtId="166" fontId="51" fillId="4" borderId="44" xfId="0" applyNumberFormat="1" applyFont="1" applyFill="1" applyBorder="1"/>
    <xf numFmtId="3" fontId="11" fillId="4" borderId="2" xfId="0" applyNumberFormat="1" applyFont="1" applyFill="1" applyBorder="1"/>
    <xf numFmtId="166" fontId="11" fillId="4" borderId="25" xfId="0" applyNumberFormat="1" applyFont="1" applyFill="1" applyBorder="1"/>
    <xf numFmtId="3" fontId="17" fillId="4" borderId="45" xfId="0" applyNumberFormat="1" applyFont="1" applyFill="1" applyBorder="1"/>
    <xf numFmtId="166" fontId="17" fillId="4" borderId="36" xfId="0" applyNumberFormat="1" applyFont="1" applyFill="1" applyBorder="1"/>
    <xf numFmtId="164" fontId="0" fillId="4" borderId="0" xfId="0" applyNumberFormat="1" applyFill="1"/>
    <xf numFmtId="0" fontId="3" fillId="4" borderId="50" xfId="0" applyFont="1" applyFill="1" applyBorder="1"/>
    <xf numFmtId="3" fontId="37" fillId="4" borderId="14" xfId="0" applyNumberFormat="1" applyFont="1" applyFill="1" applyBorder="1" applyAlignment="1">
      <alignment horizontal="center"/>
    </xf>
    <xf numFmtId="0" fontId="12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top" wrapText="1"/>
    </xf>
    <xf numFmtId="0" fontId="21" fillId="0" borderId="4" xfId="0" applyFont="1" applyFill="1" applyBorder="1" applyAlignment="1">
      <alignment vertical="top"/>
    </xf>
    <xf numFmtId="0" fontId="21" fillId="0" borderId="5" xfId="0" applyFont="1" applyFill="1" applyBorder="1" applyAlignment="1">
      <alignment vertical="top"/>
    </xf>
    <xf numFmtId="0" fontId="23" fillId="0" borderId="2" xfId="0" applyFont="1" applyBorder="1" applyAlignment="1">
      <alignment vertical="top" wrapText="1"/>
    </xf>
    <xf numFmtId="0" fontId="42" fillId="0" borderId="0" xfId="0" applyFont="1" applyFill="1" applyAlignment="1">
      <alignment horizontal="left"/>
    </xf>
    <xf numFmtId="0" fontId="0" fillId="0" borderId="0" xfId="0" applyFill="1" applyAlignment="1"/>
    <xf numFmtId="0" fontId="51" fillId="0" borderId="39" xfId="0" applyFont="1" applyFill="1" applyBorder="1" applyAlignment="1"/>
    <xf numFmtId="0" fontId="0" fillId="0" borderId="40" xfId="0" applyFill="1" applyBorder="1" applyAlignment="1"/>
    <xf numFmtId="1" fontId="17" fillId="0" borderId="39" xfId="0" applyNumberFormat="1" applyFont="1" applyFill="1" applyBorder="1" applyAlignment="1">
      <alignment horizontal="left" wrapText="1"/>
    </xf>
    <xf numFmtId="0" fontId="36" fillId="4" borderId="28" xfId="0" applyFont="1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0" fillId="4" borderId="0" xfId="0" applyFill="1" applyAlignment="1">
      <alignment wrapText="1"/>
    </xf>
    <xf numFmtId="0" fontId="35" fillId="0" borderId="7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/>
    </xf>
    <xf numFmtId="1" fontId="23" fillId="0" borderId="0" xfId="0" applyNumberFormat="1" applyFont="1" applyFill="1" applyAlignment="1">
      <alignment horizontal="justify" wrapText="1"/>
    </xf>
    <xf numFmtId="0" fontId="0" fillId="0" borderId="0" xfId="0" applyFill="1" applyAlignment="1">
      <alignment wrapText="1"/>
    </xf>
    <xf numFmtId="1" fontId="14" fillId="0" borderId="31" xfId="0" applyNumberFormat="1" applyFont="1" applyFill="1" applyBorder="1" applyAlignment="1">
      <alignment horizontal="left"/>
    </xf>
    <xf numFmtId="0" fontId="0" fillId="0" borderId="59" xfId="0" applyFill="1" applyBorder="1" applyAlignment="1"/>
    <xf numFmtId="0" fontId="35" fillId="4" borderId="7" xfId="0" applyFont="1" applyFill="1" applyBorder="1" applyAlignment="1">
      <alignment horizontal="center" vertical="center" wrapText="1"/>
    </xf>
    <xf numFmtId="0" fontId="0" fillId="4" borderId="56" xfId="0" applyFill="1" applyBorder="1" applyAlignment="1">
      <alignment wrapText="1"/>
    </xf>
    <xf numFmtId="0" fontId="36" fillId="4" borderId="26" xfId="0" applyFont="1" applyFill="1" applyBorder="1" applyAlignment="1">
      <alignment wrapText="1"/>
    </xf>
    <xf numFmtId="0" fontId="0" fillId="4" borderId="18" xfId="0" applyFill="1" applyBorder="1" applyAlignment="1">
      <alignment wrapText="1"/>
    </xf>
    <xf numFmtId="1" fontId="14" fillId="4" borderId="31" xfId="0" applyNumberFormat="1" applyFont="1" applyFill="1" applyBorder="1" applyAlignment="1">
      <alignment horizontal="left" wrapText="1"/>
    </xf>
    <xf numFmtId="0" fontId="0" fillId="4" borderId="59" xfId="0" applyFill="1" applyBorder="1" applyAlignment="1">
      <alignment wrapText="1"/>
    </xf>
    <xf numFmtId="0" fontId="51" fillId="4" borderId="39" xfId="0" applyFont="1" applyFill="1" applyBorder="1" applyAlignment="1">
      <alignment wrapText="1"/>
    </xf>
    <xf numFmtId="0" fontId="0" fillId="4" borderId="40" xfId="0" applyFill="1" applyBorder="1" applyAlignment="1">
      <alignment wrapText="1"/>
    </xf>
    <xf numFmtId="1" fontId="17" fillId="4" borderId="39" xfId="0" applyNumberFormat="1" applyFont="1" applyFill="1" applyBorder="1" applyAlignment="1">
      <alignment horizontal="left" wrapText="1"/>
    </xf>
    <xf numFmtId="0" fontId="0" fillId="4" borderId="40" xfId="0" applyFill="1" applyBorder="1" applyAlignment="1"/>
    <xf numFmtId="0" fontId="21" fillId="4" borderId="6" xfId="0" applyFont="1" applyFill="1" applyBorder="1" applyAlignment="1">
      <alignment wrapText="1"/>
    </xf>
    <xf numFmtId="0" fontId="3" fillId="4" borderId="6" xfId="0" applyFont="1" applyFill="1" applyBorder="1" applyAlignment="1">
      <alignment wrapText="1"/>
    </xf>
    <xf numFmtId="1" fontId="12" fillId="4" borderId="0" xfId="0" applyNumberFormat="1" applyFont="1" applyFill="1" applyBorder="1" applyAlignment="1">
      <alignment horizontal="justify" wrapText="1"/>
    </xf>
    <xf numFmtId="0" fontId="3" fillId="4" borderId="0" xfId="0" applyFont="1" applyFill="1" applyAlignment="1">
      <alignment horizontal="justify" wrapText="1"/>
    </xf>
    <xf numFmtId="0" fontId="42" fillId="4" borderId="0" xfId="0" applyFont="1" applyFill="1" applyAlignment="1">
      <alignment horizontal="left"/>
    </xf>
    <xf numFmtId="0" fontId="3" fillId="4" borderId="0" xfId="0" applyFont="1" applyFill="1" applyAlignment="1">
      <alignment horizontal="left"/>
    </xf>
    <xf numFmtId="0" fontId="42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21" fillId="4" borderId="47" xfId="0" applyFont="1" applyFill="1" applyBorder="1" applyAlignment="1">
      <alignment wrapText="1"/>
    </xf>
    <xf numFmtId="0" fontId="21" fillId="4" borderId="47" xfId="0" applyFont="1" applyFill="1" applyBorder="1" applyAlignment="1">
      <alignment vertical="top" wrapText="1"/>
    </xf>
    <xf numFmtId="0" fontId="21" fillId="4" borderId="6" xfId="0" applyFont="1" applyFill="1" applyBorder="1" applyAlignment="1">
      <alignment vertical="top" wrapText="1"/>
    </xf>
    <xf numFmtId="0" fontId="41" fillId="4" borderId="7" xfId="0" applyFont="1" applyFill="1" applyBorder="1" applyAlignment="1"/>
    <xf numFmtId="0" fontId="41" fillId="4" borderId="56" xfId="0" applyFont="1" applyFill="1" applyBorder="1" applyAlignment="1"/>
    <xf numFmtId="1" fontId="8" fillId="4" borderId="6" xfId="0" applyNumberFormat="1" applyFont="1" applyFill="1" applyBorder="1" applyAlignment="1">
      <alignment horizontal="left" wrapText="1"/>
    </xf>
    <xf numFmtId="0" fontId="13" fillId="0" borderId="2" xfId="9" applyFont="1" applyBorder="1" applyAlignment="1">
      <alignment wrapText="1"/>
    </xf>
    <xf numFmtId="0" fontId="21" fillId="0" borderId="2" xfId="0" applyFont="1" applyBorder="1" applyAlignment="1">
      <alignment wrapText="1"/>
    </xf>
    <xf numFmtId="0" fontId="13" fillId="0" borderId="0" xfId="9" applyFont="1" applyBorder="1" applyAlignment="1">
      <alignment wrapText="1"/>
    </xf>
    <xf numFmtId="0" fontId="31" fillId="0" borderId="10" xfId="0" applyFont="1" applyFill="1" applyBorder="1" applyAlignment="1">
      <alignment horizontal="left" wrapText="1"/>
    </xf>
    <xf numFmtId="0" fontId="60" fillId="0" borderId="10" xfId="0" applyFont="1" applyFill="1" applyBorder="1" applyAlignment="1">
      <alignment wrapText="1"/>
    </xf>
    <xf numFmtId="0" fontId="12" fillId="0" borderId="0" xfId="0" applyFont="1" applyBorder="1" applyAlignment="1">
      <alignment wrapText="1"/>
    </xf>
    <xf numFmtId="0" fontId="60" fillId="0" borderId="10" xfId="0" applyFont="1" applyFill="1" applyBorder="1" applyAlignment="1"/>
    <xf numFmtId="0" fontId="21" fillId="2" borderId="4" xfId="0" applyFont="1" applyFill="1" applyBorder="1" applyAlignment="1"/>
    <xf numFmtId="0" fontId="21" fillId="2" borderId="5" xfId="0" applyFont="1" applyFill="1" applyBorder="1" applyAlignment="1"/>
    <xf numFmtId="1" fontId="41" fillId="3" borderId="0" xfId="0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21" fillId="2" borderId="50" xfId="0" applyFont="1" applyFill="1" applyBorder="1" applyAlignment="1"/>
    <xf numFmtId="0" fontId="21" fillId="2" borderId="14" xfId="0" applyFont="1" applyFill="1" applyBorder="1" applyAlignment="1"/>
    <xf numFmtId="167" fontId="68" fillId="2" borderId="60" xfId="0" applyNumberFormat="1" applyFont="1" applyFill="1" applyBorder="1" applyAlignment="1">
      <alignment wrapText="1"/>
    </xf>
    <xf numFmtId="0" fontId="0" fillId="0" borderId="34" xfId="0" applyBorder="1"/>
    <xf numFmtId="0" fontId="50" fillId="2" borderId="60" xfId="0" applyFont="1" applyFill="1" applyBorder="1" applyAlignment="1">
      <alignment horizontal="left" wrapText="1"/>
    </xf>
    <xf numFmtId="0" fontId="0" fillId="0" borderId="60" xfId="0" applyBorder="1"/>
    <xf numFmtId="3" fontId="31" fillId="2" borderId="60" xfId="0" applyNumberFormat="1" applyFont="1" applyFill="1" applyBorder="1" applyAlignment="1">
      <alignment wrapText="1"/>
    </xf>
    <xf numFmtId="0" fontId="31" fillId="2" borderId="10" xfId="0" applyFont="1" applyFill="1" applyBorder="1" applyAlignment="1">
      <alignment horizontal="left" wrapText="1"/>
    </xf>
    <xf numFmtId="0" fontId="60" fillId="0" borderId="10" xfId="0" applyFont="1" applyBorder="1" applyAlignment="1"/>
    <xf numFmtId="0" fontId="12" fillId="0" borderId="0" xfId="0" applyFont="1" applyBorder="1" applyAlignment="1">
      <alignment vertical="top" wrapText="1"/>
    </xf>
    <xf numFmtId="0" fontId="12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3" fillId="0" borderId="0" xfId="0" applyFont="1" applyFill="1" applyAlignment="1">
      <alignment wrapText="1"/>
    </xf>
    <xf numFmtId="49" fontId="9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3" fillId="3" borderId="2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12" fillId="0" borderId="2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2" fontId="3" fillId="0" borderId="2" xfId="0" applyNumberFormat="1" applyFont="1" applyBorder="1" applyAlignment="1">
      <alignment vertical="top" wrapText="1"/>
    </xf>
    <xf numFmtId="0" fontId="12" fillId="0" borderId="17" xfId="0" applyFont="1" applyFill="1" applyBorder="1" applyAlignment="1">
      <alignment wrapText="1"/>
    </xf>
    <xf numFmtId="1" fontId="8" fillId="0" borderId="2" xfId="0" applyNumberFormat="1" applyFont="1" applyBorder="1" applyAlignment="1">
      <alignment horizontal="left" wrapText="1"/>
    </xf>
    <xf numFmtId="0" fontId="8" fillId="0" borderId="2" xfId="0" applyFont="1" applyBorder="1" applyAlignment="1">
      <alignment wrapText="1"/>
    </xf>
    <xf numFmtId="0" fontId="11" fillId="0" borderId="2" xfId="0" applyFont="1" applyBorder="1" applyAlignment="1">
      <alignment vertical="top" wrapText="1"/>
    </xf>
    <xf numFmtId="0" fontId="21" fillId="0" borderId="7" xfId="0" applyFont="1" applyFill="1" applyBorder="1" applyAlignment="1"/>
    <xf numFmtId="0" fontId="21" fillId="0" borderId="8" xfId="0" applyFont="1" applyFill="1" applyBorder="1" applyAlignment="1"/>
    <xf numFmtId="0" fontId="21" fillId="0" borderId="56" xfId="0" applyFont="1" applyFill="1" applyBorder="1" applyAlignment="1"/>
    <xf numFmtId="0" fontId="21" fillId="0" borderId="4" xfId="0" applyFont="1" applyFill="1" applyBorder="1" applyAlignment="1"/>
    <xf numFmtId="0" fontId="21" fillId="0" borderId="5" xfId="0" applyFont="1" applyFill="1" applyBorder="1" applyAlignment="1"/>
    <xf numFmtId="1" fontId="11" fillId="0" borderId="2" xfId="0" applyNumberFormat="1" applyFont="1" applyFill="1" applyBorder="1" applyAlignment="1">
      <alignment horizontal="left" vertical="top" wrapText="1"/>
    </xf>
    <xf numFmtId="1" fontId="11" fillId="0" borderId="2" xfId="0" applyNumberFormat="1" applyFont="1" applyFill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11" fillId="0" borderId="17" xfId="0" applyFont="1" applyFill="1" applyBorder="1" applyAlignment="1">
      <alignment wrapText="1"/>
    </xf>
    <xf numFmtId="49" fontId="9" fillId="0" borderId="0" xfId="0" applyNumberFormat="1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1" fontId="11" fillId="0" borderId="0" xfId="0" applyNumberFormat="1" applyFont="1" applyFill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4" fillId="0" borderId="0" xfId="0" applyFont="1" applyFill="1" applyBorder="1" applyAlignment="1">
      <alignment vertical="top" wrapText="1"/>
    </xf>
    <xf numFmtId="0" fontId="21" fillId="0" borderId="4" xfId="0" applyFont="1" applyFill="1" applyBorder="1" applyAlignment="1">
      <alignment vertical="top"/>
    </xf>
    <xf numFmtId="0" fontId="21" fillId="0" borderId="5" xfId="0" applyFont="1" applyFill="1" applyBorder="1" applyAlignment="1">
      <alignment vertical="top"/>
    </xf>
    <xf numFmtId="0" fontId="21" fillId="0" borderId="14" xfId="0" applyFont="1" applyFill="1" applyBorder="1" applyAlignment="1"/>
    <xf numFmtId="0" fontId="21" fillId="0" borderId="50" xfId="0" applyFont="1" applyFill="1" applyBorder="1" applyAlignment="1"/>
    <xf numFmtId="0" fontId="21" fillId="0" borderId="61" xfId="0" applyFont="1" applyFill="1" applyBorder="1" applyAlignment="1"/>
    <xf numFmtId="0" fontId="23" fillId="0" borderId="2" xfId="0" applyFont="1" applyBorder="1" applyAlignment="1">
      <alignment vertical="top" wrapText="1"/>
    </xf>
    <xf numFmtId="0" fontId="21" fillId="0" borderId="7" xfId="0" applyFont="1" applyFill="1" applyBorder="1" applyAlignment="1">
      <alignment vertical="top"/>
    </xf>
    <xf numFmtId="0" fontId="21" fillId="0" borderId="8" xfId="0" applyFont="1" applyFill="1" applyBorder="1" applyAlignment="1">
      <alignment vertical="top"/>
    </xf>
    <xf numFmtId="0" fontId="21" fillId="0" borderId="56" xfId="0" applyFont="1" applyFill="1" applyBorder="1" applyAlignment="1">
      <alignment vertical="top"/>
    </xf>
    <xf numFmtId="0" fontId="21" fillId="0" borderId="14" xfId="0" applyFont="1" applyFill="1" applyBorder="1" applyAlignment="1">
      <alignment vertical="top"/>
    </xf>
    <xf numFmtId="0" fontId="34" fillId="0" borderId="10" xfId="0" applyFont="1" applyFill="1" applyBorder="1" applyAlignment="1">
      <alignment horizontal="left" wrapText="1"/>
    </xf>
    <xf numFmtId="0" fontId="99" fillId="0" borderId="10" xfId="0" applyFont="1" applyFill="1" applyBorder="1" applyAlignment="1">
      <alignment wrapText="1"/>
    </xf>
    <xf numFmtId="1" fontId="41" fillId="0" borderId="60" xfId="0" applyNumberFormat="1" applyFont="1" applyFill="1" applyBorder="1" applyAlignment="1">
      <alignment horizontal="left" wrapText="1"/>
    </xf>
    <xf numFmtId="0" fontId="37" fillId="0" borderId="60" xfId="0" applyFont="1" applyFill="1" applyBorder="1" applyAlignment="1">
      <alignment wrapText="1"/>
    </xf>
    <xf numFmtId="0" fontId="37" fillId="0" borderId="34" xfId="0" applyFont="1" applyFill="1" applyBorder="1" applyAlignment="1">
      <alignment wrapText="1"/>
    </xf>
    <xf numFmtId="3" fontId="41" fillId="0" borderId="60" xfId="0" applyNumberFormat="1" applyFont="1" applyFill="1" applyBorder="1" applyAlignment="1">
      <alignment wrapText="1"/>
    </xf>
    <xf numFmtId="1" fontId="13" fillId="0" borderId="0" xfId="0" applyNumberFormat="1" applyFont="1" applyBorder="1" applyAlignment="1">
      <alignment horizontal="left" wrapText="1"/>
    </xf>
    <xf numFmtId="167" fontId="41" fillId="0" borderId="60" xfId="0" applyNumberFormat="1" applyFont="1" applyFill="1" applyBorder="1" applyAlignment="1">
      <alignment wrapText="1"/>
    </xf>
    <xf numFmtId="0" fontId="0" fillId="0" borderId="2" xfId="0" applyBorder="1" applyAlignment="1">
      <alignment vertical="top" wrapText="1"/>
    </xf>
    <xf numFmtId="0" fontId="29" fillId="0" borderId="0" xfId="0" applyFont="1" applyBorder="1" applyAlignment="1">
      <alignment wrapText="1"/>
    </xf>
    <xf numFmtId="1" fontId="52" fillId="0" borderId="0" xfId="0" applyNumberFormat="1" applyFont="1" applyFill="1" applyBorder="1" applyAlignment="1">
      <alignment horizontal="left" wrapText="1"/>
    </xf>
    <xf numFmtId="1" fontId="52" fillId="0" borderId="60" xfId="0" applyNumberFormat="1" applyFont="1" applyFill="1" applyBorder="1" applyAlignment="1">
      <alignment horizontal="left" wrapText="1"/>
    </xf>
    <xf numFmtId="0" fontId="0" fillId="0" borderId="60" xfId="0" applyBorder="1" applyAlignment="1">
      <alignment wrapText="1"/>
    </xf>
    <xf numFmtId="0" fontId="0" fillId="0" borderId="34" xfId="0" applyBorder="1" applyAlignment="1">
      <alignment wrapText="1"/>
    </xf>
    <xf numFmtId="0" fontId="31" fillId="0" borderId="10" xfId="0" applyFont="1" applyFill="1" applyBorder="1" applyAlignment="1">
      <alignment horizontal="left" vertical="top" wrapText="1"/>
    </xf>
    <xf numFmtId="0" fontId="60" fillId="0" borderId="10" xfId="0" applyFont="1" applyFill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12" fillId="0" borderId="0" xfId="0" applyFont="1" applyFill="1" applyAlignment="1">
      <alignment wrapText="1"/>
    </xf>
    <xf numFmtId="168" fontId="23" fillId="0" borderId="0" xfId="0" applyNumberFormat="1" applyFont="1" applyFill="1" applyAlignment="1">
      <alignment horizontal="left"/>
    </xf>
    <xf numFmtId="0" fontId="60" fillId="0" borderId="0" xfId="0" applyFont="1" applyFill="1" applyAlignment="1">
      <alignment horizontal="left"/>
    </xf>
    <xf numFmtId="1" fontId="41" fillId="0" borderId="0" xfId="0" applyNumberFormat="1" applyFont="1" applyFill="1" applyBorder="1" applyAlignment="1">
      <alignment horizontal="left" vertical="top" wrapText="1"/>
    </xf>
    <xf numFmtId="0" fontId="60" fillId="0" borderId="0" xfId="0" applyFont="1" applyFill="1" applyAlignment="1">
      <alignment vertical="top" wrapText="1"/>
    </xf>
    <xf numFmtId="0" fontId="60" fillId="0" borderId="34" xfId="0" applyFont="1" applyFill="1" applyBorder="1" applyAlignment="1">
      <alignment vertical="top" wrapText="1"/>
    </xf>
    <xf numFmtId="3" fontId="60" fillId="0" borderId="0" xfId="0" applyNumberFormat="1" applyFont="1" applyFill="1" applyBorder="1" applyAlignment="1">
      <alignment wrapText="1"/>
    </xf>
    <xf numFmtId="0" fontId="60" fillId="0" borderId="0" xfId="0" applyFont="1" applyFill="1" applyBorder="1" applyAlignment="1">
      <alignment wrapText="1"/>
    </xf>
    <xf numFmtId="1" fontId="51" fillId="0" borderId="0" xfId="0" applyNumberFormat="1" applyFont="1" applyFill="1" applyAlignment="1">
      <alignment horizontal="left" wrapText="1"/>
    </xf>
    <xf numFmtId="0" fontId="22" fillId="0" borderId="0" xfId="0" applyFont="1" applyFill="1" applyAlignment="1">
      <alignment wrapText="1"/>
    </xf>
    <xf numFmtId="0" fontId="13" fillId="0" borderId="2" xfId="0" applyFont="1" applyBorder="1" applyAlignment="1">
      <alignment wrapText="1"/>
    </xf>
    <xf numFmtId="1" fontId="40" fillId="0" borderId="0" xfId="0" applyNumberFormat="1" applyFont="1" applyFill="1" applyAlignment="1">
      <alignment wrapText="1"/>
    </xf>
    <xf numFmtId="0" fontId="60" fillId="0" borderId="0" xfId="0" applyFont="1" applyAlignment="1">
      <alignment wrapText="1"/>
    </xf>
    <xf numFmtId="1" fontId="43" fillId="0" borderId="34" xfId="0" applyNumberFormat="1" applyFont="1" applyFill="1" applyBorder="1" applyAlignment="1">
      <alignment wrapText="1"/>
    </xf>
    <xf numFmtId="0" fontId="60" fillId="0" borderId="34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left" wrapText="1"/>
    </xf>
    <xf numFmtId="0" fontId="60" fillId="0" borderId="0" xfId="0" applyFont="1" applyFill="1" applyAlignment="1">
      <alignment wrapText="1"/>
    </xf>
    <xf numFmtId="1" fontId="37" fillId="0" borderId="0" xfId="0" applyNumberFormat="1" applyFont="1" applyFill="1" applyAlignment="1">
      <alignment wrapText="1"/>
    </xf>
    <xf numFmtId="0" fontId="22" fillId="0" borderId="0" xfId="0" applyFont="1" applyAlignment="1">
      <alignment wrapText="1"/>
    </xf>
    <xf numFmtId="0" fontId="22" fillId="0" borderId="34" xfId="0" applyFont="1" applyBorder="1" applyAlignment="1">
      <alignment wrapText="1"/>
    </xf>
    <xf numFmtId="0" fontId="75" fillId="0" borderId="0" xfId="9" applyFont="1" applyFill="1" applyAlignment="1">
      <alignment wrapText="1"/>
    </xf>
    <xf numFmtId="0" fontId="3" fillId="0" borderId="0" xfId="9" applyAlignment="1">
      <alignment wrapText="1"/>
    </xf>
    <xf numFmtId="0" fontId="31" fillId="0" borderId="10" xfId="9" applyFont="1" applyFill="1" applyBorder="1" applyAlignment="1">
      <alignment horizontal="left" wrapText="1"/>
    </xf>
    <xf numFmtId="0" fontId="3" fillId="0" borderId="10" xfId="9" applyFill="1" applyBorder="1" applyAlignment="1">
      <alignment wrapText="1"/>
    </xf>
    <xf numFmtId="0" fontId="75" fillId="0" borderId="0" xfId="9" applyFont="1" applyFill="1" applyAlignment="1">
      <alignment horizontal="left" wrapText="1"/>
    </xf>
    <xf numFmtId="0" fontId="3" fillId="0" borderId="0" xfId="9" applyFill="1" applyAlignment="1">
      <alignment wrapText="1"/>
    </xf>
    <xf numFmtId="0" fontId="21" fillId="0" borderId="4" xfId="9" applyFont="1" applyFill="1" applyBorder="1" applyAlignment="1">
      <alignment horizontal="left"/>
    </xf>
    <xf numFmtId="0" fontId="21" fillId="0" borderId="5" xfId="9" applyFont="1" applyFill="1" applyBorder="1" applyAlignment="1">
      <alignment horizontal="left"/>
    </xf>
    <xf numFmtId="3" fontId="7" fillId="0" borderId="0" xfId="9" applyNumberFormat="1" applyFont="1" applyFill="1" applyBorder="1" applyAlignment="1">
      <alignment horizontal="right"/>
    </xf>
    <xf numFmtId="0" fontId="3" fillId="0" borderId="0" xfId="9" applyFont="1" applyFill="1" applyAlignment="1">
      <alignment horizontal="right"/>
    </xf>
    <xf numFmtId="0" fontId="21" fillId="0" borderId="4" xfId="0" applyFont="1" applyFill="1" applyBorder="1" applyAlignment="1">
      <alignment horizontal="left"/>
    </xf>
    <xf numFmtId="0" fontId="21" fillId="0" borderId="5" xfId="0" applyFont="1" applyFill="1" applyBorder="1" applyAlignment="1">
      <alignment horizontal="left"/>
    </xf>
    <xf numFmtId="0" fontId="0" fillId="0" borderId="10" xfId="0" applyFill="1" applyBorder="1" applyAlignment="1">
      <alignment wrapText="1"/>
    </xf>
    <xf numFmtId="3" fontId="39" fillId="0" borderId="0" xfId="0" applyNumberFormat="1" applyFont="1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65" fillId="0" borderId="10" xfId="0" applyFont="1" applyFill="1" applyBorder="1" applyAlignment="1">
      <alignment wrapText="1"/>
    </xf>
    <xf numFmtId="0" fontId="39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wrapText="1"/>
    </xf>
    <xf numFmtId="1" fontId="7" fillId="0" borderId="1" xfId="9" applyNumberFormat="1" applyFont="1" applyFill="1" applyBorder="1" applyAlignment="1">
      <alignment horizontal="left" vertical="justify" wrapText="1"/>
    </xf>
    <xf numFmtId="0" fontId="31" fillId="4" borderId="10" xfId="9" applyFont="1" applyFill="1" applyBorder="1" applyAlignment="1">
      <alignment horizontal="left" wrapText="1"/>
    </xf>
    <xf numFmtId="0" fontId="3" fillId="4" borderId="10" xfId="9" applyFill="1" applyBorder="1" applyAlignment="1">
      <alignment wrapText="1"/>
    </xf>
    <xf numFmtId="0" fontId="3" fillId="0" borderId="10" xfId="9" applyFill="1" applyBorder="1" applyAlignment="1">
      <alignment horizontal="left" wrapText="1"/>
    </xf>
    <xf numFmtId="0" fontId="21" fillId="4" borderId="4" xfId="9" applyFont="1" applyFill="1" applyBorder="1" applyAlignment="1">
      <alignment horizontal="left"/>
    </xf>
    <xf numFmtId="0" fontId="21" fillId="4" borderId="5" xfId="9" applyFont="1" applyFill="1" applyBorder="1" applyAlignment="1">
      <alignment horizontal="left"/>
    </xf>
    <xf numFmtId="0" fontId="3" fillId="0" borderId="10" xfId="9" applyBorder="1" applyAlignment="1">
      <alignment wrapText="1"/>
    </xf>
    <xf numFmtId="0" fontId="0" fillId="0" borderId="10" xfId="0" applyBorder="1" applyAlignment="1">
      <alignment wrapText="1"/>
    </xf>
    <xf numFmtId="0" fontId="21" fillId="2" borderId="4" xfId="0" applyFont="1" applyFill="1" applyBorder="1" applyAlignment="1">
      <alignment horizontal="left"/>
    </xf>
    <xf numFmtId="0" fontId="21" fillId="2" borderId="5" xfId="0" applyFont="1" applyFill="1" applyBorder="1" applyAlignment="1">
      <alignment horizontal="left"/>
    </xf>
    <xf numFmtId="0" fontId="39" fillId="0" borderId="0" xfId="0" applyFont="1" applyFill="1" applyBorder="1" applyAlignment="1">
      <alignment horizontal="justify" wrapText="1"/>
    </xf>
    <xf numFmtId="0" fontId="0" fillId="0" borderId="0" xfId="0" applyFill="1" applyBorder="1" applyAlignment="1">
      <alignment horizontal="justify" wrapText="1"/>
    </xf>
    <xf numFmtId="0" fontId="0" fillId="0" borderId="0" xfId="0" applyFill="1" applyBorder="1" applyAlignment="1">
      <alignment wrapText="1"/>
    </xf>
    <xf numFmtId="0" fontId="0" fillId="0" borderId="1" xfId="0" applyFill="1" applyBorder="1" applyAlignment="1">
      <alignment horizontal="justify" wrapText="1"/>
    </xf>
    <xf numFmtId="0" fontId="78" fillId="0" borderId="0" xfId="0" applyFont="1" applyFill="1" applyAlignment="1">
      <alignment horizontal="justify" wrapText="1"/>
    </xf>
    <xf numFmtId="0" fontId="51" fillId="0" borderId="0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73" fillId="0" borderId="60" xfId="0" applyFont="1" applyFill="1" applyBorder="1" applyAlignment="1">
      <alignment horizontal="left" wrapText="1"/>
    </xf>
    <xf numFmtId="0" fontId="65" fillId="0" borderId="60" xfId="0" applyFont="1" applyBorder="1" applyAlignment="1">
      <alignment horizontal="left" wrapText="1"/>
    </xf>
    <xf numFmtId="0" fontId="65" fillId="0" borderId="0" xfId="0" applyFont="1" applyBorder="1" applyAlignment="1">
      <alignment horizontal="left" wrapText="1"/>
    </xf>
    <xf numFmtId="0" fontId="21" fillId="0" borderId="33" xfId="0" applyFont="1" applyFill="1" applyBorder="1" applyAlignment="1">
      <alignment horizontal="left"/>
    </xf>
    <xf numFmtId="0" fontId="21" fillId="0" borderId="34" xfId="0" applyFont="1" applyFill="1" applyBorder="1" applyAlignment="1">
      <alignment horizontal="left"/>
    </xf>
    <xf numFmtId="0" fontId="21" fillId="0" borderId="48" xfId="0" applyFont="1" applyFill="1" applyBorder="1" applyAlignment="1">
      <alignment horizontal="left"/>
    </xf>
    <xf numFmtId="0" fontId="23" fillId="0" borderId="0" xfId="0" applyFont="1" applyFill="1" applyAlignment="1">
      <alignment horizontal="justify" wrapText="1"/>
    </xf>
    <xf numFmtId="0" fontId="0" fillId="0" borderId="0" xfId="0" applyFill="1" applyAlignment="1">
      <alignment horizontal="justify" wrapText="1"/>
    </xf>
    <xf numFmtId="0" fontId="43" fillId="0" borderId="60" xfId="0" applyFont="1" applyFill="1" applyBorder="1" applyAlignment="1">
      <alignment horizontal="left" wrapText="1"/>
    </xf>
    <xf numFmtId="0" fontId="0" fillId="0" borderId="60" xfId="0" applyBorder="1" applyAlignment="1">
      <alignment horizontal="left" wrapText="1"/>
    </xf>
    <xf numFmtId="0" fontId="0" fillId="0" borderId="34" xfId="0" applyBorder="1" applyAlignment="1">
      <alignment horizontal="left" wrapText="1"/>
    </xf>
    <xf numFmtId="0" fontId="12" fillId="3" borderId="2" xfId="0" applyFont="1" applyFill="1" applyBorder="1" applyAlignment="1">
      <alignment wrapText="1"/>
    </xf>
    <xf numFmtId="0" fontId="12" fillId="3" borderId="3" xfId="0" applyFont="1" applyFill="1" applyBorder="1" applyAlignment="1">
      <alignment wrapText="1"/>
    </xf>
    <xf numFmtId="1" fontId="71" fillId="2" borderId="10" xfId="0" applyNumberFormat="1" applyFont="1" applyFill="1" applyBorder="1" applyAlignment="1">
      <alignment horizontal="left" wrapText="1"/>
    </xf>
    <xf numFmtId="0" fontId="72" fillId="0" borderId="10" xfId="0" applyFont="1" applyBorder="1" applyAlignment="1">
      <alignment wrapText="1"/>
    </xf>
  </cellXfs>
  <cellStyles count="66">
    <cellStyle name="20 % – Zvýraznění1" xfId="27" builtinId="30" customBuiltin="1"/>
    <cellStyle name="20 % – Zvýraznění1 2" xfId="54"/>
    <cellStyle name="20 % – Zvýraznění2" xfId="31" builtinId="34" customBuiltin="1"/>
    <cellStyle name="20 % – Zvýraznění2 2" xfId="56"/>
    <cellStyle name="20 % – Zvýraznění3" xfId="35" builtinId="38" customBuiltin="1"/>
    <cellStyle name="20 % – Zvýraznění3 2" xfId="58"/>
    <cellStyle name="20 % – Zvýraznění4" xfId="39" builtinId="42" customBuiltin="1"/>
    <cellStyle name="20 % – Zvýraznění4 2" xfId="60"/>
    <cellStyle name="20 % – Zvýraznění5" xfId="43" builtinId="46" customBuiltin="1"/>
    <cellStyle name="20 % – Zvýraznění5 2" xfId="62"/>
    <cellStyle name="20 % – Zvýraznění6" xfId="47" builtinId="50" customBuiltin="1"/>
    <cellStyle name="20 % – Zvýraznění6 2" xfId="64"/>
    <cellStyle name="40 % – Zvýraznění1" xfId="28" builtinId="31" customBuiltin="1"/>
    <cellStyle name="40 % – Zvýraznění1 2" xfId="55"/>
    <cellStyle name="40 % – Zvýraznění2" xfId="32" builtinId="35" customBuiltin="1"/>
    <cellStyle name="40 % – Zvýraznění2 2" xfId="57"/>
    <cellStyle name="40 % – Zvýraznění3" xfId="36" builtinId="39" customBuiltin="1"/>
    <cellStyle name="40 % – Zvýraznění3 2" xfId="59"/>
    <cellStyle name="40 % – Zvýraznění4" xfId="40" builtinId="43" customBuiltin="1"/>
    <cellStyle name="40 % – Zvýraznění4 2" xfId="61"/>
    <cellStyle name="40 % – Zvýraznění5" xfId="44" builtinId="47" customBuiltin="1"/>
    <cellStyle name="40 % – Zvýraznění5 2" xfId="63"/>
    <cellStyle name="40 % – Zvýraznění6" xfId="48" builtinId="51" customBuiltin="1"/>
    <cellStyle name="40 % – Zvýraznění6 2" xfId="65"/>
    <cellStyle name="60 % – Zvýraznění1" xfId="29" builtinId="32" customBuiltin="1"/>
    <cellStyle name="60 % – Zvýraznění2" xfId="33" builtinId="36" customBuiltin="1"/>
    <cellStyle name="60 % – Zvýraznění3" xfId="37" builtinId="40" customBuiltin="1"/>
    <cellStyle name="60 % – Zvýraznění4" xfId="41" builtinId="44" customBuiltin="1"/>
    <cellStyle name="60 % – Zvýraznění5" xfId="45" builtinId="48" customBuiltin="1"/>
    <cellStyle name="60 % – Zvýraznění6" xfId="49" builtinId="52" customBuiltin="1"/>
    <cellStyle name="Celkem" xfId="25" builtinId="25" customBuiltin="1"/>
    <cellStyle name="Chybně" xfId="16" builtinId="27" customBuiltin="1"/>
    <cellStyle name="Kontrolní buňka" xfId="22" builtinId="23" customBuiltin="1"/>
    <cellStyle name="Nadpis 1" xfId="11" builtinId="16" customBuiltin="1"/>
    <cellStyle name="Nadpis 2" xfId="12" builtinId="17" customBuiltin="1"/>
    <cellStyle name="Nadpis 3" xfId="13" builtinId="18" customBuiltin="1"/>
    <cellStyle name="Nadpis 4" xfId="14" builtinId="19" customBuiltin="1"/>
    <cellStyle name="Název" xfId="10" builtinId="15" customBuiltin="1"/>
    <cellStyle name="Neutrální" xfId="17" builtinId="28" customBuiltin="1"/>
    <cellStyle name="Normální" xfId="0" builtinId="0"/>
    <cellStyle name="Normální 2" xfId="1"/>
    <cellStyle name="Normální 2 2" xfId="9"/>
    <cellStyle name="Normální 3" xfId="8"/>
    <cellStyle name="Normální 4" xfId="50"/>
    <cellStyle name="Normální 5" xfId="52"/>
    <cellStyle name="normální_05" xfId="2"/>
    <cellStyle name="normální_10 - PO" xfId="3"/>
    <cellStyle name="normální_10 - soukr.šk." xfId="4"/>
    <cellStyle name="normální_13" xfId="5"/>
    <cellStyle name="normální_14" xfId="6"/>
    <cellStyle name="normální_F - 99" xfId="7"/>
    <cellStyle name="Poznámka 2" xfId="51"/>
    <cellStyle name="Poznámka 3" xfId="53"/>
    <cellStyle name="Propojená buňka" xfId="21" builtinId="24" customBuiltin="1"/>
    <cellStyle name="Správně" xfId="15" builtinId="26" customBuiltin="1"/>
    <cellStyle name="Text upozornění" xfId="23" builtinId="11" customBuiltin="1"/>
    <cellStyle name="Vstup" xfId="18" builtinId="20" customBuiltin="1"/>
    <cellStyle name="Výpočet" xfId="20" builtinId="22" customBuiltin="1"/>
    <cellStyle name="Výstup" xfId="19" builtinId="21" customBuiltin="1"/>
    <cellStyle name="Vysvětlující text" xfId="24" builtinId="53" customBuiltin="1"/>
    <cellStyle name="Zvýraznění 1" xfId="26" builtinId="29" customBuiltin="1"/>
    <cellStyle name="Zvýraznění 2" xfId="30" builtinId="33" customBuiltin="1"/>
    <cellStyle name="Zvýraznění 3" xfId="34" builtinId="37" customBuiltin="1"/>
    <cellStyle name="Zvýraznění 4" xfId="38" builtinId="41" customBuiltin="1"/>
    <cellStyle name="Zvýraznění 5" xfId="42" builtinId="45" customBuiltin="1"/>
    <cellStyle name="Zvýraznění 6" xfId="46" builtinId="49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 enableFormatConditionsCalculation="0">
    <tabColor rgb="FF00B050"/>
  </sheetPr>
  <dimension ref="A1:L37"/>
  <sheetViews>
    <sheetView showGridLines="0" tabSelected="1" view="pageBreakPreview" zoomScaleNormal="100" zoomScaleSheetLayoutView="100" workbookViewId="0">
      <selection activeCell="A32" sqref="A32:F33"/>
    </sheetView>
  </sheetViews>
  <sheetFormatPr defaultRowHeight="12.75" x14ac:dyDescent="0.2"/>
  <cols>
    <col min="1" max="1" width="2.5703125" style="349" customWidth="1"/>
    <col min="2" max="2" width="40.5703125" style="349" customWidth="1"/>
    <col min="3" max="3" width="15.85546875" style="349" customWidth="1"/>
    <col min="4" max="4" width="15.5703125" style="349" customWidth="1"/>
    <col min="5" max="5" width="16.7109375" style="349" customWidth="1"/>
    <col min="6" max="6" width="8.85546875" style="349" customWidth="1"/>
    <col min="7" max="7" width="4.28515625" style="349" customWidth="1"/>
    <col min="8" max="8" width="19.28515625" style="2251" customWidth="1"/>
    <col min="9" max="9" width="21" style="2251" customWidth="1"/>
    <col min="10" max="10" width="20.7109375" style="2251" customWidth="1"/>
    <col min="11" max="11" width="9.140625" style="349" customWidth="1"/>
    <col min="12" max="16384" width="9.140625" style="349"/>
  </cols>
  <sheetData>
    <row r="1" spans="1:12" ht="23.25" x14ac:dyDescent="0.35">
      <c r="A1" s="2609" t="s">
        <v>1765</v>
      </c>
      <c r="B1" s="2610"/>
      <c r="C1" s="2610"/>
      <c r="D1" s="2610"/>
      <c r="E1" s="2610"/>
      <c r="F1" s="2610"/>
      <c r="G1" s="2610"/>
    </row>
    <row r="3" spans="1:12" ht="18.75" customHeight="1" x14ac:dyDescent="0.2">
      <c r="A3" s="2619" t="s">
        <v>379</v>
      </c>
      <c r="B3" s="2620"/>
      <c r="C3" s="2620"/>
      <c r="D3" s="2620"/>
      <c r="E3" s="2620"/>
      <c r="F3" s="2620"/>
    </row>
    <row r="4" spans="1:12" x14ac:dyDescent="0.2">
      <c r="A4" s="2620"/>
      <c r="B4" s="2620"/>
      <c r="C4" s="2620"/>
      <c r="D4" s="2620"/>
      <c r="E4" s="2620"/>
      <c r="F4" s="2620"/>
    </row>
    <row r="5" spans="1:12" ht="13.5" customHeight="1" x14ac:dyDescent="0.2">
      <c r="A5" s="2620"/>
      <c r="B5" s="2620"/>
      <c r="C5" s="2620"/>
      <c r="D5" s="2620"/>
      <c r="E5" s="2620"/>
      <c r="F5" s="2620"/>
    </row>
    <row r="6" spans="1:12" ht="21" customHeight="1" x14ac:dyDescent="0.25">
      <c r="A6" s="503" t="s">
        <v>64</v>
      </c>
    </row>
    <row r="7" spans="1:12" ht="15" thickBot="1" x14ac:dyDescent="0.25">
      <c r="B7" s="504"/>
      <c r="C7" s="505"/>
      <c r="D7" s="493"/>
      <c r="E7" s="493"/>
      <c r="F7" s="383" t="s">
        <v>173</v>
      </c>
      <c r="G7" s="383"/>
    </row>
    <row r="8" spans="1:12" s="510" customFormat="1" ht="18.75" customHeight="1" thickTop="1" thickBot="1" x14ac:dyDescent="0.25">
      <c r="A8" s="2617" t="s">
        <v>1358</v>
      </c>
      <c r="B8" s="2618"/>
      <c r="C8" s="506" t="s">
        <v>669</v>
      </c>
      <c r="D8" s="506" t="s">
        <v>670</v>
      </c>
      <c r="E8" s="507" t="s">
        <v>923</v>
      </c>
      <c r="F8" s="508" t="s">
        <v>924</v>
      </c>
      <c r="G8" s="509"/>
      <c r="H8" s="2262"/>
      <c r="I8" s="2262"/>
      <c r="J8" s="2262"/>
    </row>
    <row r="9" spans="1:12" s="513" customFormat="1" ht="14.25" thickTop="1" thickBot="1" x14ac:dyDescent="0.25">
      <c r="A9" s="2617">
        <v>1</v>
      </c>
      <c r="B9" s="2618"/>
      <c r="C9" s="506">
        <v>2</v>
      </c>
      <c r="D9" s="506">
        <v>3</v>
      </c>
      <c r="E9" s="506">
        <v>4</v>
      </c>
      <c r="F9" s="511" t="s">
        <v>67</v>
      </c>
      <c r="G9" s="512"/>
      <c r="H9" s="2263"/>
      <c r="I9" s="2263"/>
      <c r="J9" s="2263"/>
    </row>
    <row r="10" spans="1:12" s="517" customFormat="1" ht="29.25" thickTop="1" x14ac:dyDescent="0.2">
      <c r="A10" s="514" t="s">
        <v>1073</v>
      </c>
      <c r="B10" s="515" t="s">
        <v>1071</v>
      </c>
      <c r="C10" s="431">
        <f>'Odbor celkem'!C284</f>
        <v>2170698</v>
      </c>
      <c r="D10" s="431">
        <f>'Odbor celkem'!D284</f>
        <v>6019324</v>
      </c>
      <c r="E10" s="431">
        <f>'Odbor celkem'!E284</f>
        <v>5453670</v>
      </c>
      <c r="F10" s="516">
        <f t="shared" ref="F10:F15" si="0">E10/D10*100</f>
        <v>90.602698907717865</v>
      </c>
      <c r="G10" s="1387"/>
      <c r="H10" s="2265"/>
      <c r="I10" s="2265"/>
      <c r="J10" s="2265"/>
      <c r="K10" s="2261"/>
      <c r="L10" s="2261"/>
    </row>
    <row r="11" spans="1:12" s="517" customFormat="1" ht="15" x14ac:dyDescent="0.25">
      <c r="A11" s="434" t="s">
        <v>1072</v>
      </c>
      <c r="B11" s="518" t="s">
        <v>660</v>
      </c>
      <c r="C11" s="431">
        <f>'Odbor celkem'!C285</f>
        <v>1549530</v>
      </c>
      <c r="D11" s="431">
        <f>'Odbor celkem'!D285</f>
        <v>3622402</v>
      </c>
      <c r="E11" s="431">
        <f>'Odbor celkem'!E285</f>
        <v>3621518</v>
      </c>
      <c r="F11" s="519">
        <f t="shared" si="0"/>
        <v>99.975596303226425</v>
      </c>
      <c r="G11" s="1387"/>
      <c r="H11" s="2265"/>
      <c r="I11" s="2265"/>
      <c r="J11" s="2265"/>
    </row>
    <row r="12" spans="1:12" s="340" customFormat="1" ht="15" x14ac:dyDescent="0.25">
      <c r="A12" s="434" t="s">
        <v>1072</v>
      </c>
      <c r="B12" s="518" t="s">
        <v>1359</v>
      </c>
      <c r="C12" s="431">
        <f>'Odbor celkem'!C286</f>
        <v>58494</v>
      </c>
      <c r="D12" s="431">
        <f>'Odbor celkem'!D286</f>
        <v>913023</v>
      </c>
      <c r="E12" s="431">
        <f>'Odbor celkem'!E286</f>
        <v>1245605</v>
      </c>
      <c r="F12" s="519">
        <f t="shared" si="0"/>
        <v>136.42646461261108</v>
      </c>
      <c r="G12" s="1380"/>
      <c r="H12" s="2265"/>
      <c r="I12" s="2265"/>
      <c r="J12" s="2265"/>
    </row>
    <row r="13" spans="1:12" s="340" customFormat="1" ht="15" x14ac:dyDescent="0.25">
      <c r="A13" s="434" t="s">
        <v>1072</v>
      </c>
      <c r="B13" s="518" t="s">
        <v>144</v>
      </c>
      <c r="C13" s="1462">
        <f>'Odbor celkem'!C287</f>
        <v>5300</v>
      </c>
      <c r="D13" s="1462">
        <f>'Odbor celkem'!D287</f>
        <v>6522</v>
      </c>
      <c r="E13" s="1462">
        <f>'Odbor celkem'!E287</f>
        <v>5679</v>
      </c>
      <c r="F13" s="519">
        <f t="shared" si="0"/>
        <v>87.074517019319231</v>
      </c>
      <c r="G13" s="1380"/>
      <c r="H13" s="2265"/>
      <c r="I13" s="2265"/>
      <c r="J13" s="2265"/>
    </row>
    <row r="14" spans="1:12" s="517" customFormat="1" ht="42.75" x14ac:dyDescent="0.2">
      <c r="A14" s="1385" t="s">
        <v>1072</v>
      </c>
      <c r="B14" s="1386" t="s">
        <v>145</v>
      </c>
      <c r="C14" s="431">
        <f>'Odbor celkem'!C288</f>
        <v>40000</v>
      </c>
      <c r="D14" s="431">
        <f>'Odbor celkem'!D288</f>
        <v>86121</v>
      </c>
      <c r="E14" s="431">
        <f>'Odbor celkem'!E288</f>
        <v>77715</v>
      </c>
      <c r="F14" s="520">
        <f t="shared" si="0"/>
        <v>90.239314452920894</v>
      </c>
      <c r="G14" s="1387"/>
      <c r="H14" s="2265"/>
      <c r="I14" s="2265"/>
      <c r="J14" s="2265"/>
    </row>
    <row r="15" spans="1:12" ht="18.75" customHeight="1" thickBot="1" x14ac:dyDescent="0.3">
      <c r="A15" s="2611" t="s">
        <v>65</v>
      </c>
      <c r="B15" s="2612"/>
      <c r="C15" s="521">
        <f>SUM(C10:C14)</f>
        <v>3824022</v>
      </c>
      <c r="D15" s="521">
        <f>SUM(D10:D14)</f>
        <v>10647392</v>
      </c>
      <c r="E15" s="521">
        <f>SUM(E10:E14)</f>
        <v>10404187</v>
      </c>
      <c r="F15" s="522">
        <f t="shared" si="0"/>
        <v>97.715825621898773</v>
      </c>
      <c r="G15" s="1381"/>
      <c r="H15" s="2266"/>
      <c r="I15" s="2266"/>
      <c r="J15" s="2266"/>
      <c r="K15" s="437"/>
      <c r="L15" s="437"/>
    </row>
    <row r="16" spans="1:12" s="361" customFormat="1" ht="15.75" thickTop="1" x14ac:dyDescent="0.2">
      <c r="A16" s="2621" t="s">
        <v>1397</v>
      </c>
      <c r="B16" s="2622"/>
      <c r="C16" s="357">
        <f>'Odbor celkem'!C290</f>
        <v>5294</v>
      </c>
      <c r="D16" s="357">
        <f>'Odbor celkem'!D290</f>
        <v>5294</v>
      </c>
      <c r="E16" s="357">
        <f>'Odbor celkem'!E290</f>
        <v>501935</v>
      </c>
      <c r="F16" s="377">
        <f>(E16/D16)*100</f>
        <v>9481.2051378919532</v>
      </c>
      <c r="G16" s="1382"/>
      <c r="H16" s="2267"/>
      <c r="I16" s="2267"/>
      <c r="J16" s="2267"/>
    </row>
    <row r="17" spans="1:12" s="361" customFormat="1" ht="33.75" customHeight="1" thickBot="1" x14ac:dyDescent="0.3">
      <c r="A17" s="2613" t="s">
        <v>132</v>
      </c>
      <c r="B17" s="2612"/>
      <c r="C17" s="523">
        <f>C15-C16</f>
        <v>3818728</v>
      </c>
      <c r="D17" s="523">
        <f>D15-D16</f>
        <v>10642098</v>
      </c>
      <c r="E17" s="523">
        <f>E15-E16</f>
        <v>9902252</v>
      </c>
      <c r="F17" s="524">
        <f>(E17/D17)*100</f>
        <v>93.047930962485026</v>
      </c>
      <c r="G17" s="1383"/>
      <c r="H17" s="2267"/>
      <c r="I17" s="2267"/>
      <c r="J17" s="2267"/>
      <c r="K17" s="2267"/>
    </row>
    <row r="18" spans="1:12" ht="22.5" customHeight="1" thickTop="1" x14ac:dyDescent="0.2">
      <c r="B18" s="67"/>
      <c r="C18" s="527"/>
      <c r="D18" s="528"/>
      <c r="E18" s="528"/>
      <c r="F18" s="529"/>
      <c r="G18" s="188"/>
      <c r="J18" s="2264"/>
      <c r="K18" s="437"/>
      <c r="L18" s="437"/>
    </row>
    <row r="19" spans="1:12" x14ac:dyDescent="0.2">
      <c r="B19" s="7"/>
      <c r="C19" s="530"/>
      <c r="D19" s="530"/>
      <c r="E19" s="530"/>
      <c r="F19" s="7"/>
      <c r="G19" s="7"/>
    </row>
    <row r="20" spans="1:12" x14ac:dyDescent="0.2">
      <c r="B20" s="7"/>
      <c r="C20" s="15"/>
      <c r="D20" s="15"/>
      <c r="E20" s="15"/>
      <c r="F20" s="7"/>
      <c r="G20" s="7"/>
    </row>
    <row r="21" spans="1:12" x14ac:dyDescent="0.2">
      <c r="A21" s="2585"/>
      <c r="B21" s="2586"/>
      <c r="C21" s="2587"/>
      <c r="D21" s="2587"/>
      <c r="E21" s="2587"/>
      <c r="F21" s="2586"/>
      <c r="G21" s="7"/>
    </row>
    <row r="22" spans="1:12" ht="21" customHeight="1" x14ac:dyDescent="0.25">
      <c r="A22" s="2588" t="s">
        <v>66</v>
      </c>
      <c r="B22" s="2585"/>
      <c r="C22" s="2585"/>
      <c r="D22" s="2585"/>
      <c r="E22" s="2585"/>
      <c r="F22" s="2585"/>
    </row>
    <row r="23" spans="1:12" ht="15" thickBot="1" x14ac:dyDescent="0.25">
      <c r="A23" s="2585"/>
      <c r="B23" s="2589"/>
      <c r="C23" s="2590"/>
      <c r="D23" s="2591"/>
      <c r="E23" s="2591"/>
      <c r="F23" s="2414" t="s">
        <v>173</v>
      </c>
      <c r="G23" s="383"/>
    </row>
    <row r="24" spans="1:12" s="510" customFormat="1" ht="18.75" customHeight="1" thickTop="1" thickBot="1" x14ac:dyDescent="0.25">
      <c r="A24" s="2623" t="s">
        <v>1358</v>
      </c>
      <c r="B24" s="2624"/>
      <c r="C24" s="2470" t="s">
        <v>669</v>
      </c>
      <c r="D24" s="2470" t="s">
        <v>670</v>
      </c>
      <c r="E24" s="2417" t="s">
        <v>923</v>
      </c>
      <c r="F24" s="2418" t="s">
        <v>924</v>
      </c>
      <c r="G24" s="1378"/>
      <c r="H24" s="2262"/>
      <c r="I24" s="2262"/>
      <c r="J24" s="2262"/>
    </row>
    <row r="25" spans="1:12" s="513" customFormat="1" ht="14.25" thickTop="1" thickBot="1" x14ac:dyDescent="0.25">
      <c r="A25" s="2623">
        <v>1</v>
      </c>
      <c r="B25" s="2624"/>
      <c r="C25" s="2470">
        <v>2</v>
      </c>
      <c r="D25" s="2470">
        <v>3</v>
      </c>
      <c r="E25" s="2470">
        <v>4</v>
      </c>
      <c r="F25" s="2471" t="s">
        <v>67</v>
      </c>
      <c r="G25" s="1379"/>
      <c r="H25" s="2263"/>
      <c r="I25" s="2263"/>
      <c r="J25" s="2263"/>
    </row>
    <row r="26" spans="1:12" s="340" customFormat="1" ht="15.75" thickTop="1" x14ac:dyDescent="0.25">
      <c r="A26" s="2625" t="s">
        <v>55</v>
      </c>
      <c r="B26" s="2626"/>
      <c r="C26" s="2592">
        <f>'Odbor celkem'!C293</f>
        <v>3255210</v>
      </c>
      <c r="D26" s="2592">
        <f>'Odbor celkem'!D293</f>
        <v>9569084</v>
      </c>
      <c r="E26" s="2592">
        <f>'Odbor celkem'!E293</f>
        <v>9423439</v>
      </c>
      <c r="F26" s="2593">
        <f>E26/D26*100</f>
        <v>98.477962989978977</v>
      </c>
      <c r="G26" s="1380"/>
      <c r="H26" s="2260"/>
      <c r="I26" s="2260"/>
      <c r="J26" s="2260"/>
    </row>
    <row r="27" spans="1:12" s="340" customFormat="1" ht="15" x14ac:dyDescent="0.25">
      <c r="A27" s="2614" t="s">
        <v>56</v>
      </c>
      <c r="B27" s="2615"/>
      <c r="C27" s="2594">
        <f>'Odbor celkem'!C294</f>
        <v>568812</v>
      </c>
      <c r="D27" s="2594">
        <f>'Odbor celkem'!D294</f>
        <v>1078308</v>
      </c>
      <c r="E27" s="2594">
        <f>'Odbor celkem'!E294</f>
        <v>980748</v>
      </c>
      <c r="F27" s="2593">
        <f>E27/D27*100</f>
        <v>90.95249223783928</v>
      </c>
      <c r="G27" s="1380"/>
      <c r="H27" s="2260"/>
      <c r="I27" s="2260"/>
      <c r="J27" s="2260"/>
    </row>
    <row r="28" spans="1:12" ht="18.75" customHeight="1" thickBot="1" x14ac:dyDescent="0.3">
      <c r="A28" s="2629" t="s">
        <v>146</v>
      </c>
      <c r="B28" s="2630"/>
      <c r="C28" s="2595">
        <f>SUM(C26:C27)</f>
        <v>3824022</v>
      </c>
      <c r="D28" s="2595">
        <f>SUM(D26:D27)</f>
        <v>10647392</v>
      </c>
      <c r="E28" s="2595">
        <f>SUM(E26:E27)</f>
        <v>10404187</v>
      </c>
      <c r="F28" s="2596">
        <f>E28/D28*100</f>
        <v>97.715825621898773</v>
      </c>
      <c r="G28" s="1381"/>
      <c r="H28" s="2266"/>
      <c r="I28" s="2266"/>
      <c r="J28" s="2266"/>
      <c r="K28" s="437"/>
      <c r="L28" s="437"/>
    </row>
    <row r="29" spans="1:12" s="361" customFormat="1" ht="15.75" thickTop="1" x14ac:dyDescent="0.2">
      <c r="A29" s="2627" t="s">
        <v>1397</v>
      </c>
      <c r="B29" s="2628"/>
      <c r="C29" s="2597">
        <f>'Odbor celkem'!C296</f>
        <v>5294</v>
      </c>
      <c r="D29" s="2597">
        <f>'Odbor celkem'!D296</f>
        <v>5294</v>
      </c>
      <c r="E29" s="2597">
        <f>'Odbor celkem'!E296</f>
        <v>501935</v>
      </c>
      <c r="F29" s="2598">
        <f>(E29/D29)*100</f>
        <v>9481.2051378919532</v>
      </c>
      <c r="G29" s="1382"/>
      <c r="H29" s="2267"/>
      <c r="I29" s="2267"/>
      <c r="J29" s="2267"/>
    </row>
    <row r="30" spans="1:12" s="361" customFormat="1" ht="33.75" customHeight="1" thickBot="1" x14ac:dyDescent="0.3">
      <c r="A30" s="2631" t="s">
        <v>132</v>
      </c>
      <c r="B30" s="2632"/>
      <c r="C30" s="2599">
        <f>C28-C29</f>
        <v>3818728</v>
      </c>
      <c r="D30" s="2599">
        <f>D28-D29</f>
        <v>10642098</v>
      </c>
      <c r="E30" s="2599">
        <f>E28-E29</f>
        <v>9902252</v>
      </c>
      <c r="F30" s="2600">
        <f>(E30/D30)*100</f>
        <v>93.047930962485026</v>
      </c>
      <c r="G30" s="1383"/>
      <c r="H30" s="2267"/>
      <c r="I30" s="2267"/>
      <c r="J30" s="2267"/>
    </row>
    <row r="31" spans="1:12" ht="13.5" thickTop="1" x14ac:dyDescent="0.2">
      <c r="A31" s="2585"/>
      <c r="B31" s="2585"/>
      <c r="C31" s="2585"/>
      <c r="D31" s="2585"/>
      <c r="E31" s="2601"/>
      <c r="F31" s="2585"/>
      <c r="G31" s="1384"/>
    </row>
    <row r="32" spans="1:12" x14ac:dyDescent="0.2">
      <c r="A32" s="2616" t="s">
        <v>57</v>
      </c>
      <c r="B32" s="2616"/>
      <c r="C32" s="2616"/>
      <c r="D32" s="2616"/>
      <c r="E32" s="2616"/>
      <c r="F32" s="2616"/>
      <c r="G32" s="1384"/>
    </row>
    <row r="33" spans="1:7" x14ac:dyDescent="0.2">
      <c r="A33" s="2616"/>
      <c r="B33" s="2616"/>
      <c r="C33" s="2616"/>
      <c r="D33" s="2616"/>
      <c r="E33" s="2616"/>
      <c r="F33" s="2616"/>
      <c r="G33" s="1384"/>
    </row>
    <row r="34" spans="1:7" x14ac:dyDescent="0.2">
      <c r="G34" s="1384"/>
    </row>
    <row r="35" spans="1:7" x14ac:dyDescent="0.2">
      <c r="G35" s="1384"/>
    </row>
    <row r="36" spans="1:7" x14ac:dyDescent="0.2">
      <c r="G36" s="1384"/>
    </row>
    <row r="37" spans="1:7" x14ac:dyDescent="0.2">
      <c r="G37" s="1384"/>
    </row>
  </sheetData>
  <mergeCells count="15">
    <mergeCell ref="A1:G1"/>
    <mergeCell ref="A15:B15"/>
    <mergeCell ref="A17:B17"/>
    <mergeCell ref="A27:B27"/>
    <mergeCell ref="A32:F33"/>
    <mergeCell ref="A8:B8"/>
    <mergeCell ref="A9:B9"/>
    <mergeCell ref="A3:F5"/>
    <mergeCell ref="A16:B16"/>
    <mergeCell ref="A24:B24"/>
    <mergeCell ref="A25:B25"/>
    <mergeCell ref="A26:B26"/>
    <mergeCell ref="A29:B29"/>
    <mergeCell ref="A28:B28"/>
    <mergeCell ref="A30:B30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80" firstPageNumber="21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 enableFormatConditionsCalculation="0">
    <tabColor rgb="FF00B0F0"/>
  </sheetPr>
  <dimension ref="A1:R92"/>
  <sheetViews>
    <sheetView showGridLines="0" view="pageBreakPreview" zoomScaleNormal="100" zoomScaleSheetLayoutView="100" workbookViewId="0">
      <selection activeCell="D4" sqref="D4"/>
    </sheetView>
  </sheetViews>
  <sheetFormatPr defaultRowHeight="12.75" x14ac:dyDescent="0.2"/>
  <cols>
    <col min="1" max="1" width="4.7109375" style="645" customWidth="1"/>
    <col min="2" max="2" width="4.7109375" style="987" customWidth="1"/>
    <col min="3" max="3" width="8.7109375" style="988" customWidth="1"/>
    <col min="4" max="4" width="47.28515625" style="534" customWidth="1"/>
    <col min="5" max="5" width="12.140625" style="495" customWidth="1"/>
    <col min="6" max="6" width="14.140625" style="495" customWidth="1"/>
    <col min="7" max="7" width="13.5703125" style="495" customWidth="1"/>
    <col min="8" max="8" width="8.5703125" style="668" customWidth="1"/>
    <col min="9" max="9" width="9.140625" style="495"/>
    <col min="10" max="10" width="13.42578125" style="495" bestFit="1" customWidth="1"/>
    <col min="11" max="11" width="12.28515625" style="534" bestFit="1" customWidth="1"/>
    <col min="12" max="16384" width="9.140625" style="534"/>
  </cols>
  <sheetData>
    <row r="1" spans="1:10" ht="18.75" thickBot="1" x14ac:dyDescent="0.3">
      <c r="A1" s="465" t="s">
        <v>1215</v>
      </c>
      <c r="B1" s="466"/>
      <c r="C1" s="467"/>
      <c r="D1" s="477"/>
      <c r="E1" s="494"/>
      <c r="F1" s="469" t="s">
        <v>373</v>
      </c>
      <c r="I1" s="17"/>
    </row>
    <row r="2" spans="1:10" ht="12.75" customHeight="1" x14ac:dyDescent="0.25">
      <c r="A2" s="6"/>
      <c r="B2" s="28"/>
      <c r="C2" s="142"/>
      <c r="D2" s="10"/>
      <c r="E2" s="137"/>
      <c r="F2" s="137"/>
      <c r="G2" s="16"/>
      <c r="H2" s="194"/>
      <c r="I2" s="17"/>
    </row>
    <row r="3" spans="1:10" ht="12.75" customHeight="1" x14ac:dyDescent="0.25">
      <c r="A3" s="67" t="s">
        <v>387</v>
      </c>
      <c r="B3" s="28"/>
      <c r="C3" s="1836" t="s">
        <v>227</v>
      </c>
      <c r="D3" s="629"/>
      <c r="E3" s="137"/>
      <c r="F3" s="16"/>
      <c r="G3" s="17"/>
      <c r="H3" s="194"/>
      <c r="I3" s="534"/>
      <c r="J3" s="534"/>
    </row>
    <row r="4" spans="1:10" ht="12.75" customHeight="1" x14ac:dyDescent="0.25">
      <c r="A4" s="6"/>
      <c r="B4" s="28"/>
      <c r="C4" s="1835" t="s">
        <v>1782</v>
      </c>
      <c r="D4" s="1831"/>
      <c r="E4" s="138"/>
      <c r="F4" s="16"/>
      <c r="G4" s="17"/>
      <c r="H4" s="194"/>
      <c r="I4" s="534"/>
      <c r="J4" s="534"/>
    </row>
    <row r="5" spans="1:10" ht="12.75" customHeight="1" x14ac:dyDescent="0.25">
      <c r="A5" s="6"/>
      <c r="B5" s="28"/>
      <c r="C5" s="142"/>
      <c r="D5" s="10"/>
      <c r="E5" s="137"/>
      <c r="F5" s="137"/>
      <c r="G5" s="16"/>
      <c r="H5" s="194"/>
      <c r="I5" s="17"/>
    </row>
    <row r="6" spans="1:10" ht="15.75" customHeight="1" x14ac:dyDescent="0.25">
      <c r="A6" s="33" t="s">
        <v>925</v>
      </c>
      <c r="B6" s="28"/>
      <c r="C6" s="142"/>
      <c r="D6" s="10"/>
      <c r="E6" s="137"/>
      <c r="F6" s="137"/>
      <c r="G6" s="16"/>
      <c r="I6" s="17"/>
    </row>
    <row r="7" spans="1:10" ht="13.5" thickBot="1" x14ac:dyDescent="0.25">
      <c r="A7" s="631"/>
      <c r="B7" s="631"/>
      <c r="C7" s="684"/>
      <c r="D7" s="632"/>
      <c r="G7" s="980"/>
      <c r="H7" s="668" t="s">
        <v>173</v>
      </c>
    </row>
    <row r="8" spans="1:10" s="107" customFormat="1" ht="20.25" customHeight="1" thickTop="1" thickBot="1" x14ac:dyDescent="0.25">
      <c r="A8" s="633" t="s">
        <v>174</v>
      </c>
      <c r="B8" s="634" t="s">
        <v>175</v>
      </c>
      <c r="C8" s="678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637" t="s">
        <v>924</v>
      </c>
      <c r="I8" s="946"/>
      <c r="J8" s="946"/>
    </row>
    <row r="9" spans="1:10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638" t="s">
        <v>61</v>
      </c>
      <c r="I9" s="107"/>
    </row>
    <row r="10" spans="1:10" s="1159" customFormat="1" ht="14.25" customHeight="1" thickTop="1" x14ac:dyDescent="0.25">
      <c r="A10" s="223">
        <v>2141</v>
      </c>
      <c r="B10" s="96">
        <v>5221</v>
      </c>
      <c r="C10" s="1153"/>
      <c r="D10" s="1176" t="s">
        <v>1063</v>
      </c>
      <c r="E10" s="1171"/>
      <c r="F10" s="313">
        <v>100</v>
      </c>
      <c r="G10" s="315">
        <v>100</v>
      </c>
      <c r="H10" s="1124">
        <f t="shared" ref="H10:H31" si="0">(G10/F10)*100</f>
        <v>100</v>
      </c>
    </row>
    <row r="11" spans="1:10" s="1159" customFormat="1" ht="14.25" customHeight="1" x14ac:dyDescent="0.2">
      <c r="A11" s="223"/>
      <c r="B11" s="96"/>
      <c r="C11" s="1135" t="s">
        <v>262</v>
      </c>
      <c r="D11" s="1177" t="s">
        <v>333</v>
      </c>
      <c r="E11" s="1171"/>
      <c r="F11" s="314">
        <v>100</v>
      </c>
      <c r="G11" s="316">
        <v>100</v>
      </c>
      <c r="H11" s="1125">
        <f t="shared" si="0"/>
        <v>100</v>
      </c>
    </row>
    <row r="12" spans="1:10" s="1159" customFormat="1" ht="14.25" customHeight="1" x14ac:dyDescent="0.25">
      <c r="A12" s="223">
        <v>2141</v>
      </c>
      <c r="B12" s="96">
        <v>5222</v>
      </c>
      <c r="C12" s="1135"/>
      <c r="D12" s="1409" t="s">
        <v>1190</v>
      </c>
      <c r="E12" s="1171"/>
      <c r="F12" s="313">
        <v>50</v>
      </c>
      <c r="G12" s="315">
        <v>50</v>
      </c>
      <c r="H12" s="212">
        <f t="shared" si="0"/>
        <v>100</v>
      </c>
    </row>
    <row r="13" spans="1:10" s="1159" customFormat="1" ht="14.25" customHeight="1" x14ac:dyDescent="0.2">
      <c r="A13" s="223"/>
      <c r="B13" s="96"/>
      <c r="C13" s="1135" t="s">
        <v>262</v>
      </c>
      <c r="D13" s="1177" t="s">
        <v>333</v>
      </c>
      <c r="E13" s="1171"/>
      <c r="F13" s="314">
        <v>50</v>
      </c>
      <c r="G13" s="316">
        <v>50</v>
      </c>
      <c r="H13" s="1125">
        <f t="shared" si="0"/>
        <v>100</v>
      </c>
    </row>
    <row r="14" spans="1:10" s="1159" customFormat="1" ht="14.25" customHeight="1" x14ac:dyDescent="0.25">
      <c r="A14" s="223">
        <v>2141</v>
      </c>
      <c r="B14" s="96">
        <v>5229</v>
      </c>
      <c r="C14" s="1135"/>
      <c r="D14" s="1412" t="s">
        <v>1191</v>
      </c>
      <c r="E14" s="1171"/>
      <c r="F14" s="313">
        <v>50</v>
      </c>
      <c r="G14" s="315">
        <v>50</v>
      </c>
      <c r="H14" s="212">
        <f t="shared" si="0"/>
        <v>100</v>
      </c>
    </row>
    <row r="15" spans="1:10" s="1159" customFormat="1" ht="14.25" customHeight="1" x14ac:dyDescent="0.2">
      <c r="A15" s="223"/>
      <c r="B15" s="96"/>
      <c r="C15" s="1135" t="s">
        <v>262</v>
      </c>
      <c r="D15" s="1177" t="s">
        <v>333</v>
      </c>
      <c r="E15" s="1171"/>
      <c r="F15" s="314">
        <v>50</v>
      </c>
      <c r="G15" s="316">
        <v>50</v>
      </c>
      <c r="H15" s="1125">
        <f t="shared" si="0"/>
        <v>100</v>
      </c>
    </row>
    <row r="16" spans="1:10" s="1159" customFormat="1" ht="14.25" customHeight="1" x14ac:dyDescent="0.25">
      <c r="A16" s="223">
        <v>2212</v>
      </c>
      <c r="B16" s="96">
        <v>5321</v>
      </c>
      <c r="C16" s="1153"/>
      <c r="D16" s="1176" t="s">
        <v>1261</v>
      </c>
      <c r="E16" s="1171"/>
      <c r="F16" s="313">
        <v>4093</v>
      </c>
      <c r="G16" s="315">
        <v>4003</v>
      </c>
      <c r="H16" s="212">
        <f t="shared" si="0"/>
        <v>97.801123870021982</v>
      </c>
    </row>
    <row r="17" spans="1:10" s="1159" customFormat="1" ht="14.25" customHeight="1" x14ac:dyDescent="0.2">
      <c r="A17" s="223"/>
      <c r="B17" s="96"/>
      <c r="C17" s="1135" t="s">
        <v>1062</v>
      </c>
      <c r="D17" s="1177" t="s">
        <v>1081</v>
      </c>
      <c r="E17" s="1171"/>
      <c r="F17" s="314">
        <v>4093</v>
      </c>
      <c r="G17" s="316">
        <v>4003</v>
      </c>
      <c r="H17" s="1125">
        <f t="shared" si="0"/>
        <v>97.801123870021982</v>
      </c>
    </row>
    <row r="18" spans="1:10" s="1159" customFormat="1" ht="14.25" customHeight="1" x14ac:dyDescent="0.25">
      <c r="A18" s="223">
        <v>2219</v>
      </c>
      <c r="B18" s="96">
        <v>5321</v>
      </c>
      <c r="C18" s="1153"/>
      <c r="D18" s="1176" t="s">
        <v>1261</v>
      </c>
      <c r="E18" s="1171"/>
      <c r="F18" s="313">
        <v>2351</v>
      </c>
      <c r="G18" s="315">
        <v>2347</v>
      </c>
      <c r="H18" s="212">
        <f t="shared" si="0"/>
        <v>99.829859634198215</v>
      </c>
    </row>
    <row r="19" spans="1:10" s="1159" customFormat="1" ht="14.25" customHeight="1" x14ac:dyDescent="0.2">
      <c r="A19" s="223"/>
      <c r="B19" s="96"/>
      <c r="C19" s="1135" t="s">
        <v>1062</v>
      </c>
      <c r="D19" s="1177" t="s">
        <v>1081</v>
      </c>
      <c r="E19" s="1171"/>
      <c r="F19" s="314">
        <v>2351</v>
      </c>
      <c r="G19" s="316">
        <v>2347</v>
      </c>
      <c r="H19" s="1125">
        <f t="shared" si="0"/>
        <v>99.829859634198215</v>
      </c>
    </row>
    <row r="20" spans="1:10" s="1159" customFormat="1" ht="13.5" customHeight="1" x14ac:dyDescent="0.25">
      <c r="A20" s="223">
        <v>2251</v>
      </c>
      <c r="B20" s="96">
        <v>5213</v>
      </c>
      <c r="C20" s="1153"/>
      <c r="D20" s="1176" t="s">
        <v>225</v>
      </c>
      <c r="E20" s="60">
        <v>3000</v>
      </c>
      <c r="F20" s="313">
        <v>0</v>
      </c>
      <c r="G20" s="315">
        <v>0</v>
      </c>
      <c r="H20" s="1124">
        <v>0</v>
      </c>
    </row>
    <row r="21" spans="1:10" s="1159" customFormat="1" ht="13.5" customHeight="1" x14ac:dyDescent="0.2">
      <c r="A21" s="223"/>
      <c r="B21" s="96"/>
      <c r="C21" s="1170" t="s">
        <v>369</v>
      </c>
      <c r="D21" s="1149" t="s">
        <v>933</v>
      </c>
      <c r="E21" s="124">
        <v>3000</v>
      </c>
      <c r="F21" s="314">
        <v>0</v>
      </c>
      <c r="G21" s="316">
        <v>0</v>
      </c>
      <c r="H21" s="1125">
        <v>0</v>
      </c>
    </row>
    <row r="22" spans="1:10" s="1159" customFormat="1" ht="13.5" customHeight="1" x14ac:dyDescent="0.25">
      <c r="A22" s="223">
        <v>3299</v>
      </c>
      <c r="B22" s="96">
        <v>5213</v>
      </c>
      <c r="C22" s="1170"/>
      <c r="D22" s="1176" t="s">
        <v>225</v>
      </c>
      <c r="E22" s="60">
        <v>1500</v>
      </c>
      <c r="F22" s="313">
        <v>873</v>
      </c>
      <c r="G22" s="315">
        <v>873</v>
      </c>
      <c r="H22" s="212">
        <f t="shared" si="0"/>
        <v>100</v>
      </c>
    </row>
    <row r="23" spans="1:10" s="1159" customFormat="1" ht="13.5" customHeight="1" x14ac:dyDescent="0.2">
      <c r="A23" s="223"/>
      <c r="B23" s="96"/>
      <c r="C23" s="1170" t="s">
        <v>369</v>
      </c>
      <c r="D23" s="1149" t="s">
        <v>933</v>
      </c>
      <c r="E23" s="124">
        <v>1500</v>
      </c>
      <c r="F23" s="314">
        <v>873</v>
      </c>
      <c r="G23" s="316">
        <v>873</v>
      </c>
      <c r="H23" s="1125">
        <f t="shared" si="0"/>
        <v>100</v>
      </c>
    </row>
    <row r="24" spans="1:10" s="1159" customFormat="1" ht="13.5" customHeight="1" x14ac:dyDescent="0.25">
      <c r="A24" s="223">
        <v>3349</v>
      </c>
      <c r="B24" s="96">
        <v>5213</v>
      </c>
      <c r="C24" s="1170"/>
      <c r="D24" s="1176" t="s">
        <v>225</v>
      </c>
      <c r="E24" s="60">
        <v>491</v>
      </c>
      <c r="F24" s="313">
        <v>491</v>
      </c>
      <c r="G24" s="315">
        <v>491</v>
      </c>
      <c r="H24" s="1124">
        <f t="shared" si="0"/>
        <v>100</v>
      </c>
    </row>
    <row r="25" spans="1:10" s="1159" customFormat="1" ht="13.5" customHeight="1" x14ac:dyDescent="0.2">
      <c r="A25" s="223"/>
      <c r="B25" s="96"/>
      <c r="C25" s="1170" t="s">
        <v>1588</v>
      </c>
      <c r="D25" s="1149" t="s">
        <v>1587</v>
      </c>
      <c r="E25" s="124">
        <v>491</v>
      </c>
      <c r="F25" s="314">
        <v>491</v>
      </c>
      <c r="G25" s="316">
        <v>491</v>
      </c>
      <c r="H25" s="1125">
        <f t="shared" si="0"/>
        <v>100</v>
      </c>
    </row>
    <row r="26" spans="1:10" s="1159" customFormat="1" ht="13.5" customHeight="1" x14ac:dyDescent="0.25">
      <c r="A26" s="223">
        <v>3399</v>
      </c>
      <c r="B26" s="96">
        <v>5212</v>
      </c>
      <c r="C26" s="1153"/>
      <c r="D26" s="1176" t="s">
        <v>1226</v>
      </c>
      <c r="E26" s="124"/>
      <c r="F26" s="313">
        <v>44</v>
      </c>
      <c r="G26" s="315">
        <v>44</v>
      </c>
      <c r="H26" s="212">
        <f t="shared" si="0"/>
        <v>100</v>
      </c>
    </row>
    <row r="27" spans="1:10" s="1159" customFormat="1" ht="13.5" customHeight="1" x14ac:dyDescent="0.2">
      <c r="A27" s="223"/>
      <c r="B27" s="96"/>
      <c r="C27" s="1135" t="s">
        <v>1262</v>
      </c>
      <c r="D27" s="1727" t="s">
        <v>1757</v>
      </c>
      <c r="E27" s="124"/>
      <c r="F27" s="314">
        <v>44</v>
      </c>
      <c r="G27" s="316">
        <v>44</v>
      </c>
      <c r="H27" s="1125">
        <f t="shared" si="0"/>
        <v>100</v>
      </c>
    </row>
    <row r="28" spans="1:10" s="1159" customFormat="1" ht="13.5" customHeight="1" x14ac:dyDescent="0.25">
      <c r="A28" s="223">
        <v>3399</v>
      </c>
      <c r="B28" s="96">
        <v>5213</v>
      </c>
      <c r="C28" s="1135"/>
      <c r="D28" s="1176" t="s">
        <v>225</v>
      </c>
      <c r="E28" s="124"/>
      <c r="F28" s="313">
        <v>25</v>
      </c>
      <c r="G28" s="315">
        <v>25</v>
      </c>
      <c r="H28" s="212">
        <f t="shared" si="0"/>
        <v>100</v>
      </c>
    </row>
    <row r="29" spans="1:10" s="1159" customFormat="1" ht="13.5" customHeight="1" x14ac:dyDescent="0.2">
      <c r="A29" s="223"/>
      <c r="B29" s="96"/>
      <c r="C29" s="1135" t="s">
        <v>1262</v>
      </c>
      <c r="D29" s="1727" t="s">
        <v>1757</v>
      </c>
      <c r="E29" s="124"/>
      <c r="F29" s="314">
        <v>25</v>
      </c>
      <c r="G29" s="316">
        <v>25</v>
      </c>
      <c r="H29" s="1125">
        <f t="shared" si="0"/>
        <v>100</v>
      </c>
    </row>
    <row r="30" spans="1:10" s="1159" customFormat="1" ht="13.5" customHeight="1" x14ac:dyDescent="0.25">
      <c r="A30" s="223">
        <v>3631</v>
      </c>
      <c r="B30" s="96">
        <v>5321</v>
      </c>
      <c r="C30" s="1153"/>
      <c r="D30" s="1176" t="s">
        <v>1261</v>
      </c>
      <c r="E30" s="124"/>
      <c r="F30" s="313">
        <v>300</v>
      </c>
      <c r="G30" s="315">
        <v>300</v>
      </c>
      <c r="H30" s="212">
        <f>(G30/F30)*100</f>
        <v>100</v>
      </c>
    </row>
    <row r="31" spans="1:10" s="1159" customFormat="1" ht="13.5" customHeight="1" x14ac:dyDescent="0.2">
      <c r="A31" s="223"/>
      <c r="B31" s="96"/>
      <c r="C31" s="1135" t="s">
        <v>1062</v>
      </c>
      <c r="D31" s="1177" t="s">
        <v>1081</v>
      </c>
      <c r="E31" s="124"/>
      <c r="F31" s="314">
        <v>300</v>
      </c>
      <c r="G31" s="316">
        <v>300</v>
      </c>
      <c r="H31" s="1125">
        <f t="shared" si="0"/>
        <v>100</v>
      </c>
    </row>
    <row r="32" spans="1:10" s="1107" customFormat="1" ht="15" customHeight="1" x14ac:dyDescent="0.25">
      <c r="A32" s="50">
        <v>3635</v>
      </c>
      <c r="B32" s="19">
        <v>5166</v>
      </c>
      <c r="C32" s="1167"/>
      <c r="D32" s="1410" t="s">
        <v>646</v>
      </c>
      <c r="E32" s="48">
        <v>2000</v>
      </c>
      <c r="F32" s="168">
        <v>719</v>
      </c>
      <c r="G32" s="315">
        <v>576</v>
      </c>
      <c r="H32" s="1124">
        <f>(G32/F32)*100</f>
        <v>80.111265646731567</v>
      </c>
      <c r="J32" s="1141"/>
    </row>
    <row r="33" spans="1:8" s="1107" customFormat="1" ht="15" x14ac:dyDescent="0.25">
      <c r="A33" s="50">
        <v>3635</v>
      </c>
      <c r="B33" s="19">
        <v>5169</v>
      </c>
      <c r="C33" s="1167"/>
      <c r="D33" s="1176" t="s">
        <v>892</v>
      </c>
      <c r="E33" s="48">
        <v>500</v>
      </c>
      <c r="F33" s="168">
        <v>650</v>
      </c>
      <c r="G33" s="315">
        <v>535</v>
      </c>
      <c r="H33" s="1124">
        <f>(G33/F33)*100</f>
        <v>82.307692307692307</v>
      </c>
    </row>
    <row r="34" spans="1:8" s="1107" customFormat="1" ht="15" x14ac:dyDescent="0.25">
      <c r="A34" s="50">
        <v>3635</v>
      </c>
      <c r="B34" s="19">
        <v>5192</v>
      </c>
      <c r="C34" s="1167"/>
      <c r="D34" s="1176" t="s">
        <v>1290</v>
      </c>
      <c r="E34" s="48">
        <v>237</v>
      </c>
      <c r="F34" s="168">
        <v>237</v>
      </c>
      <c r="G34" s="315">
        <v>166</v>
      </c>
      <c r="H34" s="1124">
        <f>(G34/F34)*100</f>
        <v>70.042194092827003</v>
      </c>
    </row>
    <row r="35" spans="1:8" s="1107" customFormat="1" ht="15" x14ac:dyDescent="0.25">
      <c r="A35" s="50">
        <v>3636</v>
      </c>
      <c r="B35" s="19">
        <v>5175</v>
      </c>
      <c r="C35" s="1167"/>
      <c r="D35" s="1411" t="s">
        <v>707</v>
      </c>
      <c r="E35" s="48">
        <v>80</v>
      </c>
      <c r="F35" s="168">
        <v>60</v>
      </c>
      <c r="G35" s="315">
        <v>35</v>
      </c>
      <c r="H35" s="1124">
        <f t="shared" ref="H35:H50" si="1">(G35/F35)*100</f>
        <v>58.333333333333336</v>
      </c>
    </row>
    <row r="36" spans="1:8" s="1107" customFormat="1" ht="15" x14ac:dyDescent="0.25">
      <c r="A36" s="50">
        <v>3636</v>
      </c>
      <c r="B36" s="19">
        <v>5221</v>
      </c>
      <c r="C36" s="1135"/>
      <c r="D36" s="1176" t="s">
        <v>1063</v>
      </c>
      <c r="E36" s="55"/>
      <c r="F36" s="315">
        <f>F37+F38</f>
        <v>680</v>
      </c>
      <c r="G36" s="315">
        <f>G37+G38</f>
        <v>680</v>
      </c>
      <c r="H36" s="212">
        <f t="shared" si="1"/>
        <v>100</v>
      </c>
    </row>
    <row r="37" spans="1:8" s="1107" customFormat="1" ht="14.25" x14ac:dyDescent="0.2">
      <c r="A37" s="50"/>
      <c r="B37" s="19"/>
      <c r="C37" s="1135" t="s">
        <v>262</v>
      </c>
      <c r="D37" s="1177" t="s">
        <v>333</v>
      </c>
      <c r="E37" s="55"/>
      <c r="F37" s="314">
        <v>120</v>
      </c>
      <c r="G37" s="316">
        <v>120</v>
      </c>
      <c r="H37" s="1125">
        <f t="shared" si="1"/>
        <v>100</v>
      </c>
    </row>
    <row r="38" spans="1:8" s="1107" customFormat="1" ht="14.25" x14ac:dyDescent="0.2">
      <c r="A38" s="50"/>
      <c r="B38" s="19"/>
      <c r="C38" s="1135" t="s">
        <v>1062</v>
      </c>
      <c r="D38" s="1177" t="s">
        <v>1081</v>
      </c>
      <c r="E38" s="55"/>
      <c r="F38" s="314">
        <v>560</v>
      </c>
      <c r="G38" s="316">
        <v>560</v>
      </c>
      <c r="H38" s="1125">
        <f t="shared" si="1"/>
        <v>100</v>
      </c>
    </row>
    <row r="39" spans="1:8" s="1107" customFormat="1" ht="15" x14ac:dyDescent="0.25">
      <c r="A39" s="50">
        <v>3636</v>
      </c>
      <c r="B39" s="19">
        <v>5222</v>
      </c>
      <c r="C39" s="1135"/>
      <c r="D39" s="1409" t="s">
        <v>1190</v>
      </c>
      <c r="E39" s="55"/>
      <c r="F39" s="313">
        <v>1000</v>
      </c>
      <c r="G39" s="315">
        <v>1000</v>
      </c>
      <c r="H39" s="212">
        <f t="shared" si="1"/>
        <v>100</v>
      </c>
    </row>
    <row r="40" spans="1:8" s="1107" customFormat="1" ht="14.25" x14ac:dyDescent="0.2">
      <c r="A40" s="50"/>
      <c r="B40" s="19"/>
      <c r="C40" s="1135" t="s">
        <v>1062</v>
      </c>
      <c r="D40" s="1177" t="s">
        <v>1081</v>
      </c>
      <c r="E40" s="55"/>
      <c r="F40" s="314">
        <v>1000</v>
      </c>
      <c r="G40" s="316">
        <v>1000</v>
      </c>
      <c r="H40" s="1125">
        <f t="shared" si="1"/>
        <v>100</v>
      </c>
    </row>
    <row r="41" spans="1:8" s="1107" customFormat="1" ht="15" x14ac:dyDescent="0.25">
      <c r="A41" s="50">
        <v>3636</v>
      </c>
      <c r="B41" s="19">
        <v>5229</v>
      </c>
      <c r="C41" s="1135"/>
      <c r="D41" s="1412" t="s">
        <v>1191</v>
      </c>
      <c r="E41" s="71">
        <v>350</v>
      </c>
      <c r="F41" s="313">
        <v>350</v>
      </c>
      <c r="G41" s="315">
        <v>350</v>
      </c>
      <c r="H41" s="212">
        <f t="shared" si="1"/>
        <v>100</v>
      </c>
    </row>
    <row r="42" spans="1:8" s="1107" customFormat="1" ht="14.25" x14ac:dyDescent="0.2">
      <c r="A42" s="50"/>
      <c r="B42" s="19"/>
      <c r="C42" s="1170" t="s">
        <v>369</v>
      </c>
      <c r="D42" s="1149" t="s">
        <v>933</v>
      </c>
      <c r="E42" s="55">
        <v>350</v>
      </c>
      <c r="F42" s="314">
        <v>350</v>
      </c>
      <c r="G42" s="316">
        <v>350</v>
      </c>
      <c r="H42" s="1125">
        <f t="shared" si="1"/>
        <v>100</v>
      </c>
    </row>
    <row r="43" spans="1:8" s="1107" customFormat="1" ht="15" x14ac:dyDescent="0.25">
      <c r="A43" s="50">
        <v>3636</v>
      </c>
      <c r="B43" s="19">
        <v>5321</v>
      </c>
      <c r="C43" s="1135"/>
      <c r="D43" s="1176" t="s">
        <v>1261</v>
      </c>
      <c r="E43" s="55"/>
      <c r="F43" s="313">
        <v>4313</v>
      </c>
      <c r="G43" s="315">
        <v>4230</v>
      </c>
      <c r="H43" s="212">
        <f t="shared" si="1"/>
        <v>98.075585439369348</v>
      </c>
    </row>
    <row r="44" spans="1:8" s="1107" customFormat="1" ht="14.25" x14ac:dyDescent="0.2">
      <c r="A44" s="50"/>
      <c r="B44" s="19"/>
      <c r="C44" s="1135" t="s">
        <v>1062</v>
      </c>
      <c r="D44" s="1177" t="s">
        <v>1081</v>
      </c>
      <c r="E44" s="55"/>
      <c r="F44" s="314">
        <v>4313</v>
      </c>
      <c r="G44" s="316">
        <v>4230</v>
      </c>
      <c r="H44" s="1125">
        <f t="shared" si="1"/>
        <v>98.075585439369348</v>
      </c>
    </row>
    <row r="45" spans="1:8" s="1107" customFormat="1" ht="15" x14ac:dyDescent="0.25">
      <c r="A45" s="50">
        <v>3639</v>
      </c>
      <c r="B45" s="19">
        <v>5164</v>
      </c>
      <c r="C45" s="1135"/>
      <c r="D45" s="1178" t="s">
        <v>182</v>
      </c>
      <c r="E45" s="71">
        <v>120</v>
      </c>
      <c r="F45" s="313">
        <v>95</v>
      </c>
      <c r="G45" s="315">
        <v>94</v>
      </c>
      <c r="H45" s="212">
        <f t="shared" si="1"/>
        <v>98.94736842105263</v>
      </c>
    </row>
    <row r="46" spans="1:8" s="1107" customFormat="1" ht="15" x14ac:dyDescent="0.25">
      <c r="A46" s="50">
        <v>3639</v>
      </c>
      <c r="B46" s="19">
        <v>5166</v>
      </c>
      <c r="C46" s="1167"/>
      <c r="D46" s="1176" t="s">
        <v>646</v>
      </c>
      <c r="E46" s="48">
        <v>1245</v>
      </c>
      <c r="F46" s="168">
        <v>200</v>
      </c>
      <c r="G46" s="315">
        <v>103</v>
      </c>
      <c r="H46" s="1124">
        <f t="shared" si="1"/>
        <v>51.5</v>
      </c>
    </row>
    <row r="47" spans="1:8" s="1107" customFormat="1" ht="15" x14ac:dyDescent="0.25">
      <c r="A47" s="50">
        <v>3639</v>
      </c>
      <c r="B47" s="19">
        <v>5169</v>
      </c>
      <c r="C47" s="1167"/>
      <c r="D47" s="1176" t="s">
        <v>892</v>
      </c>
      <c r="E47" s="48">
        <f>E48+E49+E50</f>
        <v>1272</v>
      </c>
      <c r="F47" s="48">
        <f>F48+F49+F50</f>
        <v>1842</v>
      </c>
      <c r="G47" s="48">
        <f>G48+G49+G50</f>
        <v>956</v>
      </c>
      <c r="H47" s="1124">
        <f t="shared" si="1"/>
        <v>51.900108577633006</v>
      </c>
    </row>
    <row r="48" spans="1:8" s="1107" customFormat="1" ht="14.25" x14ac:dyDescent="0.2">
      <c r="A48" s="50"/>
      <c r="B48" s="19"/>
      <c r="C48" s="1120" t="s">
        <v>792</v>
      </c>
      <c r="D48" s="1114" t="s">
        <v>1321</v>
      </c>
      <c r="E48" s="55">
        <v>590</v>
      </c>
      <c r="F48" s="314">
        <v>410</v>
      </c>
      <c r="G48" s="316">
        <v>329</v>
      </c>
      <c r="H48" s="1125">
        <f t="shared" si="1"/>
        <v>80.243902439024396</v>
      </c>
    </row>
    <row r="49" spans="1:18" s="1107" customFormat="1" ht="14.25" x14ac:dyDescent="0.2">
      <c r="A49" s="50"/>
      <c r="B49" s="19"/>
      <c r="C49" s="1119" t="s">
        <v>22</v>
      </c>
      <c r="D49" s="1114" t="s">
        <v>1263</v>
      </c>
      <c r="E49" s="55"/>
      <c r="F49" s="314">
        <v>750</v>
      </c>
      <c r="G49" s="316">
        <v>20</v>
      </c>
      <c r="H49" s="1125">
        <f t="shared" si="1"/>
        <v>2.666666666666667</v>
      </c>
    </row>
    <row r="50" spans="1:18" s="1107" customFormat="1" ht="14.25" x14ac:dyDescent="0.2">
      <c r="A50" s="50"/>
      <c r="B50" s="19"/>
      <c r="C50" s="1170" t="s">
        <v>1588</v>
      </c>
      <c r="D50" s="1149" t="s">
        <v>1587</v>
      </c>
      <c r="E50" s="55">
        <v>682</v>
      </c>
      <c r="F50" s="314">
        <v>682</v>
      </c>
      <c r="G50" s="316">
        <v>607</v>
      </c>
      <c r="H50" s="1125">
        <f t="shared" si="1"/>
        <v>89.002932551319645</v>
      </c>
    </row>
    <row r="51" spans="1:18" s="1107" customFormat="1" ht="15" x14ac:dyDescent="0.25">
      <c r="A51" s="50">
        <v>3639</v>
      </c>
      <c r="B51" s="19">
        <v>5212</v>
      </c>
      <c r="C51" s="1167"/>
      <c r="D51" s="1176" t="s">
        <v>1226</v>
      </c>
      <c r="E51" s="48">
        <v>50</v>
      </c>
      <c r="F51" s="168">
        <v>0</v>
      </c>
      <c r="G51" s="315">
        <v>0</v>
      </c>
      <c r="H51" s="1124">
        <v>0</v>
      </c>
    </row>
    <row r="52" spans="1:18" s="1107" customFormat="1" ht="14.25" x14ac:dyDescent="0.2">
      <c r="A52" s="50"/>
      <c r="B52" s="19"/>
      <c r="C52" s="1170" t="s">
        <v>1588</v>
      </c>
      <c r="D52" s="1149" t="s">
        <v>1587</v>
      </c>
      <c r="E52" s="55">
        <v>50</v>
      </c>
      <c r="F52" s="314">
        <v>0</v>
      </c>
      <c r="G52" s="316">
        <v>0</v>
      </c>
      <c r="H52" s="1125">
        <v>0</v>
      </c>
    </row>
    <row r="53" spans="1:18" s="1107" customFormat="1" ht="15" x14ac:dyDescent="0.25">
      <c r="A53" s="50">
        <v>3639</v>
      </c>
      <c r="B53" s="19">
        <v>5213</v>
      </c>
      <c r="C53" s="1167"/>
      <c r="D53" s="1176" t="s">
        <v>225</v>
      </c>
      <c r="E53" s="48">
        <v>190</v>
      </c>
      <c r="F53" s="168">
        <v>50</v>
      </c>
      <c r="G53" s="315">
        <v>0</v>
      </c>
      <c r="H53" s="211">
        <f t="shared" ref="H53:H63" si="2">(G53/F53)*100</f>
        <v>0</v>
      </c>
    </row>
    <row r="54" spans="1:18" s="1107" customFormat="1" ht="14.25" x14ac:dyDescent="0.2">
      <c r="A54" s="50"/>
      <c r="B54" s="19"/>
      <c r="C54" s="1170" t="s">
        <v>1588</v>
      </c>
      <c r="D54" s="1149" t="s">
        <v>1587</v>
      </c>
      <c r="E54" s="55">
        <v>190</v>
      </c>
      <c r="F54" s="314">
        <v>50</v>
      </c>
      <c r="G54" s="316">
        <v>0</v>
      </c>
      <c r="H54" s="1125">
        <f t="shared" si="2"/>
        <v>0</v>
      </c>
    </row>
    <row r="55" spans="1:18" s="1107" customFormat="1" ht="15" x14ac:dyDescent="0.25">
      <c r="A55" s="50">
        <v>3639</v>
      </c>
      <c r="B55" s="19">
        <v>5221</v>
      </c>
      <c r="C55" s="1170"/>
      <c r="D55" s="1176" t="s">
        <v>1063</v>
      </c>
      <c r="E55" s="71">
        <v>50</v>
      </c>
      <c r="F55" s="313">
        <v>50</v>
      </c>
      <c r="G55" s="315">
        <v>50</v>
      </c>
      <c r="H55" s="211">
        <f t="shared" si="2"/>
        <v>100</v>
      </c>
    </row>
    <row r="56" spans="1:18" s="1107" customFormat="1" ht="14.25" x14ac:dyDescent="0.2">
      <c r="A56" s="50"/>
      <c r="B56" s="19"/>
      <c r="C56" s="1170" t="s">
        <v>369</v>
      </c>
      <c r="D56" s="1149" t="s">
        <v>933</v>
      </c>
      <c r="E56" s="55">
        <v>50</v>
      </c>
      <c r="F56" s="314">
        <v>50</v>
      </c>
      <c r="G56" s="316">
        <v>50</v>
      </c>
      <c r="H56" s="1125">
        <f t="shared" si="2"/>
        <v>100</v>
      </c>
    </row>
    <row r="57" spans="1:18" s="1107" customFormat="1" ht="15" x14ac:dyDescent="0.25">
      <c r="A57" s="50">
        <v>3639</v>
      </c>
      <c r="B57" s="19">
        <v>5222</v>
      </c>
      <c r="C57" s="1413"/>
      <c r="D57" s="1409" t="s">
        <v>1190</v>
      </c>
      <c r="E57" s="71"/>
      <c r="F57" s="313">
        <v>300</v>
      </c>
      <c r="G57" s="315">
        <v>300</v>
      </c>
      <c r="H57" s="211">
        <f t="shared" si="2"/>
        <v>100</v>
      </c>
    </row>
    <row r="58" spans="1:18" s="1107" customFormat="1" ht="15" x14ac:dyDescent="0.25">
      <c r="A58" s="50"/>
      <c r="B58" s="19"/>
      <c r="C58" s="1170" t="s">
        <v>369</v>
      </c>
      <c r="D58" s="1149" t="s">
        <v>933</v>
      </c>
      <c r="E58" s="71"/>
      <c r="F58" s="314">
        <v>300</v>
      </c>
      <c r="G58" s="316">
        <v>300</v>
      </c>
      <c r="H58" s="1253">
        <f t="shared" si="2"/>
        <v>100</v>
      </c>
    </row>
    <row r="59" spans="1:18" s="1107" customFormat="1" ht="15" x14ac:dyDescent="0.25">
      <c r="A59" s="50">
        <v>3639</v>
      </c>
      <c r="B59" s="19">
        <v>5229</v>
      </c>
      <c r="C59" s="1170"/>
      <c r="D59" s="1412" t="s">
        <v>1191</v>
      </c>
      <c r="E59" s="71">
        <f>E60+E61</f>
        <v>5580</v>
      </c>
      <c r="F59" s="71">
        <f>F60+F61</f>
        <v>5730</v>
      </c>
      <c r="G59" s="71">
        <f>G60+G61</f>
        <v>5730</v>
      </c>
      <c r="H59" s="211">
        <f t="shared" si="2"/>
        <v>100</v>
      </c>
    </row>
    <row r="60" spans="1:18" s="1107" customFormat="1" ht="14.25" x14ac:dyDescent="0.2">
      <c r="A60" s="50"/>
      <c r="B60" s="19"/>
      <c r="C60" s="1170" t="s">
        <v>1588</v>
      </c>
      <c r="D60" s="1149" t="s">
        <v>1587</v>
      </c>
      <c r="E60" s="55">
        <v>3480</v>
      </c>
      <c r="F60" s="314">
        <v>3630</v>
      </c>
      <c r="G60" s="316">
        <v>3630</v>
      </c>
      <c r="H60" s="1253">
        <f t="shared" si="2"/>
        <v>100</v>
      </c>
    </row>
    <row r="61" spans="1:18" s="1107" customFormat="1" ht="14.25" x14ac:dyDescent="0.2">
      <c r="A61" s="50"/>
      <c r="B61" s="19"/>
      <c r="C61" s="1120" t="s">
        <v>1265</v>
      </c>
      <c r="D61" s="1177" t="s">
        <v>1266</v>
      </c>
      <c r="E61" s="55">
        <v>2100</v>
      </c>
      <c r="F61" s="314">
        <v>2100</v>
      </c>
      <c r="G61" s="316">
        <v>2100</v>
      </c>
      <c r="H61" s="1253">
        <f t="shared" si="2"/>
        <v>100</v>
      </c>
    </row>
    <row r="62" spans="1:18" s="1107" customFormat="1" ht="13.5" customHeight="1" x14ac:dyDescent="0.25">
      <c r="A62" s="50">
        <v>3639</v>
      </c>
      <c r="B62" s="19">
        <v>5321</v>
      </c>
      <c r="C62" s="1167"/>
      <c r="D62" s="1176" t="s">
        <v>1261</v>
      </c>
      <c r="E62" s="48">
        <v>22500</v>
      </c>
      <c r="F62" s="168">
        <v>500</v>
      </c>
      <c r="G62" s="315">
        <v>500</v>
      </c>
      <c r="H62" s="211">
        <f t="shared" si="2"/>
        <v>100</v>
      </c>
      <c r="J62" s="1148"/>
      <c r="R62"/>
    </row>
    <row r="63" spans="1:18" s="1107" customFormat="1" ht="13.5" customHeight="1" x14ac:dyDescent="0.2">
      <c r="A63" s="50"/>
      <c r="B63" s="19"/>
      <c r="C63" s="1170" t="s">
        <v>369</v>
      </c>
      <c r="D63" s="1149" t="s">
        <v>933</v>
      </c>
      <c r="E63" s="1172">
        <v>500</v>
      </c>
      <c r="F63" s="449">
        <v>500</v>
      </c>
      <c r="G63" s="316">
        <v>500</v>
      </c>
      <c r="H63" s="1253">
        <f t="shared" si="2"/>
        <v>100</v>
      </c>
      <c r="J63" s="1122"/>
      <c r="R63"/>
    </row>
    <row r="64" spans="1:18" s="1107" customFormat="1" ht="14.25" customHeight="1" x14ac:dyDescent="0.2">
      <c r="A64" s="50"/>
      <c r="B64" s="19"/>
      <c r="C64" s="1135" t="s">
        <v>1062</v>
      </c>
      <c r="D64" s="1177" t="s">
        <v>1081</v>
      </c>
      <c r="E64" s="1172">
        <v>22000</v>
      </c>
      <c r="F64" s="449">
        <v>0</v>
      </c>
      <c r="G64" s="316">
        <v>0</v>
      </c>
      <c r="H64" s="1125">
        <v>0</v>
      </c>
      <c r="J64" s="1122"/>
      <c r="R64"/>
    </row>
    <row r="65" spans="1:18" s="1107" customFormat="1" ht="16.5" thickBot="1" x14ac:dyDescent="0.3">
      <c r="A65" s="50">
        <v>3713</v>
      </c>
      <c r="B65" s="19">
        <v>5169</v>
      </c>
      <c r="C65" s="1167"/>
      <c r="D65" s="1176" t="s">
        <v>892</v>
      </c>
      <c r="E65" s="71">
        <v>856</v>
      </c>
      <c r="F65" s="313">
        <v>557</v>
      </c>
      <c r="G65" s="315">
        <v>556</v>
      </c>
      <c r="H65" s="212">
        <f>(G65/F65)*100</f>
        <v>99.820466786355482</v>
      </c>
      <c r="J65" s="1122"/>
      <c r="R65"/>
    </row>
    <row r="66" spans="1:18" s="361" customFormat="1" ht="35.25" customHeight="1" thickTop="1" thickBot="1" x14ac:dyDescent="0.3">
      <c r="A66" s="639" t="s">
        <v>258</v>
      </c>
      <c r="B66" s="640"/>
      <c r="C66" s="641"/>
      <c r="D66" s="642"/>
      <c r="E66" s="643">
        <f>E20+E22+E24+E32+E33+E34+E35+E41+E45+E46+E47+E51+E53+E55+E59+E62+E65</f>
        <v>40021</v>
      </c>
      <c r="F66" s="643">
        <f>F10+F12+F14+F16+F18+F22+F24+F26+F28+F30+F32+F33+F34+F35+F36+F39+F41+F43+F45+F46+F47+F53+F55+F57+F59+F62+F65</f>
        <v>25710</v>
      </c>
      <c r="G66" s="643">
        <f>G10+G12+G14+G16+G18+G22+G24+G26+G28+G30+G32+G33+G34+G35+G36+G39+G41+G43+G45+G46+G47+G53+G55+G57+G59+G62+G65</f>
        <v>24144</v>
      </c>
      <c r="H66" s="644">
        <f>(G66/F66)*100</f>
        <v>93.908984830805124</v>
      </c>
      <c r="J66" s="701"/>
      <c r="K66" s="701"/>
    </row>
    <row r="67" spans="1:18" s="139" customFormat="1" ht="15.75" thickTop="1" x14ac:dyDescent="0.25">
      <c r="A67" s="645"/>
      <c r="B67" s="631"/>
      <c r="C67" s="981"/>
      <c r="D67" s="234"/>
      <c r="E67" s="1834"/>
      <c r="F67" s="982"/>
      <c r="G67" s="1834"/>
      <c r="H67" s="983"/>
      <c r="I67" s="137"/>
      <c r="J67" s="137"/>
    </row>
    <row r="68" spans="1:18" s="139" customFormat="1" ht="15" x14ac:dyDescent="0.25">
      <c r="A68" s="645"/>
      <c r="B68" s="631"/>
      <c r="C68" s="981"/>
      <c r="D68" s="234"/>
      <c r="E68" s="1834"/>
      <c r="F68" s="982"/>
      <c r="G68" s="1834"/>
      <c r="H68" s="983"/>
      <c r="I68" s="137"/>
      <c r="J68" s="137"/>
    </row>
    <row r="69" spans="1:18" s="139" customFormat="1" ht="15" x14ac:dyDescent="0.25">
      <c r="A69" s="645"/>
      <c r="B69" s="631"/>
      <c r="C69" s="981"/>
      <c r="D69" s="234"/>
      <c r="E69" s="1834"/>
      <c r="F69" s="982"/>
      <c r="G69" s="1834"/>
      <c r="H69" s="983"/>
      <c r="I69" s="137"/>
      <c r="J69" s="137"/>
    </row>
    <row r="70" spans="1:18" s="139" customFormat="1" ht="15.75" customHeight="1" x14ac:dyDescent="0.25">
      <c r="A70" s="33" t="s">
        <v>1310</v>
      </c>
      <c r="B70" s="28"/>
      <c r="C70" s="10"/>
      <c r="E70" s="137"/>
      <c r="F70" s="16"/>
      <c r="G70" s="17"/>
      <c r="H70" s="668"/>
      <c r="I70" s="137"/>
      <c r="J70" s="137"/>
    </row>
    <row r="71" spans="1:18" s="139" customFormat="1" ht="13.5" thickBot="1" x14ac:dyDescent="0.25">
      <c r="A71" s="631"/>
      <c r="B71" s="631"/>
      <c r="C71" s="632"/>
      <c r="D71" s="534"/>
      <c r="E71" s="495"/>
      <c r="F71" s="980"/>
      <c r="G71" s="495"/>
      <c r="H71" s="668" t="s">
        <v>173</v>
      </c>
      <c r="I71" s="137"/>
      <c r="J71" s="137"/>
    </row>
    <row r="72" spans="1:18" s="107" customFormat="1" ht="20.25" customHeight="1" thickTop="1" thickBot="1" x14ac:dyDescent="0.25">
      <c r="A72" s="633" t="s">
        <v>174</v>
      </c>
      <c r="B72" s="634" t="s">
        <v>175</v>
      </c>
      <c r="C72" s="678" t="s">
        <v>744</v>
      </c>
      <c r="D72" s="810" t="s">
        <v>176</v>
      </c>
      <c r="E72" s="810" t="s">
        <v>177</v>
      </c>
      <c r="F72" s="636" t="s">
        <v>922</v>
      </c>
      <c r="G72" s="636" t="s">
        <v>923</v>
      </c>
      <c r="H72" s="637" t="s">
        <v>924</v>
      </c>
    </row>
    <row r="73" spans="1:18" s="384" customFormat="1" ht="13.5" thickTop="1" thickBot="1" x14ac:dyDescent="0.25">
      <c r="A73" s="568">
        <v>1</v>
      </c>
      <c r="B73" s="569">
        <v>2</v>
      </c>
      <c r="C73" s="569">
        <v>3</v>
      </c>
      <c r="D73" s="569">
        <v>4</v>
      </c>
      <c r="E73" s="569">
        <v>5</v>
      </c>
      <c r="F73" s="543">
        <v>6</v>
      </c>
      <c r="G73" s="543">
        <v>7</v>
      </c>
      <c r="H73" s="638" t="s">
        <v>61</v>
      </c>
      <c r="I73" s="107"/>
    </row>
    <row r="74" spans="1:18" s="1159" customFormat="1" ht="14.25" customHeight="1" thickTop="1" x14ac:dyDescent="0.25">
      <c r="A74" s="1220">
        <v>2212</v>
      </c>
      <c r="B74" s="268">
        <v>6341</v>
      </c>
      <c r="C74" s="1135"/>
      <c r="D74" s="1108" t="s">
        <v>261</v>
      </c>
      <c r="E74" s="1171"/>
      <c r="F74" s="313">
        <v>1732</v>
      </c>
      <c r="G74" s="315">
        <v>1732</v>
      </c>
      <c r="H74" s="203">
        <f t="shared" ref="H74:H81" si="3">(G74/F74)*100</f>
        <v>100</v>
      </c>
    </row>
    <row r="75" spans="1:18" s="1159" customFormat="1" ht="14.25" customHeight="1" x14ac:dyDescent="0.2">
      <c r="A75" s="1220"/>
      <c r="B75" s="268"/>
      <c r="C75" s="1135" t="s">
        <v>1062</v>
      </c>
      <c r="D75" s="1114" t="s">
        <v>1081</v>
      </c>
      <c r="E75" s="1171"/>
      <c r="F75" s="314">
        <v>1732</v>
      </c>
      <c r="G75" s="316">
        <v>1732</v>
      </c>
      <c r="H75" s="1116">
        <f t="shared" si="3"/>
        <v>100</v>
      </c>
    </row>
    <row r="76" spans="1:18" s="1159" customFormat="1" ht="14.25" customHeight="1" x14ac:dyDescent="0.25">
      <c r="A76" s="1220">
        <v>2219</v>
      </c>
      <c r="B76" s="268">
        <v>6341</v>
      </c>
      <c r="C76" s="1135"/>
      <c r="D76" s="1108" t="s">
        <v>261</v>
      </c>
      <c r="E76" s="1171"/>
      <c r="F76" s="313">
        <v>1518</v>
      </c>
      <c r="G76" s="315">
        <v>1511</v>
      </c>
      <c r="H76" s="203">
        <f t="shared" si="3"/>
        <v>99.538866930171281</v>
      </c>
    </row>
    <row r="77" spans="1:18" s="1159" customFormat="1" ht="14.25" customHeight="1" x14ac:dyDescent="0.2">
      <c r="A77" s="1220"/>
      <c r="B77" s="268"/>
      <c r="C77" s="1135" t="s">
        <v>1062</v>
      </c>
      <c r="D77" s="1114" t="s">
        <v>1081</v>
      </c>
      <c r="E77" s="1171"/>
      <c r="F77" s="314">
        <v>1518</v>
      </c>
      <c r="G77" s="316">
        <v>1511</v>
      </c>
      <c r="H77" s="1116">
        <f t="shared" si="3"/>
        <v>99.538866930171281</v>
      </c>
    </row>
    <row r="78" spans="1:18" s="1159" customFormat="1" ht="13.5" customHeight="1" x14ac:dyDescent="0.25">
      <c r="A78" s="1220">
        <v>3631</v>
      </c>
      <c r="B78" s="268">
        <v>6341</v>
      </c>
      <c r="C78" s="1135"/>
      <c r="D78" s="1108" t="s">
        <v>261</v>
      </c>
      <c r="E78" s="124"/>
      <c r="F78" s="313">
        <v>1600</v>
      </c>
      <c r="G78" s="315">
        <v>1600</v>
      </c>
      <c r="H78" s="203">
        <f t="shared" si="3"/>
        <v>100</v>
      </c>
    </row>
    <row r="79" spans="1:18" s="1159" customFormat="1" ht="13.5" customHeight="1" x14ac:dyDescent="0.2">
      <c r="A79" s="1220"/>
      <c r="B79" s="268"/>
      <c r="C79" s="1135" t="s">
        <v>1062</v>
      </c>
      <c r="D79" s="1114" t="s">
        <v>1081</v>
      </c>
      <c r="E79" s="124"/>
      <c r="F79" s="314">
        <v>1600</v>
      </c>
      <c r="G79" s="316">
        <v>1600</v>
      </c>
      <c r="H79" s="1116">
        <f t="shared" si="3"/>
        <v>100</v>
      </c>
    </row>
    <row r="80" spans="1:18" s="1107" customFormat="1" ht="15" x14ac:dyDescent="0.25">
      <c r="A80" s="34">
        <v>3636</v>
      </c>
      <c r="B80" s="1139">
        <v>6341</v>
      </c>
      <c r="C80" s="1135"/>
      <c r="D80" s="1108" t="s">
        <v>261</v>
      </c>
      <c r="E80" s="55"/>
      <c r="F80" s="313">
        <v>4533</v>
      </c>
      <c r="G80" s="315">
        <v>4254</v>
      </c>
      <c r="H80" s="1113">
        <f t="shared" si="3"/>
        <v>93.845135671740564</v>
      </c>
    </row>
    <row r="81" spans="1:18" s="1107" customFormat="1" ht="14.25" x14ac:dyDescent="0.2">
      <c r="A81" s="34"/>
      <c r="B81" s="1139"/>
      <c r="C81" s="1135" t="s">
        <v>1062</v>
      </c>
      <c r="D81" s="1114" t="s">
        <v>1081</v>
      </c>
      <c r="E81" s="55"/>
      <c r="F81" s="314">
        <v>4533</v>
      </c>
      <c r="G81" s="316">
        <v>4254</v>
      </c>
      <c r="H81" s="1116">
        <f t="shared" si="3"/>
        <v>93.845135671740564</v>
      </c>
    </row>
    <row r="82" spans="1:18" s="1107" customFormat="1" ht="16.5" thickBot="1" x14ac:dyDescent="0.3">
      <c r="A82" s="34">
        <v>3713</v>
      </c>
      <c r="B82" s="1139">
        <v>6122</v>
      </c>
      <c r="C82" s="1120"/>
      <c r="D82" s="1126" t="s">
        <v>641</v>
      </c>
      <c r="E82" s="71">
        <v>1627</v>
      </c>
      <c r="F82" s="313">
        <v>1627</v>
      </c>
      <c r="G82" s="315">
        <v>1625</v>
      </c>
      <c r="H82" s="203">
        <f>(G82/F82)*100</f>
        <v>99.877074370006142</v>
      </c>
      <c r="J82" s="1122"/>
      <c r="R82"/>
    </row>
    <row r="83" spans="1:18" s="361" customFormat="1" ht="35.25" customHeight="1" thickTop="1" thickBot="1" x14ac:dyDescent="0.3">
      <c r="A83" s="639" t="s">
        <v>257</v>
      </c>
      <c r="B83" s="984"/>
      <c r="C83" s="683"/>
      <c r="D83" s="642"/>
      <c r="E83" s="643">
        <f>E82</f>
        <v>1627</v>
      </c>
      <c r="F83" s="643">
        <f>F74+F76+F78+F80+F82</f>
        <v>11010</v>
      </c>
      <c r="G83" s="643">
        <f>G74+G76+G78+G80+G82</f>
        <v>10722</v>
      </c>
      <c r="H83" s="985">
        <f>(G83/F83)*100</f>
        <v>97.3841961852861</v>
      </c>
      <c r="I83" s="986"/>
    </row>
    <row r="84" spans="1:18" ht="13.5" thickTop="1" x14ac:dyDescent="0.2">
      <c r="A84" s="631"/>
      <c r="I84" s="989"/>
      <c r="J84" s="534"/>
    </row>
    <row r="85" spans="1:18" x14ac:dyDescent="0.2">
      <c r="A85" s="631"/>
      <c r="I85" s="989"/>
      <c r="J85" s="534"/>
    </row>
    <row r="86" spans="1:18" s="669" customFormat="1" ht="16.5" x14ac:dyDescent="0.25">
      <c r="A86" s="362" t="s">
        <v>631</v>
      </c>
      <c r="B86" s="363"/>
      <c r="C86" s="364"/>
      <c r="D86" s="364"/>
      <c r="E86" s="974">
        <f>E87+E88+E89+E90</f>
        <v>41648</v>
      </c>
      <c r="F86" s="974">
        <f>F87+F88+F89+F90</f>
        <v>36720</v>
      </c>
      <c r="G86" s="974">
        <f>G87+G88+G89+G90</f>
        <v>34866</v>
      </c>
      <c r="H86" s="305">
        <f>G86/F86*100</f>
        <v>94.950980392156865</v>
      </c>
    </row>
    <row r="87" spans="1:18" s="1325" customFormat="1" ht="15" x14ac:dyDescent="0.2">
      <c r="A87" s="557" t="s">
        <v>277</v>
      </c>
      <c r="B87" s="587"/>
      <c r="C87" s="588"/>
      <c r="D87" s="588"/>
      <c r="E87" s="975">
        <f>E66</f>
        <v>40021</v>
      </c>
      <c r="F87" s="975">
        <f>F66-F89</f>
        <v>25710</v>
      </c>
      <c r="G87" s="975">
        <f>G66-G89</f>
        <v>24144</v>
      </c>
      <c r="H87" s="306">
        <f>G87/F87*100</f>
        <v>93.908984830805124</v>
      </c>
    </row>
    <row r="88" spans="1:18" s="1325" customFormat="1" ht="15" x14ac:dyDescent="0.2">
      <c r="A88" s="557" t="s">
        <v>278</v>
      </c>
      <c r="B88" s="592"/>
      <c r="C88" s="588"/>
      <c r="D88" s="588"/>
      <c r="E88" s="976">
        <f>E83</f>
        <v>1627</v>
      </c>
      <c r="F88" s="976">
        <f>F83</f>
        <v>11010</v>
      </c>
      <c r="G88" s="976">
        <f>G83</f>
        <v>10722</v>
      </c>
      <c r="H88" s="306">
        <f>G88/F88*100</f>
        <v>97.3841961852861</v>
      </c>
    </row>
    <row r="89" spans="1:18" s="1325" customFormat="1" ht="15" x14ac:dyDescent="0.2">
      <c r="A89" s="557" t="s">
        <v>221</v>
      </c>
      <c r="B89" s="592"/>
      <c r="C89" s="588"/>
      <c r="D89" s="588"/>
      <c r="E89" s="975">
        <v>0</v>
      </c>
      <c r="F89" s="590">
        <v>0</v>
      </c>
      <c r="G89" s="590">
        <v>0</v>
      </c>
      <c r="H89" s="306">
        <v>0</v>
      </c>
    </row>
    <row r="90" spans="1:18" s="1325" customFormat="1" ht="15" x14ac:dyDescent="0.2">
      <c r="A90" s="557" t="s">
        <v>1206</v>
      </c>
      <c r="B90" s="592"/>
      <c r="C90" s="588"/>
      <c r="D90" s="588"/>
      <c r="E90" s="975">
        <v>0</v>
      </c>
      <c r="F90" s="594">
        <v>0</v>
      </c>
      <c r="G90" s="594">
        <v>0</v>
      </c>
      <c r="H90" s="306">
        <v>0</v>
      </c>
    </row>
    <row r="91" spans="1:18" s="58" customFormat="1" ht="47.25" customHeight="1" thickBot="1" x14ac:dyDescent="0.4">
      <c r="A91" s="2650" t="s">
        <v>50</v>
      </c>
      <c r="B91" s="2653"/>
      <c r="C91" s="2653"/>
      <c r="D91" s="2653"/>
      <c r="E91" s="595">
        <f>E83+E66</f>
        <v>41648</v>
      </c>
      <c r="F91" s="595">
        <f>F83+F66</f>
        <v>36720</v>
      </c>
      <c r="G91" s="595">
        <f>G83+G66</f>
        <v>34866</v>
      </c>
      <c r="H91" s="778">
        <f>(G91/F91)*100</f>
        <v>94.950980392156865</v>
      </c>
      <c r="I91" s="115"/>
    </row>
    <row r="92" spans="1:18" s="646" customFormat="1" ht="13.5" thickTop="1" x14ac:dyDescent="0.2">
      <c r="A92" s="645"/>
      <c r="B92" s="631"/>
      <c r="C92" s="990"/>
      <c r="E92" s="954"/>
      <c r="F92" s="991"/>
      <c r="G92" s="992"/>
      <c r="H92" s="993"/>
      <c r="I92" s="954"/>
      <c r="J92" s="954"/>
    </row>
  </sheetData>
  <mergeCells count="1">
    <mergeCell ref="A91:D91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9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 enableFormatConditionsCalculation="0">
    <tabColor indexed="42"/>
  </sheetPr>
  <dimension ref="A1:O46"/>
  <sheetViews>
    <sheetView showGridLines="0" topLeftCell="A21" zoomScaleNormal="100" workbookViewId="0">
      <selection activeCell="G42" sqref="G42"/>
    </sheetView>
  </sheetViews>
  <sheetFormatPr defaultRowHeight="12.75" x14ac:dyDescent="0.2"/>
  <cols>
    <col min="1" max="1" width="5" style="75" customWidth="1"/>
    <col min="2" max="2" width="4.7109375" style="163" customWidth="1"/>
    <col min="3" max="3" width="6.28515625" style="136" hidden="1" customWidth="1"/>
    <col min="4" max="4" width="6.7109375" style="146" customWidth="1"/>
    <col min="5" max="5" width="47.140625" style="120" customWidth="1"/>
    <col min="6" max="6" width="12.5703125" style="121" customWidth="1"/>
    <col min="7" max="7" width="14" style="121" customWidth="1"/>
    <col min="8" max="8" width="13.7109375" style="121" customWidth="1"/>
    <col min="9" max="9" width="9.42578125" style="202" customWidth="1"/>
    <col min="10" max="16384" width="9.140625" style="120"/>
  </cols>
  <sheetData>
    <row r="1" spans="1:9" s="136" customFormat="1" ht="18.75" thickBot="1" x14ac:dyDescent="0.3">
      <c r="A1" s="76" t="s">
        <v>553</v>
      </c>
      <c r="B1" s="133"/>
      <c r="C1" s="134"/>
      <c r="D1" s="159"/>
      <c r="E1" s="162"/>
      <c r="F1" s="152"/>
      <c r="G1" s="79" t="s">
        <v>554</v>
      </c>
      <c r="H1" s="135"/>
      <c r="I1" s="201"/>
    </row>
    <row r="3" spans="1:9" ht="12.75" customHeight="1" x14ac:dyDescent="0.25">
      <c r="A3" s="67" t="s">
        <v>387</v>
      </c>
      <c r="B3" s="28"/>
      <c r="C3" s="143" t="s">
        <v>227</v>
      </c>
      <c r="D3" s="143" t="s">
        <v>227</v>
      </c>
      <c r="E3" s="14"/>
      <c r="F3" s="16"/>
      <c r="G3" s="17"/>
      <c r="H3" s="18"/>
    </row>
    <row r="4" spans="1:9" ht="12.75" customHeight="1" x14ac:dyDescent="0.25">
      <c r="A4" s="6"/>
      <c r="B4" s="28"/>
      <c r="C4" s="143" t="s">
        <v>555</v>
      </c>
      <c r="D4" s="143" t="s">
        <v>555</v>
      </c>
      <c r="E4" s="135"/>
      <c r="F4" s="16"/>
      <c r="G4" s="17"/>
      <c r="H4" s="18"/>
    </row>
    <row r="8" spans="1:9" ht="13.5" thickBot="1" x14ac:dyDescent="0.25">
      <c r="A8" s="70" t="s">
        <v>1067</v>
      </c>
      <c r="B8" s="1"/>
      <c r="C8" s="120"/>
      <c r="I8" s="202" t="s">
        <v>173</v>
      </c>
    </row>
    <row r="9" spans="1:9" s="24" customFormat="1" ht="20.25" customHeight="1" thickTop="1" thickBot="1" x14ac:dyDescent="0.25">
      <c r="A9" s="21" t="s">
        <v>174</v>
      </c>
      <c r="B9" s="23" t="s">
        <v>175</v>
      </c>
      <c r="C9" s="173" t="s">
        <v>744</v>
      </c>
      <c r="D9" s="173" t="s">
        <v>744</v>
      </c>
      <c r="E9" s="46" t="s">
        <v>176</v>
      </c>
      <c r="F9" s="47" t="s">
        <v>177</v>
      </c>
      <c r="G9" s="46" t="s">
        <v>922</v>
      </c>
      <c r="H9" s="46" t="s">
        <v>923</v>
      </c>
      <c r="I9" s="196" t="s">
        <v>924</v>
      </c>
    </row>
    <row r="10" spans="1:9" s="323" customFormat="1" ht="13.5" thickTop="1" thickBot="1" x14ac:dyDescent="0.25">
      <c r="A10" s="319">
        <v>1</v>
      </c>
      <c r="B10" s="320">
        <v>2</v>
      </c>
      <c r="C10" s="320">
        <v>3</v>
      </c>
      <c r="D10" s="320">
        <v>4</v>
      </c>
      <c r="E10" s="320">
        <v>5</v>
      </c>
      <c r="F10" s="321">
        <v>6</v>
      </c>
      <c r="G10" s="321">
        <v>7</v>
      </c>
      <c r="H10" s="322">
        <v>8</v>
      </c>
      <c r="I10" s="358" t="s">
        <v>801</v>
      </c>
    </row>
    <row r="11" spans="1:9" ht="15.75" customHeight="1" thickTop="1" x14ac:dyDescent="0.25">
      <c r="A11" s="222">
        <v>3636</v>
      </c>
      <c r="B11" s="241">
        <v>5212</v>
      </c>
      <c r="C11" s="155">
        <v>5213</v>
      </c>
      <c r="D11" s="242"/>
      <c r="E11" s="317" t="s">
        <v>918</v>
      </c>
      <c r="F11" s="38">
        <v>186</v>
      </c>
      <c r="G11" s="88">
        <v>2</v>
      </c>
      <c r="H11" s="233">
        <v>2</v>
      </c>
      <c r="I11" s="206">
        <f>(H11/G11)*100</f>
        <v>100</v>
      </c>
    </row>
    <row r="12" spans="1:9" ht="15.75" thickBot="1" x14ac:dyDescent="0.3">
      <c r="A12" s="50">
        <v>3636</v>
      </c>
      <c r="B12" s="31">
        <v>5213</v>
      </c>
      <c r="C12" s="154"/>
      <c r="D12" s="156"/>
      <c r="E12" s="87" t="s">
        <v>770</v>
      </c>
      <c r="F12" s="39">
        <v>153</v>
      </c>
      <c r="G12" s="71">
        <v>13</v>
      </c>
      <c r="H12" s="94">
        <v>13</v>
      </c>
      <c r="I12" s="198">
        <v>0</v>
      </c>
    </row>
    <row r="13" spans="1:9" ht="18" customHeight="1" thickTop="1" thickBot="1" x14ac:dyDescent="0.3">
      <c r="A13" s="2654" t="s">
        <v>258</v>
      </c>
      <c r="B13" s="2655"/>
      <c r="C13" s="2655"/>
      <c r="D13" s="2655"/>
      <c r="E13" s="2655"/>
      <c r="F13" s="64">
        <f>F11+F12</f>
        <v>339</v>
      </c>
      <c r="G13" s="64">
        <f>G11+G12</f>
        <v>15</v>
      </c>
      <c r="H13" s="64">
        <f>H11+H12</f>
        <v>15</v>
      </c>
      <c r="I13" s="207">
        <f>(H13/G13)*100</f>
        <v>100</v>
      </c>
    </row>
    <row r="14" spans="1:9" ht="15.75" thickTop="1" x14ac:dyDescent="0.25">
      <c r="A14" s="34">
        <v>3636</v>
      </c>
      <c r="B14" s="5">
        <v>6312</v>
      </c>
      <c r="C14" s="19"/>
      <c r="D14" s="129"/>
      <c r="E14" s="62" t="s">
        <v>771</v>
      </c>
      <c r="F14" s="310">
        <v>423</v>
      </c>
      <c r="G14" s="88">
        <v>96</v>
      </c>
      <c r="H14" s="86">
        <v>96</v>
      </c>
      <c r="I14" s="190">
        <f>(H14/G14)*100</f>
        <v>100</v>
      </c>
    </row>
    <row r="15" spans="1:9" ht="15.75" thickBot="1" x14ac:dyDescent="0.3">
      <c r="A15" s="180">
        <v>3636</v>
      </c>
      <c r="B15" s="19">
        <v>6313</v>
      </c>
      <c r="C15" s="19"/>
      <c r="D15" s="122"/>
      <c r="E15" s="72" t="s">
        <v>1229</v>
      </c>
      <c r="F15" s="165">
        <v>271</v>
      </c>
      <c r="G15" s="71">
        <v>387</v>
      </c>
      <c r="H15" s="86">
        <v>387</v>
      </c>
      <c r="I15" s="190">
        <f>(H15/G15)*100</f>
        <v>100</v>
      </c>
    </row>
    <row r="16" spans="1:9" ht="18" customHeight="1" thickTop="1" thickBot="1" x14ac:dyDescent="0.3">
      <c r="A16" s="2654" t="s">
        <v>257</v>
      </c>
      <c r="B16" s="2655"/>
      <c r="C16" s="2655"/>
      <c r="D16" s="2655"/>
      <c r="E16" s="2655"/>
      <c r="F16" s="64">
        <f>F14+F15</f>
        <v>694</v>
      </c>
      <c r="G16" s="64">
        <f>G14+G15</f>
        <v>483</v>
      </c>
      <c r="H16" s="64">
        <f>H14+H15</f>
        <v>483</v>
      </c>
      <c r="I16" s="207">
        <v>0</v>
      </c>
    </row>
    <row r="17" spans="1:9" ht="18" customHeight="1" thickTop="1" thickBot="1" x14ac:dyDescent="0.3">
      <c r="A17" s="2654" t="s">
        <v>754</v>
      </c>
      <c r="B17" s="2655"/>
      <c r="C17" s="2655"/>
      <c r="D17" s="2655"/>
      <c r="E17" s="2655"/>
      <c r="F17" s="111">
        <f>F13+F16</f>
        <v>1033</v>
      </c>
      <c r="G17" s="111">
        <f>G13+G16</f>
        <v>498</v>
      </c>
      <c r="H17" s="111">
        <f>H13+H16</f>
        <v>498</v>
      </c>
      <c r="I17" s="208">
        <f>(H17/G17)*100</f>
        <v>100</v>
      </c>
    </row>
    <row r="18" spans="1:9" ht="13.5" thickTop="1" x14ac:dyDescent="0.2"/>
    <row r="20" spans="1:9" ht="13.5" thickBot="1" x14ac:dyDescent="0.25">
      <c r="A20" s="70" t="s">
        <v>752</v>
      </c>
      <c r="B20" s="1"/>
      <c r="C20" s="120"/>
      <c r="I20" s="202" t="s">
        <v>173</v>
      </c>
    </row>
    <row r="21" spans="1:9" s="24" customFormat="1" ht="20.25" customHeight="1" thickTop="1" thickBot="1" x14ac:dyDescent="0.25">
      <c r="A21" s="21" t="s">
        <v>174</v>
      </c>
      <c r="B21" s="23" t="s">
        <v>175</v>
      </c>
      <c r="C21" s="169" t="s">
        <v>744</v>
      </c>
      <c r="D21" s="173" t="s">
        <v>744</v>
      </c>
      <c r="E21" s="46" t="s">
        <v>176</v>
      </c>
      <c r="F21" s="46" t="s">
        <v>177</v>
      </c>
      <c r="G21" s="46" t="s">
        <v>922</v>
      </c>
      <c r="H21" s="46" t="s">
        <v>923</v>
      </c>
      <c r="I21" s="197" t="s">
        <v>924</v>
      </c>
    </row>
    <row r="22" spans="1:9" s="323" customFormat="1" ht="13.5" thickTop="1" thickBot="1" x14ac:dyDescent="0.25">
      <c r="A22" s="319">
        <v>1</v>
      </c>
      <c r="B22" s="320">
        <v>2</v>
      </c>
      <c r="C22" s="320">
        <v>3</v>
      </c>
      <c r="D22" s="320">
        <v>4</v>
      </c>
      <c r="E22" s="320">
        <v>5</v>
      </c>
      <c r="F22" s="321">
        <v>6</v>
      </c>
      <c r="G22" s="321">
        <v>7</v>
      </c>
      <c r="H22" s="322">
        <v>8</v>
      </c>
      <c r="I22" s="358" t="s">
        <v>801</v>
      </c>
    </row>
    <row r="23" spans="1:9" s="164" customFormat="1" ht="15" customHeight="1" thickTop="1" thickBot="1" x14ac:dyDescent="0.3">
      <c r="A23" s="34">
        <v>3419</v>
      </c>
      <c r="B23" s="116">
        <v>6322</v>
      </c>
      <c r="C23" s="157"/>
      <c r="D23" s="158"/>
      <c r="E23" s="72" t="s">
        <v>1230</v>
      </c>
      <c r="F23" s="48">
        <v>690</v>
      </c>
      <c r="G23" s="71">
        <v>0</v>
      </c>
      <c r="H23" s="71">
        <v>0</v>
      </c>
      <c r="I23" s="199">
        <v>0</v>
      </c>
    </row>
    <row r="24" spans="1:9" ht="18" customHeight="1" thickTop="1" thickBot="1" x14ac:dyDescent="0.3">
      <c r="A24" s="2654" t="s">
        <v>257</v>
      </c>
      <c r="B24" s="2655"/>
      <c r="C24" s="2655"/>
      <c r="D24" s="2655"/>
      <c r="E24" s="2655"/>
      <c r="F24" s="64">
        <f t="shared" ref="F24:I25" si="0">F23</f>
        <v>690</v>
      </c>
      <c r="G24" s="64">
        <f t="shared" si="0"/>
        <v>0</v>
      </c>
      <c r="H24" s="64">
        <f t="shared" si="0"/>
        <v>0</v>
      </c>
      <c r="I24" s="378">
        <f t="shared" si="0"/>
        <v>0</v>
      </c>
    </row>
    <row r="25" spans="1:9" ht="18" customHeight="1" thickTop="1" thickBot="1" x14ac:dyDescent="0.3">
      <c r="A25" s="2658" t="s">
        <v>753</v>
      </c>
      <c r="B25" s="2659"/>
      <c r="C25" s="2659"/>
      <c r="D25" s="2659"/>
      <c r="E25" s="2659"/>
      <c r="F25" s="112">
        <f t="shared" si="0"/>
        <v>690</v>
      </c>
      <c r="G25" s="112">
        <f t="shared" si="0"/>
        <v>0</v>
      </c>
      <c r="H25" s="112">
        <f t="shared" si="0"/>
        <v>0</v>
      </c>
      <c r="I25" s="379">
        <f t="shared" si="0"/>
        <v>0</v>
      </c>
    </row>
    <row r="26" spans="1:9" ht="13.5" thickTop="1" x14ac:dyDescent="0.2"/>
    <row r="28" spans="1:9" ht="13.5" thickBot="1" x14ac:dyDescent="0.25">
      <c r="A28" s="243" t="s">
        <v>1068</v>
      </c>
      <c r="B28" s="1"/>
      <c r="C28" s="120"/>
      <c r="I28" s="202" t="s">
        <v>173</v>
      </c>
    </row>
    <row r="29" spans="1:9" s="24" customFormat="1" ht="20.25" customHeight="1" thickTop="1" thickBot="1" x14ac:dyDescent="0.25">
      <c r="A29" s="21" t="s">
        <v>174</v>
      </c>
      <c r="B29" s="23" t="s">
        <v>175</v>
      </c>
      <c r="C29" s="169" t="s">
        <v>744</v>
      </c>
      <c r="D29" s="173" t="s">
        <v>744</v>
      </c>
      <c r="E29" s="46" t="s">
        <v>176</v>
      </c>
      <c r="F29" s="46" t="s">
        <v>177</v>
      </c>
      <c r="G29" s="46" t="s">
        <v>922</v>
      </c>
      <c r="H29" s="46" t="s">
        <v>923</v>
      </c>
      <c r="I29" s="197" t="s">
        <v>924</v>
      </c>
    </row>
    <row r="30" spans="1:9" s="323" customFormat="1" ht="13.5" thickTop="1" thickBot="1" x14ac:dyDescent="0.25">
      <c r="A30" s="319">
        <v>1</v>
      </c>
      <c r="B30" s="320">
        <v>2</v>
      </c>
      <c r="C30" s="320">
        <v>3</v>
      </c>
      <c r="D30" s="320">
        <v>4</v>
      </c>
      <c r="E30" s="320">
        <v>5</v>
      </c>
      <c r="F30" s="321">
        <v>6</v>
      </c>
      <c r="G30" s="321">
        <v>7</v>
      </c>
      <c r="H30" s="322">
        <v>8</v>
      </c>
      <c r="I30" s="358" t="s">
        <v>801</v>
      </c>
    </row>
    <row r="31" spans="1:9" ht="16.5" thickTop="1" thickBot="1" x14ac:dyDescent="0.3">
      <c r="A31" s="34">
        <v>3636</v>
      </c>
      <c r="B31" s="116">
        <v>5222</v>
      </c>
      <c r="C31" s="244"/>
      <c r="D31" s="245"/>
      <c r="E31" s="72" t="s">
        <v>234</v>
      </c>
      <c r="F31" s="165">
        <v>277</v>
      </c>
      <c r="G31" s="84">
        <v>277</v>
      </c>
      <c r="H31" s="84">
        <v>277</v>
      </c>
      <c r="I31" s="199">
        <f>(H31/G31)*100</f>
        <v>100</v>
      </c>
    </row>
    <row r="32" spans="1:9" ht="18" customHeight="1" thickTop="1" thickBot="1" x14ac:dyDescent="0.3">
      <c r="A32" s="2654" t="s">
        <v>258</v>
      </c>
      <c r="B32" s="2655"/>
      <c r="C32" s="2655"/>
      <c r="D32" s="2655"/>
      <c r="E32" s="2655"/>
      <c r="F32" s="111">
        <f t="shared" ref="F32:H33" si="1">F31</f>
        <v>277</v>
      </c>
      <c r="G32" s="111">
        <f t="shared" si="1"/>
        <v>277</v>
      </c>
      <c r="H32" s="111">
        <f t="shared" si="1"/>
        <v>277</v>
      </c>
      <c r="I32" s="208">
        <f>(H32/G32)*100</f>
        <v>100</v>
      </c>
    </row>
    <row r="33" spans="1:15" ht="18" customHeight="1" thickTop="1" thickBot="1" x14ac:dyDescent="0.3">
      <c r="A33" s="2654" t="s">
        <v>658</v>
      </c>
      <c r="B33" s="2655"/>
      <c r="C33" s="2655"/>
      <c r="D33" s="2655"/>
      <c r="E33" s="2655"/>
      <c r="F33" s="111">
        <f t="shared" si="1"/>
        <v>277</v>
      </c>
      <c r="G33" s="111">
        <f t="shared" si="1"/>
        <v>277</v>
      </c>
      <c r="H33" s="111">
        <f t="shared" si="1"/>
        <v>277</v>
      </c>
      <c r="I33" s="208">
        <f>(H33/G33)*100</f>
        <v>100</v>
      </c>
    </row>
    <row r="34" spans="1:15" ht="13.5" thickTop="1" x14ac:dyDescent="0.2"/>
    <row r="36" spans="1:15" customFormat="1" ht="15.75" x14ac:dyDescent="0.25">
      <c r="A36" s="2656" t="s">
        <v>1060</v>
      </c>
      <c r="B36" s="2657"/>
      <c r="C36" s="2657"/>
      <c r="D36" s="2657"/>
      <c r="E36" s="2657"/>
      <c r="F36" s="304"/>
      <c r="G36" s="304"/>
      <c r="H36" s="305"/>
    </row>
    <row r="37" spans="1:15" customFormat="1" ht="15.75" x14ac:dyDescent="0.25">
      <c r="A37" s="2657"/>
      <c r="B37" s="2657"/>
      <c r="C37" s="2657"/>
      <c r="D37" s="2657"/>
      <c r="E37" s="2657"/>
      <c r="F37" s="304">
        <f>SUM(F38:F41)</f>
        <v>2000</v>
      </c>
      <c r="G37" s="304">
        <f>SUM(G38:G41)</f>
        <v>775</v>
      </c>
      <c r="H37" s="304">
        <f>SUM(H38:H41)</f>
        <v>775</v>
      </c>
      <c r="I37" s="209">
        <f>H37/G37*100</f>
        <v>100</v>
      </c>
    </row>
    <row r="38" spans="1:15" s="104" customFormat="1" ht="15" x14ac:dyDescent="0.2">
      <c r="A38" s="260" t="s">
        <v>277</v>
      </c>
      <c r="B38" s="110"/>
      <c r="D38" s="160"/>
      <c r="F38" s="261">
        <f>F32+F13</f>
        <v>616</v>
      </c>
      <c r="G38" s="261">
        <f>G32+G13</f>
        <v>292</v>
      </c>
      <c r="H38" s="261">
        <f>H32+H13</f>
        <v>292</v>
      </c>
      <c r="I38" s="215">
        <f>H38/G38*100</f>
        <v>100</v>
      </c>
      <c r="L38" s="246"/>
      <c r="M38" s="246"/>
      <c r="N38" s="246"/>
      <c r="O38" s="247"/>
    </row>
    <row r="39" spans="1:15" s="104" customFormat="1" ht="15" x14ac:dyDescent="0.2">
      <c r="A39" s="260" t="s">
        <v>278</v>
      </c>
      <c r="B39" s="110"/>
      <c r="D39" s="160"/>
      <c r="F39" s="261">
        <f>F24+F16</f>
        <v>1384</v>
      </c>
      <c r="G39" s="261">
        <f>G24+G16</f>
        <v>483</v>
      </c>
      <c r="H39" s="261">
        <f>H24+H16</f>
        <v>483</v>
      </c>
      <c r="I39" s="215">
        <f>H39/G39*100</f>
        <v>100</v>
      </c>
      <c r="L39" s="246"/>
      <c r="M39" s="246"/>
      <c r="N39" s="246"/>
      <c r="O39" s="247"/>
    </row>
    <row r="40" spans="1:15" s="104" customFormat="1" ht="15" x14ac:dyDescent="0.2">
      <c r="A40" s="260" t="s">
        <v>221</v>
      </c>
      <c r="B40" s="110"/>
      <c r="D40" s="160"/>
      <c r="F40" s="261">
        <v>0</v>
      </c>
      <c r="G40" s="261">
        <v>0</v>
      </c>
      <c r="H40" s="261">
        <v>0</v>
      </c>
      <c r="I40" s="215">
        <v>0</v>
      </c>
      <c r="L40" s="246"/>
      <c r="M40" s="246"/>
      <c r="N40" s="246"/>
      <c r="O40" s="247"/>
    </row>
    <row r="41" spans="1:15" s="104" customFormat="1" ht="15" x14ac:dyDescent="0.2">
      <c r="A41" s="260" t="s">
        <v>1206</v>
      </c>
      <c r="B41" s="110"/>
      <c r="D41" s="160"/>
      <c r="F41" s="261">
        <v>0</v>
      </c>
      <c r="G41" s="261">
        <v>0</v>
      </c>
      <c r="H41" s="261">
        <v>0</v>
      </c>
      <c r="I41" s="215">
        <v>0</v>
      </c>
      <c r="L41" s="246"/>
      <c r="M41" s="246"/>
      <c r="N41" s="246"/>
      <c r="O41" s="247"/>
    </row>
    <row r="42" spans="1:15" s="104" customFormat="1" ht="15.75" x14ac:dyDescent="0.25">
      <c r="A42" s="110"/>
      <c r="B42" s="110"/>
      <c r="D42" s="160"/>
      <c r="F42" s="100"/>
      <c r="G42" s="100"/>
      <c r="H42" s="100"/>
      <c r="I42" s="209"/>
      <c r="L42" s="246"/>
      <c r="M42" s="246"/>
      <c r="N42" s="246"/>
      <c r="O42" s="247"/>
    </row>
    <row r="44" spans="1:15" s="58" customFormat="1" ht="31.5" customHeight="1" x14ac:dyDescent="0.35">
      <c r="A44" s="2662" t="s">
        <v>168</v>
      </c>
      <c r="B44" s="2663"/>
      <c r="C44" s="2663"/>
      <c r="D44" s="2663"/>
      <c r="E44" s="2663"/>
      <c r="F44" s="2664">
        <f>F38+F39</f>
        <v>2000</v>
      </c>
      <c r="G44" s="2664">
        <f>G38+G39</f>
        <v>775</v>
      </c>
      <c r="H44" s="2664">
        <f>H38+H39</f>
        <v>775</v>
      </c>
      <c r="I44" s="2660">
        <f>(H44/G44)*100</f>
        <v>100</v>
      </c>
    </row>
    <row r="45" spans="1:15" ht="13.5" thickBot="1" x14ac:dyDescent="0.25">
      <c r="A45" s="2661"/>
      <c r="B45" s="2661"/>
      <c r="C45" s="2661"/>
      <c r="D45" s="2661"/>
      <c r="E45" s="2661"/>
      <c r="F45" s="2661"/>
      <c r="G45" s="2661"/>
      <c r="H45" s="2661"/>
      <c r="I45" s="2661"/>
    </row>
    <row r="46" spans="1:15" ht="13.5" thickTop="1" x14ac:dyDescent="0.2"/>
  </sheetData>
  <mergeCells count="13">
    <mergeCell ref="I44:I45"/>
    <mergeCell ref="A44:E45"/>
    <mergeCell ref="G44:G45"/>
    <mergeCell ref="F44:F45"/>
    <mergeCell ref="H44:H45"/>
    <mergeCell ref="A24:E24"/>
    <mergeCell ref="A13:E13"/>
    <mergeCell ref="A16:E16"/>
    <mergeCell ref="A17:E17"/>
    <mergeCell ref="A36:E37"/>
    <mergeCell ref="A25:E25"/>
    <mergeCell ref="A32:E32"/>
    <mergeCell ref="A33:E33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41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 enableFormatConditionsCalculation="0">
    <tabColor indexed="33"/>
  </sheetPr>
  <dimension ref="A1:J48"/>
  <sheetViews>
    <sheetView showGridLines="0" zoomScaleNormal="100" workbookViewId="0">
      <selection activeCell="A5" sqref="A5"/>
    </sheetView>
  </sheetViews>
  <sheetFormatPr defaultRowHeight="12.75" x14ac:dyDescent="0.2"/>
  <cols>
    <col min="1" max="1" width="6.140625" style="1" customWidth="1"/>
    <col min="2" max="2" width="5.42578125" style="120" customWidth="1"/>
    <col min="3" max="3" width="6.7109375" style="146" customWidth="1"/>
    <col min="4" max="4" width="47.85546875" style="120" customWidth="1"/>
    <col min="5" max="5" width="12.140625" style="121" customWidth="1"/>
    <col min="6" max="6" width="12.7109375" style="121" customWidth="1"/>
    <col min="7" max="7" width="11.5703125" style="121" customWidth="1"/>
    <col min="8" max="8" width="8.7109375" style="202" customWidth="1"/>
    <col min="9" max="10" width="9.140625" style="121"/>
    <col min="11" max="16384" width="9.140625" style="120"/>
  </cols>
  <sheetData>
    <row r="1" spans="1:10" ht="18.75" thickBot="1" x14ac:dyDescent="0.3">
      <c r="A1" s="2" t="s">
        <v>133</v>
      </c>
      <c r="B1" s="26"/>
      <c r="C1" s="141"/>
      <c r="D1" s="9"/>
      <c r="E1" s="152"/>
      <c r="F1" s="11" t="s">
        <v>134</v>
      </c>
      <c r="I1" s="18"/>
    </row>
    <row r="2" spans="1:10" ht="12.75" customHeight="1" x14ac:dyDescent="0.25">
      <c r="A2" s="6"/>
      <c r="B2" s="28"/>
      <c r="C2" s="142"/>
      <c r="D2" s="10"/>
      <c r="E2" s="137"/>
      <c r="F2" s="137"/>
      <c r="G2" s="16"/>
      <c r="H2" s="194"/>
      <c r="I2" s="18"/>
    </row>
    <row r="3" spans="1:10" ht="12.75" customHeight="1" x14ac:dyDescent="0.25">
      <c r="A3" s="67" t="s">
        <v>387</v>
      </c>
      <c r="B3" s="28"/>
      <c r="C3" s="143" t="s">
        <v>227</v>
      </c>
      <c r="D3" s="14"/>
      <c r="E3" s="137"/>
      <c r="F3" s="16"/>
      <c r="G3" s="17"/>
      <c r="H3" s="195"/>
      <c r="I3" s="120"/>
      <c r="J3" s="120"/>
    </row>
    <row r="4" spans="1:10" ht="12.75" customHeight="1" x14ac:dyDescent="0.25">
      <c r="A4" s="6"/>
      <c r="B4" s="28"/>
      <c r="C4" s="143" t="s">
        <v>228</v>
      </c>
      <c r="D4" s="135"/>
      <c r="E4" s="138"/>
      <c r="F4" s="16"/>
      <c r="G4" s="17"/>
      <c r="H4" s="195"/>
      <c r="I4" s="120"/>
      <c r="J4" s="120"/>
    </row>
    <row r="5" spans="1:10" ht="12.75" customHeight="1" x14ac:dyDescent="0.25">
      <c r="A5" s="6"/>
      <c r="B5" s="28"/>
      <c r="C5" s="142"/>
      <c r="D5" s="10"/>
      <c r="E5" s="137"/>
      <c r="F5" s="137"/>
      <c r="G5" s="16"/>
      <c r="H5" s="194"/>
      <c r="I5" s="18"/>
    </row>
    <row r="6" spans="1:10" ht="18" x14ac:dyDescent="0.25">
      <c r="A6" s="33" t="s">
        <v>925</v>
      </c>
      <c r="B6" s="28"/>
      <c r="C6" s="142"/>
      <c r="D6" s="10"/>
      <c r="E6" s="137"/>
      <c r="F6" s="137"/>
      <c r="G6" s="16"/>
      <c r="H6" s="194"/>
      <c r="I6" s="18"/>
    </row>
    <row r="7" spans="1:10" ht="13.5" thickBot="1" x14ac:dyDescent="0.25">
      <c r="A7" s="25"/>
      <c r="B7" s="25"/>
      <c r="C7" s="144"/>
      <c r="D7" s="3"/>
      <c r="G7" s="140"/>
      <c r="H7" s="202" t="s">
        <v>173</v>
      </c>
    </row>
    <row r="8" spans="1:10" s="24" customFormat="1" ht="20.25" customHeight="1" thickTop="1" thickBot="1" x14ac:dyDescent="0.25">
      <c r="A8" s="21" t="s">
        <v>174</v>
      </c>
      <c r="B8" s="22" t="s">
        <v>175</v>
      </c>
      <c r="C8" s="173" t="s">
        <v>744</v>
      </c>
      <c r="D8" s="46" t="s">
        <v>176</v>
      </c>
      <c r="E8" s="46" t="s">
        <v>177</v>
      </c>
      <c r="F8" s="46" t="s">
        <v>922</v>
      </c>
      <c r="G8" s="46" t="s">
        <v>923</v>
      </c>
      <c r="H8" s="197" t="s">
        <v>924</v>
      </c>
      <c r="I8" s="54"/>
      <c r="J8" s="54"/>
    </row>
    <row r="9" spans="1:10" ht="15.75" thickTop="1" x14ac:dyDescent="0.25">
      <c r="A9" s="34">
        <v>6172</v>
      </c>
      <c r="B9" s="19">
        <v>5163</v>
      </c>
      <c r="C9" s="122"/>
      <c r="D9" s="128" t="s">
        <v>934</v>
      </c>
      <c r="E9" s="29"/>
      <c r="F9" s="148">
        <v>4</v>
      </c>
      <c r="G9" s="149">
        <v>3</v>
      </c>
      <c r="H9" s="190">
        <f>(G9/F9)*100</f>
        <v>75</v>
      </c>
    </row>
    <row r="10" spans="1:10" ht="18" x14ac:dyDescent="0.25">
      <c r="A10" s="34"/>
      <c r="B10" s="19"/>
      <c r="C10" s="122"/>
      <c r="D10" s="83" t="s">
        <v>410</v>
      </c>
      <c r="E10" s="29"/>
      <c r="F10" s="130"/>
      <c r="G10" s="150"/>
      <c r="H10" s="190"/>
    </row>
    <row r="11" spans="1:10" ht="15.75" thickBot="1" x14ac:dyDescent="0.3">
      <c r="A11" s="49"/>
      <c r="B11" s="20"/>
      <c r="C11" s="127"/>
      <c r="D11" s="32" t="s">
        <v>135</v>
      </c>
      <c r="E11" s="30"/>
      <c r="F11" s="97">
        <v>4</v>
      </c>
      <c r="G11" s="151"/>
      <c r="H11" s="193"/>
    </row>
    <row r="12" spans="1:10" s="8" customFormat="1" ht="35.25" customHeight="1" thickTop="1" thickBot="1" x14ac:dyDescent="0.3">
      <c r="A12" s="35" t="s">
        <v>258</v>
      </c>
      <c r="B12" s="51"/>
      <c r="C12" s="145"/>
      <c r="D12" s="36"/>
      <c r="E12" s="37">
        <v>0</v>
      </c>
      <c r="F12" s="37">
        <v>4</v>
      </c>
      <c r="G12" s="37">
        <v>3</v>
      </c>
      <c r="H12" s="191">
        <f>(G12/F12)*100</f>
        <v>75</v>
      </c>
    </row>
    <row r="13" spans="1:10" ht="13.5" thickTop="1" x14ac:dyDescent="0.2">
      <c r="A13" s="25"/>
      <c r="B13" s="27"/>
      <c r="I13" s="153"/>
      <c r="J13" s="120"/>
    </row>
    <row r="14" spans="1:10" x14ac:dyDescent="0.2">
      <c r="A14" s="25"/>
      <c r="B14" s="27"/>
      <c r="I14" s="153"/>
      <c r="J14" s="120"/>
    </row>
    <row r="15" spans="1:10" ht="15.75" x14ac:dyDescent="0.25">
      <c r="A15" s="161" t="s">
        <v>1195</v>
      </c>
      <c r="B15" s="27"/>
      <c r="I15" s="153"/>
      <c r="J15" s="120"/>
    </row>
    <row r="16" spans="1:10" x14ac:dyDescent="0.2">
      <c r="A16" s="25"/>
      <c r="B16" s="27"/>
      <c r="I16" s="153"/>
      <c r="J16" s="120"/>
    </row>
    <row r="17" spans="1:10" customFormat="1" ht="13.5" thickBot="1" x14ac:dyDescent="0.25">
      <c r="A17" s="70" t="s">
        <v>136</v>
      </c>
      <c r="B17" s="1"/>
      <c r="D17" s="146"/>
      <c r="F17" s="12"/>
      <c r="G17" s="12"/>
      <c r="H17" s="113" t="s">
        <v>173</v>
      </c>
      <c r="I17" s="12"/>
    </row>
    <row r="18" spans="1:10" s="24" customFormat="1" ht="20.25" customHeight="1" thickTop="1" thickBot="1" x14ac:dyDescent="0.25">
      <c r="A18" s="21" t="s">
        <v>174</v>
      </c>
      <c r="B18" s="22" t="s">
        <v>175</v>
      </c>
      <c r="C18" s="173" t="s">
        <v>744</v>
      </c>
      <c r="D18" s="46" t="s">
        <v>176</v>
      </c>
      <c r="E18" s="46" t="s">
        <v>177</v>
      </c>
      <c r="F18" s="46" t="s">
        <v>922</v>
      </c>
      <c r="G18" s="46" t="s">
        <v>923</v>
      </c>
      <c r="H18" s="197" t="s">
        <v>924</v>
      </c>
      <c r="I18" s="54"/>
      <c r="J18" s="54"/>
    </row>
    <row r="19" spans="1:10" ht="15.75" thickTop="1" x14ac:dyDescent="0.25">
      <c r="A19" s="34">
        <v>3314</v>
      </c>
      <c r="B19" s="19">
        <v>6119</v>
      </c>
      <c r="C19" s="122"/>
      <c r="D19" s="128" t="s">
        <v>137</v>
      </c>
      <c r="E19" s="29"/>
      <c r="F19" s="61">
        <v>346</v>
      </c>
      <c r="G19" s="59">
        <v>346</v>
      </c>
      <c r="H19" s="190">
        <f>(G19/F19)*100</f>
        <v>100</v>
      </c>
    </row>
    <row r="20" spans="1:10" ht="15" x14ac:dyDescent="0.25">
      <c r="A20" s="34"/>
      <c r="B20" s="19"/>
      <c r="C20" s="122"/>
      <c r="D20" s="83" t="s">
        <v>410</v>
      </c>
      <c r="E20" s="29"/>
      <c r="F20" s="125"/>
      <c r="G20" s="177"/>
      <c r="H20" s="190"/>
    </row>
    <row r="21" spans="1:10" ht="15.75" thickBot="1" x14ac:dyDescent="0.3">
      <c r="A21" s="49"/>
      <c r="B21" s="20"/>
      <c r="C21" s="127"/>
      <c r="D21" s="85" t="s">
        <v>138</v>
      </c>
      <c r="E21" s="30"/>
      <c r="F21" s="178">
        <v>346</v>
      </c>
      <c r="G21" s="179"/>
      <c r="H21" s="189"/>
    </row>
    <row r="22" spans="1:10" s="8" customFormat="1" ht="35.25" customHeight="1" thickTop="1" thickBot="1" x14ac:dyDescent="0.3">
      <c r="A22" s="35" t="s">
        <v>139</v>
      </c>
      <c r="B22" s="51"/>
      <c r="C22" s="145"/>
      <c r="D22" s="36"/>
      <c r="E22" s="37">
        <v>0</v>
      </c>
      <c r="F22" s="37">
        <v>346</v>
      </c>
      <c r="G22" s="37">
        <v>346</v>
      </c>
      <c r="H22" s="191">
        <f>(G22/F22)*100</f>
        <v>100</v>
      </c>
    </row>
    <row r="23" spans="1:10" ht="13.5" thickTop="1" x14ac:dyDescent="0.2">
      <c r="A23" s="25"/>
      <c r="B23" s="27"/>
      <c r="I23" s="153"/>
      <c r="J23" s="120"/>
    </row>
    <row r="24" spans="1:10" x14ac:dyDescent="0.2">
      <c r="A24" s="25"/>
      <c r="B24" s="27"/>
      <c r="I24" s="153"/>
      <c r="J24" s="120"/>
    </row>
    <row r="25" spans="1:10" customFormat="1" ht="13.5" thickBot="1" x14ac:dyDescent="0.25">
      <c r="A25" s="70" t="s">
        <v>991</v>
      </c>
      <c r="B25" s="1"/>
      <c r="D25" s="146"/>
      <c r="F25" s="12"/>
      <c r="G25" s="12"/>
      <c r="H25" s="113" t="s">
        <v>173</v>
      </c>
      <c r="I25" s="12"/>
    </row>
    <row r="26" spans="1:10" s="24" customFormat="1" ht="20.25" customHeight="1" thickTop="1" thickBot="1" x14ac:dyDescent="0.25">
      <c r="A26" s="21" t="s">
        <v>174</v>
      </c>
      <c r="B26" s="22" t="s">
        <v>175</v>
      </c>
      <c r="C26" s="173" t="s">
        <v>744</v>
      </c>
      <c r="D26" s="46" t="s">
        <v>176</v>
      </c>
      <c r="E26" s="46" t="s">
        <v>177</v>
      </c>
      <c r="F26" s="46" t="s">
        <v>922</v>
      </c>
      <c r="G26" s="46" t="s">
        <v>923</v>
      </c>
      <c r="H26" s="197" t="s">
        <v>924</v>
      </c>
      <c r="I26" s="54"/>
      <c r="J26" s="54"/>
    </row>
    <row r="27" spans="1:10" ht="15.75" thickTop="1" x14ac:dyDescent="0.25">
      <c r="A27" s="34">
        <v>2140</v>
      </c>
      <c r="B27" s="19">
        <v>5169</v>
      </c>
      <c r="C27" s="122"/>
      <c r="D27" s="128" t="s">
        <v>892</v>
      </c>
      <c r="E27" s="29"/>
      <c r="F27" s="61">
        <v>251</v>
      </c>
      <c r="G27" s="59">
        <v>251</v>
      </c>
      <c r="H27" s="190">
        <f>(G27/F27)*100</f>
        <v>100</v>
      </c>
    </row>
    <row r="28" spans="1:10" ht="15" x14ac:dyDescent="0.25">
      <c r="A28" s="34"/>
      <c r="B28" s="19"/>
      <c r="C28" s="122"/>
      <c r="D28" s="83" t="s">
        <v>410</v>
      </c>
      <c r="E28" s="29"/>
      <c r="F28" s="125"/>
      <c r="G28" s="177"/>
      <c r="H28" s="190"/>
    </row>
    <row r="29" spans="1:10" ht="15.75" thickBot="1" x14ac:dyDescent="0.3">
      <c r="A29" s="49"/>
      <c r="B29" s="20"/>
      <c r="C29" s="127">
        <v>4</v>
      </c>
      <c r="D29" s="85" t="s">
        <v>992</v>
      </c>
      <c r="E29" s="30"/>
      <c r="F29" s="178">
        <v>251</v>
      </c>
      <c r="G29" s="179">
        <v>251</v>
      </c>
      <c r="H29" s="189">
        <f>(G29/F29)*100</f>
        <v>100</v>
      </c>
    </row>
    <row r="30" spans="1:10" s="8" customFormat="1" ht="35.25" customHeight="1" thickTop="1" thickBot="1" x14ac:dyDescent="0.3">
      <c r="A30" s="35" t="s">
        <v>1196</v>
      </c>
      <c r="B30" s="51"/>
      <c r="C30" s="145"/>
      <c r="D30" s="36"/>
      <c r="E30" s="37">
        <v>0</v>
      </c>
      <c r="F30" s="37">
        <v>251</v>
      </c>
      <c r="G30" s="37">
        <v>251</v>
      </c>
      <c r="H30" s="191">
        <f>(G30/F30)*100</f>
        <v>100</v>
      </c>
    </row>
    <row r="31" spans="1:10" ht="13.5" thickTop="1" x14ac:dyDescent="0.2">
      <c r="A31" s="25"/>
      <c r="B31" s="27"/>
      <c r="I31" s="153"/>
      <c r="J31" s="120"/>
    </row>
    <row r="32" spans="1:10" x14ac:dyDescent="0.2">
      <c r="A32" s="25"/>
      <c r="B32" s="27"/>
      <c r="I32" s="153"/>
      <c r="J32" s="120"/>
    </row>
    <row r="33" spans="1:10" customFormat="1" ht="13.5" thickBot="1" x14ac:dyDescent="0.25">
      <c r="A33" s="70" t="s">
        <v>1193</v>
      </c>
      <c r="B33" s="1"/>
      <c r="D33" s="146"/>
      <c r="F33" s="12"/>
      <c r="G33" s="12"/>
      <c r="H33" s="113" t="s">
        <v>173</v>
      </c>
      <c r="I33" s="12"/>
    </row>
    <row r="34" spans="1:10" s="24" customFormat="1" ht="20.25" customHeight="1" thickTop="1" thickBot="1" x14ac:dyDescent="0.25">
      <c r="A34" s="21" t="s">
        <v>174</v>
      </c>
      <c r="B34" s="22" t="s">
        <v>175</v>
      </c>
      <c r="C34" s="173" t="s">
        <v>744</v>
      </c>
      <c r="D34" s="46" t="s">
        <v>176</v>
      </c>
      <c r="E34" s="46" t="s">
        <v>177</v>
      </c>
      <c r="F34" s="46" t="s">
        <v>922</v>
      </c>
      <c r="G34" s="46" t="s">
        <v>923</v>
      </c>
      <c r="H34" s="197" t="s">
        <v>924</v>
      </c>
      <c r="I34" s="54"/>
      <c r="J34" s="54"/>
    </row>
    <row r="35" spans="1:10" ht="15.75" thickTop="1" x14ac:dyDescent="0.25">
      <c r="A35" s="34">
        <v>2212</v>
      </c>
      <c r="B35" s="19">
        <v>6121</v>
      </c>
      <c r="C35" s="122"/>
      <c r="D35" s="128" t="s">
        <v>640</v>
      </c>
      <c r="E35" s="29"/>
      <c r="F35" s="148">
        <v>123</v>
      </c>
      <c r="G35" s="149">
        <v>123</v>
      </c>
      <c r="H35" s="190">
        <f>(G35/F35)*100</f>
        <v>100</v>
      </c>
    </row>
    <row r="36" spans="1:10" ht="18" x14ac:dyDescent="0.25">
      <c r="A36" s="34"/>
      <c r="B36" s="19"/>
      <c r="C36" s="122"/>
      <c r="D36" s="83" t="s">
        <v>410</v>
      </c>
      <c r="E36" s="29"/>
      <c r="F36" s="130"/>
      <c r="G36" s="150"/>
      <c r="H36" s="190"/>
    </row>
    <row r="37" spans="1:10" ht="15.75" thickBot="1" x14ac:dyDescent="0.3">
      <c r="A37" s="49"/>
      <c r="B37" s="20"/>
      <c r="C37" s="127"/>
      <c r="D37" s="85" t="s">
        <v>1194</v>
      </c>
      <c r="E37" s="30"/>
      <c r="F37" s="97">
        <v>123</v>
      </c>
      <c r="G37" s="151"/>
      <c r="H37" s="193"/>
    </row>
    <row r="38" spans="1:10" s="8" customFormat="1" ht="35.25" customHeight="1" thickTop="1" thickBot="1" x14ac:dyDescent="0.3">
      <c r="A38" s="35" t="s">
        <v>139</v>
      </c>
      <c r="B38" s="51"/>
      <c r="C38" s="145"/>
      <c r="D38" s="36"/>
      <c r="E38" s="37">
        <v>0</v>
      </c>
      <c r="F38" s="37">
        <v>123</v>
      </c>
      <c r="G38" s="37">
        <v>123</v>
      </c>
      <c r="H38" s="191">
        <f>(G38/F38)*100</f>
        <v>100</v>
      </c>
    </row>
    <row r="39" spans="1:10" ht="13.5" thickTop="1" x14ac:dyDescent="0.2">
      <c r="A39" s="25"/>
      <c r="B39" s="27"/>
      <c r="I39" s="153"/>
      <c r="J39" s="120"/>
    </row>
    <row r="40" spans="1:10" s="99" customFormat="1" ht="15.75" x14ac:dyDescent="0.25">
      <c r="A40" s="101" t="s">
        <v>142</v>
      </c>
      <c r="B40" s="102"/>
      <c r="C40" s="103"/>
      <c r="D40" s="104"/>
      <c r="E40" s="100"/>
      <c r="F40" s="100">
        <f>SUM(F12)</f>
        <v>4</v>
      </c>
      <c r="G40" s="100">
        <f>SUM(G12)</f>
        <v>3</v>
      </c>
      <c r="H40" s="209">
        <f>G40/F40*100</f>
        <v>75</v>
      </c>
    </row>
    <row r="41" spans="1:10" s="99" customFormat="1" ht="15.75" x14ac:dyDescent="0.25">
      <c r="A41" s="101" t="s">
        <v>1197</v>
      </c>
      <c r="B41" s="101"/>
      <c r="C41" s="105"/>
      <c r="D41" s="106"/>
      <c r="E41" s="100"/>
      <c r="F41" s="100">
        <f>SUM(F30)</f>
        <v>251</v>
      </c>
      <c r="G41" s="100">
        <f>SUM(G30)</f>
        <v>251</v>
      </c>
      <c r="H41" s="209">
        <f>G41/F41*100</f>
        <v>100</v>
      </c>
    </row>
    <row r="42" spans="1:10" s="99" customFormat="1" ht="15.75" x14ac:dyDescent="0.25">
      <c r="A42" s="101" t="s">
        <v>1198</v>
      </c>
      <c r="B42" s="101"/>
      <c r="C42" s="105"/>
      <c r="D42" s="106"/>
      <c r="E42" s="100"/>
      <c r="F42" s="100">
        <f>SUM(F22,F38)</f>
        <v>469</v>
      </c>
      <c r="G42" s="100">
        <f>SUM(G22,G38)</f>
        <v>469</v>
      </c>
      <c r="H42" s="209">
        <f>G42/F42*100</f>
        <v>100</v>
      </c>
    </row>
    <row r="43" spans="1:10" x14ac:dyDescent="0.2">
      <c r="A43" s="25"/>
      <c r="B43" s="27"/>
      <c r="I43" s="153"/>
      <c r="J43" s="120"/>
    </row>
    <row r="44" spans="1:10" x14ac:dyDescent="0.2">
      <c r="A44" s="25"/>
      <c r="B44" s="27"/>
      <c r="I44" s="153"/>
      <c r="J44" s="120"/>
    </row>
    <row r="45" spans="1:10" x14ac:dyDescent="0.2">
      <c r="A45" s="25"/>
      <c r="B45" s="27"/>
      <c r="I45" s="153"/>
      <c r="J45" s="120"/>
    </row>
    <row r="46" spans="1:10" x14ac:dyDescent="0.2">
      <c r="A46" s="25"/>
      <c r="B46" s="27"/>
      <c r="I46" s="153"/>
      <c r="J46" s="120"/>
    </row>
    <row r="47" spans="1:10" s="58" customFormat="1" ht="47.25" customHeight="1" thickBot="1" x14ac:dyDescent="0.4">
      <c r="A47" s="2665" t="s">
        <v>756</v>
      </c>
      <c r="B47" s="2666"/>
      <c r="C47" s="2666"/>
      <c r="D47" s="2666"/>
      <c r="E47" s="44">
        <v>0</v>
      </c>
      <c r="F47" s="44">
        <f>SUM(F40,F41,F42)</f>
        <v>724</v>
      </c>
      <c r="G47" s="44">
        <f>SUM(G40,G41,G42)</f>
        <v>723</v>
      </c>
      <c r="H47" s="192">
        <f>(G47/F47)*100</f>
        <v>99.861878453038671</v>
      </c>
      <c r="I47" s="115"/>
    </row>
    <row r="48" spans="1:10" s="4" customFormat="1" ht="13.5" thickTop="1" x14ac:dyDescent="0.2">
      <c r="A48" s="1"/>
      <c r="B48" s="1"/>
      <c r="C48" s="147"/>
      <c r="E48" s="53"/>
      <c r="F48" s="56"/>
      <c r="G48" s="13"/>
      <c r="H48" s="205"/>
      <c r="I48" s="53"/>
      <c r="J48" s="53"/>
    </row>
  </sheetData>
  <mergeCells count="1">
    <mergeCell ref="A47:D47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firstPageNumber="69" orientation="portrait" r:id="rId1"/>
  <headerFooter alignWithMargins="0">
    <oddFooter xml:space="preserve">&amp;L&amp;"Arial,Kurzíva"Zastupitelstvo Olomouckého kraje 22.4.2005
5-Rozpočet Olomouckého kraje 2004 - závěrečný účet Olomouckého kraje za rok 2004
Příloha č. 2: Plnění rozpočtu výdajů OK k 31.12.2004&amp;R&amp;"Arial,Kurzíva"Stránka &amp;P (celkem 700)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"/>
  <sheetViews>
    <sheetView workbookViewId="0"/>
  </sheetViews>
  <sheetFormatPr defaultRowHeight="12.75" x14ac:dyDescent="0.2"/>
  <sheetData/>
  <phoneticPr fontId="35" type="noConversion"/>
  <pageMargins left="0.78740157499999996" right="0.78740157499999996" top="0.984251969" bottom="0.984251969" header="0.4921259845" footer="0.492125984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 enableFormatConditionsCalculation="0">
    <tabColor rgb="FF00B0F0"/>
  </sheetPr>
  <dimension ref="A1:L120"/>
  <sheetViews>
    <sheetView showGridLines="0" view="pageBreakPreview" zoomScaleNormal="100" zoomScaleSheetLayoutView="100" workbookViewId="0">
      <selection activeCell="O114" sqref="O114"/>
    </sheetView>
  </sheetViews>
  <sheetFormatPr defaultRowHeight="14.25" x14ac:dyDescent="0.2"/>
  <cols>
    <col min="1" max="1" width="4.7109375" style="645" customWidth="1"/>
    <col min="2" max="2" width="4.7109375" style="534" customWidth="1"/>
    <col min="3" max="3" width="8.85546875" style="667" customWidth="1"/>
    <col min="4" max="4" width="47.28515625" style="534" customWidth="1"/>
    <col min="5" max="5" width="12.7109375" style="493" customWidth="1"/>
    <col min="6" max="7" width="13.140625" style="493" customWidth="1"/>
    <col min="8" max="8" width="8.5703125" style="850" customWidth="1"/>
    <col min="9" max="9" width="9.140625" style="669"/>
    <col min="10" max="11" width="9.42578125" style="669" bestFit="1" customWidth="1"/>
    <col min="12" max="16384" width="9.140625" style="669"/>
  </cols>
  <sheetData>
    <row r="1" spans="1:10" s="534" customFormat="1" ht="18.75" thickBot="1" x14ac:dyDescent="0.3">
      <c r="A1" s="465" t="s">
        <v>747</v>
      </c>
      <c r="B1" s="466"/>
      <c r="C1" s="467"/>
      <c r="D1" s="477"/>
      <c r="E1" s="492"/>
      <c r="F1" s="469" t="s">
        <v>748</v>
      </c>
      <c r="G1" s="493"/>
      <c r="H1" s="850"/>
      <c r="I1" s="17"/>
      <c r="J1" s="495"/>
    </row>
    <row r="2" spans="1:10" s="534" customFormat="1" ht="12.75" customHeight="1" x14ac:dyDescent="0.25">
      <c r="A2" s="6"/>
      <c r="B2" s="28"/>
      <c r="C2" s="142"/>
      <c r="D2" s="10"/>
      <c r="E2" s="167"/>
      <c r="F2" s="167"/>
      <c r="G2" s="168"/>
      <c r="H2" s="210"/>
      <c r="I2" s="17"/>
      <c r="J2" s="495"/>
    </row>
    <row r="3" spans="1:10" s="534" customFormat="1" ht="12.75" customHeight="1" x14ac:dyDescent="0.25">
      <c r="A3" s="67" t="s">
        <v>387</v>
      </c>
      <c r="B3" s="28"/>
      <c r="C3" s="2302" t="s">
        <v>1783</v>
      </c>
      <c r="D3" s="629"/>
      <c r="E3" s="167"/>
      <c r="F3" s="168"/>
      <c r="G3" s="181"/>
      <c r="H3" s="210"/>
    </row>
    <row r="4" spans="1:10" s="534" customFormat="1" ht="12.75" customHeight="1" x14ac:dyDescent="0.25">
      <c r="A4" s="6"/>
      <c r="B4" s="28"/>
      <c r="C4" s="672" t="s">
        <v>419</v>
      </c>
      <c r="D4" s="675"/>
      <c r="E4" s="167"/>
      <c r="F4" s="168"/>
      <c r="G4" s="181"/>
      <c r="H4" s="210"/>
    </row>
    <row r="5" spans="1:10" s="534" customFormat="1" ht="12.75" customHeight="1" x14ac:dyDescent="0.25">
      <c r="A5" s="6"/>
      <c r="B5" s="28"/>
      <c r="C5" s="142"/>
      <c r="D5" s="10"/>
      <c r="E5" s="167"/>
      <c r="F5" s="167"/>
      <c r="G5" s="168"/>
      <c r="H5" s="210"/>
      <c r="I5" s="17"/>
      <c r="J5" s="495"/>
    </row>
    <row r="6" spans="1:10" s="534" customFormat="1" ht="18" x14ac:dyDescent="0.25">
      <c r="A6" s="33" t="s">
        <v>925</v>
      </c>
      <c r="B6" s="28"/>
      <c r="C6" s="142"/>
      <c r="D6" s="10"/>
      <c r="E6" s="167"/>
      <c r="F6" s="167"/>
      <c r="G6" s="168"/>
      <c r="H6" s="210"/>
      <c r="I6" s="17"/>
      <c r="J6" s="495"/>
    </row>
    <row r="7" spans="1:10" ht="12" customHeight="1" thickBot="1" x14ac:dyDescent="0.25">
      <c r="A7" s="631"/>
      <c r="B7" s="631"/>
      <c r="C7" s="684"/>
      <c r="D7" s="632"/>
      <c r="G7" s="854"/>
      <c r="H7" s="850" t="s">
        <v>173</v>
      </c>
      <c r="I7" s="675"/>
      <c r="J7" s="675"/>
    </row>
    <row r="8" spans="1:10" s="107" customFormat="1" ht="20.25" customHeight="1" thickTop="1" thickBot="1" x14ac:dyDescent="0.25">
      <c r="A8" s="633" t="s">
        <v>174</v>
      </c>
      <c r="B8" s="634" t="s">
        <v>175</v>
      </c>
      <c r="C8" s="678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856" t="s">
        <v>924</v>
      </c>
      <c r="I8" s="946"/>
      <c r="J8" s="946"/>
    </row>
    <row r="9" spans="1:10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638" t="s">
        <v>61</v>
      </c>
      <c r="I9" s="107"/>
    </row>
    <row r="10" spans="1:10" s="1159" customFormat="1" ht="15.75" customHeight="1" thickTop="1" x14ac:dyDescent="0.25">
      <c r="A10" s="34">
        <v>1014</v>
      </c>
      <c r="B10" s="1139">
        <v>5169</v>
      </c>
      <c r="C10" s="1135"/>
      <c r="D10" s="1108" t="s">
        <v>892</v>
      </c>
      <c r="E10" s="60">
        <v>50</v>
      </c>
      <c r="F10" s="313">
        <v>6</v>
      </c>
      <c r="G10" s="315">
        <v>0</v>
      </c>
      <c r="H10" s="203">
        <f>(G10/F10)*100</f>
        <v>0</v>
      </c>
    </row>
    <row r="11" spans="1:10" s="1159" customFormat="1" ht="12" customHeight="1" x14ac:dyDescent="0.25">
      <c r="A11" s="34">
        <v>1019</v>
      </c>
      <c r="B11" s="1139">
        <v>5213</v>
      </c>
      <c r="C11" s="1135"/>
      <c r="D11" s="1108" t="s">
        <v>651</v>
      </c>
      <c r="E11" s="60"/>
      <c r="F11" s="313">
        <v>250</v>
      </c>
      <c r="G11" s="315">
        <v>250</v>
      </c>
      <c r="H11" s="203">
        <f t="shared" ref="H11:H38" si="0">(G11/F11)*100</f>
        <v>100</v>
      </c>
    </row>
    <row r="12" spans="1:10" s="1159" customFormat="1" ht="12.75" customHeight="1" x14ac:dyDescent="0.25">
      <c r="A12" s="34"/>
      <c r="B12" s="1139"/>
      <c r="C12" s="1135" t="s">
        <v>262</v>
      </c>
      <c r="D12" s="1114" t="s">
        <v>333</v>
      </c>
      <c r="E12" s="60"/>
      <c r="F12" s="314">
        <v>250</v>
      </c>
      <c r="G12" s="316">
        <v>250</v>
      </c>
      <c r="H12" s="1116">
        <f t="shared" si="0"/>
        <v>100</v>
      </c>
    </row>
    <row r="13" spans="1:10" s="1159" customFormat="1" ht="15.75" customHeight="1" x14ac:dyDescent="0.25">
      <c r="A13" s="34">
        <v>1019</v>
      </c>
      <c r="B13" s="1139">
        <v>5222</v>
      </c>
      <c r="C13" s="1135"/>
      <c r="D13" s="1219" t="s">
        <v>342</v>
      </c>
      <c r="E13" s="60"/>
      <c r="F13" s="315">
        <v>120</v>
      </c>
      <c r="G13" s="315">
        <v>120</v>
      </c>
      <c r="H13" s="203">
        <f t="shared" si="0"/>
        <v>100</v>
      </c>
    </row>
    <row r="14" spans="1:10" s="1159" customFormat="1" ht="15.75" customHeight="1" x14ac:dyDescent="0.25">
      <c r="A14" s="34"/>
      <c r="B14" s="1139"/>
      <c r="C14" s="1135" t="s">
        <v>1262</v>
      </c>
      <c r="D14" s="1727" t="s">
        <v>1757</v>
      </c>
      <c r="E14" s="60"/>
      <c r="F14" s="314">
        <v>120</v>
      </c>
      <c r="G14" s="316">
        <v>120</v>
      </c>
      <c r="H14" s="1116">
        <f t="shared" si="0"/>
        <v>100</v>
      </c>
    </row>
    <row r="15" spans="1:10" s="1159" customFormat="1" ht="15.75" customHeight="1" x14ac:dyDescent="0.25">
      <c r="A15" s="34">
        <v>1019</v>
      </c>
      <c r="B15" s="1139">
        <v>5229</v>
      </c>
      <c r="C15" s="1135"/>
      <c r="D15" s="1412" t="s">
        <v>1191</v>
      </c>
      <c r="E15" s="60"/>
      <c r="F15" s="313">
        <v>44</v>
      </c>
      <c r="G15" s="315">
        <v>44</v>
      </c>
      <c r="H15" s="203">
        <f t="shared" si="0"/>
        <v>100</v>
      </c>
    </row>
    <row r="16" spans="1:10" s="1107" customFormat="1" ht="15" x14ac:dyDescent="0.25">
      <c r="A16" s="34">
        <v>1032</v>
      </c>
      <c r="B16" s="1139">
        <v>5165</v>
      </c>
      <c r="C16" s="1414"/>
      <c r="D16" s="1108" t="s">
        <v>997</v>
      </c>
      <c r="E16" s="48">
        <v>2</v>
      </c>
      <c r="F16" s="168">
        <v>2</v>
      </c>
      <c r="G16" s="315">
        <v>1</v>
      </c>
      <c r="H16" s="203">
        <f>(G16/F16)*100</f>
        <v>50</v>
      </c>
    </row>
    <row r="17" spans="1:8" s="1107" customFormat="1" ht="15" x14ac:dyDescent="0.25">
      <c r="A17" s="34">
        <v>1036</v>
      </c>
      <c r="B17" s="1139">
        <v>5134</v>
      </c>
      <c r="C17" s="1414"/>
      <c r="D17" s="1108" t="s">
        <v>644</v>
      </c>
      <c r="E17" s="48">
        <v>60</v>
      </c>
      <c r="F17" s="168">
        <v>60</v>
      </c>
      <c r="G17" s="315">
        <v>55</v>
      </c>
      <c r="H17" s="203">
        <f>(G17/F17)*100</f>
        <v>91.666666666666657</v>
      </c>
    </row>
    <row r="18" spans="1:8" s="1107" customFormat="1" ht="15" x14ac:dyDescent="0.25">
      <c r="A18" s="34">
        <v>1036</v>
      </c>
      <c r="B18" s="1139">
        <v>5164</v>
      </c>
      <c r="C18" s="1414"/>
      <c r="D18" s="1435" t="s">
        <v>182</v>
      </c>
      <c r="E18" s="48"/>
      <c r="F18" s="168">
        <v>3</v>
      </c>
      <c r="G18" s="315">
        <v>3</v>
      </c>
      <c r="H18" s="203">
        <f t="shared" si="0"/>
        <v>100</v>
      </c>
    </row>
    <row r="19" spans="1:8" s="1107" customFormat="1" ht="15" x14ac:dyDescent="0.25">
      <c r="A19" s="34">
        <v>1036</v>
      </c>
      <c r="B19" s="1139">
        <v>5169</v>
      </c>
      <c r="C19" s="1414"/>
      <c r="D19" s="1108" t="s">
        <v>892</v>
      </c>
      <c r="E19" s="48">
        <v>45</v>
      </c>
      <c r="F19" s="168">
        <v>142</v>
      </c>
      <c r="G19" s="315">
        <v>65</v>
      </c>
      <c r="H19" s="203">
        <f t="shared" si="0"/>
        <v>45.774647887323944</v>
      </c>
    </row>
    <row r="20" spans="1:8" s="1107" customFormat="1" x14ac:dyDescent="0.2">
      <c r="A20" s="34"/>
      <c r="B20" s="1139"/>
      <c r="C20" s="1120" t="s">
        <v>792</v>
      </c>
      <c r="D20" s="1114" t="s">
        <v>1321</v>
      </c>
      <c r="E20" s="55">
        <v>45</v>
      </c>
      <c r="F20" s="314">
        <v>45</v>
      </c>
      <c r="G20" s="316">
        <v>45</v>
      </c>
      <c r="H20" s="1116">
        <f t="shared" si="0"/>
        <v>100</v>
      </c>
    </row>
    <row r="21" spans="1:8" s="1107" customFormat="1" ht="15" x14ac:dyDescent="0.25">
      <c r="A21" s="34"/>
      <c r="B21" s="1139"/>
      <c r="C21" s="1119" t="s">
        <v>22</v>
      </c>
      <c r="D21" s="1114" t="s">
        <v>1263</v>
      </c>
      <c r="E21" s="48"/>
      <c r="F21" s="314">
        <v>97</v>
      </c>
      <c r="G21" s="316">
        <v>20</v>
      </c>
      <c r="H21" s="1116">
        <f t="shared" si="0"/>
        <v>20.618556701030926</v>
      </c>
    </row>
    <row r="22" spans="1:8" s="1107" customFormat="1" ht="15" x14ac:dyDescent="0.25">
      <c r="A22" s="34">
        <v>1037</v>
      </c>
      <c r="B22" s="1139">
        <v>5212</v>
      </c>
      <c r="C22" s="1414"/>
      <c r="D22" s="1108" t="s">
        <v>648</v>
      </c>
      <c r="E22" s="48"/>
      <c r="F22" s="168">
        <v>1300</v>
      </c>
      <c r="G22" s="315">
        <v>1300</v>
      </c>
      <c r="H22" s="203">
        <f t="shared" si="0"/>
        <v>100</v>
      </c>
    </row>
    <row r="23" spans="1:8" s="1107" customFormat="1" ht="15" x14ac:dyDescent="0.25">
      <c r="A23" s="34"/>
      <c r="B23" s="1139"/>
      <c r="C23" s="1120" t="s">
        <v>649</v>
      </c>
      <c r="D23" s="1114" t="s">
        <v>650</v>
      </c>
      <c r="E23" s="48"/>
      <c r="F23" s="314">
        <v>1300</v>
      </c>
      <c r="G23" s="316">
        <v>1300</v>
      </c>
      <c r="H23" s="1116">
        <f t="shared" si="0"/>
        <v>100</v>
      </c>
    </row>
    <row r="24" spans="1:8" s="1107" customFormat="1" ht="15" x14ac:dyDescent="0.25">
      <c r="A24" s="34">
        <v>1037</v>
      </c>
      <c r="B24" s="1139">
        <v>5213</v>
      </c>
      <c r="C24" s="122"/>
      <c r="D24" s="1108" t="s">
        <v>651</v>
      </c>
      <c r="E24" s="48">
        <v>9000</v>
      </c>
      <c r="F24" s="447">
        <f>F25+F26</f>
        <v>5499</v>
      </c>
      <c r="G24" s="447">
        <f>G25+G26</f>
        <v>5499</v>
      </c>
      <c r="H24" s="203">
        <f t="shared" si="0"/>
        <v>100</v>
      </c>
    </row>
    <row r="25" spans="1:8" s="1107" customFormat="1" x14ac:dyDescent="0.2">
      <c r="A25" s="34"/>
      <c r="B25" s="1139"/>
      <c r="C25" s="1120" t="s">
        <v>649</v>
      </c>
      <c r="D25" s="1114" t="s">
        <v>650</v>
      </c>
      <c r="E25" s="55">
        <v>9000</v>
      </c>
      <c r="F25" s="314">
        <v>5399</v>
      </c>
      <c r="G25" s="316">
        <v>5399</v>
      </c>
      <c r="H25" s="1116">
        <f t="shared" si="0"/>
        <v>100</v>
      </c>
    </row>
    <row r="26" spans="1:8" s="1107" customFormat="1" x14ac:dyDescent="0.2">
      <c r="A26" s="34"/>
      <c r="B26" s="1139"/>
      <c r="C26" s="1120" t="s">
        <v>1762</v>
      </c>
      <c r="D26" s="2668" t="s">
        <v>1763</v>
      </c>
      <c r="E26" s="55"/>
      <c r="F26" s="314">
        <v>100</v>
      </c>
      <c r="G26" s="316">
        <v>100</v>
      </c>
      <c r="H26" s="1116">
        <f t="shared" si="0"/>
        <v>100</v>
      </c>
    </row>
    <row r="27" spans="1:8" s="1107" customFormat="1" x14ac:dyDescent="0.2">
      <c r="A27" s="34"/>
      <c r="B27" s="1139"/>
      <c r="C27" s="1120"/>
      <c r="D27" s="2669"/>
      <c r="E27" s="55"/>
      <c r="F27" s="314"/>
      <c r="G27" s="316"/>
      <c r="H27" s="1116"/>
    </row>
    <row r="28" spans="1:8" s="1107" customFormat="1" ht="15" x14ac:dyDescent="0.25">
      <c r="A28" s="34">
        <v>1037</v>
      </c>
      <c r="B28" s="1139">
        <v>5321</v>
      </c>
      <c r="C28" s="1120"/>
      <c r="D28" s="1108" t="s">
        <v>1261</v>
      </c>
      <c r="E28" s="55"/>
      <c r="F28" s="313">
        <v>1783</v>
      </c>
      <c r="G28" s="315">
        <v>1783</v>
      </c>
      <c r="H28" s="203">
        <f t="shared" si="0"/>
        <v>100</v>
      </c>
    </row>
    <row r="29" spans="1:8" s="1107" customFormat="1" x14ac:dyDescent="0.2">
      <c r="A29" s="34"/>
      <c r="B29" s="1139"/>
      <c r="C29" s="1120" t="s">
        <v>649</v>
      </c>
      <c r="D29" s="1114" t="s">
        <v>650</v>
      </c>
      <c r="E29" s="55"/>
      <c r="F29" s="314">
        <v>1783</v>
      </c>
      <c r="G29" s="316">
        <v>1783</v>
      </c>
      <c r="H29" s="1116">
        <f t="shared" si="0"/>
        <v>100</v>
      </c>
    </row>
    <row r="30" spans="1:8" s="1107" customFormat="1" ht="15" x14ac:dyDescent="0.25">
      <c r="A30" s="34">
        <v>1037</v>
      </c>
      <c r="B30" s="1139">
        <v>5331</v>
      </c>
      <c r="C30" s="1120"/>
      <c r="D30" s="1108" t="s">
        <v>957</v>
      </c>
      <c r="E30" s="55"/>
      <c r="F30" s="313">
        <v>623</v>
      </c>
      <c r="G30" s="315">
        <v>623</v>
      </c>
      <c r="H30" s="203">
        <f t="shared" si="0"/>
        <v>100</v>
      </c>
    </row>
    <row r="31" spans="1:8" s="1107" customFormat="1" x14ac:dyDescent="0.2">
      <c r="A31" s="34"/>
      <c r="B31" s="1139"/>
      <c r="C31" s="1120" t="s">
        <v>649</v>
      </c>
      <c r="D31" s="1114" t="s">
        <v>650</v>
      </c>
      <c r="E31" s="55"/>
      <c r="F31" s="314">
        <v>623</v>
      </c>
      <c r="G31" s="316">
        <v>623</v>
      </c>
      <c r="H31" s="1116">
        <f t="shared" si="0"/>
        <v>100</v>
      </c>
    </row>
    <row r="32" spans="1:8" s="1107" customFormat="1" ht="15" x14ac:dyDescent="0.25">
      <c r="A32" s="34">
        <v>1037</v>
      </c>
      <c r="B32" s="1139">
        <v>5493</v>
      </c>
      <c r="C32" s="1120"/>
      <c r="D32" s="309" t="s">
        <v>730</v>
      </c>
      <c r="E32" s="55"/>
      <c r="F32" s="313">
        <v>895</v>
      </c>
      <c r="G32" s="315">
        <v>895</v>
      </c>
      <c r="H32" s="203">
        <f t="shared" si="0"/>
        <v>100</v>
      </c>
    </row>
    <row r="33" spans="1:8" s="1107" customFormat="1" x14ac:dyDescent="0.2">
      <c r="A33" s="34"/>
      <c r="B33" s="1139"/>
      <c r="C33" s="1120" t="s">
        <v>649</v>
      </c>
      <c r="D33" s="1114" t="s">
        <v>650</v>
      </c>
      <c r="E33" s="55"/>
      <c r="F33" s="314">
        <v>895</v>
      </c>
      <c r="G33" s="316">
        <v>895</v>
      </c>
      <c r="H33" s="1116">
        <f t="shared" si="0"/>
        <v>100</v>
      </c>
    </row>
    <row r="34" spans="1:8" s="1107" customFormat="1" ht="15" x14ac:dyDescent="0.25">
      <c r="A34" s="34">
        <v>1039</v>
      </c>
      <c r="B34" s="1139">
        <v>5222</v>
      </c>
      <c r="C34" s="1120"/>
      <c r="D34" s="1219" t="s">
        <v>342</v>
      </c>
      <c r="E34" s="55"/>
      <c r="F34" s="313">
        <v>49</v>
      </c>
      <c r="G34" s="315">
        <v>47</v>
      </c>
      <c r="H34" s="203">
        <f t="shared" si="0"/>
        <v>95.918367346938766</v>
      </c>
    </row>
    <row r="35" spans="1:8" s="1107" customFormat="1" x14ac:dyDescent="0.2">
      <c r="A35" s="34"/>
      <c r="B35" s="1139"/>
      <c r="C35" s="1135" t="s">
        <v>1262</v>
      </c>
      <c r="D35" s="1727" t="s">
        <v>1757</v>
      </c>
      <c r="E35" s="55"/>
      <c r="F35" s="314">
        <v>49</v>
      </c>
      <c r="G35" s="316">
        <v>47</v>
      </c>
      <c r="H35" s="1116">
        <f t="shared" si="0"/>
        <v>95.918367346938766</v>
      </c>
    </row>
    <row r="36" spans="1:8" s="1107" customFormat="1" ht="15" x14ac:dyDescent="0.25">
      <c r="A36" s="34">
        <v>1070</v>
      </c>
      <c r="B36" s="1139">
        <v>5222</v>
      </c>
      <c r="C36" s="1135"/>
      <c r="D36" s="1219" t="s">
        <v>342</v>
      </c>
      <c r="E36" s="55"/>
      <c r="F36" s="313">
        <v>480</v>
      </c>
      <c r="G36" s="315">
        <v>480</v>
      </c>
      <c r="H36" s="203">
        <f t="shared" si="0"/>
        <v>100</v>
      </c>
    </row>
    <row r="37" spans="1:8" s="1107" customFormat="1" x14ac:dyDescent="0.2">
      <c r="A37" s="34"/>
      <c r="B37" s="1139"/>
      <c r="C37" s="1135" t="s">
        <v>262</v>
      </c>
      <c r="D37" s="1114" t="s">
        <v>333</v>
      </c>
      <c r="E37" s="55"/>
      <c r="F37" s="314">
        <v>450</v>
      </c>
      <c r="G37" s="316">
        <v>450</v>
      </c>
      <c r="H37" s="1116">
        <f t="shared" si="0"/>
        <v>100</v>
      </c>
    </row>
    <row r="38" spans="1:8" s="1107" customFormat="1" x14ac:dyDescent="0.2">
      <c r="A38" s="34"/>
      <c r="B38" s="1139"/>
      <c r="C38" s="1135" t="s">
        <v>1262</v>
      </c>
      <c r="D38" s="1727" t="s">
        <v>1757</v>
      </c>
      <c r="E38" s="55"/>
      <c r="F38" s="314">
        <v>30</v>
      </c>
      <c r="G38" s="316">
        <v>30</v>
      </c>
      <c r="H38" s="1116">
        <f t="shared" si="0"/>
        <v>100</v>
      </c>
    </row>
    <row r="39" spans="1:8" s="1107" customFormat="1" ht="15" x14ac:dyDescent="0.25">
      <c r="A39" s="34">
        <v>1099</v>
      </c>
      <c r="B39" s="1139">
        <v>5192</v>
      </c>
      <c r="C39" s="122"/>
      <c r="D39" s="1108" t="s">
        <v>1290</v>
      </c>
      <c r="E39" s="71">
        <v>50</v>
      </c>
      <c r="F39" s="313">
        <v>50</v>
      </c>
      <c r="G39" s="315">
        <v>43</v>
      </c>
      <c r="H39" s="203">
        <f t="shared" ref="H39:H50" si="1">(G39/F39)*100</f>
        <v>86</v>
      </c>
    </row>
    <row r="40" spans="1:8" s="1107" customFormat="1" ht="15" x14ac:dyDescent="0.25">
      <c r="A40" s="34">
        <v>1099</v>
      </c>
      <c r="B40" s="1139">
        <v>5222</v>
      </c>
      <c r="C40" s="1120"/>
      <c r="D40" s="1219" t="s">
        <v>342</v>
      </c>
      <c r="E40" s="71"/>
      <c r="F40" s="313">
        <v>30</v>
      </c>
      <c r="G40" s="315">
        <v>30</v>
      </c>
      <c r="H40" s="203">
        <f t="shared" si="1"/>
        <v>100</v>
      </c>
    </row>
    <row r="41" spans="1:8" s="1107" customFormat="1" ht="15" x14ac:dyDescent="0.25">
      <c r="A41" s="34"/>
      <c r="B41" s="1139"/>
      <c r="C41" s="1135" t="s">
        <v>1262</v>
      </c>
      <c r="D41" s="1727" t="s">
        <v>1757</v>
      </c>
      <c r="E41" s="71"/>
      <c r="F41" s="314">
        <v>30</v>
      </c>
      <c r="G41" s="316">
        <v>30</v>
      </c>
      <c r="H41" s="1116">
        <f t="shared" si="1"/>
        <v>100</v>
      </c>
    </row>
    <row r="42" spans="1:8" s="1107" customFormat="1" ht="15" x14ac:dyDescent="0.25">
      <c r="A42" s="34">
        <v>1099</v>
      </c>
      <c r="B42" s="1139">
        <v>5493</v>
      </c>
      <c r="C42" s="1135"/>
      <c r="D42" s="309" t="s">
        <v>730</v>
      </c>
      <c r="E42" s="71">
        <v>400</v>
      </c>
      <c r="F42" s="313">
        <v>400</v>
      </c>
      <c r="G42" s="315">
        <v>313</v>
      </c>
      <c r="H42" s="203">
        <f t="shared" si="1"/>
        <v>78.25</v>
      </c>
    </row>
    <row r="43" spans="1:8" s="1107" customFormat="1" x14ac:dyDescent="0.2">
      <c r="A43" s="34"/>
      <c r="B43" s="1139"/>
      <c r="C43" s="1120" t="s">
        <v>1416</v>
      </c>
      <c r="D43" s="1114" t="s">
        <v>1417</v>
      </c>
      <c r="E43" s="55">
        <v>400</v>
      </c>
      <c r="F43" s="314">
        <v>400</v>
      </c>
      <c r="G43" s="316">
        <v>313</v>
      </c>
      <c r="H43" s="1116">
        <f t="shared" si="1"/>
        <v>78.25</v>
      </c>
    </row>
    <row r="44" spans="1:8" s="1107" customFormat="1" ht="15" x14ac:dyDescent="0.25">
      <c r="A44" s="34">
        <v>2310</v>
      </c>
      <c r="B44" s="1139">
        <v>5321</v>
      </c>
      <c r="C44" s="122"/>
      <c r="D44" s="1108" t="s">
        <v>1261</v>
      </c>
      <c r="E44" s="71">
        <v>5000</v>
      </c>
      <c r="F44" s="313">
        <v>2873</v>
      </c>
      <c r="G44" s="315">
        <v>2165</v>
      </c>
      <c r="H44" s="203">
        <f t="shared" si="1"/>
        <v>75.35676992690567</v>
      </c>
    </row>
    <row r="45" spans="1:8" s="1107" customFormat="1" x14ac:dyDescent="0.2">
      <c r="A45" s="34"/>
      <c r="B45" s="1139"/>
      <c r="C45" s="1120" t="s">
        <v>652</v>
      </c>
      <c r="D45" s="1114" t="s">
        <v>653</v>
      </c>
      <c r="E45" s="55">
        <v>5000</v>
      </c>
      <c r="F45" s="314">
        <v>2873</v>
      </c>
      <c r="G45" s="316">
        <v>2165</v>
      </c>
      <c r="H45" s="1116">
        <f t="shared" si="1"/>
        <v>75.35676992690567</v>
      </c>
    </row>
    <row r="46" spans="1:8" s="1107" customFormat="1" ht="15" x14ac:dyDescent="0.25">
      <c r="A46" s="34">
        <v>2321</v>
      </c>
      <c r="B46" s="1139">
        <v>5321</v>
      </c>
      <c r="C46" s="122"/>
      <c r="D46" s="1108" t="s">
        <v>1261</v>
      </c>
      <c r="E46" s="71"/>
      <c r="F46" s="313">
        <v>150</v>
      </c>
      <c r="G46" s="315">
        <v>150</v>
      </c>
      <c r="H46" s="203">
        <f t="shared" si="1"/>
        <v>100</v>
      </c>
    </row>
    <row r="47" spans="1:8" s="1107" customFormat="1" ht="15" x14ac:dyDescent="0.25">
      <c r="A47" s="34"/>
      <c r="B47" s="1139"/>
      <c r="C47" s="1120" t="s">
        <v>652</v>
      </c>
      <c r="D47" s="1114" t="s">
        <v>653</v>
      </c>
      <c r="E47" s="71"/>
      <c r="F47" s="314">
        <v>150</v>
      </c>
      <c r="G47" s="316">
        <v>150</v>
      </c>
      <c r="H47" s="1116">
        <f t="shared" si="1"/>
        <v>100</v>
      </c>
    </row>
    <row r="48" spans="1:8" s="1107" customFormat="1" ht="15" x14ac:dyDescent="0.25">
      <c r="A48" s="34">
        <v>2369</v>
      </c>
      <c r="B48" s="1139">
        <v>5166</v>
      </c>
      <c r="C48" s="1414"/>
      <c r="D48" s="1108" t="s">
        <v>646</v>
      </c>
      <c r="E48" s="48">
        <v>100</v>
      </c>
      <c r="F48" s="168">
        <v>350</v>
      </c>
      <c r="G48" s="315">
        <v>131</v>
      </c>
      <c r="H48" s="203">
        <f t="shared" si="1"/>
        <v>37.428571428571431</v>
      </c>
    </row>
    <row r="49" spans="1:8" s="1107" customFormat="1" x14ac:dyDescent="0.2">
      <c r="A49" s="34"/>
      <c r="B49" s="1139"/>
      <c r="C49" s="1120" t="s">
        <v>792</v>
      </c>
      <c r="D49" s="1114" t="s">
        <v>1321</v>
      </c>
      <c r="E49" s="55">
        <v>100</v>
      </c>
      <c r="F49" s="314">
        <v>100</v>
      </c>
      <c r="G49" s="316">
        <v>19</v>
      </c>
      <c r="H49" s="1116">
        <f t="shared" si="1"/>
        <v>19</v>
      </c>
    </row>
    <row r="50" spans="1:8" s="1107" customFormat="1" ht="15" x14ac:dyDescent="0.25">
      <c r="A50" s="34"/>
      <c r="B50" s="1139"/>
      <c r="C50" s="1119" t="s">
        <v>22</v>
      </c>
      <c r="D50" s="1114" t="s">
        <v>1263</v>
      </c>
      <c r="E50" s="48"/>
      <c r="F50" s="314">
        <v>250</v>
      </c>
      <c r="G50" s="316">
        <v>112</v>
      </c>
      <c r="H50" s="1116">
        <f t="shared" si="1"/>
        <v>44.800000000000004</v>
      </c>
    </row>
    <row r="51" spans="1:8" s="1107" customFormat="1" ht="15" x14ac:dyDescent="0.25">
      <c r="A51" s="34">
        <v>3429</v>
      </c>
      <c r="B51" s="1139">
        <v>5221</v>
      </c>
      <c r="C51" s="1135"/>
      <c r="D51" s="87" t="s">
        <v>1418</v>
      </c>
      <c r="E51" s="48"/>
      <c r="F51" s="313">
        <v>2000</v>
      </c>
      <c r="G51" s="315">
        <v>2000</v>
      </c>
      <c r="H51" s="203">
        <f t="shared" ref="H51:H59" si="2">(G51/F51)*100</f>
        <v>100</v>
      </c>
    </row>
    <row r="52" spans="1:8" s="1107" customFormat="1" ht="15" x14ac:dyDescent="0.25">
      <c r="A52" s="34"/>
      <c r="B52" s="1139"/>
      <c r="C52" s="1135" t="s">
        <v>262</v>
      </c>
      <c r="D52" s="1114" t="s">
        <v>333</v>
      </c>
      <c r="E52" s="48"/>
      <c r="F52" s="314">
        <v>2000</v>
      </c>
      <c r="G52" s="316">
        <v>2000</v>
      </c>
      <c r="H52" s="1116">
        <f t="shared" si="2"/>
        <v>100</v>
      </c>
    </row>
    <row r="53" spans="1:8" s="1107" customFormat="1" ht="15" x14ac:dyDescent="0.25">
      <c r="A53" s="34">
        <v>3429</v>
      </c>
      <c r="B53" s="1139">
        <v>5222</v>
      </c>
      <c r="C53" s="1135"/>
      <c r="D53" s="1219" t="s">
        <v>342</v>
      </c>
      <c r="E53" s="48"/>
      <c r="F53" s="313">
        <v>520</v>
      </c>
      <c r="G53" s="315">
        <v>520</v>
      </c>
      <c r="H53" s="203">
        <f t="shared" si="2"/>
        <v>100</v>
      </c>
    </row>
    <row r="54" spans="1:8" s="1107" customFormat="1" ht="15" x14ac:dyDescent="0.25">
      <c r="A54" s="34"/>
      <c r="B54" s="1139"/>
      <c r="C54" s="1135" t="s">
        <v>262</v>
      </c>
      <c r="D54" s="1114" t="s">
        <v>333</v>
      </c>
      <c r="E54" s="48"/>
      <c r="F54" s="314">
        <v>150</v>
      </c>
      <c r="G54" s="316">
        <v>150</v>
      </c>
      <c r="H54" s="1116">
        <f t="shared" si="2"/>
        <v>100</v>
      </c>
    </row>
    <row r="55" spans="1:8" s="1107" customFormat="1" ht="15" x14ac:dyDescent="0.25">
      <c r="A55" s="34"/>
      <c r="B55" s="1139"/>
      <c r="C55" s="1135" t="s">
        <v>1262</v>
      </c>
      <c r="D55" s="1727" t="s">
        <v>1757</v>
      </c>
      <c r="E55" s="48"/>
      <c r="F55" s="314">
        <v>370</v>
      </c>
      <c r="G55" s="316">
        <v>370</v>
      </c>
      <c r="H55" s="1116">
        <f t="shared" si="2"/>
        <v>100</v>
      </c>
    </row>
    <row r="56" spans="1:8" s="1107" customFormat="1" ht="15" x14ac:dyDescent="0.25">
      <c r="A56" s="34">
        <v>3429</v>
      </c>
      <c r="B56" s="1139">
        <v>5229</v>
      </c>
      <c r="C56" s="1135"/>
      <c r="D56" s="1412" t="s">
        <v>1191</v>
      </c>
      <c r="E56" s="48"/>
      <c r="F56" s="313">
        <v>25</v>
      </c>
      <c r="G56" s="315">
        <v>25</v>
      </c>
      <c r="H56" s="203">
        <f t="shared" si="2"/>
        <v>100</v>
      </c>
    </row>
    <row r="57" spans="1:8" s="1107" customFormat="1" ht="15" x14ac:dyDescent="0.25">
      <c r="A57" s="34"/>
      <c r="B57" s="1139"/>
      <c r="C57" s="1135" t="s">
        <v>1262</v>
      </c>
      <c r="D57" s="1727" t="s">
        <v>1757</v>
      </c>
      <c r="E57" s="48"/>
      <c r="F57" s="314">
        <v>25</v>
      </c>
      <c r="G57" s="316">
        <v>25</v>
      </c>
      <c r="H57" s="1116">
        <f t="shared" si="2"/>
        <v>100</v>
      </c>
    </row>
    <row r="58" spans="1:8" s="1107" customFormat="1" ht="15" x14ac:dyDescent="0.25">
      <c r="A58" s="34">
        <v>3429</v>
      </c>
      <c r="B58" s="1139">
        <v>5493</v>
      </c>
      <c r="C58" s="1135"/>
      <c r="D58" s="309" t="s">
        <v>730</v>
      </c>
      <c r="E58" s="48"/>
      <c r="F58" s="313">
        <v>50</v>
      </c>
      <c r="G58" s="315">
        <v>50</v>
      </c>
      <c r="H58" s="203">
        <f t="shared" si="2"/>
        <v>100</v>
      </c>
    </row>
    <row r="59" spans="1:8" s="1107" customFormat="1" ht="15" x14ac:dyDescent="0.25">
      <c r="A59" s="34"/>
      <c r="B59" s="1139"/>
      <c r="C59" s="1135" t="s">
        <v>1262</v>
      </c>
      <c r="D59" s="1727" t="s">
        <v>1757</v>
      </c>
      <c r="E59" s="48"/>
      <c r="F59" s="314">
        <v>50</v>
      </c>
      <c r="G59" s="316">
        <v>50</v>
      </c>
      <c r="H59" s="1116">
        <f t="shared" si="2"/>
        <v>100</v>
      </c>
    </row>
    <row r="60" spans="1:8" s="1107" customFormat="1" ht="15" x14ac:dyDescent="0.25">
      <c r="A60" s="34">
        <v>3719</v>
      </c>
      <c r="B60" s="1139">
        <v>5166</v>
      </c>
      <c r="C60" s="1414"/>
      <c r="D60" s="1108" t="s">
        <v>646</v>
      </c>
      <c r="E60" s="48">
        <v>50</v>
      </c>
      <c r="F60" s="168">
        <v>50</v>
      </c>
      <c r="G60" s="315">
        <v>50</v>
      </c>
      <c r="H60" s="203">
        <f t="shared" ref="H60:H68" si="3">(G60/F60)*100</f>
        <v>100</v>
      </c>
    </row>
    <row r="61" spans="1:8" s="1107" customFormat="1" ht="15" x14ac:dyDescent="0.25">
      <c r="A61" s="34">
        <v>3725</v>
      </c>
      <c r="B61" s="1139">
        <v>5169</v>
      </c>
      <c r="C61" s="1414"/>
      <c r="D61" s="1108" t="s">
        <v>892</v>
      </c>
      <c r="E61" s="48">
        <v>700</v>
      </c>
      <c r="F61" s="168">
        <v>700</v>
      </c>
      <c r="G61" s="315">
        <v>625</v>
      </c>
      <c r="H61" s="203">
        <f t="shared" si="3"/>
        <v>89.285714285714292</v>
      </c>
    </row>
    <row r="62" spans="1:8" s="1107" customFormat="1" ht="15" x14ac:dyDescent="0.25">
      <c r="A62" s="34">
        <v>3729</v>
      </c>
      <c r="B62" s="1139">
        <v>5139</v>
      </c>
      <c r="C62" s="1414"/>
      <c r="D62" s="1108" t="s">
        <v>662</v>
      </c>
      <c r="E62" s="48"/>
      <c r="F62" s="168">
        <v>1</v>
      </c>
      <c r="G62" s="315">
        <v>1</v>
      </c>
      <c r="H62" s="203">
        <f t="shared" si="3"/>
        <v>100</v>
      </c>
    </row>
    <row r="63" spans="1:8" s="1107" customFormat="1" ht="15" x14ac:dyDescent="0.25">
      <c r="A63" s="34">
        <v>3729</v>
      </c>
      <c r="B63" s="1139">
        <v>5164</v>
      </c>
      <c r="C63" s="1414"/>
      <c r="D63" s="1108" t="s">
        <v>182</v>
      </c>
      <c r="E63" s="48"/>
      <c r="F63" s="168">
        <v>7</v>
      </c>
      <c r="G63" s="315">
        <v>7</v>
      </c>
      <c r="H63" s="203">
        <f t="shared" si="3"/>
        <v>100</v>
      </c>
    </row>
    <row r="64" spans="1:8" s="1107" customFormat="1" ht="12.75" customHeight="1" x14ac:dyDescent="0.25">
      <c r="A64" s="34">
        <v>3729</v>
      </c>
      <c r="B64" s="1139">
        <v>5166</v>
      </c>
      <c r="C64" s="1414"/>
      <c r="D64" s="1108" t="s">
        <v>646</v>
      </c>
      <c r="E64" s="48">
        <v>500</v>
      </c>
      <c r="F64" s="168">
        <v>122</v>
      </c>
      <c r="G64" s="315">
        <v>20</v>
      </c>
      <c r="H64" s="203">
        <f t="shared" si="3"/>
        <v>16.393442622950818</v>
      </c>
    </row>
    <row r="65" spans="1:12" s="1107" customFormat="1" ht="12.75" customHeight="1" x14ac:dyDescent="0.25">
      <c r="A65" s="34">
        <v>3729</v>
      </c>
      <c r="B65" s="1139">
        <v>5169</v>
      </c>
      <c r="C65" s="1120"/>
      <c r="D65" s="1108" t="s">
        <v>892</v>
      </c>
      <c r="E65" s="55"/>
      <c r="F65" s="313">
        <v>79</v>
      </c>
      <c r="G65" s="315">
        <v>34</v>
      </c>
      <c r="H65" s="203">
        <f t="shared" si="3"/>
        <v>43.037974683544306</v>
      </c>
      <c r="J65" s="1141"/>
      <c r="K65" s="1141"/>
      <c r="L65" s="1141"/>
    </row>
    <row r="66" spans="1:12" s="1107" customFormat="1" ht="12.75" customHeight="1" x14ac:dyDescent="0.25">
      <c r="A66" s="34">
        <v>3729</v>
      </c>
      <c r="B66" s="19">
        <v>5175</v>
      </c>
      <c r="C66" s="1120"/>
      <c r="D66" s="1435" t="s">
        <v>707</v>
      </c>
      <c r="E66" s="55"/>
      <c r="F66" s="315">
        <v>15</v>
      </c>
      <c r="G66" s="315">
        <v>15</v>
      </c>
      <c r="H66" s="2305">
        <f t="shared" si="3"/>
        <v>100</v>
      </c>
    </row>
    <row r="67" spans="1:12" s="1107" customFormat="1" ht="12.75" customHeight="1" x14ac:dyDescent="0.25">
      <c r="A67" s="34">
        <v>3729</v>
      </c>
      <c r="B67" s="19">
        <v>5192</v>
      </c>
      <c r="C67" s="1120"/>
      <c r="D67" s="1435" t="s">
        <v>1290</v>
      </c>
      <c r="E67" s="55"/>
      <c r="F67" s="315">
        <v>8</v>
      </c>
      <c r="G67" s="315">
        <v>8</v>
      </c>
      <c r="H67" s="2305">
        <f t="shared" si="3"/>
        <v>100</v>
      </c>
      <c r="J67" s="1141">
        <f>E10+E16+E17+E19+E24+E39+E42+E44+E48+E60+E61+E64</f>
        <v>15957</v>
      </c>
      <c r="K67" s="1141">
        <f>F10+F11+F13+F15+F16+F17+F18+F19+F22+F24+F28+F30+F32+F34+F36+F39+F40+F42+F44+F46+F48+F51+F53+F56+F58+F60+F61+F62+F63+F64+F65+F66+F67+F68</f>
        <v>18754</v>
      </c>
      <c r="L67" s="1141">
        <f>G10+G11+G13+G15+G16+G17+G18+G19+G22+G24+G28+G30+G32+G34+G36+G39+G40+G42+G44+G46+G48+G51+G53+G56+G58+G60+G61+G62+G63+G64+G65+G66+G67+G68</f>
        <v>17420</v>
      </c>
    </row>
    <row r="68" spans="1:12" s="1107" customFormat="1" ht="12.75" customHeight="1" thickBot="1" x14ac:dyDescent="0.3">
      <c r="A68" s="1146">
        <v>3729</v>
      </c>
      <c r="B68" s="1133">
        <v>5221</v>
      </c>
      <c r="C68" s="1132"/>
      <c r="D68" s="2304" t="s">
        <v>1418</v>
      </c>
      <c r="E68" s="1151"/>
      <c r="F68" s="443">
        <v>68</v>
      </c>
      <c r="G68" s="443">
        <v>68</v>
      </c>
      <c r="H68" s="2306">
        <f t="shared" si="3"/>
        <v>100</v>
      </c>
    </row>
    <row r="69" spans="1:12" s="1107" customFormat="1" ht="12.75" customHeight="1" thickTop="1" x14ac:dyDescent="0.25">
      <c r="A69" s="1139"/>
      <c r="B69" s="1139"/>
      <c r="C69" s="1110"/>
      <c r="D69" s="1108"/>
      <c r="E69" s="1337"/>
      <c r="F69" s="313"/>
      <c r="G69" s="313"/>
      <c r="H69" s="429"/>
    </row>
    <row r="70" spans="1:12" s="1107" customFormat="1" ht="12.75" customHeight="1" x14ac:dyDescent="0.25">
      <c r="A70" s="1139"/>
      <c r="B70" s="1139"/>
      <c r="C70" s="1110"/>
      <c r="D70" s="1108"/>
      <c r="E70" s="1337"/>
      <c r="F70" s="313"/>
      <c r="G70" s="313"/>
      <c r="H70" s="429"/>
    </row>
    <row r="71" spans="1:12" s="1107" customFormat="1" ht="12.75" customHeight="1" x14ac:dyDescent="0.25">
      <c r="A71" s="1139"/>
      <c r="B71" s="1139"/>
      <c r="C71" s="1110"/>
      <c r="D71" s="1108"/>
      <c r="E71" s="1337"/>
      <c r="F71" s="313"/>
      <c r="G71" s="313"/>
      <c r="H71" s="429"/>
    </row>
    <row r="72" spans="1:12" s="1107" customFormat="1" ht="12.75" customHeight="1" x14ac:dyDescent="0.25">
      <c r="A72" s="1139"/>
      <c r="B72" s="1139"/>
      <c r="C72" s="1110"/>
      <c r="D72" s="1108"/>
      <c r="E72" s="1337"/>
      <c r="F72" s="313"/>
      <c r="G72" s="313"/>
      <c r="H72" s="429"/>
    </row>
    <row r="73" spans="1:12" ht="12" customHeight="1" thickBot="1" x14ac:dyDescent="0.25">
      <c r="A73" s="631"/>
      <c r="B73" s="631"/>
      <c r="C73" s="684"/>
      <c r="D73" s="632"/>
      <c r="G73" s="854"/>
      <c r="H73" s="850" t="s">
        <v>173</v>
      </c>
      <c r="I73" s="675"/>
      <c r="J73" s="675"/>
    </row>
    <row r="74" spans="1:12" s="107" customFormat="1" ht="20.25" customHeight="1" thickTop="1" thickBot="1" x14ac:dyDescent="0.25">
      <c r="A74" s="633" t="s">
        <v>174</v>
      </c>
      <c r="B74" s="634" t="s">
        <v>175</v>
      </c>
      <c r="C74" s="678" t="s">
        <v>744</v>
      </c>
      <c r="D74" s="636" t="s">
        <v>176</v>
      </c>
      <c r="E74" s="636" t="s">
        <v>177</v>
      </c>
      <c r="F74" s="636" t="s">
        <v>922</v>
      </c>
      <c r="G74" s="636" t="s">
        <v>923</v>
      </c>
      <c r="H74" s="856" t="s">
        <v>924</v>
      </c>
      <c r="I74" s="946"/>
      <c r="J74" s="946"/>
    </row>
    <row r="75" spans="1:12" s="384" customFormat="1" ht="13.5" thickTop="1" thickBot="1" x14ac:dyDescent="0.25">
      <c r="A75" s="568">
        <v>1</v>
      </c>
      <c r="B75" s="569">
        <v>2</v>
      </c>
      <c r="C75" s="569">
        <v>3</v>
      </c>
      <c r="D75" s="569">
        <v>4</v>
      </c>
      <c r="E75" s="569">
        <v>5</v>
      </c>
      <c r="F75" s="543">
        <v>6</v>
      </c>
      <c r="G75" s="543">
        <v>7</v>
      </c>
      <c r="H75" s="638" t="s">
        <v>61</v>
      </c>
      <c r="I75" s="107"/>
    </row>
    <row r="76" spans="1:12" s="1107" customFormat="1" ht="15.75" thickTop="1" x14ac:dyDescent="0.25">
      <c r="A76" s="50">
        <v>3741</v>
      </c>
      <c r="B76" s="19">
        <v>5169</v>
      </c>
      <c r="C76" s="1414"/>
      <c r="D76" s="1108" t="s">
        <v>892</v>
      </c>
      <c r="E76" s="48">
        <v>250</v>
      </c>
      <c r="F76" s="168">
        <v>250</v>
      </c>
      <c r="G76" s="315">
        <v>250</v>
      </c>
      <c r="H76" s="203">
        <f>(G76/F76)*100</f>
        <v>100</v>
      </c>
    </row>
    <row r="77" spans="1:12" s="1107" customFormat="1" ht="15" x14ac:dyDescent="0.25">
      <c r="A77" s="50">
        <v>3742</v>
      </c>
      <c r="B77" s="19">
        <v>5166</v>
      </c>
      <c r="C77" s="1414"/>
      <c r="D77" s="1108" t="s">
        <v>646</v>
      </c>
      <c r="E77" s="48">
        <v>150</v>
      </c>
      <c r="F77" s="168">
        <v>150</v>
      </c>
      <c r="G77" s="315">
        <v>89</v>
      </c>
      <c r="H77" s="212">
        <f t="shared" ref="H77:H88" si="4">(G77/F77)*100</f>
        <v>59.333333333333336</v>
      </c>
    </row>
    <row r="78" spans="1:12" s="1107" customFormat="1" ht="15" x14ac:dyDescent="0.25">
      <c r="A78" s="50">
        <v>3742</v>
      </c>
      <c r="B78" s="19">
        <v>5169</v>
      </c>
      <c r="C78" s="1414"/>
      <c r="D78" s="1108" t="s">
        <v>892</v>
      </c>
      <c r="E78" s="48">
        <v>2900</v>
      </c>
      <c r="F78" s="168">
        <v>2900</v>
      </c>
      <c r="G78" s="315">
        <v>2398</v>
      </c>
      <c r="H78" s="212">
        <f t="shared" si="4"/>
        <v>82.689655172413794</v>
      </c>
    </row>
    <row r="79" spans="1:12" s="1107" customFormat="1" ht="15" x14ac:dyDescent="0.25">
      <c r="A79" s="50">
        <v>3745</v>
      </c>
      <c r="B79" s="19">
        <v>5222</v>
      </c>
      <c r="C79" s="1135"/>
      <c r="D79" s="1219" t="s">
        <v>342</v>
      </c>
      <c r="E79" s="48"/>
      <c r="F79" s="313">
        <v>50</v>
      </c>
      <c r="G79" s="315">
        <v>50</v>
      </c>
      <c r="H79" s="212">
        <f t="shared" si="4"/>
        <v>100</v>
      </c>
    </row>
    <row r="80" spans="1:12" s="1107" customFormat="1" ht="15" x14ac:dyDescent="0.25">
      <c r="A80" s="50"/>
      <c r="B80" s="19"/>
      <c r="C80" s="1135" t="s">
        <v>262</v>
      </c>
      <c r="D80" s="1114" t="s">
        <v>333</v>
      </c>
      <c r="E80" s="48"/>
      <c r="F80" s="314">
        <v>50</v>
      </c>
      <c r="G80" s="316">
        <v>50</v>
      </c>
      <c r="H80" s="1125">
        <f t="shared" si="4"/>
        <v>100</v>
      </c>
    </row>
    <row r="81" spans="1:12" s="1107" customFormat="1" ht="15" x14ac:dyDescent="0.25">
      <c r="A81" s="50">
        <v>3749</v>
      </c>
      <c r="B81" s="19">
        <v>5222</v>
      </c>
      <c r="C81" s="1135"/>
      <c r="D81" s="1219" t="s">
        <v>342</v>
      </c>
      <c r="E81" s="48"/>
      <c r="F81" s="313">
        <v>65</v>
      </c>
      <c r="G81" s="315">
        <v>65</v>
      </c>
      <c r="H81" s="212">
        <f t="shared" si="4"/>
        <v>100</v>
      </c>
    </row>
    <row r="82" spans="1:12" s="1107" customFormat="1" ht="15" x14ac:dyDescent="0.25">
      <c r="A82" s="50"/>
      <c r="B82" s="19"/>
      <c r="C82" s="1135" t="s">
        <v>262</v>
      </c>
      <c r="D82" s="1114" t="s">
        <v>333</v>
      </c>
      <c r="E82" s="48"/>
      <c r="F82" s="314">
        <v>40</v>
      </c>
      <c r="G82" s="316">
        <v>40</v>
      </c>
      <c r="H82" s="1125">
        <f t="shared" si="4"/>
        <v>100</v>
      </c>
    </row>
    <row r="83" spans="1:12" s="1107" customFormat="1" ht="15" x14ac:dyDescent="0.25">
      <c r="A83" s="50"/>
      <c r="B83" s="19"/>
      <c r="C83" s="1135" t="s">
        <v>1262</v>
      </c>
      <c r="D83" s="1727" t="s">
        <v>1757</v>
      </c>
      <c r="E83" s="48"/>
      <c r="F83" s="314">
        <v>25</v>
      </c>
      <c r="G83" s="316">
        <v>25</v>
      </c>
      <c r="H83" s="1125">
        <f t="shared" si="4"/>
        <v>100</v>
      </c>
    </row>
    <row r="84" spans="1:12" s="1107" customFormat="1" ht="15" x14ac:dyDescent="0.25">
      <c r="A84" s="50">
        <v>3769</v>
      </c>
      <c r="B84" s="19">
        <v>5166</v>
      </c>
      <c r="C84" s="1414"/>
      <c r="D84" s="1108" t="s">
        <v>646</v>
      </c>
      <c r="E84" s="48">
        <v>280</v>
      </c>
      <c r="F84" s="168">
        <v>280</v>
      </c>
      <c r="G84" s="315">
        <v>0</v>
      </c>
      <c r="H84" s="212">
        <f t="shared" si="4"/>
        <v>0</v>
      </c>
    </row>
    <row r="85" spans="1:12" s="1107" customFormat="1" ht="15" x14ac:dyDescent="0.25">
      <c r="A85" s="50">
        <v>3769</v>
      </c>
      <c r="B85" s="19">
        <v>5169</v>
      </c>
      <c r="C85" s="1414"/>
      <c r="D85" s="1108" t="s">
        <v>892</v>
      </c>
      <c r="E85" s="48">
        <v>20</v>
      </c>
      <c r="F85" s="168">
        <v>14</v>
      </c>
      <c r="G85" s="315">
        <v>8</v>
      </c>
      <c r="H85" s="212">
        <f t="shared" si="4"/>
        <v>57.142857142857139</v>
      </c>
    </row>
    <row r="86" spans="1:12" s="1107" customFormat="1" ht="15" x14ac:dyDescent="0.25">
      <c r="A86" s="50">
        <v>3769</v>
      </c>
      <c r="B86" s="19">
        <v>5173</v>
      </c>
      <c r="C86" s="1414"/>
      <c r="D86" s="1108" t="s">
        <v>1415</v>
      </c>
      <c r="E86" s="48"/>
      <c r="F86" s="168">
        <v>6</v>
      </c>
      <c r="G86" s="315">
        <v>5</v>
      </c>
      <c r="H86" s="212">
        <f t="shared" si="4"/>
        <v>83.333333333333343</v>
      </c>
    </row>
    <row r="87" spans="1:12" s="1107" customFormat="1" ht="15" x14ac:dyDescent="0.25">
      <c r="A87" s="50">
        <v>3769</v>
      </c>
      <c r="B87" s="19">
        <v>5192</v>
      </c>
      <c r="C87" s="1414"/>
      <c r="D87" s="1108" t="s">
        <v>1290</v>
      </c>
      <c r="E87" s="48"/>
      <c r="F87" s="168">
        <v>6669</v>
      </c>
      <c r="G87" s="315">
        <v>6669</v>
      </c>
      <c r="H87" s="212">
        <f t="shared" si="4"/>
        <v>100</v>
      </c>
    </row>
    <row r="88" spans="1:12" s="1107" customFormat="1" ht="15.75" thickBot="1" x14ac:dyDescent="0.3">
      <c r="A88" s="34"/>
      <c r="B88" s="154"/>
      <c r="C88" s="1120" t="s">
        <v>654</v>
      </c>
      <c r="D88" s="1115" t="s">
        <v>655</v>
      </c>
      <c r="E88" s="48"/>
      <c r="F88" s="314">
        <v>6669</v>
      </c>
      <c r="G88" s="316">
        <v>6669</v>
      </c>
      <c r="H88" s="1125">
        <f t="shared" si="4"/>
        <v>100</v>
      </c>
      <c r="J88" s="1141"/>
      <c r="K88" s="1141"/>
    </row>
    <row r="89" spans="1:12" s="361" customFormat="1" ht="35.25" customHeight="1" thickTop="1" thickBot="1" x14ac:dyDescent="0.3">
      <c r="A89" s="639" t="s">
        <v>258</v>
      </c>
      <c r="B89" s="640"/>
      <c r="C89" s="683"/>
      <c r="D89" s="642"/>
      <c r="E89" s="643">
        <f>J67+J89</f>
        <v>19557</v>
      </c>
      <c r="F89" s="643">
        <f>K67+K89</f>
        <v>29138</v>
      </c>
      <c r="G89" s="643">
        <f>L67+L89</f>
        <v>26954</v>
      </c>
      <c r="H89" s="972">
        <f>(G89/F89)*100</f>
        <v>92.504633125128706</v>
      </c>
      <c r="J89" s="701">
        <f>E76+E77+E78+E84+E85</f>
        <v>3600</v>
      </c>
      <c r="K89" s="701">
        <f>F76+F77+F78+F79+F81+F84+F85+F86+F87</f>
        <v>10384</v>
      </c>
      <c r="L89" s="701">
        <f>G76+G77+G78+G79+G81+G84+G85+G86+G87</f>
        <v>9534</v>
      </c>
    </row>
    <row r="90" spans="1:12" s="361" customFormat="1" ht="18.75" customHeight="1" thickTop="1" x14ac:dyDescent="0.25">
      <c r="A90" s="359"/>
      <c r="B90" s="360"/>
      <c r="C90" s="142"/>
      <c r="D90" s="360"/>
      <c r="E90" s="181"/>
      <c r="F90" s="181"/>
      <c r="G90" s="181"/>
      <c r="H90" s="210"/>
    </row>
    <row r="91" spans="1:12" s="361" customFormat="1" ht="18.75" customHeight="1" x14ac:dyDescent="0.25">
      <c r="A91" s="359"/>
      <c r="B91" s="360"/>
      <c r="C91" s="142"/>
      <c r="D91" s="360"/>
      <c r="E91" s="181"/>
      <c r="F91" s="181"/>
      <c r="G91" s="181"/>
      <c r="H91" s="210"/>
    </row>
    <row r="92" spans="1:12" s="361" customFormat="1" ht="18.75" customHeight="1" x14ac:dyDescent="0.25">
      <c r="A92" s="359"/>
      <c r="B92" s="360"/>
      <c r="C92" s="142"/>
      <c r="D92" s="360"/>
      <c r="E92" s="181"/>
      <c r="F92" s="181"/>
      <c r="G92" s="181"/>
      <c r="H92" s="210"/>
    </row>
    <row r="93" spans="1:12" s="534" customFormat="1" ht="15.75" x14ac:dyDescent="0.25">
      <c r="A93" s="33" t="s">
        <v>1310</v>
      </c>
      <c r="B93" s="645"/>
      <c r="C93" s="684"/>
      <c r="D93" s="685"/>
      <c r="E93" s="686"/>
      <c r="F93" s="687"/>
      <c r="G93" s="688"/>
      <c r="H93" s="689"/>
    </row>
    <row r="94" spans="1:12" s="534" customFormat="1" ht="15.75" thickBot="1" x14ac:dyDescent="0.3">
      <c r="A94" s="645"/>
      <c r="B94" s="645"/>
      <c r="C94" s="684"/>
      <c r="D94" s="685"/>
      <c r="E94" s="686"/>
      <c r="F94" s="687"/>
      <c r="G94" s="688"/>
      <c r="H94" s="850" t="s">
        <v>173</v>
      </c>
    </row>
    <row r="95" spans="1:12" s="107" customFormat="1" ht="20.25" customHeight="1" thickTop="1" thickBot="1" x14ac:dyDescent="0.25">
      <c r="A95" s="633" t="s">
        <v>174</v>
      </c>
      <c r="B95" s="634" t="s">
        <v>175</v>
      </c>
      <c r="C95" s="678" t="s">
        <v>744</v>
      </c>
      <c r="D95" s="810" t="s">
        <v>176</v>
      </c>
      <c r="E95" s="636" t="s">
        <v>177</v>
      </c>
      <c r="F95" s="636" t="s">
        <v>922</v>
      </c>
      <c r="G95" s="636" t="s">
        <v>923</v>
      </c>
      <c r="H95" s="856" t="s">
        <v>924</v>
      </c>
    </row>
    <row r="96" spans="1:12" s="384" customFormat="1" ht="13.5" thickTop="1" thickBot="1" x14ac:dyDescent="0.25">
      <c r="A96" s="568">
        <v>1</v>
      </c>
      <c r="B96" s="569">
        <v>2</v>
      </c>
      <c r="C96" s="569">
        <v>3</v>
      </c>
      <c r="D96" s="569">
        <v>4</v>
      </c>
      <c r="E96" s="569">
        <v>5</v>
      </c>
      <c r="F96" s="543">
        <v>6</v>
      </c>
      <c r="G96" s="543">
        <v>7</v>
      </c>
      <c r="H96" s="638" t="s">
        <v>61</v>
      </c>
      <c r="I96" s="107"/>
    </row>
    <row r="97" spans="1:8" s="1107" customFormat="1" ht="15.75" thickTop="1" x14ac:dyDescent="0.25">
      <c r="A97" s="1145">
        <v>1037</v>
      </c>
      <c r="B97" s="1223">
        <v>6313</v>
      </c>
      <c r="C97" s="1136"/>
      <c r="D97" s="1242" t="s">
        <v>1300</v>
      </c>
      <c r="E97" s="1240"/>
      <c r="F97" s="450">
        <v>2152</v>
      </c>
      <c r="G97" s="371">
        <v>2152</v>
      </c>
      <c r="H97" s="203">
        <f>(G97/F97)*100</f>
        <v>100</v>
      </c>
    </row>
    <row r="98" spans="1:8" s="1107" customFormat="1" x14ac:dyDescent="0.2">
      <c r="A98" s="34"/>
      <c r="B98" s="1139"/>
      <c r="C98" s="1119" t="s">
        <v>1074</v>
      </c>
      <c r="D98" s="2667" t="s">
        <v>1301</v>
      </c>
      <c r="E98" s="55"/>
      <c r="F98" s="314">
        <v>2152</v>
      </c>
      <c r="G98" s="316">
        <v>2152</v>
      </c>
      <c r="H98" s="1116">
        <f>(G98/F98)*100</f>
        <v>100</v>
      </c>
    </row>
    <row r="99" spans="1:8" s="1107" customFormat="1" x14ac:dyDescent="0.2">
      <c r="A99" s="34"/>
      <c r="B99" s="1139"/>
      <c r="C99" s="1119"/>
      <c r="D99" s="2667"/>
      <c r="E99" s="55"/>
      <c r="F99" s="314"/>
      <c r="G99" s="316"/>
      <c r="H99" s="1116"/>
    </row>
    <row r="100" spans="1:8" s="1107" customFormat="1" ht="15" x14ac:dyDescent="0.25">
      <c r="A100" s="34">
        <v>1070</v>
      </c>
      <c r="B100" s="1139">
        <v>6322</v>
      </c>
      <c r="C100" s="1135"/>
      <c r="D100" s="309" t="s">
        <v>1205</v>
      </c>
      <c r="E100" s="55"/>
      <c r="F100" s="313">
        <v>400</v>
      </c>
      <c r="G100" s="315">
        <v>400</v>
      </c>
      <c r="H100" s="203">
        <f t="shared" ref="H100:H109" si="5">(G100/F100)*100</f>
        <v>100</v>
      </c>
    </row>
    <row r="101" spans="1:8" s="1107" customFormat="1" x14ac:dyDescent="0.2">
      <c r="A101" s="34"/>
      <c r="B101" s="1139"/>
      <c r="C101" s="1135" t="s">
        <v>262</v>
      </c>
      <c r="D101" s="1114" t="s">
        <v>333</v>
      </c>
      <c r="E101" s="55"/>
      <c r="F101" s="314">
        <v>400</v>
      </c>
      <c r="G101" s="316">
        <v>400</v>
      </c>
      <c r="H101" s="1116">
        <f t="shared" si="5"/>
        <v>100</v>
      </c>
    </row>
    <row r="102" spans="1:8" s="1107" customFormat="1" ht="15" x14ac:dyDescent="0.25">
      <c r="A102" s="34">
        <v>2310</v>
      </c>
      <c r="B102" s="1139">
        <v>6341</v>
      </c>
      <c r="C102" s="1414"/>
      <c r="D102" s="1108" t="s">
        <v>261</v>
      </c>
      <c r="E102" s="55"/>
      <c r="F102" s="313">
        <v>300</v>
      </c>
      <c r="G102" s="315">
        <v>300</v>
      </c>
      <c r="H102" s="203">
        <f t="shared" si="5"/>
        <v>100</v>
      </c>
    </row>
    <row r="103" spans="1:8" s="1107" customFormat="1" x14ac:dyDescent="0.2">
      <c r="A103" s="34"/>
      <c r="B103" s="1139"/>
      <c r="C103" s="1120" t="s">
        <v>652</v>
      </c>
      <c r="D103" s="1114" t="s">
        <v>653</v>
      </c>
      <c r="E103" s="55"/>
      <c r="F103" s="314">
        <v>300</v>
      </c>
      <c r="G103" s="316">
        <v>300</v>
      </c>
      <c r="H103" s="1116">
        <f t="shared" si="5"/>
        <v>100</v>
      </c>
    </row>
    <row r="104" spans="1:8" s="1107" customFormat="1" ht="15" x14ac:dyDescent="0.25">
      <c r="A104" s="34">
        <v>2321</v>
      </c>
      <c r="B104" s="1139">
        <v>6341</v>
      </c>
      <c r="C104" s="1414"/>
      <c r="D104" s="1108" t="s">
        <v>261</v>
      </c>
      <c r="E104" s="48"/>
      <c r="F104" s="168">
        <v>1677</v>
      </c>
      <c r="G104" s="315">
        <v>1677</v>
      </c>
      <c r="H104" s="203">
        <f t="shared" si="5"/>
        <v>100</v>
      </c>
    </row>
    <row r="105" spans="1:8" s="1107" customFormat="1" x14ac:dyDescent="0.2">
      <c r="A105" s="34"/>
      <c r="B105" s="1139"/>
      <c r="C105" s="1120" t="s">
        <v>652</v>
      </c>
      <c r="D105" s="1114" t="s">
        <v>653</v>
      </c>
      <c r="E105" s="55"/>
      <c r="F105" s="314">
        <v>1677</v>
      </c>
      <c r="G105" s="316">
        <v>1677</v>
      </c>
      <c r="H105" s="1116">
        <f t="shared" si="5"/>
        <v>100</v>
      </c>
    </row>
    <row r="106" spans="1:8" s="1107" customFormat="1" ht="15" x14ac:dyDescent="0.25">
      <c r="A106" s="34">
        <v>2399</v>
      </c>
      <c r="B106" s="1139">
        <v>6313</v>
      </c>
      <c r="C106" s="1120"/>
      <c r="D106" s="309" t="s">
        <v>1300</v>
      </c>
      <c r="E106" s="71">
        <v>500</v>
      </c>
      <c r="F106" s="313">
        <v>500</v>
      </c>
      <c r="G106" s="315">
        <v>500</v>
      </c>
      <c r="H106" s="203">
        <f t="shared" si="5"/>
        <v>100</v>
      </c>
    </row>
    <row r="107" spans="1:8" s="1107" customFormat="1" ht="15" x14ac:dyDescent="0.25">
      <c r="A107" s="34">
        <v>3429</v>
      </c>
      <c r="B107" s="1139">
        <v>6322</v>
      </c>
      <c r="C107" s="1135"/>
      <c r="D107" s="87" t="s">
        <v>71</v>
      </c>
      <c r="E107" s="48"/>
      <c r="F107" s="313">
        <v>50</v>
      </c>
      <c r="G107" s="315">
        <v>50</v>
      </c>
      <c r="H107" s="203">
        <f t="shared" si="5"/>
        <v>100</v>
      </c>
    </row>
    <row r="108" spans="1:8" s="1107" customFormat="1" ht="15.75" thickBot="1" x14ac:dyDescent="0.3">
      <c r="A108" s="1146"/>
      <c r="B108" s="1143"/>
      <c r="C108" s="1174" t="s">
        <v>262</v>
      </c>
      <c r="D108" s="1155" t="s">
        <v>333</v>
      </c>
      <c r="E108" s="1134"/>
      <c r="F108" s="441">
        <v>50</v>
      </c>
      <c r="G108" s="442">
        <v>50</v>
      </c>
      <c r="H108" s="1401">
        <f t="shared" si="5"/>
        <v>100</v>
      </c>
    </row>
    <row r="109" spans="1:8" s="361" customFormat="1" ht="35.25" customHeight="1" thickTop="1" thickBot="1" x14ac:dyDescent="0.3">
      <c r="A109" s="696" t="s">
        <v>257</v>
      </c>
      <c r="B109" s="697"/>
      <c r="C109" s="698"/>
      <c r="D109" s="697"/>
      <c r="E109" s="699">
        <f>E106</f>
        <v>500</v>
      </c>
      <c r="F109" s="699">
        <f>F97+F100+F102+F104+F106+F107</f>
        <v>5079</v>
      </c>
      <c r="G109" s="699">
        <f>G97+G100+G102+G104+G106+G107</f>
        <v>5079</v>
      </c>
      <c r="H109" s="973">
        <f t="shared" si="5"/>
        <v>100</v>
      </c>
    </row>
    <row r="110" spans="1:8" s="534" customFormat="1" ht="15.75" thickTop="1" x14ac:dyDescent="0.25">
      <c r="A110" s="645"/>
      <c r="B110" s="645"/>
      <c r="C110" s="684"/>
      <c r="D110" s="685"/>
      <c r="E110" s="686"/>
      <c r="F110" s="687"/>
      <c r="G110" s="688"/>
      <c r="H110" s="689"/>
    </row>
    <row r="111" spans="1:8" s="534" customFormat="1" ht="15" x14ac:dyDescent="0.25">
      <c r="A111" s="645"/>
      <c r="B111" s="645"/>
      <c r="C111" s="684"/>
      <c r="D111" s="685"/>
      <c r="E111" s="686"/>
      <c r="F111" s="687"/>
      <c r="G111" s="688"/>
      <c r="H111" s="689"/>
    </row>
    <row r="112" spans="1:8" ht="16.5" x14ac:dyDescent="0.25">
      <c r="A112" s="362" t="s">
        <v>214</v>
      </c>
      <c r="B112" s="363"/>
      <c r="C112" s="364"/>
      <c r="D112" s="364"/>
      <c r="E112" s="974">
        <f>E113+E114+E115+E116</f>
        <v>20057</v>
      </c>
      <c r="F112" s="974">
        <f>F113+F114+F115+F116</f>
        <v>34217</v>
      </c>
      <c r="G112" s="974">
        <f>G113+G114+G115+G116</f>
        <v>32033</v>
      </c>
      <c r="H112" s="305">
        <f>G112/F112*100</f>
        <v>93.617207820673926</v>
      </c>
    </row>
    <row r="113" spans="1:8" s="1325" customFormat="1" ht="15" x14ac:dyDescent="0.2">
      <c r="A113" s="557" t="s">
        <v>277</v>
      </c>
      <c r="B113" s="587"/>
      <c r="C113" s="588"/>
      <c r="D113" s="588"/>
      <c r="E113" s="975">
        <f>E89</f>
        <v>19557</v>
      </c>
      <c r="F113" s="975">
        <f>F89-F115</f>
        <v>22369</v>
      </c>
      <c r="G113" s="975">
        <f>G89-G115</f>
        <v>20185</v>
      </c>
      <c r="H113" s="306">
        <f>G113/F113*100</f>
        <v>90.23648799678125</v>
      </c>
    </row>
    <row r="114" spans="1:8" s="1325" customFormat="1" ht="15" x14ac:dyDescent="0.2">
      <c r="A114" s="557" t="s">
        <v>278</v>
      </c>
      <c r="B114" s="592"/>
      <c r="C114" s="588"/>
      <c r="D114" s="588"/>
      <c r="E114" s="976">
        <f>E109</f>
        <v>500</v>
      </c>
      <c r="F114" s="976">
        <f>F109-F116</f>
        <v>2927</v>
      </c>
      <c r="G114" s="976">
        <f>G109-G116</f>
        <v>2927</v>
      </c>
      <c r="H114" s="306">
        <f>G114/F114*100</f>
        <v>100</v>
      </c>
    </row>
    <row r="115" spans="1:8" s="1325" customFormat="1" ht="15" x14ac:dyDescent="0.2">
      <c r="A115" s="557" t="s">
        <v>221</v>
      </c>
      <c r="B115" s="592"/>
      <c r="C115" s="588"/>
      <c r="D115" s="588"/>
      <c r="E115" s="975">
        <v>0</v>
      </c>
      <c r="F115" s="975">
        <f>F26+F88</f>
        <v>6769</v>
      </c>
      <c r="G115" s="975">
        <f>G26+G88</f>
        <v>6769</v>
      </c>
      <c r="H115" s="306">
        <f>G115/F115*100</f>
        <v>100</v>
      </c>
    </row>
    <row r="116" spans="1:8" s="1325" customFormat="1" ht="15" x14ac:dyDescent="0.2">
      <c r="A116" s="557" t="s">
        <v>1206</v>
      </c>
      <c r="B116" s="592"/>
      <c r="C116" s="588"/>
      <c r="D116" s="588"/>
      <c r="E116" s="975">
        <v>0</v>
      </c>
      <c r="F116" s="594">
        <f>F98</f>
        <v>2152</v>
      </c>
      <c r="G116" s="594">
        <f>G98</f>
        <v>2152</v>
      </c>
      <c r="H116" s="306">
        <f>G116/F116*100</f>
        <v>100</v>
      </c>
    </row>
    <row r="117" spans="1:8" s="1325" customFormat="1" ht="15" x14ac:dyDescent="0.2">
      <c r="A117" s="557"/>
      <c r="B117" s="592"/>
      <c r="C117" s="588"/>
      <c r="D117" s="588"/>
      <c r="E117" s="975"/>
      <c r="F117" s="594"/>
      <c r="G117" s="594"/>
      <c r="H117" s="306"/>
    </row>
    <row r="118" spans="1:8" s="534" customFormat="1" x14ac:dyDescent="0.2">
      <c r="A118" s="779"/>
      <c r="B118" s="977"/>
      <c r="C118" s="978"/>
      <c r="D118" s="108"/>
      <c r="E118" s="449"/>
      <c r="F118" s="449"/>
      <c r="G118" s="449"/>
      <c r="H118" s="932"/>
    </row>
    <row r="119" spans="1:8" s="58" customFormat="1" ht="47.25" customHeight="1" thickBot="1" x14ac:dyDescent="0.4">
      <c r="A119" s="2650" t="s">
        <v>1247</v>
      </c>
      <c r="B119" s="2651"/>
      <c r="C119" s="2651"/>
      <c r="D119" s="2651"/>
      <c r="E119" s="595">
        <f>E109+E89</f>
        <v>20057</v>
      </c>
      <c r="F119" s="595">
        <f>F109+F89</f>
        <v>34217</v>
      </c>
      <c r="G119" s="595">
        <f>G109+G89</f>
        <v>32033</v>
      </c>
      <c r="H119" s="979">
        <f>(G119/F119)*100</f>
        <v>93.617207820673926</v>
      </c>
    </row>
    <row r="120" spans="1:8" ht="15" thickTop="1" x14ac:dyDescent="0.2"/>
  </sheetData>
  <mergeCells count="3">
    <mergeCell ref="A119:D119"/>
    <mergeCell ref="D98:D99"/>
    <mergeCell ref="D26:D27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41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 enableFormatConditionsCalculation="0">
    <tabColor rgb="FF00B0F0"/>
  </sheetPr>
  <dimension ref="A1:U316"/>
  <sheetViews>
    <sheetView showGridLines="0" view="pageBreakPreview" zoomScaleNormal="100" zoomScaleSheetLayoutView="100" workbookViewId="0">
      <selection activeCell="C191" sqref="C191:D191"/>
    </sheetView>
  </sheetViews>
  <sheetFormatPr defaultRowHeight="14.25" x14ac:dyDescent="0.2"/>
  <cols>
    <col min="1" max="1" width="5.28515625" style="645" customWidth="1"/>
    <col min="2" max="2" width="5.28515625" style="382" customWidth="1"/>
    <col min="3" max="3" width="8.85546875" style="667" customWidth="1"/>
    <col min="4" max="4" width="47.140625" style="382" customWidth="1"/>
    <col min="5" max="5" width="12.42578125" style="526" customWidth="1"/>
    <col min="6" max="6" width="14.85546875" style="526" customWidth="1"/>
    <col min="7" max="7" width="14.5703125" style="526" customWidth="1"/>
    <col min="8" max="8" width="8.28515625" style="800" customWidth="1"/>
    <col min="9" max="9" width="11.7109375" style="382" bestFit="1" customWidth="1"/>
    <col min="10" max="10" width="11.7109375" style="382" customWidth="1"/>
    <col min="11" max="11" width="14" style="382" customWidth="1"/>
    <col min="12" max="12" width="14.5703125" style="382" customWidth="1"/>
    <col min="13" max="13" width="10" style="382" bestFit="1" customWidth="1"/>
    <col min="14" max="16384" width="9.140625" style="382"/>
  </cols>
  <sheetData>
    <row r="1" spans="1:9" ht="18.75" thickBot="1" x14ac:dyDescent="0.3">
      <c r="A1" s="465" t="s">
        <v>749</v>
      </c>
      <c r="B1" s="466"/>
      <c r="C1" s="467"/>
      <c r="D1" s="477"/>
      <c r="E1" s="1537"/>
      <c r="F1" s="469" t="s">
        <v>750</v>
      </c>
    </row>
    <row r="2" spans="1:9" ht="12.75" customHeight="1" x14ac:dyDescent="0.25">
      <c r="A2" s="6"/>
      <c r="B2" s="28"/>
      <c r="C2" s="142"/>
      <c r="D2" s="10"/>
      <c r="E2" s="463"/>
      <c r="F2" s="463"/>
      <c r="G2" s="168"/>
      <c r="H2" s="213"/>
    </row>
    <row r="3" spans="1:9" ht="12.75" customHeight="1" x14ac:dyDescent="0.25">
      <c r="A3" s="67" t="s">
        <v>387</v>
      </c>
      <c r="B3" s="308"/>
      <c r="C3" s="2332" t="s">
        <v>229</v>
      </c>
      <c r="D3" s="629"/>
      <c r="E3" s="463"/>
      <c r="F3" s="168"/>
      <c r="G3" s="181"/>
      <c r="H3" s="213"/>
    </row>
    <row r="4" spans="1:9" ht="12.75" customHeight="1" x14ac:dyDescent="0.25">
      <c r="A4" s="6"/>
      <c r="B4" s="28"/>
      <c r="C4" s="2332" t="s">
        <v>486</v>
      </c>
      <c r="D4" s="383"/>
      <c r="E4" s="463"/>
      <c r="F4" s="168"/>
      <c r="G4" s="181"/>
      <c r="H4" s="213"/>
    </row>
    <row r="5" spans="1:9" ht="6" customHeight="1" x14ac:dyDescent="0.25">
      <c r="A5" s="6"/>
      <c r="B5" s="28"/>
      <c r="C5" s="142"/>
      <c r="D5" s="10"/>
      <c r="E5" s="463"/>
      <c r="F5" s="463"/>
      <c r="G5" s="168"/>
      <c r="H5" s="213"/>
    </row>
    <row r="6" spans="1:9" ht="15.75" x14ac:dyDescent="0.25">
      <c r="A6" s="98" t="s">
        <v>925</v>
      </c>
      <c r="B6" s="28"/>
      <c r="C6" s="142"/>
      <c r="D6" s="10"/>
      <c r="E6" s="463"/>
      <c r="F6" s="463"/>
      <c r="G6" s="168"/>
    </row>
    <row r="7" spans="1:9" ht="12.75" customHeight="1" thickBot="1" x14ac:dyDescent="0.3">
      <c r="A7" s="98"/>
      <c r="B7" s="28"/>
      <c r="C7" s="142"/>
      <c r="D7" s="10"/>
      <c r="E7" s="463"/>
      <c r="F7" s="463"/>
      <c r="G7" s="168"/>
      <c r="H7" s="1855" t="s">
        <v>173</v>
      </c>
    </row>
    <row r="8" spans="1:9" s="107" customFormat="1" ht="20.25" customHeight="1" thickTop="1" thickBot="1" x14ac:dyDescent="0.25">
      <c r="A8" s="633" t="s">
        <v>174</v>
      </c>
      <c r="B8" s="634" t="s">
        <v>175</v>
      </c>
      <c r="C8" s="678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637" t="s">
        <v>924</v>
      </c>
    </row>
    <row r="9" spans="1:9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638" t="s">
        <v>61</v>
      </c>
      <c r="I9" s="107"/>
    </row>
    <row r="10" spans="1:9" s="384" customFormat="1" ht="15.75" thickTop="1" x14ac:dyDescent="0.25">
      <c r="A10" s="50">
        <v>3111</v>
      </c>
      <c r="B10" s="19">
        <v>5321</v>
      </c>
      <c r="C10" s="122"/>
      <c r="D10" s="1435" t="s">
        <v>1261</v>
      </c>
      <c r="E10" s="48"/>
      <c r="F10" s="313">
        <v>10</v>
      </c>
      <c r="G10" s="315">
        <v>10</v>
      </c>
      <c r="H10" s="1113">
        <f>(G10/F10)*100</f>
        <v>100</v>
      </c>
      <c r="I10" s="107"/>
    </row>
    <row r="11" spans="1:9" s="384" customFormat="1" ht="15" x14ac:dyDescent="0.25">
      <c r="A11" s="50"/>
      <c r="B11" s="19"/>
      <c r="C11" s="1135" t="s">
        <v>1262</v>
      </c>
      <c r="D11" s="1727" t="s">
        <v>1757</v>
      </c>
      <c r="E11" s="48"/>
      <c r="F11" s="314">
        <v>10</v>
      </c>
      <c r="G11" s="316">
        <v>10</v>
      </c>
      <c r="H11" s="1116">
        <f>(G11/F11)*100</f>
        <v>100</v>
      </c>
      <c r="I11" s="107"/>
    </row>
    <row r="12" spans="1:9" s="384" customFormat="1" ht="15" x14ac:dyDescent="0.25">
      <c r="A12" s="223">
        <v>3113</v>
      </c>
      <c r="B12" s="96">
        <v>5321</v>
      </c>
      <c r="C12" s="1429"/>
      <c r="D12" s="1435" t="s">
        <v>1261</v>
      </c>
      <c r="E12" s="60"/>
      <c r="F12" s="313">
        <v>115</v>
      </c>
      <c r="G12" s="315">
        <v>115</v>
      </c>
      <c r="H12" s="1113">
        <f>(G12/F12)*100</f>
        <v>100</v>
      </c>
      <c r="I12" s="107"/>
    </row>
    <row r="13" spans="1:9" s="384" customFormat="1" ht="15" x14ac:dyDescent="0.25">
      <c r="A13" s="223"/>
      <c r="B13" s="96"/>
      <c r="C13" s="1110" t="s">
        <v>369</v>
      </c>
      <c r="D13" s="117" t="s">
        <v>933</v>
      </c>
      <c r="E13" s="60"/>
      <c r="F13" s="314">
        <v>115</v>
      </c>
      <c r="G13" s="316">
        <v>115</v>
      </c>
      <c r="H13" s="1116">
        <f>(G13/F13)*100</f>
        <v>100</v>
      </c>
      <c r="I13" s="107"/>
    </row>
    <row r="14" spans="1:9" s="384" customFormat="1" ht="15" x14ac:dyDescent="0.25">
      <c r="A14" s="223">
        <v>3231</v>
      </c>
      <c r="B14" s="96">
        <v>5136</v>
      </c>
      <c r="C14" s="1110"/>
      <c r="D14" s="72" t="s">
        <v>645</v>
      </c>
      <c r="E14" s="60"/>
      <c r="F14" s="313">
        <v>1</v>
      </c>
      <c r="G14" s="315">
        <v>1</v>
      </c>
      <c r="H14" s="203">
        <f>(G14/F14)*100</f>
        <v>100</v>
      </c>
      <c r="I14" s="107"/>
    </row>
    <row r="15" spans="1:9" s="384" customFormat="1" ht="15" x14ac:dyDescent="0.25">
      <c r="A15" s="223">
        <v>3231</v>
      </c>
      <c r="B15" s="96">
        <v>5139</v>
      </c>
      <c r="C15" s="1110"/>
      <c r="D15" s="68" t="s">
        <v>662</v>
      </c>
      <c r="E15" s="60"/>
      <c r="F15" s="313">
        <v>9</v>
      </c>
      <c r="G15" s="315">
        <v>9</v>
      </c>
      <c r="H15" s="203">
        <f t="shared" ref="H15:H21" si="0">(G15/F15)*100</f>
        <v>100</v>
      </c>
      <c r="I15" s="107"/>
    </row>
    <row r="16" spans="1:9" s="384" customFormat="1" ht="15" x14ac:dyDescent="0.25">
      <c r="A16" s="223">
        <v>3231</v>
      </c>
      <c r="B16" s="96">
        <v>5151</v>
      </c>
      <c r="C16" s="1110"/>
      <c r="D16" s="72" t="s">
        <v>900</v>
      </c>
      <c r="E16" s="60"/>
      <c r="F16" s="313">
        <v>16</v>
      </c>
      <c r="G16" s="315">
        <v>16</v>
      </c>
      <c r="H16" s="203">
        <f t="shared" si="0"/>
        <v>100</v>
      </c>
      <c r="I16" s="107"/>
    </row>
    <row r="17" spans="1:21" s="384" customFormat="1" ht="15" x14ac:dyDescent="0.25">
      <c r="A17" s="223">
        <v>3231</v>
      </c>
      <c r="B17" s="96">
        <v>5152</v>
      </c>
      <c r="C17" s="1110"/>
      <c r="D17" s="72" t="s">
        <v>903</v>
      </c>
      <c r="E17" s="60"/>
      <c r="F17" s="313">
        <v>51</v>
      </c>
      <c r="G17" s="315">
        <v>51</v>
      </c>
      <c r="H17" s="203">
        <f t="shared" si="0"/>
        <v>100</v>
      </c>
      <c r="I17" s="107"/>
    </row>
    <row r="18" spans="1:21" s="384" customFormat="1" ht="15" x14ac:dyDescent="0.25">
      <c r="A18" s="223">
        <v>3231</v>
      </c>
      <c r="B18" s="96">
        <v>5154</v>
      </c>
      <c r="C18" s="1110"/>
      <c r="D18" s="72" t="s">
        <v>311</v>
      </c>
      <c r="E18" s="60"/>
      <c r="F18" s="313">
        <v>10</v>
      </c>
      <c r="G18" s="315">
        <v>8</v>
      </c>
      <c r="H18" s="203">
        <f t="shared" si="0"/>
        <v>80</v>
      </c>
      <c r="I18" s="107"/>
    </row>
    <row r="19" spans="1:21" s="384" customFormat="1" ht="15" x14ac:dyDescent="0.25">
      <c r="A19" s="223">
        <v>3231</v>
      </c>
      <c r="B19" s="96">
        <v>5162</v>
      </c>
      <c r="C19" s="1110"/>
      <c r="D19" s="72" t="s">
        <v>904</v>
      </c>
      <c r="E19" s="60"/>
      <c r="F19" s="313">
        <v>10</v>
      </c>
      <c r="G19" s="315">
        <v>10</v>
      </c>
      <c r="H19" s="203">
        <f t="shared" si="0"/>
        <v>100</v>
      </c>
      <c r="I19" s="107"/>
    </row>
    <row r="20" spans="1:21" s="384" customFormat="1" ht="15" x14ac:dyDescent="0.25">
      <c r="A20" s="223">
        <v>3231</v>
      </c>
      <c r="B20" s="96">
        <v>5164</v>
      </c>
      <c r="C20" s="1110"/>
      <c r="D20" s="72" t="s">
        <v>182</v>
      </c>
      <c r="E20" s="60"/>
      <c r="F20" s="313">
        <v>60</v>
      </c>
      <c r="G20" s="315">
        <v>60</v>
      </c>
      <c r="H20" s="203">
        <f t="shared" si="0"/>
        <v>100</v>
      </c>
      <c r="I20" s="107"/>
    </row>
    <row r="21" spans="1:21" s="384" customFormat="1" ht="15" x14ac:dyDescent="0.25">
      <c r="A21" s="223">
        <v>3231</v>
      </c>
      <c r="B21" s="96">
        <v>5169</v>
      </c>
      <c r="C21" s="1110"/>
      <c r="D21" s="72" t="s">
        <v>892</v>
      </c>
      <c r="E21" s="60"/>
      <c r="F21" s="313">
        <v>23</v>
      </c>
      <c r="G21" s="315">
        <v>23</v>
      </c>
      <c r="H21" s="203">
        <f t="shared" si="0"/>
        <v>100</v>
      </c>
      <c r="I21" s="946"/>
      <c r="J21" s="946"/>
    </row>
    <row r="22" spans="1:21" s="384" customFormat="1" ht="15" x14ac:dyDescent="0.25">
      <c r="A22" s="223">
        <v>3269</v>
      </c>
      <c r="B22" s="96">
        <v>5139</v>
      </c>
      <c r="C22" s="1429"/>
      <c r="D22" s="68" t="s">
        <v>662</v>
      </c>
      <c r="E22" s="60">
        <f>E23+E24+E25</f>
        <v>35</v>
      </c>
      <c r="F22" s="60">
        <f>F23+F24+F25</f>
        <v>111</v>
      </c>
      <c r="G22" s="60">
        <f>G23+G24+G25</f>
        <v>89</v>
      </c>
      <c r="H22" s="1113">
        <f>(G22/F22)*100</f>
        <v>80.180180180180187</v>
      </c>
      <c r="I22" s="107"/>
    </row>
    <row r="23" spans="1:21" s="384" customFormat="1" x14ac:dyDescent="0.2">
      <c r="A23" s="223"/>
      <c r="B23" s="96"/>
      <c r="C23" s="1120" t="s">
        <v>792</v>
      </c>
      <c r="D23" s="1114" t="s">
        <v>1321</v>
      </c>
      <c r="E23" s="124">
        <v>35</v>
      </c>
      <c r="F23" s="314">
        <v>35</v>
      </c>
      <c r="G23" s="316">
        <v>13</v>
      </c>
      <c r="H23" s="1116">
        <f>(G23/F23)*100</f>
        <v>37.142857142857146</v>
      </c>
      <c r="I23" s="107"/>
    </row>
    <row r="24" spans="1:21" s="384" customFormat="1" ht="15" x14ac:dyDescent="0.25">
      <c r="A24" s="223"/>
      <c r="B24" s="96"/>
      <c r="C24" s="1447" t="s">
        <v>390</v>
      </c>
      <c r="D24" s="225" t="s">
        <v>1402</v>
      </c>
      <c r="E24" s="60"/>
      <c r="F24" s="314">
        <v>29</v>
      </c>
      <c r="G24" s="316">
        <v>29</v>
      </c>
      <c r="H24" s="1116">
        <f>(G24/F24)*100</f>
        <v>100</v>
      </c>
      <c r="I24" s="107"/>
    </row>
    <row r="25" spans="1:21" s="384" customFormat="1" ht="15" x14ac:dyDescent="0.25">
      <c r="A25" s="223"/>
      <c r="B25" s="96"/>
      <c r="C25" s="1447" t="s">
        <v>1813</v>
      </c>
      <c r="D25" s="225" t="s">
        <v>1814</v>
      </c>
      <c r="E25" s="60"/>
      <c r="F25" s="314">
        <v>47</v>
      </c>
      <c r="G25" s="316">
        <v>47</v>
      </c>
      <c r="H25" s="1116">
        <f>(G25/F25)*100</f>
        <v>100</v>
      </c>
      <c r="I25" s="107"/>
    </row>
    <row r="26" spans="1:21" s="1159" customFormat="1" ht="14.25" customHeight="1" x14ac:dyDescent="0.25">
      <c r="A26" s="223">
        <v>3269</v>
      </c>
      <c r="B26" s="96">
        <v>5162</v>
      </c>
      <c r="C26" s="1429"/>
      <c r="D26" s="68" t="s">
        <v>143</v>
      </c>
      <c r="E26" s="60">
        <v>5</v>
      </c>
      <c r="F26" s="313">
        <v>1</v>
      </c>
      <c r="G26" s="315">
        <v>1</v>
      </c>
      <c r="H26" s="1113">
        <v>0</v>
      </c>
    </row>
    <row r="27" spans="1:21" s="1159" customFormat="1" ht="14.25" customHeight="1" x14ac:dyDescent="0.25">
      <c r="A27" s="223">
        <v>3269</v>
      </c>
      <c r="B27" s="96">
        <v>5164</v>
      </c>
      <c r="C27" s="1429"/>
      <c r="D27" s="68" t="s">
        <v>182</v>
      </c>
      <c r="E27" s="60">
        <v>54</v>
      </c>
      <c r="F27" s="315">
        <f>F28+F29+F30</f>
        <v>115</v>
      </c>
      <c r="G27" s="315">
        <f>G28+G29+G30</f>
        <v>111</v>
      </c>
      <c r="H27" s="1113">
        <f>(G27/F27)*100</f>
        <v>96.521739130434781</v>
      </c>
    </row>
    <row r="28" spans="1:21" s="1159" customFormat="1" ht="14.25" customHeight="1" x14ac:dyDescent="0.2">
      <c r="A28" s="223"/>
      <c r="B28" s="96"/>
      <c r="C28" s="1120" t="s">
        <v>792</v>
      </c>
      <c r="D28" s="1114" t="s">
        <v>1321</v>
      </c>
      <c r="E28" s="124">
        <v>54</v>
      </c>
      <c r="F28" s="314">
        <v>54</v>
      </c>
      <c r="G28" s="316">
        <v>50</v>
      </c>
      <c r="H28" s="1116">
        <f>(G28/F28)*100</f>
        <v>92.592592592592595</v>
      </c>
    </row>
    <row r="29" spans="1:21" s="1159" customFormat="1" ht="14.25" customHeight="1" x14ac:dyDescent="0.25">
      <c r="A29" s="223"/>
      <c r="B29" s="96"/>
      <c r="C29" s="1447" t="s">
        <v>390</v>
      </c>
      <c r="D29" s="225" t="s">
        <v>1402</v>
      </c>
      <c r="E29" s="60"/>
      <c r="F29" s="314">
        <v>15</v>
      </c>
      <c r="G29" s="316">
        <v>15</v>
      </c>
      <c r="H29" s="1116">
        <f>(G29/F29)*100</f>
        <v>100</v>
      </c>
    </row>
    <row r="30" spans="1:21" s="1159" customFormat="1" ht="14.25" customHeight="1" x14ac:dyDescent="0.25">
      <c r="A30" s="223"/>
      <c r="B30" s="96"/>
      <c r="C30" s="1447" t="s">
        <v>1813</v>
      </c>
      <c r="D30" s="225" t="s">
        <v>1814</v>
      </c>
      <c r="E30" s="60"/>
      <c r="F30" s="314">
        <v>46</v>
      </c>
      <c r="G30" s="316">
        <v>46</v>
      </c>
      <c r="H30" s="1116">
        <f>(G30/F30)*100</f>
        <v>100</v>
      </c>
    </row>
    <row r="31" spans="1:21" s="1159" customFormat="1" ht="14.25" customHeight="1" x14ac:dyDescent="0.25">
      <c r="A31" s="223">
        <v>3269</v>
      </c>
      <c r="B31" s="96">
        <v>5166</v>
      </c>
      <c r="C31" s="1447"/>
      <c r="D31" s="68" t="s">
        <v>646</v>
      </c>
      <c r="E31" s="60"/>
      <c r="F31" s="313">
        <v>100</v>
      </c>
      <c r="G31" s="315">
        <v>95</v>
      </c>
      <c r="H31" s="203">
        <f>(G31/F31)*100</f>
        <v>95</v>
      </c>
    </row>
    <row r="32" spans="1:21" s="1159" customFormat="1" ht="14.25" customHeight="1" x14ac:dyDescent="0.25">
      <c r="A32" s="50">
        <v>3269</v>
      </c>
      <c r="B32" s="19">
        <v>5169</v>
      </c>
      <c r="C32" s="1446"/>
      <c r="D32" s="72" t="s">
        <v>892</v>
      </c>
      <c r="E32" s="71">
        <f>E33+E35</f>
        <v>14025</v>
      </c>
      <c r="F32" s="71">
        <f>F33+F34+F35</f>
        <v>13748</v>
      </c>
      <c r="G32" s="71">
        <f>G33+G34+G35</f>
        <v>13670</v>
      </c>
      <c r="H32" s="1113">
        <f t="shared" ref="H32:H41" si="1">(G32/F32)*100</f>
        <v>99.432644748327021</v>
      </c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</row>
    <row r="33" spans="1:21" s="1159" customFormat="1" ht="14.25" customHeight="1" x14ac:dyDescent="0.2">
      <c r="A33" s="50"/>
      <c r="B33" s="19"/>
      <c r="C33" s="1120" t="s">
        <v>792</v>
      </c>
      <c r="D33" s="1114" t="s">
        <v>1321</v>
      </c>
      <c r="E33" s="55">
        <v>13485</v>
      </c>
      <c r="F33" s="314">
        <v>12990</v>
      </c>
      <c r="G33" s="316">
        <v>12912</v>
      </c>
      <c r="H33" s="1116">
        <f t="shared" si="1"/>
        <v>99.399538106235568</v>
      </c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</row>
    <row r="34" spans="1:21" s="1159" customFormat="1" ht="14.25" customHeight="1" x14ac:dyDescent="0.25">
      <c r="A34" s="50"/>
      <c r="B34" s="19"/>
      <c r="C34" s="1447" t="s">
        <v>390</v>
      </c>
      <c r="D34" s="225" t="s">
        <v>1402</v>
      </c>
      <c r="E34" s="71"/>
      <c r="F34" s="314">
        <v>63</v>
      </c>
      <c r="G34" s="316">
        <v>63</v>
      </c>
      <c r="H34" s="1116">
        <f t="shared" si="1"/>
        <v>100</v>
      </c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</row>
    <row r="35" spans="1:21" s="1159" customFormat="1" ht="14.25" customHeight="1" x14ac:dyDescent="0.2">
      <c r="A35" s="50"/>
      <c r="B35" s="19"/>
      <c r="C35" s="1447" t="s">
        <v>1813</v>
      </c>
      <c r="D35" s="225" t="s">
        <v>1814</v>
      </c>
      <c r="E35" s="55">
        <v>540</v>
      </c>
      <c r="F35" s="314">
        <v>695</v>
      </c>
      <c r="G35" s="316">
        <v>695</v>
      </c>
      <c r="H35" s="1116">
        <f t="shared" si="1"/>
        <v>100</v>
      </c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</row>
    <row r="36" spans="1:21" s="1159" customFormat="1" ht="14.25" customHeight="1" x14ac:dyDescent="0.25">
      <c r="A36" s="50">
        <v>3269</v>
      </c>
      <c r="B36" s="19">
        <v>5175</v>
      </c>
      <c r="C36" s="1446"/>
      <c r="D36" s="1435" t="s">
        <v>707</v>
      </c>
      <c r="E36" s="48">
        <f>E37+E38+E39</f>
        <v>115</v>
      </c>
      <c r="F36" s="71">
        <f>F37+F38+F39</f>
        <v>145</v>
      </c>
      <c r="G36" s="71">
        <f>G37+G38+G39</f>
        <v>127</v>
      </c>
      <c r="H36" s="1113">
        <f t="shared" si="1"/>
        <v>87.586206896551715</v>
      </c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</row>
    <row r="37" spans="1:21" s="1159" customFormat="1" ht="14.25" customHeight="1" x14ac:dyDescent="0.2">
      <c r="A37" s="50"/>
      <c r="B37" s="19"/>
      <c r="C37" s="1120" t="s">
        <v>792</v>
      </c>
      <c r="D37" s="1114" t="s">
        <v>1321</v>
      </c>
      <c r="E37" s="55">
        <v>65</v>
      </c>
      <c r="F37" s="314">
        <v>65</v>
      </c>
      <c r="G37" s="316">
        <v>47</v>
      </c>
      <c r="H37" s="1116">
        <f t="shared" si="1"/>
        <v>72.307692307692307</v>
      </c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</row>
    <row r="38" spans="1:21" s="1159" customFormat="1" ht="14.25" customHeight="1" x14ac:dyDescent="0.25">
      <c r="A38" s="50"/>
      <c r="B38" s="19"/>
      <c r="C38" s="1447" t="s">
        <v>390</v>
      </c>
      <c r="D38" s="225" t="s">
        <v>1402</v>
      </c>
      <c r="E38" s="48"/>
      <c r="F38" s="314">
        <v>45</v>
      </c>
      <c r="G38" s="316">
        <v>45</v>
      </c>
      <c r="H38" s="1116">
        <f t="shared" si="1"/>
        <v>100</v>
      </c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</row>
    <row r="39" spans="1:21" s="1159" customFormat="1" ht="14.25" customHeight="1" x14ac:dyDescent="0.2">
      <c r="A39" s="50"/>
      <c r="B39" s="19"/>
      <c r="C39" s="1447" t="s">
        <v>1813</v>
      </c>
      <c r="D39" s="225" t="s">
        <v>1814</v>
      </c>
      <c r="E39" s="55">
        <v>50</v>
      </c>
      <c r="F39" s="314">
        <v>35</v>
      </c>
      <c r="G39" s="316">
        <v>35</v>
      </c>
      <c r="H39" s="1116">
        <f t="shared" si="1"/>
        <v>100</v>
      </c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</row>
    <row r="40" spans="1:21" s="1159" customFormat="1" ht="12.75" customHeight="1" x14ac:dyDescent="0.25">
      <c r="A40" s="50">
        <v>3269</v>
      </c>
      <c r="B40" s="19">
        <v>5194</v>
      </c>
      <c r="C40" s="1446"/>
      <c r="D40" s="1435" t="s">
        <v>636</v>
      </c>
      <c r="E40" s="48">
        <v>800</v>
      </c>
      <c r="F40" s="313">
        <v>915</v>
      </c>
      <c r="G40" s="315">
        <v>915</v>
      </c>
      <c r="H40" s="203">
        <f t="shared" si="1"/>
        <v>100</v>
      </c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</row>
    <row r="41" spans="1:21" s="1159" customFormat="1" ht="12.75" customHeight="1" x14ac:dyDescent="0.2">
      <c r="A41" s="50"/>
      <c r="B41" s="19"/>
      <c r="C41" s="1447" t="s">
        <v>1813</v>
      </c>
      <c r="D41" s="225" t="s">
        <v>1814</v>
      </c>
      <c r="E41" s="55">
        <v>800</v>
      </c>
      <c r="F41" s="314">
        <v>915</v>
      </c>
      <c r="G41" s="316">
        <v>915</v>
      </c>
      <c r="H41" s="1116">
        <f t="shared" si="1"/>
        <v>100</v>
      </c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</row>
    <row r="42" spans="1:21" s="1107" customFormat="1" ht="15" x14ac:dyDescent="0.25">
      <c r="A42" s="50">
        <v>3269</v>
      </c>
      <c r="B42" s="19">
        <v>5493</v>
      </c>
      <c r="C42" s="1447"/>
      <c r="D42" s="381" t="s">
        <v>730</v>
      </c>
      <c r="E42" s="71">
        <v>400</v>
      </c>
      <c r="F42" s="313">
        <v>0</v>
      </c>
      <c r="G42" s="315">
        <v>0</v>
      </c>
      <c r="H42" s="203">
        <v>0</v>
      </c>
    </row>
    <row r="43" spans="1:21" s="1107" customFormat="1" x14ac:dyDescent="0.2">
      <c r="A43" s="50"/>
      <c r="B43" s="19"/>
      <c r="C43" s="1447" t="s">
        <v>390</v>
      </c>
      <c r="D43" s="225" t="s">
        <v>1402</v>
      </c>
      <c r="E43" s="55">
        <v>400</v>
      </c>
      <c r="F43" s="314">
        <v>0</v>
      </c>
      <c r="G43" s="316">
        <v>0</v>
      </c>
      <c r="H43" s="1116">
        <v>0</v>
      </c>
    </row>
    <row r="44" spans="1:21" s="1107" customFormat="1" ht="15" x14ac:dyDescent="0.25">
      <c r="A44" s="50">
        <v>3269</v>
      </c>
      <c r="B44" s="19">
        <v>5494</v>
      </c>
      <c r="C44" s="1447"/>
      <c r="D44" s="68" t="s">
        <v>963</v>
      </c>
      <c r="E44" s="55"/>
      <c r="F44" s="313">
        <v>156</v>
      </c>
      <c r="G44" s="315">
        <v>156</v>
      </c>
      <c r="H44" s="1113">
        <f>(G44/F44)*100</f>
        <v>100</v>
      </c>
    </row>
    <row r="45" spans="1:21" s="1107" customFormat="1" x14ac:dyDescent="0.2">
      <c r="A45" s="50"/>
      <c r="B45" s="19"/>
      <c r="C45" s="1447" t="s">
        <v>390</v>
      </c>
      <c r="D45" s="225" t="s">
        <v>1402</v>
      </c>
      <c r="E45" s="55"/>
      <c r="F45" s="314">
        <v>156</v>
      </c>
      <c r="G45" s="316">
        <v>156</v>
      </c>
      <c r="H45" s="1116">
        <f>(G45/F45)*100</f>
        <v>100</v>
      </c>
    </row>
    <row r="46" spans="1:21" s="1159" customFormat="1" ht="14.25" customHeight="1" x14ac:dyDescent="0.25">
      <c r="A46" s="50">
        <v>3269</v>
      </c>
      <c r="B46" s="19">
        <v>5499</v>
      </c>
      <c r="C46" s="1446"/>
      <c r="D46" s="1435" t="s">
        <v>757</v>
      </c>
      <c r="E46" s="48">
        <v>35</v>
      </c>
      <c r="F46" s="313">
        <v>35</v>
      </c>
      <c r="G46" s="315">
        <v>18</v>
      </c>
      <c r="H46" s="203">
        <f>(G46/F46)*100</f>
        <v>51.428571428571423</v>
      </c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</row>
    <row r="47" spans="1:21" s="1159" customFormat="1" ht="14.25" customHeight="1" x14ac:dyDescent="0.25">
      <c r="A47" s="50">
        <v>3299</v>
      </c>
      <c r="B47" s="19">
        <v>5213</v>
      </c>
      <c r="C47" s="122"/>
      <c r="D47" s="1409" t="s">
        <v>343</v>
      </c>
      <c r="E47" s="48"/>
      <c r="F47" s="313">
        <v>15</v>
      </c>
      <c r="G47" s="315">
        <v>15</v>
      </c>
      <c r="H47" s="1113">
        <f>(G47/F47)*100</f>
        <v>100</v>
      </c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</row>
    <row r="48" spans="1:21" s="1159" customFormat="1" ht="14.25" customHeight="1" x14ac:dyDescent="0.25">
      <c r="A48" s="50"/>
      <c r="B48" s="19"/>
      <c r="C48" s="1135" t="s">
        <v>1262</v>
      </c>
      <c r="D48" s="1727" t="s">
        <v>1757</v>
      </c>
      <c r="E48" s="48"/>
      <c r="F48" s="314">
        <v>15</v>
      </c>
      <c r="G48" s="316">
        <v>15</v>
      </c>
      <c r="H48" s="1116">
        <f>(G48/F48)*100</f>
        <v>100</v>
      </c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</row>
    <row r="49" spans="1:21" s="1159" customFormat="1" ht="14.25" customHeight="1" x14ac:dyDescent="0.25">
      <c r="A49" s="50">
        <v>3299</v>
      </c>
      <c r="B49" s="31">
        <v>5221</v>
      </c>
      <c r="C49" s="1429"/>
      <c r="D49" s="2679" t="s">
        <v>728</v>
      </c>
      <c r="E49" s="48"/>
      <c r="F49" s="313"/>
      <c r="G49" s="315"/>
      <c r="H49" s="203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</row>
    <row r="50" spans="1:21" s="1159" customFormat="1" ht="14.25" customHeight="1" x14ac:dyDescent="0.25">
      <c r="A50" s="50"/>
      <c r="B50" s="31"/>
      <c r="C50" s="1429"/>
      <c r="D50" s="2679"/>
      <c r="E50" s="48"/>
      <c r="F50" s="315">
        <f>F51+F52+F53</f>
        <v>8600</v>
      </c>
      <c r="G50" s="315">
        <f>G51+G52+G53</f>
        <v>8600</v>
      </c>
      <c r="H50" s="1113">
        <f t="shared" ref="H50:H58" si="2">(G50/F50)*100</f>
        <v>100</v>
      </c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</row>
    <row r="51" spans="1:21" s="1159" customFormat="1" ht="14.25" customHeight="1" x14ac:dyDescent="0.25">
      <c r="A51" s="50"/>
      <c r="B51" s="31"/>
      <c r="C51" s="1447" t="s">
        <v>262</v>
      </c>
      <c r="D51" s="117" t="s">
        <v>333</v>
      </c>
      <c r="E51" s="48"/>
      <c r="F51" s="314">
        <v>900</v>
      </c>
      <c r="G51" s="316">
        <v>900</v>
      </c>
      <c r="H51" s="1116">
        <f t="shared" si="2"/>
        <v>100</v>
      </c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</row>
    <row r="52" spans="1:21" s="1159" customFormat="1" ht="14.25" customHeight="1" x14ac:dyDescent="0.25">
      <c r="A52" s="50"/>
      <c r="B52" s="31"/>
      <c r="C52" s="1170" t="s">
        <v>1588</v>
      </c>
      <c r="D52" s="1924" t="s">
        <v>1587</v>
      </c>
      <c r="E52" s="48"/>
      <c r="F52" s="314">
        <v>700</v>
      </c>
      <c r="G52" s="316">
        <v>700</v>
      </c>
      <c r="H52" s="1116">
        <f t="shared" si="2"/>
        <v>100</v>
      </c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</row>
    <row r="53" spans="1:21" s="1159" customFormat="1" ht="14.25" customHeight="1" x14ac:dyDescent="0.25">
      <c r="A53" s="50"/>
      <c r="B53" s="19"/>
      <c r="C53" s="1110" t="s">
        <v>1516</v>
      </c>
      <c r="D53" s="117" t="s">
        <v>1515</v>
      </c>
      <c r="E53" s="48"/>
      <c r="F53" s="314">
        <v>7000</v>
      </c>
      <c r="G53" s="316">
        <v>7000</v>
      </c>
      <c r="H53" s="1116">
        <f t="shared" si="2"/>
        <v>100</v>
      </c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</row>
    <row r="54" spans="1:21" s="1159" customFormat="1" ht="14.25" customHeight="1" x14ac:dyDescent="0.25">
      <c r="A54" s="50">
        <v>3299</v>
      </c>
      <c r="B54" s="19">
        <v>5222</v>
      </c>
      <c r="C54" s="1120"/>
      <c r="D54" s="1925" t="s">
        <v>342</v>
      </c>
      <c r="E54" s="48"/>
      <c r="F54" s="313">
        <v>20</v>
      </c>
      <c r="G54" s="315">
        <v>20</v>
      </c>
      <c r="H54" s="203">
        <f t="shared" si="2"/>
        <v>100</v>
      </c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</row>
    <row r="55" spans="1:21" s="1159" customFormat="1" ht="14.25" customHeight="1" x14ac:dyDescent="0.25">
      <c r="A55" s="50"/>
      <c r="B55" s="19"/>
      <c r="C55" s="1135" t="s">
        <v>1262</v>
      </c>
      <c r="D55" s="1727" t="s">
        <v>1757</v>
      </c>
      <c r="E55" s="48"/>
      <c r="F55" s="314">
        <v>20</v>
      </c>
      <c r="G55" s="316">
        <v>20</v>
      </c>
      <c r="H55" s="1116">
        <f t="shared" si="2"/>
        <v>100</v>
      </c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</row>
    <row r="56" spans="1:21" s="1159" customFormat="1" ht="14.25" customHeight="1" x14ac:dyDescent="0.25">
      <c r="A56" s="50">
        <v>3299</v>
      </c>
      <c r="B56" s="19">
        <v>5229</v>
      </c>
      <c r="C56" s="1120"/>
      <c r="D56" s="1409" t="s">
        <v>1191</v>
      </c>
      <c r="E56" s="48"/>
      <c r="F56" s="313">
        <v>100</v>
      </c>
      <c r="G56" s="315">
        <v>100</v>
      </c>
      <c r="H56" s="203">
        <f t="shared" si="2"/>
        <v>100</v>
      </c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</row>
    <row r="57" spans="1:21" s="1159" customFormat="1" ht="14.25" customHeight="1" x14ac:dyDescent="0.25">
      <c r="A57" s="50"/>
      <c r="B57" s="19"/>
      <c r="C57" s="1120" t="s">
        <v>369</v>
      </c>
      <c r="D57" s="1177" t="s">
        <v>933</v>
      </c>
      <c r="E57" s="48"/>
      <c r="F57" s="314">
        <v>100</v>
      </c>
      <c r="G57" s="316">
        <v>100</v>
      </c>
      <c r="H57" s="1116">
        <f t="shared" si="2"/>
        <v>100</v>
      </c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</row>
    <row r="58" spans="1:21" s="1159" customFormat="1" ht="14.25" customHeight="1" x14ac:dyDescent="0.25">
      <c r="A58" s="50">
        <v>3299</v>
      </c>
      <c r="B58" s="19">
        <v>5339</v>
      </c>
      <c r="C58" s="1110"/>
      <c r="D58" s="1209" t="s">
        <v>1299</v>
      </c>
      <c r="E58" s="48">
        <v>800</v>
      </c>
      <c r="F58" s="313">
        <v>100</v>
      </c>
      <c r="G58" s="315">
        <v>100</v>
      </c>
      <c r="H58" s="1113">
        <f t="shared" si="2"/>
        <v>100</v>
      </c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</row>
    <row r="59" spans="1:21" s="1159" customFormat="1" ht="14.25" customHeight="1" x14ac:dyDescent="0.2">
      <c r="A59" s="50"/>
      <c r="B59" s="19"/>
      <c r="C59" s="1170" t="s">
        <v>1588</v>
      </c>
      <c r="D59" s="1924" t="s">
        <v>1587</v>
      </c>
      <c r="E59" s="55">
        <v>800</v>
      </c>
      <c r="F59" s="314">
        <v>100</v>
      </c>
      <c r="G59" s="316">
        <v>100</v>
      </c>
      <c r="H59" s="1116">
        <v>0</v>
      </c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</row>
    <row r="60" spans="1:21" s="1159" customFormat="1" ht="14.25" customHeight="1" x14ac:dyDescent="0.25">
      <c r="A60" s="50">
        <v>3299</v>
      </c>
      <c r="B60" s="19">
        <v>5493</v>
      </c>
      <c r="C60" s="1446"/>
      <c r="D60" s="1435" t="s">
        <v>964</v>
      </c>
      <c r="E60" s="48">
        <v>2000</v>
      </c>
      <c r="F60" s="315">
        <f>F61+F62+F63</f>
        <v>1158</v>
      </c>
      <c r="G60" s="315">
        <f>G61+G62+G63</f>
        <v>1132</v>
      </c>
      <c r="H60" s="203">
        <f t="shared" ref="H60:H115" si="3">(G60/F60)*100</f>
        <v>97.754749568221072</v>
      </c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</row>
    <row r="61" spans="1:21" s="1159" customFormat="1" ht="14.25" customHeight="1" x14ac:dyDescent="0.2">
      <c r="A61" s="50"/>
      <c r="B61" s="19"/>
      <c r="C61" s="1135" t="s">
        <v>1262</v>
      </c>
      <c r="D61" s="1727" t="s">
        <v>1757</v>
      </c>
      <c r="E61" s="55"/>
      <c r="F61" s="314">
        <v>10</v>
      </c>
      <c r="G61" s="316">
        <v>10</v>
      </c>
      <c r="H61" s="1116">
        <f t="shared" si="3"/>
        <v>100</v>
      </c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</row>
    <row r="62" spans="1:21" s="1159" customFormat="1" ht="14.25" customHeight="1" x14ac:dyDescent="0.2">
      <c r="A62" s="50"/>
      <c r="B62" s="19"/>
      <c r="C62" s="1170" t="s">
        <v>1588</v>
      </c>
      <c r="D62" s="1924" t="s">
        <v>1587</v>
      </c>
      <c r="E62" s="55">
        <v>500</v>
      </c>
      <c r="F62" s="314">
        <v>48</v>
      </c>
      <c r="G62" s="316">
        <v>48</v>
      </c>
      <c r="H62" s="1116">
        <f t="shared" si="3"/>
        <v>100</v>
      </c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</row>
    <row r="63" spans="1:21" s="1159" customFormat="1" ht="14.25" customHeight="1" x14ac:dyDescent="0.2">
      <c r="A63" s="50"/>
      <c r="B63" s="19"/>
      <c r="C63" s="1120" t="s">
        <v>339</v>
      </c>
      <c r="D63" s="1177" t="s">
        <v>340</v>
      </c>
      <c r="E63" s="55">
        <v>1500</v>
      </c>
      <c r="F63" s="314">
        <v>1100</v>
      </c>
      <c r="G63" s="316">
        <v>1074</v>
      </c>
      <c r="H63" s="1116">
        <f t="shared" si="3"/>
        <v>97.636363636363626</v>
      </c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</row>
    <row r="64" spans="1:21" s="1159" customFormat="1" ht="14.25" customHeight="1" x14ac:dyDescent="0.25">
      <c r="A64" s="50">
        <v>3319</v>
      </c>
      <c r="B64" s="19">
        <v>5213</v>
      </c>
      <c r="C64" s="1120"/>
      <c r="D64" s="1409" t="s">
        <v>343</v>
      </c>
      <c r="E64" s="55"/>
      <c r="F64" s="313">
        <v>20</v>
      </c>
      <c r="G64" s="315">
        <v>20</v>
      </c>
      <c r="H64" s="203">
        <f t="shared" si="3"/>
        <v>100</v>
      </c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</row>
    <row r="65" spans="1:21" s="1159" customFormat="1" ht="14.25" customHeight="1" x14ac:dyDescent="0.2">
      <c r="A65" s="50"/>
      <c r="B65" s="19"/>
      <c r="C65" s="1135" t="s">
        <v>1262</v>
      </c>
      <c r="D65" s="1727" t="s">
        <v>1757</v>
      </c>
      <c r="E65" s="55"/>
      <c r="F65" s="314">
        <v>20</v>
      </c>
      <c r="G65" s="316">
        <v>20</v>
      </c>
      <c r="H65" s="1116">
        <f t="shared" si="3"/>
        <v>100</v>
      </c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</row>
    <row r="66" spans="1:21" s="1159" customFormat="1" ht="14.25" customHeight="1" x14ac:dyDescent="0.25">
      <c r="A66" s="50">
        <v>3319</v>
      </c>
      <c r="B66" s="19">
        <v>5222</v>
      </c>
      <c r="C66" s="1120"/>
      <c r="D66" s="1925" t="s">
        <v>342</v>
      </c>
      <c r="E66" s="55"/>
      <c r="F66" s="313">
        <v>47</v>
      </c>
      <c r="G66" s="315">
        <v>47</v>
      </c>
      <c r="H66" s="203">
        <f t="shared" si="3"/>
        <v>100</v>
      </c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</row>
    <row r="67" spans="1:21" s="1159" customFormat="1" ht="14.25" customHeight="1" x14ac:dyDescent="0.2">
      <c r="A67" s="50"/>
      <c r="B67" s="19"/>
      <c r="C67" s="1135" t="s">
        <v>1262</v>
      </c>
      <c r="D67" s="1727" t="s">
        <v>1757</v>
      </c>
      <c r="E67" s="55"/>
      <c r="F67" s="314">
        <v>47</v>
      </c>
      <c r="G67" s="316">
        <v>47</v>
      </c>
      <c r="H67" s="1116">
        <f t="shared" si="3"/>
        <v>100</v>
      </c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</row>
    <row r="68" spans="1:21" s="1159" customFormat="1" ht="15.75" customHeight="1" x14ac:dyDescent="0.25">
      <c r="A68" s="50">
        <v>3419</v>
      </c>
      <c r="B68" s="19">
        <v>5212</v>
      </c>
      <c r="C68" s="1120"/>
      <c r="D68" s="680" t="s">
        <v>712</v>
      </c>
      <c r="E68" s="55"/>
      <c r="F68" s="315">
        <f>F69+F70</f>
        <v>400</v>
      </c>
      <c r="G68" s="315">
        <f>G69+G70</f>
        <v>400</v>
      </c>
      <c r="H68" s="203">
        <f t="shared" si="3"/>
        <v>100</v>
      </c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</row>
    <row r="69" spans="1:21" s="1159" customFormat="1" ht="15.75" customHeight="1" x14ac:dyDescent="0.2">
      <c r="A69" s="50"/>
      <c r="B69" s="19"/>
      <c r="C69" s="1135" t="s">
        <v>262</v>
      </c>
      <c r="D69" s="1177" t="s">
        <v>333</v>
      </c>
      <c r="E69" s="55"/>
      <c r="F69" s="314">
        <v>300</v>
      </c>
      <c r="G69" s="316">
        <v>300</v>
      </c>
      <c r="H69" s="1116">
        <f t="shared" si="3"/>
        <v>100</v>
      </c>
      <c r="I69" s="1107"/>
      <c r="J69" s="1141">
        <f>F12+F14+F15+F16+F17+F18+F19+F20+F21+F22+F26+F27+F31+F32+F36+F40+F42+F44+F46+F47+F50+F54+F56+F58+F60+F64+F66+F68+F10</f>
        <v>26091</v>
      </c>
      <c r="K69" s="1141">
        <f>G12+G14+G15+G16+G17+G18+G19+G20+G21+G22+G26+G27+G31+G32+G36+G40+G42+G44+G46+G47+G50+G54+G56+G58+G60+G64+G66+G68+G10</f>
        <v>25919</v>
      </c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</row>
    <row r="70" spans="1:21" s="1159" customFormat="1" ht="15.75" customHeight="1" thickBot="1" x14ac:dyDescent="0.25">
      <c r="A70" s="50"/>
      <c r="B70" s="19"/>
      <c r="C70" s="1135" t="s">
        <v>1262</v>
      </c>
      <c r="D70" s="1727" t="s">
        <v>1757</v>
      </c>
      <c r="E70" s="55"/>
      <c r="F70" s="314">
        <v>100</v>
      </c>
      <c r="G70" s="316">
        <v>100</v>
      </c>
      <c r="H70" s="1116">
        <f t="shared" si="3"/>
        <v>100</v>
      </c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</row>
    <row r="71" spans="1:21" s="1159" customFormat="1" ht="15.75" customHeight="1" thickTop="1" x14ac:dyDescent="0.2">
      <c r="A71" s="1223"/>
      <c r="B71" s="1223"/>
      <c r="C71" s="1901"/>
      <c r="D71" s="1931"/>
      <c r="E71" s="1453"/>
      <c r="F71" s="1515"/>
      <c r="G71" s="1515"/>
      <c r="H71" s="1839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</row>
    <row r="72" spans="1:21" ht="12.75" customHeight="1" thickBot="1" x14ac:dyDescent="0.3">
      <c r="A72" s="98"/>
      <c r="B72" s="28"/>
      <c r="C72" s="142"/>
      <c r="D72" s="10"/>
      <c r="E72" s="463"/>
      <c r="F72" s="463"/>
      <c r="G72" s="168"/>
      <c r="H72" s="1855" t="s">
        <v>173</v>
      </c>
    </row>
    <row r="73" spans="1:21" s="107" customFormat="1" ht="20.25" customHeight="1" thickTop="1" thickBot="1" x14ac:dyDescent="0.25">
      <c r="A73" s="633" t="s">
        <v>174</v>
      </c>
      <c r="B73" s="634" t="s">
        <v>175</v>
      </c>
      <c r="C73" s="678" t="s">
        <v>744</v>
      </c>
      <c r="D73" s="636" t="s">
        <v>176</v>
      </c>
      <c r="E73" s="636" t="s">
        <v>177</v>
      </c>
      <c r="F73" s="636" t="s">
        <v>922</v>
      </c>
      <c r="G73" s="636" t="s">
        <v>923</v>
      </c>
      <c r="H73" s="637" t="s">
        <v>924</v>
      </c>
    </row>
    <row r="74" spans="1:21" s="384" customFormat="1" ht="13.5" thickTop="1" thickBot="1" x14ac:dyDescent="0.25">
      <c r="A74" s="568">
        <v>1</v>
      </c>
      <c r="B74" s="569">
        <v>2</v>
      </c>
      <c r="C74" s="569">
        <v>3</v>
      </c>
      <c r="D74" s="569">
        <v>4</v>
      </c>
      <c r="E74" s="569">
        <v>5</v>
      </c>
      <c r="F74" s="543">
        <v>6</v>
      </c>
      <c r="G74" s="543">
        <v>7</v>
      </c>
      <c r="H74" s="638" t="s">
        <v>61</v>
      </c>
      <c r="I74" s="107"/>
    </row>
    <row r="75" spans="1:21" s="1159" customFormat="1" ht="15.75" customHeight="1" thickTop="1" x14ac:dyDescent="0.25">
      <c r="A75" s="50">
        <v>3419</v>
      </c>
      <c r="B75" s="19">
        <v>5213</v>
      </c>
      <c r="C75" s="1135"/>
      <c r="D75" s="1409" t="s">
        <v>343</v>
      </c>
      <c r="E75" s="71"/>
      <c r="F75" s="315">
        <f>F76+F77+F78+F79</f>
        <v>5385</v>
      </c>
      <c r="G75" s="315">
        <f>G76+G77+G79+G78</f>
        <v>5385</v>
      </c>
      <c r="H75" s="1113">
        <f t="shared" si="3"/>
        <v>100</v>
      </c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</row>
    <row r="76" spans="1:21" s="1159" customFormat="1" ht="15.75" customHeight="1" x14ac:dyDescent="0.2">
      <c r="A76" s="50"/>
      <c r="B76" s="19"/>
      <c r="C76" s="1135" t="s">
        <v>262</v>
      </c>
      <c r="D76" s="1177" t="s">
        <v>333</v>
      </c>
      <c r="E76" s="55"/>
      <c r="F76" s="314">
        <v>2200</v>
      </c>
      <c r="G76" s="316">
        <v>2200</v>
      </c>
      <c r="H76" s="1116">
        <f t="shared" si="3"/>
        <v>100</v>
      </c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</row>
    <row r="77" spans="1:21" s="1159" customFormat="1" ht="15.75" customHeight="1" x14ac:dyDescent="0.2">
      <c r="A77" s="50"/>
      <c r="B77" s="19"/>
      <c r="C77" s="1135" t="s">
        <v>1262</v>
      </c>
      <c r="D77" s="1727" t="s">
        <v>1757</v>
      </c>
      <c r="E77" s="55"/>
      <c r="F77" s="314">
        <v>150</v>
      </c>
      <c r="G77" s="316">
        <v>150</v>
      </c>
      <c r="H77" s="1116">
        <f t="shared" si="3"/>
        <v>100</v>
      </c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</row>
    <row r="78" spans="1:21" s="1159" customFormat="1" ht="15.75" customHeight="1" x14ac:dyDescent="0.2">
      <c r="A78" s="50"/>
      <c r="B78" s="19"/>
      <c r="C78" s="1120" t="s">
        <v>369</v>
      </c>
      <c r="D78" s="1177" t="s">
        <v>933</v>
      </c>
      <c r="E78" s="55"/>
      <c r="F78" s="314">
        <v>50</v>
      </c>
      <c r="G78" s="316">
        <v>50</v>
      </c>
      <c r="H78" s="1116">
        <f t="shared" si="3"/>
        <v>100</v>
      </c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</row>
    <row r="79" spans="1:21" s="1159" customFormat="1" ht="15.75" customHeight="1" x14ac:dyDescent="0.2">
      <c r="A79" s="50"/>
      <c r="B79" s="19"/>
      <c r="C79" s="1120" t="s">
        <v>341</v>
      </c>
      <c r="D79" s="1917" t="s">
        <v>729</v>
      </c>
      <c r="E79" s="55"/>
      <c r="F79" s="314">
        <v>2985</v>
      </c>
      <c r="G79" s="316">
        <v>2985</v>
      </c>
      <c r="H79" s="1116">
        <f t="shared" si="3"/>
        <v>100</v>
      </c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</row>
    <row r="80" spans="1:21" s="1107" customFormat="1" ht="15" x14ac:dyDescent="0.25">
      <c r="A80" s="50">
        <v>3419</v>
      </c>
      <c r="B80" s="19">
        <v>5222</v>
      </c>
      <c r="C80" s="1137"/>
      <c r="D80" s="1925" t="s">
        <v>342</v>
      </c>
      <c r="E80" s="71">
        <f>E83</f>
        <v>33600</v>
      </c>
      <c r="F80" s="315">
        <f>F81+F82+F83</f>
        <v>43409</v>
      </c>
      <c r="G80" s="315">
        <f>G81+G82+G83</f>
        <v>43205</v>
      </c>
      <c r="H80" s="1113">
        <f t="shared" si="3"/>
        <v>99.530051371835341</v>
      </c>
    </row>
    <row r="81" spans="1:11" s="1107" customFormat="1" ht="15" x14ac:dyDescent="0.25">
      <c r="A81" s="50"/>
      <c r="B81" s="19"/>
      <c r="C81" s="1135" t="s">
        <v>262</v>
      </c>
      <c r="D81" s="1177" t="s">
        <v>333</v>
      </c>
      <c r="E81" s="71"/>
      <c r="F81" s="314">
        <v>9755</v>
      </c>
      <c r="G81" s="316">
        <v>9555</v>
      </c>
      <c r="H81" s="1116">
        <f t="shared" si="3"/>
        <v>97.949769349051763</v>
      </c>
    </row>
    <row r="82" spans="1:11" s="1107" customFormat="1" ht="15" x14ac:dyDescent="0.25">
      <c r="A82" s="50"/>
      <c r="B82" s="19"/>
      <c r="C82" s="1135" t="s">
        <v>1262</v>
      </c>
      <c r="D82" s="1727" t="s">
        <v>1757</v>
      </c>
      <c r="E82" s="71"/>
      <c r="F82" s="314">
        <v>3039</v>
      </c>
      <c r="G82" s="316">
        <v>3038</v>
      </c>
      <c r="H82" s="1116">
        <f t="shared" si="3"/>
        <v>99.967094438960174</v>
      </c>
    </row>
    <row r="83" spans="1:11" s="1107" customFormat="1" x14ac:dyDescent="0.2">
      <c r="A83" s="50"/>
      <c r="B83" s="19"/>
      <c r="C83" s="1120" t="s">
        <v>341</v>
      </c>
      <c r="D83" s="1917" t="s">
        <v>729</v>
      </c>
      <c r="E83" s="55">
        <v>33600</v>
      </c>
      <c r="F83" s="314">
        <v>30615</v>
      </c>
      <c r="G83" s="316">
        <v>30612</v>
      </c>
      <c r="H83" s="1116">
        <f t="shared" si="3"/>
        <v>99.990200881920629</v>
      </c>
    </row>
    <row r="84" spans="1:11" s="1107" customFormat="1" ht="15" x14ac:dyDescent="0.25">
      <c r="A84" s="50">
        <v>3419</v>
      </c>
      <c r="B84" s="19">
        <v>5229</v>
      </c>
      <c r="C84" s="1120"/>
      <c r="D84" s="1409" t="s">
        <v>1191</v>
      </c>
      <c r="E84" s="71">
        <v>200</v>
      </c>
      <c r="F84" s="313">
        <v>150</v>
      </c>
      <c r="G84" s="315">
        <v>150</v>
      </c>
      <c r="H84" s="203">
        <f t="shared" si="3"/>
        <v>100</v>
      </c>
    </row>
    <row r="85" spans="1:11" s="1107" customFormat="1" x14ac:dyDescent="0.2">
      <c r="A85" s="50"/>
      <c r="B85" s="19"/>
      <c r="C85" s="1120" t="s">
        <v>369</v>
      </c>
      <c r="D85" s="1177" t="s">
        <v>933</v>
      </c>
      <c r="E85" s="55">
        <v>200</v>
      </c>
      <c r="F85" s="316">
        <v>150</v>
      </c>
      <c r="G85" s="446">
        <v>150</v>
      </c>
      <c r="H85" s="1116">
        <f t="shared" si="3"/>
        <v>100</v>
      </c>
    </row>
    <row r="86" spans="1:11" s="1107" customFormat="1" ht="15" x14ac:dyDescent="0.25">
      <c r="A86" s="50">
        <v>3419</v>
      </c>
      <c r="B86" s="19">
        <v>5493</v>
      </c>
      <c r="C86" s="1120"/>
      <c r="D86" s="1286" t="s">
        <v>730</v>
      </c>
      <c r="E86" s="55"/>
      <c r="F86" s="315">
        <f>F87+F88</f>
        <v>1163</v>
      </c>
      <c r="G86" s="315">
        <f>G87+G88</f>
        <v>1118</v>
      </c>
      <c r="H86" s="1113">
        <f t="shared" si="3"/>
        <v>96.130696474634576</v>
      </c>
    </row>
    <row r="87" spans="1:11" s="1107" customFormat="1" x14ac:dyDescent="0.2">
      <c r="A87" s="50"/>
      <c r="B87" s="19"/>
      <c r="C87" s="1135" t="s">
        <v>262</v>
      </c>
      <c r="D87" s="1177" t="s">
        <v>333</v>
      </c>
      <c r="E87" s="55"/>
      <c r="F87" s="314">
        <v>150</v>
      </c>
      <c r="G87" s="316">
        <v>150</v>
      </c>
      <c r="H87" s="1116">
        <f t="shared" si="3"/>
        <v>100</v>
      </c>
    </row>
    <row r="88" spans="1:11" s="1107" customFormat="1" x14ac:dyDescent="0.2">
      <c r="A88" s="50"/>
      <c r="B88" s="19"/>
      <c r="C88" s="1135" t="s">
        <v>1262</v>
      </c>
      <c r="D88" s="1727" t="s">
        <v>1757</v>
      </c>
      <c r="E88" s="55"/>
      <c r="F88" s="314">
        <v>1013</v>
      </c>
      <c r="G88" s="316">
        <v>968</v>
      </c>
      <c r="H88" s="1116">
        <f t="shared" si="3"/>
        <v>95.557749259624885</v>
      </c>
    </row>
    <row r="89" spans="1:11" s="1107" customFormat="1" ht="15" x14ac:dyDescent="0.25">
      <c r="A89" s="50">
        <v>3419</v>
      </c>
      <c r="B89" s="19">
        <v>5909</v>
      </c>
      <c r="C89" s="1135"/>
      <c r="D89" s="1833" t="s">
        <v>467</v>
      </c>
      <c r="E89" s="55"/>
      <c r="F89" s="313">
        <v>98</v>
      </c>
      <c r="G89" s="315">
        <v>98</v>
      </c>
      <c r="H89" s="203">
        <f t="shared" si="3"/>
        <v>100</v>
      </c>
      <c r="J89" s="1141">
        <f>F95+F94+F93+F92+F91+F90+F21+F20+F19+F18+F17+F16+F15+F14</f>
        <v>280</v>
      </c>
      <c r="K89" s="1141">
        <f>G95+G94+G93+G92+G91+G90+G21+G20+G19+G18+G17+G16+G15+G14</f>
        <v>278</v>
      </c>
    </row>
    <row r="90" spans="1:11" s="1107" customFormat="1" ht="15" x14ac:dyDescent="0.25">
      <c r="A90" s="50">
        <v>3421</v>
      </c>
      <c r="B90" s="19">
        <v>5021</v>
      </c>
      <c r="C90" s="1135"/>
      <c r="D90" s="1833" t="s">
        <v>409</v>
      </c>
      <c r="E90" s="55"/>
      <c r="F90" s="313">
        <v>1</v>
      </c>
      <c r="G90" s="315">
        <v>1</v>
      </c>
      <c r="H90" s="203">
        <f t="shared" si="3"/>
        <v>100</v>
      </c>
    </row>
    <row r="91" spans="1:11" s="1107" customFormat="1" ht="15" x14ac:dyDescent="0.25">
      <c r="A91" s="50">
        <v>3421</v>
      </c>
      <c r="B91" s="19">
        <v>5151</v>
      </c>
      <c r="C91" s="1135"/>
      <c r="D91" s="72" t="s">
        <v>900</v>
      </c>
      <c r="E91" s="55"/>
      <c r="F91" s="313">
        <v>10</v>
      </c>
      <c r="G91" s="315">
        <v>10</v>
      </c>
      <c r="H91" s="203">
        <f t="shared" si="3"/>
        <v>100</v>
      </c>
    </row>
    <row r="92" spans="1:11" s="1107" customFormat="1" ht="15" x14ac:dyDescent="0.25">
      <c r="A92" s="50">
        <v>3421</v>
      </c>
      <c r="B92" s="19">
        <v>5154</v>
      </c>
      <c r="C92" s="1135"/>
      <c r="D92" s="72" t="s">
        <v>311</v>
      </c>
      <c r="E92" s="55"/>
      <c r="F92" s="313">
        <v>27</v>
      </c>
      <c r="G92" s="315">
        <v>27</v>
      </c>
      <c r="H92" s="203">
        <f t="shared" si="3"/>
        <v>100</v>
      </c>
    </row>
    <row r="93" spans="1:11" s="1107" customFormat="1" ht="15" x14ac:dyDescent="0.25">
      <c r="A93" s="50">
        <v>3421</v>
      </c>
      <c r="B93" s="19">
        <v>5156</v>
      </c>
      <c r="C93" s="1135"/>
      <c r="D93" s="72" t="s">
        <v>904</v>
      </c>
      <c r="E93" s="55"/>
      <c r="F93" s="313">
        <v>1</v>
      </c>
      <c r="G93" s="315">
        <v>1</v>
      </c>
      <c r="H93" s="203">
        <f t="shared" si="3"/>
        <v>100</v>
      </c>
    </row>
    <row r="94" spans="1:11" s="1107" customFormat="1" ht="15" x14ac:dyDescent="0.25">
      <c r="A94" s="50">
        <v>3421</v>
      </c>
      <c r="B94" s="19">
        <v>5162</v>
      </c>
      <c r="C94" s="1135"/>
      <c r="D94" s="72" t="s">
        <v>904</v>
      </c>
      <c r="E94" s="55"/>
      <c r="F94" s="313">
        <v>6</v>
      </c>
      <c r="G94" s="315">
        <v>6</v>
      </c>
      <c r="H94" s="203">
        <f t="shared" si="3"/>
        <v>100</v>
      </c>
    </row>
    <row r="95" spans="1:11" s="1107" customFormat="1" ht="15" x14ac:dyDescent="0.25">
      <c r="A95" s="50">
        <v>3421</v>
      </c>
      <c r="B95" s="19">
        <v>5169</v>
      </c>
      <c r="C95" s="1135"/>
      <c r="D95" s="72" t="s">
        <v>892</v>
      </c>
      <c r="E95" s="55"/>
      <c r="F95" s="313">
        <v>55</v>
      </c>
      <c r="G95" s="315">
        <v>55</v>
      </c>
      <c r="H95" s="203">
        <f t="shared" si="3"/>
        <v>100</v>
      </c>
    </row>
    <row r="96" spans="1:11" s="1107" customFormat="1" ht="15" x14ac:dyDescent="0.25">
      <c r="A96" s="50">
        <v>3421</v>
      </c>
      <c r="B96" s="19">
        <v>5321</v>
      </c>
      <c r="C96" s="1135"/>
      <c r="D96" s="1435" t="s">
        <v>1261</v>
      </c>
      <c r="E96" s="55"/>
      <c r="F96" s="315">
        <f>F97+F98</f>
        <v>585</v>
      </c>
      <c r="G96" s="315">
        <f>G97+G98</f>
        <v>585</v>
      </c>
      <c r="H96" s="203">
        <f t="shared" si="3"/>
        <v>100</v>
      </c>
    </row>
    <row r="97" spans="1:11" s="1107" customFormat="1" x14ac:dyDescent="0.2">
      <c r="A97" s="50"/>
      <c r="B97" s="19"/>
      <c r="C97" s="1120" t="s">
        <v>369</v>
      </c>
      <c r="D97" s="1177" t="s">
        <v>933</v>
      </c>
      <c r="E97" s="55"/>
      <c r="F97" s="314">
        <v>43</v>
      </c>
      <c r="G97" s="316">
        <v>43</v>
      </c>
      <c r="H97" s="1116">
        <f t="shared" si="3"/>
        <v>100</v>
      </c>
    </row>
    <row r="98" spans="1:11" s="1107" customFormat="1" x14ac:dyDescent="0.2">
      <c r="A98" s="50"/>
      <c r="B98" s="19"/>
      <c r="C98" s="1135" t="s">
        <v>1186</v>
      </c>
      <c r="D98" s="1177" t="s">
        <v>1815</v>
      </c>
      <c r="E98" s="55"/>
      <c r="F98" s="314">
        <v>542</v>
      </c>
      <c r="G98" s="316">
        <v>542</v>
      </c>
      <c r="H98" s="1116">
        <f t="shared" si="3"/>
        <v>100</v>
      </c>
    </row>
    <row r="99" spans="1:11" s="1107" customFormat="1" ht="15" x14ac:dyDescent="0.25">
      <c r="A99" s="50">
        <v>3429</v>
      </c>
      <c r="B99" s="19">
        <v>5212</v>
      </c>
      <c r="C99" s="1135"/>
      <c r="D99" s="680" t="s">
        <v>712</v>
      </c>
      <c r="E99" s="55"/>
      <c r="F99" s="313">
        <v>25</v>
      </c>
      <c r="G99" s="315">
        <v>25</v>
      </c>
      <c r="H99" s="203">
        <f t="shared" si="3"/>
        <v>100</v>
      </c>
    </row>
    <row r="100" spans="1:11" s="1107" customFormat="1" x14ac:dyDescent="0.2">
      <c r="A100" s="50"/>
      <c r="B100" s="19"/>
      <c r="C100" s="1135" t="s">
        <v>1262</v>
      </c>
      <c r="D100" s="1727" t="s">
        <v>1757</v>
      </c>
      <c r="E100" s="55"/>
      <c r="F100" s="314">
        <v>25</v>
      </c>
      <c r="G100" s="316">
        <v>25</v>
      </c>
      <c r="H100" s="1116">
        <f t="shared" si="3"/>
        <v>100</v>
      </c>
      <c r="J100" s="1141"/>
      <c r="K100" s="1141"/>
    </row>
    <row r="101" spans="1:11" s="1107" customFormat="1" ht="15" x14ac:dyDescent="0.25">
      <c r="A101" s="50">
        <v>3429</v>
      </c>
      <c r="B101" s="19">
        <v>5213</v>
      </c>
      <c r="C101" s="1447"/>
      <c r="D101" s="1208" t="s">
        <v>343</v>
      </c>
      <c r="E101" s="55"/>
      <c r="F101" s="313">
        <v>25</v>
      </c>
      <c r="G101" s="315">
        <v>25</v>
      </c>
      <c r="H101" s="203">
        <f t="shared" si="3"/>
        <v>100</v>
      </c>
    </row>
    <row r="102" spans="1:11" s="1107" customFormat="1" x14ac:dyDescent="0.2">
      <c r="A102" s="50"/>
      <c r="B102" s="19"/>
      <c r="C102" s="1135" t="s">
        <v>1262</v>
      </c>
      <c r="D102" s="1727" t="s">
        <v>1757</v>
      </c>
      <c r="E102" s="55"/>
      <c r="F102" s="314">
        <v>25</v>
      </c>
      <c r="G102" s="316">
        <v>25</v>
      </c>
      <c r="H102" s="1116">
        <f t="shared" si="3"/>
        <v>100</v>
      </c>
    </row>
    <row r="103" spans="1:11" s="1107" customFormat="1" ht="15" x14ac:dyDescent="0.25">
      <c r="A103" s="50">
        <v>3429</v>
      </c>
      <c r="B103" s="19">
        <v>5222</v>
      </c>
      <c r="C103" s="1458"/>
      <c r="D103" s="1436" t="s">
        <v>342</v>
      </c>
      <c r="E103" s="55"/>
      <c r="F103" s="315">
        <f>F104+F105</f>
        <v>1180</v>
      </c>
      <c r="G103" s="315">
        <f>G104+G105</f>
        <v>1180</v>
      </c>
      <c r="H103" s="203">
        <f>(G103/F103)*100</f>
        <v>100</v>
      </c>
    </row>
    <row r="104" spans="1:11" s="1107" customFormat="1" x14ac:dyDescent="0.2">
      <c r="A104" s="50"/>
      <c r="B104" s="19"/>
      <c r="C104" s="1135" t="s">
        <v>262</v>
      </c>
      <c r="D104" s="1177" t="s">
        <v>333</v>
      </c>
      <c r="E104" s="55"/>
      <c r="F104" s="314">
        <v>230</v>
      </c>
      <c r="G104" s="316">
        <v>230</v>
      </c>
      <c r="H104" s="1116">
        <f t="shared" si="3"/>
        <v>100</v>
      </c>
    </row>
    <row r="105" spans="1:11" s="1107" customFormat="1" x14ac:dyDescent="0.2">
      <c r="A105" s="50"/>
      <c r="B105" s="19"/>
      <c r="C105" s="1135" t="s">
        <v>1262</v>
      </c>
      <c r="D105" s="1727" t="s">
        <v>1757</v>
      </c>
      <c r="E105" s="55"/>
      <c r="F105" s="314">
        <v>950</v>
      </c>
      <c r="G105" s="316">
        <v>950</v>
      </c>
      <c r="H105" s="1116">
        <f t="shared" si="3"/>
        <v>100</v>
      </c>
      <c r="I105" s="1114"/>
    </row>
    <row r="106" spans="1:11" s="1107" customFormat="1" ht="15" x14ac:dyDescent="0.25">
      <c r="A106" s="50">
        <v>3429</v>
      </c>
      <c r="B106" s="19">
        <v>5229</v>
      </c>
      <c r="C106" s="1135"/>
      <c r="D106" s="1409" t="s">
        <v>1191</v>
      </c>
      <c r="E106" s="55"/>
      <c r="F106" s="313">
        <v>45</v>
      </c>
      <c r="G106" s="315">
        <v>45</v>
      </c>
      <c r="H106" s="203">
        <f t="shared" si="3"/>
        <v>100</v>
      </c>
    </row>
    <row r="107" spans="1:11" s="1107" customFormat="1" x14ac:dyDescent="0.2">
      <c r="A107" s="50"/>
      <c r="B107" s="19"/>
      <c r="C107" s="1135" t="s">
        <v>1262</v>
      </c>
      <c r="D107" s="1727" t="s">
        <v>1757</v>
      </c>
      <c r="E107" s="55"/>
      <c r="F107" s="314">
        <v>45</v>
      </c>
      <c r="G107" s="316">
        <v>45</v>
      </c>
      <c r="H107" s="1116">
        <f t="shared" si="3"/>
        <v>100</v>
      </c>
    </row>
    <row r="108" spans="1:11" s="1107" customFormat="1" ht="15" x14ac:dyDescent="0.25">
      <c r="A108" s="50">
        <v>3429</v>
      </c>
      <c r="B108" s="19">
        <v>5321</v>
      </c>
      <c r="C108" s="1135"/>
      <c r="D108" s="1435" t="s">
        <v>1261</v>
      </c>
      <c r="E108" s="55"/>
      <c r="F108" s="313">
        <v>15</v>
      </c>
      <c r="G108" s="315">
        <v>15</v>
      </c>
      <c r="H108" s="203">
        <f t="shared" si="3"/>
        <v>100</v>
      </c>
    </row>
    <row r="109" spans="1:11" s="1107" customFormat="1" x14ac:dyDescent="0.2">
      <c r="A109" s="50"/>
      <c r="B109" s="19"/>
      <c r="C109" s="1135" t="s">
        <v>1262</v>
      </c>
      <c r="D109" s="1727" t="s">
        <v>1757</v>
      </c>
      <c r="E109" s="55"/>
      <c r="F109" s="314">
        <v>15</v>
      </c>
      <c r="G109" s="316">
        <v>15</v>
      </c>
      <c r="H109" s="1116">
        <f t="shared" si="3"/>
        <v>100</v>
      </c>
    </row>
    <row r="110" spans="1:11" s="1107" customFormat="1" ht="15" x14ac:dyDescent="0.25">
      <c r="A110" s="50">
        <v>3429</v>
      </c>
      <c r="B110" s="19">
        <v>5493</v>
      </c>
      <c r="C110" s="1135"/>
      <c r="D110" s="1286" t="s">
        <v>730</v>
      </c>
      <c r="E110" s="55"/>
      <c r="F110" s="313">
        <v>285</v>
      </c>
      <c r="G110" s="315">
        <v>285</v>
      </c>
      <c r="H110" s="203">
        <f t="shared" si="3"/>
        <v>100</v>
      </c>
    </row>
    <row r="111" spans="1:11" s="1107" customFormat="1" x14ac:dyDescent="0.2">
      <c r="A111" s="50"/>
      <c r="B111" s="19"/>
      <c r="C111" s="1135" t="s">
        <v>1262</v>
      </c>
      <c r="D111" s="1727" t="s">
        <v>1757</v>
      </c>
      <c r="E111" s="55"/>
      <c r="F111" s="314">
        <v>285</v>
      </c>
      <c r="G111" s="316">
        <v>285</v>
      </c>
      <c r="H111" s="1116">
        <f t="shared" si="3"/>
        <v>100</v>
      </c>
    </row>
    <row r="112" spans="1:11" s="1107" customFormat="1" ht="15" x14ac:dyDescent="0.25">
      <c r="A112" s="50">
        <v>3541</v>
      </c>
      <c r="B112" s="19">
        <v>5493</v>
      </c>
      <c r="C112" s="1135"/>
      <c r="D112" s="1286" t="s">
        <v>730</v>
      </c>
      <c r="E112" s="55"/>
      <c r="F112" s="313">
        <v>20</v>
      </c>
      <c r="G112" s="315">
        <v>20</v>
      </c>
      <c r="H112" s="203">
        <f t="shared" si="3"/>
        <v>100</v>
      </c>
    </row>
    <row r="113" spans="1:14" s="1107" customFormat="1" x14ac:dyDescent="0.2">
      <c r="A113" s="50"/>
      <c r="B113" s="19"/>
      <c r="C113" s="1135" t="s">
        <v>1262</v>
      </c>
      <c r="D113" s="1727" t="s">
        <v>1757</v>
      </c>
      <c r="E113" s="55"/>
      <c r="F113" s="314">
        <v>20</v>
      </c>
      <c r="G113" s="316">
        <v>20</v>
      </c>
      <c r="H113" s="1116">
        <f t="shared" si="3"/>
        <v>100</v>
      </c>
    </row>
    <row r="114" spans="1:14" s="1107" customFormat="1" ht="15" x14ac:dyDescent="0.25">
      <c r="A114" s="50">
        <v>3792</v>
      </c>
      <c r="B114" s="19">
        <v>5164</v>
      </c>
      <c r="C114" s="1119"/>
      <c r="D114" s="1926" t="s">
        <v>182</v>
      </c>
      <c r="E114" s="71">
        <v>20</v>
      </c>
      <c r="F114" s="313">
        <v>20</v>
      </c>
      <c r="G114" s="315">
        <v>20</v>
      </c>
      <c r="H114" s="203">
        <f t="shared" si="3"/>
        <v>100</v>
      </c>
    </row>
    <row r="115" spans="1:14" s="1107" customFormat="1" x14ac:dyDescent="0.2">
      <c r="A115" s="50"/>
      <c r="B115" s="19"/>
      <c r="C115" s="1120" t="s">
        <v>1382</v>
      </c>
      <c r="D115" s="1177" t="s">
        <v>389</v>
      </c>
      <c r="E115" s="55">
        <v>20</v>
      </c>
      <c r="F115" s="314">
        <v>20</v>
      </c>
      <c r="G115" s="316">
        <v>20</v>
      </c>
      <c r="H115" s="1116">
        <f t="shared" si="3"/>
        <v>100</v>
      </c>
    </row>
    <row r="116" spans="1:14" s="1107" customFormat="1" ht="15" x14ac:dyDescent="0.25">
      <c r="A116" s="50">
        <v>3792</v>
      </c>
      <c r="B116" s="19">
        <v>5169</v>
      </c>
      <c r="C116" s="1120"/>
      <c r="D116" s="1502" t="s">
        <v>892</v>
      </c>
      <c r="E116" s="71">
        <v>120</v>
      </c>
      <c r="F116" s="313">
        <v>42</v>
      </c>
      <c r="G116" s="315">
        <v>42</v>
      </c>
      <c r="H116" s="1113">
        <f t="shared" ref="H116:H122" si="4">(G116/F116)*100</f>
        <v>100</v>
      </c>
    </row>
    <row r="117" spans="1:14" s="1107" customFormat="1" x14ac:dyDescent="0.2">
      <c r="A117" s="50"/>
      <c r="B117" s="19"/>
      <c r="C117" s="1110" t="s">
        <v>1382</v>
      </c>
      <c r="D117" s="117" t="s">
        <v>389</v>
      </c>
      <c r="E117" s="55">
        <v>120</v>
      </c>
      <c r="F117" s="314">
        <v>42</v>
      </c>
      <c r="G117" s="316">
        <v>42</v>
      </c>
      <c r="H117" s="1116">
        <f t="shared" si="4"/>
        <v>100</v>
      </c>
    </row>
    <row r="118" spans="1:14" s="1107" customFormat="1" ht="15" x14ac:dyDescent="0.25">
      <c r="A118" s="50">
        <v>3792</v>
      </c>
      <c r="B118" s="19">
        <v>5175</v>
      </c>
      <c r="C118" s="1110"/>
      <c r="D118" s="72" t="s">
        <v>707</v>
      </c>
      <c r="E118" s="71">
        <v>20</v>
      </c>
      <c r="F118" s="313">
        <v>20</v>
      </c>
      <c r="G118" s="315">
        <v>19</v>
      </c>
      <c r="H118" s="203">
        <f t="shared" si="4"/>
        <v>95</v>
      </c>
    </row>
    <row r="119" spans="1:14" s="1107" customFormat="1" x14ac:dyDescent="0.2">
      <c r="A119" s="50"/>
      <c r="B119" s="19"/>
      <c r="C119" s="1110" t="s">
        <v>1382</v>
      </c>
      <c r="D119" s="117" t="s">
        <v>389</v>
      </c>
      <c r="E119" s="55">
        <v>20</v>
      </c>
      <c r="F119" s="314">
        <v>20</v>
      </c>
      <c r="G119" s="316">
        <v>19</v>
      </c>
      <c r="H119" s="1116">
        <f t="shared" si="4"/>
        <v>95</v>
      </c>
    </row>
    <row r="120" spans="1:14" s="1107" customFormat="1" ht="15" x14ac:dyDescent="0.25">
      <c r="A120" s="50">
        <v>3792</v>
      </c>
      <c r="B120" s="19">
        <v>5321</v>
      </c>
      <c r="C120" s="1110"/>
      <c r="D120" s="1435" t="s">
        <v>1261</v>
      </c>
      <c r="E120" s="55"/>
      <c r="F120" s="313">
        <v>221</v>
      </c>
      <c r="G120" s="315">
        <v>221</v>
      </c>
      <c r="H120" s="203">
        <f t="shared" si="4"/>
        <v>100</v>
      </c>
    </row>
    <row r="121" spans="1:14" s="1107" customFormat="1" x14ac:dyDescent="0.2">
      <c r="A121" s="50"/>
      <c r="B121" s="19"/>
      <c r="C121" s="1110" t="s">
        <v>1382</v>
      </c>
      <c r="D121" s="117" t="s">
        <v>389</v>
      </c>
      <c r="E121" s="55"/>
      <c r="F121" s="314">
        <v>221</v>
      </c>
      <c r="G121" s="316">
        <v>221</v>
      </c>
      <c r="H121" s="1116">
        <f t="shared" si="4"/>
        <v>100</v>
      </c>
    </row>
    <row r="122" spans="1:14" s="1107" customFormat="1" ht="15" x14ac:dyDescent="0.25">
      <c r="A122" s="50">
        <v>6402</v>
      </c>
      <c r="B122" s="19">
        <v>5364</v>
      </c>
      <c r="C122" s="1110"/>
      <c r="D122" s="2680" t="s">
        <v>1179</v>
      </c>
      <c r="E122" s="55"/>
      <c r="F122" s="313">
        <v>2173</v>
      </c>
      <c r="G122" s="315">
        <v>2173</v>
      </c>
      <c r="H122" s="203">
        <f t="shared" si="4"/>
        <v>100</v>
      </c>
    </row>
    <row r="123" spans="1:14" s="1107" customFormat="1" x14ac:dyDescent="0.2">
      <c r="A123" s="50"/>
      <c r="B123" s="19"/>
      <c r="C123" s="1110"/>
      <c r="D123" s="2680"/>
      <c r="E123" s="55"/>
      <c r="F123" s="314"/>
      <c r="G123" s="316"/>
      <c r="H123" s="1116"/>
    </row>
    <row r="124" spans="1:14" s="1107" customFormat="1" ht="15" x14ac:dyDescent="0.25">
      <c r="A124" s="50"/>
      <c r="B124" s="19"/>
      <c r="C124" s="1110" t="s">
        <v>608</v>
      </c>
      <c r="D124" s="91" t="s">
        <v>966</v>
      </c>
      <c r="E124" s="48"/>
      <c r="F124" s="314">
        <v>2173</v>
      </c>
      <c r="G124" s="316">
        <v>2173</v>
      </c>
      <c r="H124" s="1116">
        <f>(G124/F124)*100</f>
        <v>100</v>
      </c>
    </row>
    <row r="125" spans="1:14" s="1114" customFormat="1" ht="15.75" thickBot="1" x14ac:dyDescent="0.3">
      <c r="A125" s="1146">
        <v>6409</v>
      </c>
      <c r="B125" s="1133">
        <v>5909</v>
      </c>
      <c r="C125" s="1132"/>
      <c r="D125" s="2341" t="s">
        <v>467</v>
      </c>
      <c r="E125" s="1134"/>
      <c r="F125" s="441"/>
      <c r="G125" s="443">
        <v>-3</v>
      </c>
      <c r="H125" s="1401">
        <v>0</v>
      </c>
    </row>
    <row r="126" spans="1:14" s="361" customFormat="1" ht="35.25" customHeight="1" thickTop="1" thickBot="1" x14ac:dyDescent="0.3">
      <c r="A126" s="696" t="s">
        <v>258</v>
      </c>
      <c r="B126" s="953"/>
      <c r="C126" s="698"/>
      <c r="D126" s="697"/>
      <c r="E126" s="699">
        <f>E22+E26+E27+E32+E36+E40+E42+E46+E60+E80+E84+E114+E116+E118+E58</f>
        <v>52229</v>
      </c>
      <c r="F126" s="699">
        <f>J126+J69</f>
        <v>81052</v>
      </c>
      <c r="G126" s="699">
        <f>K126+K69</f>
        <v>80627</v>
      </c>
      <c r="H126" s="957">
        <f>(G126/F126)*100</f>
        <v>99.475645264768303</v>
      </c>
      <c r="J126" s="1336">
        <f>F122+F120+F118+F116+F114+F112+F110+F108+F106+F103+F101+F99+F96+F95+F94+F93+F92+F91+F90+F89+F86+F84+F80+F75</f>
        <v>54961</v>
      </c>
      <c r="K126" s="1336">
        <f>G122+G120+G118+G116+G114+G112+G110+G108+G106+G103+G101+G99+G96+G95+G94+G93+G92+G91+G90+G89+G86+G84+G80+G75+G125</f>
        <v>54708</v>
      </c>
      <c r="L126" s="1336"/>
      <c r="M126" s="1335"/>
      <c r="N126" s="1335"/>
    </row>
    <row r="127" spans="1:14" s="1107" customFormat="1" ht="15.75" thickTop="1" x14ac:dyDescent="0.25">
      <c r="A127" s="1139"/>
      <c r="B127" s="1139"/>
      <c r="C127" s="1110"/>
      <c r="D127" s="1115"/>
      <c r="E127" s="1430"/>
      <c r="F127" s="1432"/>
      <c r="G127" s="1432"/>
      <c r="H127" s="1348"/>
    </row>
    <row r="128" spans="1:14" s="1107" customFormat="1" ht="15" x14ac:dyDescent="0.25">
      <c r="A128" s="1139"/>
      <c r="B128" s="1139"/>
      <c r="C128" s="1110"/>
      <c r="D128" s="1115"/>
      <c r="E128" s="1430"/>
      <c r="F128" s="1432"/>
      <c r="G128" s="1432"/>
      <c r="H128" s="1348"/>
    </row>
    <row r="129" spans="1:21" s="1107" customFormat="1" ht="15" x14ac:dyDescent="0.25">
      <c r="A129" s="1139"/>
      <c r="B129" s="1139"/>
      <c r="C129" s="1110"/>
      <c r="D129" s="1115"/>
      <c r="E129" s="1430"/>
      <c r="F129" s="1432"/>
      <c r="G129" s="1432"/>
      <c r="H129" s="1348"/>
    </row>
    <row r="130" spans="1:21" s="1107" customFormat="1" ht="15" x14ac:dyDescent="0.25">
      <c r="A130" s="1139"/>
      <c r="B130" s="1139"/>
      <c r="C130" s="1110"/>
      <c r="D130" s="1115"/>
      <c r="E130" s="1430"/>
      <c r="F130" s="1432"/>
      <c r="G130" s="1432"/>
      <c r="H130" s="1348"/>
    </row>
    <row r="131" spans="1:21" s="1107" customFormat="1" ht="15" x14ac:dyDescent="0.25">
      <c r="A131" s="1139"/>
      <c r="B131" s="1139"/>
      <c r="C131" s="1110"/>
      <c r="D131" s="1115"/>
      <c r="E131" s="1430"/>
      <c r="F131" s="1432"/>
      <c r="G131" s="1432"/>
      <c r="H131" s="1348"/>
    </row>
    <row r="132" spans="1:21" s="1107" customFormat="1" ht="15" x14ac:dyDescent="0.25">
      <c r="A132" s="1139"/>
      <c r="B132" s="1139"/>
      <c r="C132" s="1110"/>
      <c r="D132" s="1115"/>
      <c r="E132" s="1430"/>
      <c r="F132" s="1432"/>
      <c r="G132" s="1432"/>
      <c r="H132" s="1348"/>
    </row>
    <row r="133" spans="1:21" s="1107" customFormat="1" ht="15" x14ac:dyDescent="0.25">
      <c r="A133" s="1139"/>
      <c r="B133" s="1139"/>
      <c r="C133" s="1110"/>
      <c r="D133" s="1115"/>
      <c r="E133" s="1430"/>
      <c r="F133" s="1432"/>
      <c r="G133" s="1432"/>
      <c r="H133" s="1348"/>
    </row>
    <row r="134" spans="1:21" s="1107" customFormat="1" ht="15" x14ac:dyDescent="0.25">
      <c r="A134" s="1139"/>
      <c r="B134" s="1139"/>
      <c r="C134" s="1110"/>
      <c r="D134" s="1115"/>
      <c r="E134" s="1430"/>
      <c r="F134" s="1432"/>
      <c r="G134" s="1432"/>
      <c r="H134" s="1348"/>
    </row>
    <row r="135" spans="1:21" s="1107" customFormat="1" ht="15" x14ac:dyDescent="0.25">
      <c r="A135" s="1139"/>
      <c r="B135" s="1139"/>
      <c r="C135" s="1110"/>
      <c r="D135" s="1115"/>
      <c r="E135" s="1430"/>
      <c r="F135" s="1432"/>
      <c r="G135" s="1432"/>
      <c r="H135" s="1348"/>
    </row>
    <row r="136" spans="1:21" s="1107" customFormat="1" ht="15" x14ac:dyDescent="0.25">
      <c r="A136" s="1139"/>
      <c r="B136" s="1139"/>
      <c r="C136" s="1110"/>
      <c r="D136" s="1115"/>
      <c r="E136" s="1430"/>
      <c r="F136" s="1432"/>
      <c r="G136" s="1432"/>
      <c r="H136" s="1348"/>
    </row>
    <row r="137" spans="1:21" s="1107" customFormat="1" ht="15" x14ac:dyDescent="0.25">
      <c r="A137" s="1139"/>
      <c r="B137" s="1139"/>
      <c r="C137" s="1110"/>
      <c r="D137" s="1115"/>
      <c r="E137" s="1430"/>
      <c r="F137" s="1432"/>
      <c r="G137" s="1432"/>
      <c r="H137" s="1348"/>
    </row>
    <row r="138" spans="1:21" s="361" customFormat="1" ht="18" x14ac:dyDescent="0.25">
      <c r="A138" s="359"/>
      <c r="B138" s="360"/>
      <c r="C138" s="142"/>
      <c r="D138" s="360"/>
      <c r="E138" s="17"/>
      <c r="F138" s="17"/>
      <c r="G138" s="17"/>
      <c r="H138" s="194"/>
      <c r="K138" s="1347"/>
      <c r="L138" s="1347"/>
    </row>
    <row r="139" spans="1:21" ht="18.75" customHeight="1" x14ac:dyDescent="0.25">
      <c r="A139" s="98" t="s">
        <v>893</v>
      </c>
      <c r="B139" s="645"/>
      <c r="C139" s="684"/>
      <c r="D139" s="955"/>
      <c r="E139" s="686"/>
      <c r="F139" s="956"/>
      <c r="G139" s="686"/>
      <c r="H139" s="649"/>
    </row>
    <row r="140" spans="1:21" ht="16.5" thickBot="1" x14ac:dyDescent="0.3">
      <c r="A140" s="98"/>
      <c r="B140" s="28"/>
      <c r="C140" s="142"/>
      <c r="D140" s="10"/>
      <c r="E140" s="463"/>
      <c r="F140" s="463"/>
      <c r="G140" s="168"/>
      <c r="H140" s="1855" t="s">
        <v>173</v>
      </c>
    </row>
    <row r="141" spans="1:21" s="107" customFormat="1" ht="20.25" customHeight="1" thickTop="1" thickBot="1" x14ac:dyDescent="0.25">
      <c r="A141" s="633" t="s">
        <v>174</v>
      </c>
      <c r="B141" s="634" t="s">
        <v>175</v>
      </c>
      <c r="C141" s="678" t="s">
        <v>744</v>
      </c>
      <c r="D141" s="636" t="s">
        <v>176</v>
      </c>
      <c r="E141" s="636" t="s">
        <v>177</v>
      </c>
      <c r="F141" s="636" t="s">
        <v>922</v>
      </c>
      <c r="G141" s="636" t="s">
        <v>923</v>
      </c>
      <c r="H141" s="637" t="s">
        <v>924</v>
      </c>
    </row>
    <row r="142" spans="1:21" s="384" customFormat="1" ht="13.5" thickTop="1" thickBot="1" x14ac:dyDescent="0.25">
      <c r="A142" s="568">
        <v>1</v>
      </c>
      <c r="B142" s="569">
        <v>2</v>
      </c>
      <c r="C142" s="569">
        <v>3</v>
      </c>
      <c r="D142" s="569">
        <v>4</v>
      </c>
      <c r="E142" s="569">
        <v>5</v>
      </c>
      <c r="F142" s="543">
        <v>6</v>
      </c>
      <c r="G142" s="543">
        <v>7</v>
      </c>
      <c r="H142" s="638" t="s">
        <v>61</v>
      </c>
      <c r="I142" s="107"/>
    </row>
    <row r="143" spans="1:21" s="1159" customFormat="1" ht="15.75" customHeight="1" thickTop="1" x14ac:dyDescent="0.25">
      <c r="A143" s="50">
        <v>3299</v>
      </c>
      <c r="B143" s="19">
        <v>6359</v>
      </c>
      <c r="C143" s="1110"/>
      <c r="D143" s="829" t="s">
        <v>967</v>
      </c>
      <c r="E143" s="94">
        <v>10500</v>
      </c>
      <c r="F143" s="315">
        <v>3500</v>
      </c>
      <c r="G143" s="315">
        <v>3500</v>
      </c>
      <c r="H143" s="212">
        <f t="shared" ref="H143:H152" si="5">(G143/F143)*100</f>
        <v>100</v>
      </c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</row>
    <row r="144" spans="1:21" s="1159" customFormat="1" ht="13.5" customHeight="1" x14ac:dyDescent="0.2">
      <c r="A144" s="50"/>
      <c r="B144" s="19"/>
      <c r="C144" s="1110" t="s">
        <v>1516</v>
      </c>
      <c r="D144" s="117" t="s">
        <v>1515</v>
      </c>
      <c r="E144" s="1337">
        <v>10500</v>
      </c>
      <c r="F144" s="316">
        <v>3500</v>
      </c>
      <c r="G144" s="316">
        <v>3500</v>
      </c>
      <c r="H144" s="1125">
        <f t="shared" si="5"/>
        <v>100</v>
      </c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</row>
    <row r="145" spans="1:14" s="1107" customFormat="1" ht="15" x14ac:dyDescent="0.25">
      <c r="A145" s="50">
        <v>3419</v>
      </c>
      <c r="B145" s="19">
        <v>6322</v>
      </c>
      <c r="C145" s="1447"/>
      <c r="D145" s="174" t="s">
        <v>731</v>
      </c>
      <c r="E145" s="1337"/>
      <c r="F145" s="315">
        <v>2300</v>
      </c>
      <c r="G145" s="315">
        <v>2300</v>
      </c>
      <c r="H145" s="212">
        <f t="shared" si="5"/>
        <v>100</v>
      </c>
    </row>
    <row r="146" spans="1:14" s="1107" customFormat="1" x14ac:dyDescent="0.2">
      <c r="A146" s="50"/>
      <c r="B146" s="19"/>
      <c r="C146" s="1447" t="s">
        <v>262</v>
      </c>
      <c r="D146" s="117" t="s">
        <v>333</v>
      </c>
      <c r="E146" s="1337"/>
      <c r="F146" s="316">
        <v>2300</v>
      </c>
      <c r="G146" s="316">
        <v>2300</v>
      </c>
      <c r="H146" s="1125">
        <f t="shared" si="5"/>
        <v>100</v>
      </c>
    </row>
    <row r="147" spans="1:14" s="1107" customFormat="1" ht="15" x14ac:dyDescent="0.25">
      <c r="A147" s="50">
        <v>3419</v>
      </c>
      <c r="B147" s="19">
        <v>6341</v>
      </c>
      <c r="C147" s="1447"/>
      <c r="D147" s="381" t="s">
        <v>261</v>
      </c>
      <c r="E147" s="1337"/>
      <c r="F147" s="315">
        <v>400</v>
      </c>
      <c r="G147" s="315">
        <v>400</v>
      </c>
      <c r="H147" s="212">
        <f t="shared" si="5"/>
        <v>100</v>
      </c>
    </row>
    <row r="148" spans="1:14" s="1107" customFormat="1" x14ac:dyDescent="0.2">
      <c r="A148" s="50"/>
      <c r="B148" s="19"/>
      <c r="C148" s="1447" t="s">
        <v>262</v>
      </c>
      <c r="D148" s="117" t="s">
        <v>333</v>
      </c>
      <c r="E148" s="1337"/>
      <c r="F148" s="316">
        <v>400</v>
      </c>
      <c r="G148" s="316">
        <v>400</v>
      </c>
      <c r="H148" s="1125">
        <f t="shared" si="5"/>
        <v>100</v>
      </c>
    </row>
    <row r="149" spans="1:14" s="1107" customFormat="1" ht="15" x14ac:dyDescent="0.25">
      <c r="A149" s="50">
        <v>3429</v>
      </c>
      <c r="B149" s="19">
        <v>6322</v>
      </c>
      <c r="C149" s="1447"/>
      <c r="D149" s="381" t="s">
        <v>71</v>
      </c>
      <c r="E149" s="1337"/>
      <c r="F149" s="315">
        <v>130</v>
      </c>
      <c r="G149" s="315">
        <v>130</v>
      </c>
      <c r="H149" s="212">
        <f t="shared" si="5"/>
        <v>100</v>
      </c>
    </row>
    <row r="150" spans="1:14" s="1107" customFormat="1" x14ac:dyDescent="0.2">
      <c r="A150" s="50"/>
      <c r="B150" s="19"/>
      <c r="C150" s="1447" t="s">
        <v>262</v>
      </c>
      <c r="D150" s="117" t="s">
        <v>333</v>
      </c>
      <c r="E150" s="1337"/>
      <c r="F150" s="316">
        <v>130</v>
      </c>
      <c r="G150" s="316">
        <v>130</v>
      </c>
      <c r="H150" s="1125">
        <f t="shared" si="5"/>
        <v>100</v>
      </c>
    </row>
    <row r="151" spans="1:14" s="1107" customFormat="1" ht="15" x14ac:dyDescent="0.25">
      <c r="A151" s="34">
        <v>3429</v>
      </c>
      <c r="B151" s="154">
        <v>6349</v>
      </c>
      <c r="C151" s="1135"/>
      <c r="D151" s="1176" t="s">
        <v>1241</v>
      </c>
      <c r="E151" s="1337"/>
      <c r="F151" s="315">
        <v>500</v>
      </c>
      <c r="G151" s="315">
        <v>500</v>
      </c>
      <c r="H151" s="212">
        <f t="shared" si="5"/>
        <v>100</v>
      </c>
    </row>
    <row r="152" spans="1:14" s="1107" customFormat="1" ht="15" thickBot="1" x14ac:dyDescent="0.25">
      <c r="A152" s="1146"/>
      <c r="B152" s="1914"/>
      <c r="C152" s="1421" t="s">
        <v>262</v>
      </c>
      <c r="D152" s="1173" t="s">
        <v>333</v>
      </c>
      <c r="E152" s="1422"/>
      <c r="F152" s="442">
        <v>500</v>
      </c>
      <c r="G152" s="442">
        <v>500</v>
      </c>
      <c r="H152" s="1147">
        <f t="shared" si="5"/>
        <v>100</v>
      </c>
    </row>
    <row r="153" spans="1:14" s="361" customFormat="1" ht="35.25" customHeight="1" thickTop="1" thickBot="1" x14ac:dyDescent="0.3">
      <c r="A153" s="696" t="s">
        <v>257</v>
      </c>
      <c r="B153" s="953"/>
      <c r="C153" s="698"/>
      <c r="D153" s="697"/>
      <c r="E153" s="1441">
        <f>E143</f>
        <v>10500</v>
      </c>
      <c r="F153" s="699">
        <f>F143+F145+F147+F149+F151</f>
        <v>6830</v>
      </c>
      <c r="G153" s="699">
        <f>G143+G145+G147+G149+G151</f>
        <v>6830</v>
      </c>
      <c r="H153" s="957">
        <f>(G153/F153)*100</f>
        <v>100</v>
      </c>
      <c r="J153" s="1336"/>
      <c r="K153" s="1336"/>
      <c r="L153" s="1336"/>
      <c r="M153" s="1335"/>
      <c r="N153" s="1335"/>
    </row>
    <row r="154" spans="1:14" ht="16.5" customHeight="1" thickTop="1" x14ac:dyDescent="0.25">
      <c r="B154" s="645"/>
      <c r="C154" s="684"/>
      <c r="D154" s="955"/>
      <c r="E154" s="686"/>
      <c r="F154" s="382"/>
      <c r="G154" s="956"/>
      <c r="H154" s="649"/>
    </row>
    <row r="155" spans="1:14" ht="16.5" customHeight="1" x14ac:dyDescent="0.25">
      <c r="B155" s="645"/>
      <c r="C155" s="684"/>
      <c r="D155" s="955"/>
      <c r="E155" s="686"/>
      <c r="F155" s="382"/>
      <c r="G155" s="956"/>
      <c r="H155" s="649"/>
    </row>
    <row r="156" spans="1:14" ht="16.5" customHeight="1" x14ac:dyDescent="0.25">
      <c r="B156" s="645"/>
      <c r="C156" s="684"/>
      <c r="D156" s="955"/>
      <c r="E156" s="686"/>
      <c r="F156" s="382"/>
      <c r="G156" s="956"/>
      <c r="H156" s="649"/>
    </row>
    <row r="157" spans="1:14" ht="15.75" x14ac:dyDescent="0.25">
      <c r="A157" s="98" t="s">
        <v>663</v>
      </c>
      <c r="C157" s="958"/>
      <c r="D157" s="734"/>
      <c r="E157" s="686"/>
      <c r="F157" s="809"/>
      <c r="G157" s="686"/>
    </row>
    <row r="158" spans="1:14" ht="16.5" thickBot="1" x14ac:dyDescent="0.3">
      <c r="A158" s="98"/>
      <c r="C158" s="958"/>
      <c r="D158" s="734"/>
      <c r="E158" s="686"/>
      <c r="F158" s="809"/>
      <c r="G158" s="686"/>
      <c r="H158" s="1855" t="s">
        <v>173</v>
      </c>
    </row>
    <row r="159" spans="1:14" s="107" customFormat="1" ht="20.25" customHeight="1" thickTop="1" thickBot="1" x14ac:dyDescent="0.25">
      <c r="A159" s="633" t="s">
        <v>174</v>
      </c>
      <c r="B159" s="634" t="s">
        <v>175</v>
      </c>
      <c r="C159" s="678" t="s">
        <v>744</v>
      </c>
      <c r="D159" s="810" t="s">
        <v>176</v>
      </c>
      <c r="E159" s="636" t="s">
        <v>177</v>
      </c>
      <c r="F159" s="636" t="s">
        <v>922</v>
      </c>
      <c r="G159" s="636" t="s">
        <v>923</v>
      </c>
      <c r="H159" s="637" t="s">
        <v>924</v>
      </c>
    </row>
    <row r="160" spans="1:14" s="384" customFormat="1" ht="13.5" thickTop="1" thickBot="1" x14ac:dyDescent="0.25">
      <c r="A160" s="568">
        <v>1</v>
      </c>
      <c r="B160" s="569">
        <v>2</v>
      </c>
      <c r="C160" s="569">
        <v>3</v>
      </c>
      <c r="D160" s="569">
        <v>4</v>
      </c>
      <c r="E160" s="569">
        <v>5</v>
      </c>
      <c r="F160" s="543">
        <v>6</v>
      </c>
      <c r="G160" s="543">
        <v>7</v>
      </c>
      <c r="H160" s="638" t="s">
        <v>61</v>
      </c>
      <c r="I160" s="107"/>
    </row>
    <row r="161" spans="1:10" s="1107" customFormat="1" ht="15.75" thickTop="1" x14ac:dyDescent="0.25">
      <c r="A161" s="50">
        <v>3299</v>
      </c>
      <c r="B161" s="31">
        <v>5331</v>
      </c>
      <c r="C161" s="1110"/>
      <c r="D161" s="1435" t="s">
        <v>957</v>
      </c>
      <c r="E161" s="71">
        <f>SUM(E162:E162)</f>
        <v>5600</v>
      </c>
      <c r="F161" s="71">
        <f>SUM(F162:F162)</f>
        <v>0</v>
      </c>
      <c r="G161" s="71">
        <v>0</v>
      </c>
      <c r="H161" s="212">
        <v>0</v>
      </c>
      <c r="J161" s="1159"/>
    </row>
    <row r="162" spans="1:10" s="1107" customFormat="1" x14ac:dyDescent="0.2">
      <c r="A162" s="50"/>
      <c r="B162" s="19"/>
      <c r="C162" s="1110" t="s">
        <v>968</v>
      </c>
      <c r="D162" s="117" t="s">
        <v>969</v>
      </c>
      <c r="E162" s="1337">
        <v>5600</v>
      </c>
      <c r="F162" s="452">
        <v>0</v>
      </c>
      <c r="G162" s="316">
        <v>0</v>
      </c>
      <c r="H162" s="1125">
        <v>0</v>
      </c>
    </row>
    <row r="163" spans="1:10" s="1107" customFormat="1" ht="15" x14ac:dyDescent="0.25">
      <c r="A163" s="50">
        <v>3792</v>
      </c>
      <c r="B163" s="19">
        <v>5331</v>
      </c>
      <c r="C163" s="1110"/>
      <c r="D163" s="1435" t="s">
        <v>957</v>
      </c>
      <c r="E163" s="94">
        <v>340</v>
      </c>
      <c r="F163" s="315">
        <v>0</v>
      </c>
      <c r="G163" s="315">
        <v>0</v>
      </c>
      <c r="H163" s="212">
        <v>0</v>
      </c>
    </row>
    <row r="164" spans="1:10" s="1107" customFormat="1" x14ac:dyDescent="0.2">
      <c r="A164" s="50"/>
      <c r="B164" s="19"/>
      <c r="C164" s="1110" t="s">
        <v>1382</v>
      </c>
      <c r="D164" s="117" t="s">
        <v>389</v>
      </c>
      <c r="E164" s="1337">
        <v>340</v>
      </c>
      <c r="F164" s="452">
        <v>0</v>
      </c>
      <c r="G164" s="316">
        <v>0</v>
      </c>
      <c r="H164" s="1125">
        <v>0</v>
      </c>
    </row>
    <row r="165" spans="1:10" s="1107" customFormat="1" ht="15" x14ac:dyDescent="0.25">
      <c r="A165" s="50" t="s">
        <v>552</v>
      </c>
      <c r="B165" s="19">
        <v>5331</v>
      </c>
      <c r="C165" s="1110"/>
      <c r="D165" s="1435" t="s">
        <v>957</v>
      </c>
      <c r="E165" s="48">
        <f>SUM(E166:E180)</f>
        <v>402199</v>
      </c>
      <c r="F165" s="48">
        <f>SUM(F166:F180)</f>
        <v>418867</v>
      </c>
      <c r="G165" s="48">
        <f>SUM(G166:G180)</f>
        <v>418867</v>
      </c>
      <c r="H165" s="212">
        <f>(G165/F165)*100</f>
        <v>100</v>
      </c>
    </row>
    <row r="166" spans="1:10" s="1107" customFormat="1" ht="15" x14ac:dyDescent="0.25">
      <c r="A166" s="50"/>
      <c r="B166" s="19"/>
      <c r="C166" s="1135" t="s">
        <v>262</v>
      </c>
      <c r="D166" s="1177" t="s">
        <v>333</v>
      </c>
      <c r="E166" s="1352"/>
      <c r="F166" s="55">
        <v>200</v>
      </c>
      <c r="G166" s="55">
        <v>200</v>
      </c>
      <c r="H166" s="1125">
        <f t="shared" ref="H166:H181" si="6">(G166/F166)*100</f>
        <v>100</v>
      </c>
    </row>
    <row r="167" spans="1:10" s="1107" customFormat="1" ht="15" x14ac:dyDescent="0.25">
      <c r="A167" s="50"/>
      <c r="B167" s="1209"/>
      <c r="C167" s="1110" t="s">
        <v>611</v>
      </c>
      <c r="D167" s="31" t="s">
        <v>732</v>
      </c>
      <c r="E167" s="1377">
        <v>86595</v>
      </c>
      <c r="F167" s="452">
        <v>86167</v>
      </c>
      <c r="G167" s="452">
        <v>86167</v>
      </c>
      <c r="H167" s="1125">
        <f t="shared" si="6"/>
        <v>100</v>
      </c>
    </row>
    <row r="168" spans="1:10" s="1107" customFormat="1" ht="15" x14ac:dyDescent="0.25">
      <c r="A168" s="50"/>
      <c r="B168" s="1209"/>
      <c r="C168" s="1110" t="s">
        <v>196</v>
      </c>
      <c r="D168" s="117" t="s">
        <v>751</v>
      </c>
      <c r="E168" s="1377"/>
      <c r="F168" s="452">
        <v>2305</v>
      </c>
      <c r="G168" s="452">
        <v>2305</v>
      </c>
      <c r="H168" s="1125">
        <f t="shared" si="6"/>
        <v>100</v>
      </c>
    </row>
    <row r="169" spans="1:10" s="1107" customFormat="1" ht="15" x14ac:dyDescent="0.25">
      <c r="A169" s="50"/>
      <c r="B169" s="1209"/>
      <c r="C169" s="1110" t="s">
        <v>369</v>
      </c>
      <c r="D169" s="117" t="s">
        <v>933</v>
      </c>
      <c r="E169" s="1377"/>
      <c r="F169" s="452">
        <v>338</v>
      </c>
      <c r="G169" s="452">
        <v>338</v>
      </c>
      <c r="H169" s="1125">
        <f t="shared" si="6"/>
        <v>100</v>
      </c>
    </row>
    <row r="170" spans="1:10" s="1107" customFormat="1" ht="15" x14ac:dyDescent="0.25">
      <c r="A170" s="50"/>
      <c r="B170" s="1209"/>
      <c r="C170" s="1110" t="s">
        <v>606</v>
      </c>
      <c r="D170" s="31" t="s">
        <v>72</v>
      </c>
      <c r="E170" s="1377">
        <v>314584</v>
      </c>
      <c r="F170" s="452">
        <v>313766</v>
      </c>
      <c r="G170" s="452">
        <v>313766</v>
      </c>
      <c r="H170" s="1125">
        <f t="shared" si="6"/>
        <v>100</v>
      </c>
    </row>
    <row r="171" spans="1:10" s="1107" customFormat="1" ht="15" x14ac:dyDescent="0.25">
      <c r="A171" s="50"/>
      <c r="B171" s="1209"/>
      <c r="C171" s="1110" t="s">
        <v>1183</v>
      </c>
      <c r="D171" s="31" t="s">
        <v>1192</v>
      </c>
      <c r="E171" s="1377"/>
      <c r="F171" s="452">
        <v>16</v>
      </c>
      <c r="G171" s="452">
        <v>16</v>
      </c>
      <c r="H171" s="1125">
        <f t="shared" si="6"/>
        <v>100</v>
      </c>
    </row>
    <row r="172" spans="1:10" s="1107" customFormat="1" ht="15" x14ac:dyDescent="0.25">
      <c r="A172" s="50"/>
      <c r="B172" s="1209"/>
      <c r="C172" s="1110" t="s">
        <v>1181</v>
      </c>
      <c r="D172" s="31" t="s">
        <v>25</v>
      </c>
      <c r="E172" s="1377">
        <v>95</v>
      </c>
      <c r="F172" s="452">
        <v>95</v>
      </c>
      <c r="G172" s="316">
        <v>95</v>
      </c>
      <c r="H172" s="1125">
        <f t="shared" si="6"/>
        <v>100</v>
      </c>
    </row>
    <row r="173" spans="1:10" s="1107" customFormat="1" ht="15" x14ac:dyDescent="0.25">
      <c r="A173" s="50"/>
      <c r="B173" s="1209"/>
      <c r="C173" s="1480" t="s">
        <v>22</v>
      </c>
      <c r="D173" s="117" t="s">
        <v>1263</v>
      </c>
      <c r="E173" s="1377"/>
      <c r="F173" s="452">
        <v>500</v>
      </c>
      <c r="G173" s="316">
        <v>500</v>
      </c>
      <c r="H173" s="1125">
        <f t="shared" si="6"/>
        <v>100</v>
      </c>
    </row>
    <row r="174" spans="1:10" s="1107" customFormat="1" ht="15" x14ac:dyDescent="0.25">
      <c r="A174" s="50"/>
      <c r="B174" s="1209"/>
      <c r="C174" s="1110" t="s">
        <v>703</v>
      </c>
      <c r="D174" s="31" t="s">
        <v>1357</v>
      </c>
      <c r="E174" s="1377">
        <v>725</v>
      </c>
      <c r="F174" s="452">
        <v>2346</v>
      </c>
      <c r="G174" s="316">
        <v>2346</v>
      </c>
      <c r="H174" s="1125">
        <f t="shared" si="6"/>
        <v>100</v>
      </c>
    </row>
    <row r="175" spans="1:10" s="1107" customFormat="1" ht="15" x14ac:dyDescent="0.25">
      <c r="A175" s="50"/>
      <c r="B175" s="1209"/>
      <c r="C175" s="1110" t="s">
        <v>1180</v>
      </c>
      <c r="D175" s="117" t="s">
        <v>24</v>
      </c>
      <c r="E175" s="1377">
        <v>150</v>
      </c>
      <c r="F175" s="452">
        <v>150</v>
      </c>
      <c r="G175" s="316">
        <v>150</v>
      </c>
      <c r="H175" s="1125">
        <f t="shared" si="6"/>
        <v>100</v>
      </c>
    </row>
    <row r="176" spans="1:10" s="1107" customFormat="1" ht="15" x14ac:dyDescent="0.25">
      <c r="A176" s="50"/>
      <c r="B176" s="1209"/>
      <c r="C176" s="1110" t="s">
        <v>1382</v>
      </c>
      <c r="D176" s="117" t="s">
        <v>389</v>
      </c>
      <c r="E176" s="1377"/>
      <c r="F176" s="452">
        <v>174</v>
      </c>
      <c r="G176" s="316">
        <v>174</v>
      </c>
      <c r="H176" s="1125">
        <f t="shared" si="6"/>
        <v>100</v>
      </c>
    </row>
    <row r="177" spans="1:21" s="1107" customFormat="1" ht="15" x14ac:dyDescent="0.25">
      <c r="A177" s="50"/>
      <c r="B177" s="1209"/>
      <c r="C177" s="1110" t="s">
        <v>513</v>
      </c>
      <c r="D177" s="117" t="s">
        <v>1303</v>
      </c>
      <c r="E177" s="1377">
        <v>50</v>
      </c>
      <c r="F177" s="452">
        <v>50</v>
      </c>
      <c r="G177" s="316">
        <v>50</v>
      </c>
      <c r="H177" s="1125">
        <f t="shared" si="6"/>
        <v>100</v>
      </c>
    </row>
    <row r="178" spans="1:21" s="1107" customFormat="1" ht="15" x14ac:dyDescent="0.25">
      <c r="A178" s="50"/>
      <c r="B178" s="1209"/>
      <c r="C178" s="1447" t="s">
        <v>390</v>
      </c>
      <c r="D178" s="225" t="s">
        <v>1402</v>
      </c>
      <c r="E178" s="1377"/>
      <c r="F178" s="452">
        <v>114</v>
      </c>
      <c r="G178" s="316">
        <v>114</v>
      </c>
      <c r="H178" s="1125">
        <f t="shared" si="6"/>
        <v>100</v>
      </c>
    </row>
    <row r="179" spans="1:21" s="1107" customFormat="1" ht="15" x14ac:dyDescent="0.25">
      <c r="A179" s="50"/>
      <c r="B179" s="1209"/>
      <c r="C179" s="1110" t="s">
        <v>968</v>
      </c>
      <c r="D179" s="117" t="s">
        <v>969</v>
      </c>
      <c r="E179" s="1377"/>
      <c r="F179" s="452">
        <v>7683</v>
      </c>
      <c r="G179" s="316">
        <v>7683</v>
      </c>
      <c r="H179" s="1125">
        <f t="shared" si="6"/>
        <v>100</v>
      </c>
    </row>
    <row r="180" spans="1:21" s="1107" customFormat="1" ht="15" x14ac:dyDescent="0.25">
      <c r="A180" s="50"/>
      <c r="B180" s="1209"/>
      <c r="C180" s="1120" t="s">
        <v>1419</v>
      </c>
      <c r="D180" s="2329" t="s">
        <v>1420</v>
      </c>
      <c r="E180" s="1377"/>
      <c r="F180" s="452">
        <v>4963</v>
      </c>
      <c r="G180" s="316">
        <v>4963</v>
      </c>
      <c r="H180" s="1125">
        <f t="shared" si="6"/>
        <v>100</v>
      </c>
    </row>
    <row r="181" spans="1:21" s="1107" customFormat="1" ht="15" x14ac:dyDescent="0.25">
      <c r="A181" s="50"/>
      <c r="B181" s="19">
        <v>5331</v>
      </c>
      <c r="C181" s="1446"/>
      <c r="D181" s="1435" t="s">
        <v>957</v>
      </c>
      <c r="E181" s="1352">
        <v>0</v>
      </c>
      <c r="F181" s="315">
        <f>SUM(F182:F199)</f>
        <v>7643</v>
      </c>
      <c r="G181" s="315">
        <f>SUM(G182:G199)</f>
        <v>7643</v>
      </c>
      <c r="H181" s="1124">
        <f t="shared" si="6"/>
        <v>100</v>
      </c>
      <c r="I181" s="53">
        <f>E181+E165+E163+E161</f>
        <v>408139</v>
      </c>
      <c r="J181" s="53">
        <f>F181+F165+F163+F161</f>
        <v>426510</v>
      </c>
      <c r="K181" s="53">
        <f>G181+G165+G163+G161</f>
        <v>426510</v>
      </c>
      <c r="L181" s="1328" t="s">
        <v>1514</v>
      </c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1107" customFormat="1" ht="15" x14ac:dyDescent="0.25">
      <c r="A182" s="50"/>
      <c r="B182" s="1209"/>
      <c r="C182" s="1110" t="s">
        <v>1184</v>
      </c>
      <c r="D182" s="91" t="s">
        <v>1304</v>
      </c>
      <c r="E182" s="1434"/>
      <c r="F182" s="316">
        <v>2400</v>
      </c>
      <c r="G182" s="316">
        <v>2400</v>
      </c>
      <c r="H182" s="1125">
        <f t="shared" ref="H182:H199" si="7">(G182/F182)*100</f>
        <v>100</v>
      </c>
      <c r="I182" s="1222"/>
      <c r="K182" s="1327"/>
    </row>
    <row r="183" spans="1:21" s="1107" customFormat="1" ht="15" customHeight="1" x14ac:dyDescent="0.25">
      <c r="A183" s="50"/>
      <c r="B183" s="1209"/>
      <c r="C183" s="1391" t="s">
        <v>1228</v>
      </c>
      <c r="D183" s="2675" t="s">
        <v>981</v>
      </c>
      <c r="E183" s="1434"/>
      <c r="F183" s="316">
        <v>11</v>
      </c>
      <c r="G183" s="316">
        <v>11</v>
      </c>
      <c r="H183" s="1125">
        <f t="shared" si="7"/>
        <v>100</v>
      </c>
      <c r="I183" s="1222"/>
      <c r="K183" s="1327"/>
    </row>
    <row r="184" spans="1:21" s="1107" customFormat="1" ht="15" x14ac:dyDescent="0.25">
      <c r="A184" s="50"/>
      <c r="B184" s="1209"/>
      <c r="C184" s="1391"/>
      <c r="D184" s="2675"/>
      <c r="E184" s="1434"/>
      <c r="F184" s="316"/>
      <c r="G184" s="316"/>
      <c r="H184" s="1125"/>
      <c r="I184" s="1222"/>
      <c r="K184" s="1327"/>
    </row>
    <row r="185" spans="1:21" s="1107" customFormat="1" ht="15" x14ac:dyDescent="0.25">
      <c r="A185" s="50"/>
      <c r="B185" s="1209"/>
      <c r="C185" s="1119" t="s">
        <v>970</v>
      </c>
      <c r="D185" s="1923" t="s">
        <v>615</v>
      </c>
      <c r="E185" s="1434"/>
      <c r="F185" s="316">
        <v>45</v>
      </c>
      <c r="G185" s="316">
        <v>45</v>
      </c>
      <c r="H185" s="1125">
        <f t="shared" si="7"/>
        <v>100</v>
      </c>
      <c r="I185" s="1222"/>
      <c r="K185" s="1327"/>
    </row>
    <row r="186" spans="1:21" s="1107" customFormat="1" ht="15" x14ac:dyDescent="0.25">
      <c r="A186" s="50"/>
      <c r="B186" s="1209"/>
      <c r="C186" s="2671" t="s">
        <v>1510</v>
      </c>
      <c r="D186" s="2676" t="s">
        <v>1511</v>
      </c>
      <c r="E186" s="1434"/>
      <c r="F186" s="316">
        <v>614</v>
      </c>
      <c r="G186" s="316">
        <v>614</v>
      </c>
      <c r="H186" s="1125">
        <f t="shared" si="7"/>
        <v>100</v>
      </c>
      <c r="I186" s="1222"/>
      <c r="K186" s="1327"/>
    </row>
    <row r="187" spans="1:21" s="1107" customFormat="1" ht="15" x14ac:dyDescent="0.25">
      <c r="A187" s="50"/>
      <c r="B187" s="1209"/>
      <c r="C187" s="2672"/>
      <c r="D187" s="2676"/>
      <c r="E187" s="1434"/>
      <c r="F187" s="316"/>
      <c r="G187" s="316"/>
      <c r="H187" s="1125"/>
      <c r="I187" s="1222"/>
      <c r="K187" s="1327"/>
    </row>
    <row r="188" spans="1:21" s="1107" customFormat="1" ht="15" x14ac:dyDescent="0.25">
      <c r="A188" s="50"/>
      <c r="B188" s="1209"/>
      <c r="C188" s="1353" t="s">
        <v>1512</v>
      </c>
      <c r="D188" s="2676" t="s">
        <v>1513</v>
      </c>
      <c r="E188" s="1434"/>
      <c r="F188" s="316">
        <v>96</v>
      </c>
      <c r="G188" s="316">
        <v>96</v>
      </c>
      <c r="H188" s="1125">
        <f t="shared" si="7"/>
        <v>100</v>
      </c>
      <c r="I188" s="1222"/>
      <c r="K188" s="1327"/>
    </row>
    <row r="189" spans="1:21" s="1107" customFormat="1" ht="15" x14ac:dyDescent="0.25">
      <c r="A189" s="50"/>
      <c r="B189" s="1209"/>
      <c r="C189" s="1391"/>
      <c r="D189" s="2676"/>
      <c r="E189" s="1434"/>
      <c r="F189" s="316"/>
      <c r="G189" s="316"/>
      <c r="H189" s="1125"/>
      <c r="I189" s="1222"/>
      <c r="K189" s="1327"/>
    </row>
    <row r="190" spans="1:21" s="1107" customFormat="1" ht="15" x14ac:dyDescent="0.25">
      <c r="A190" s="50"/>
      <c r="B190" s="1209"/>
      <c r="C190" s="1119" t="s">
        <v>1604</v>
      </c>
      <c r="D190" s="1927" t="s">
        <v>1603</v>
      </c>
      <c r="E190" s="1434"/>
      <c r="F190" s="316">
        <v>1577</v>
      </c>
      <c r="G190" s="316">
        <v>1577</v>
      </c>
      <c r="H190" s="1125">
        <f t="shared" si="7"/>
        <v>100</v>
      </c>
      <c r="I190" s="1222"/>
      <c r="K190" s="1327"/>
    </row>
    <row r="191" spans="1:21" s="1107" customFormat="1" ht="15" x14ac:dyDescent="0.25">
      <c r="A191" s="50"/>
      <c r="B191" s="1209"/>
      <c r="C191" s="1391" t="s">
        <v>1803</v>
      </c>
      <c r="D191" s="1927" t="s">
        <v>1804</v>
      </c>
      <c r="E191" s="1434"/>
      <c r="F191" s="316">
        <v>76</v>
      </c>
      <c r="G191" s="316">
        <v>76</v>
      </c>
      <c r="H191" s="1125">
        <f t="shared" si="7"/>
        <v>100</v>
      </c>
      <c r="I191" s="1222"/>
      <c r="K191" s="1327"/>
    </row>
    <row r="192" spans="1:21" s="1107" customFormat="1" ht="15" x14ac:dyDescent="0.25">
      <c r="A192" s="50"/>
      <c r="B192" s="1209"/>
      <c r="C192" s="1391" t="s">
        <v>1805</v>
      </c>
      <c r="D192" s="2676" t="s">
        <v>1806</v>
      </c>
      <c r="E192" s="1434"/>
      <c r="F192" s="316">
        <v>70</v>
      </c>
      <c r="G192" s="316">
        <v>70</v>
      </c>
      <c r="H192" s="1125">
        <f t="shared" si="7"/>
        <v>100</v>
      </c>
      <c r="I192" s="1222"/>
      <c r="K192" s="1327"/>
    </row>
    <row r="193" spans="1:11" s="1107" customFormat="1" ht="15" x14ac:dyDescent="0.25">
      <c r="A193" s="50"/>
      <c r="B193" s="1209"/>
      <c r="C193" s="1391"/>
      <c r="D193" s="2676"/>
      <c r="E193" s="1434"/>
      <c r="F193" s="316"/>
      <c r="G193" s="316"/>
      <c r="H193" s="1125"/>
      <c r="I193" s="1222"/>
      <c r="K193" s="1327"/>
    </row>
    <row r="194" spans="1:11" s="1107" customFormat="1" ht="15" x14ac:dyDescent="0.25">
      <c r="A194" s="50"/>
      <c r="B194" s="1209"/>
      <c r="C194" s="1391" t="s">
        <v>910</v>
      </c>
      <c r="D194" s="1216" t="s">
        <v>971</v>
      </c>
      <c r="E194" s="1434"/>
      <c r="F194" s="316">
        <v>282</v>
      </c>
      <c r="G194" s="316">
        <v>282</v>
      </c>
      <c r="H194" s="1125">
        <f t="shared" si="7"/>
        <v>100</v>
      </c>
      <c r="I194" s="1222"/>
      <c r="K194" s="1327"/>
    </row>
    <row r="195" spans="1:11" s="1107" customFormat="1" ht="15" x14ac:dyDescent="0.25">
      <c r="A195" s="50"/>
      <c r="B195" s="1209"/>
      <c r="C195" s="1391" t="s">
        <v>1185</v>
      </c>
      <c r="D195" s="1216" t="s">
        <v>972</v>
      </c>
      <c r="E195" s="1434"/>
      <c r="F195" s="316">
        <v>715</v>
      </c>
      <c r="G195" s="316">
        <v>715</v>
      </c>
      <c r="H195" s="1125">
        <f t="shared" si="7"/>
        <v>100</v>
      </c>
      <c r="I195" s="1222"/>
      <c r="K195" s="1327"/>
    </row>
    <row r="196" spans="1:11" s="1107" customFormat="1" ht="15" x14ac:dyDescent="0.25">
      <c r="A196" s="50"/>
      <c r="B196" s="1209"/>
      <c r="C196" s="1391" t="s">
        <v>1186</v>
      </c>
      <c r="D196" s="2331" t="s">
        <v>1187</v>
      </c>
      <c r="E196" s="1434"/>
      <c r="F196" s="316">
        <v>824</v>
      </c>
      <c r="G196" s="316">
        <v>824</v>
      </c>
      <c r="H196" s="1125">
        <f t="shared" si="7"/>
        <v>100</v>
      </c>
      <c r="I196" s="1417"/>
      <c r="J196" s="1246"/>
      <c r="K196" s="1327"/>
    </row>
    <row r="197" spans="1:11" s="1107" customFormat="1" ht="25.5" x14ac:dyDescent="0.25">
      <c r="A197" s="50"/>
      <c r="B197" s="1209"/>
      <c r="C197" s="1391" t="s">
        <v>1188</v>
      </c>
      <c r="D197" s="2331" t="s">
        <v>973</v>
      </c>
      <c r="E197" s="1434"/>
      <c r="F197" s="316">
        <v>84</v>
      </c>
      <c r="G197" s="316">
        <v>84</v>
      </c>
      <c r="H197" s="1125">
        <f t="shared" si="7"/>
        <v>100</v>
      </c>
      <c r="I197" s="1222"/>
      <c r="K197" s="1327"/>
    </row>
    <row r="198" spans="1:11" s="1107" customFormat="1" ht="15" x14ac:dyDescent="0.25">
      <c r="A198" s="50"/>
      <c r="B198" s="1209"/>
      <c r="C198" s="1391" t="s">
        <v>1807</v>
      </c>
      <c r="D198" s="2331" t="s">
        <v>1808</v>
      </c>
      <c r="E198" s="1434"/>
      <c r="F198" s="316">
        <v>4</v>
      </c>
      <c r="G198" s="316">
        <v>4</v>
      </c>
      <c r="H198" s="1125">
        <f t="shared" si="7"/>
        <v>100</v>
      </c>
      <c r="I198" s="1222"/>
      <c r="K198" s="1327"/>
    </row>
    <row r="199" spans="1:11" s="1107" customFormat="1" ht="26.25" thickBot="1" x14ac:dyDescent="0.3">
      <c r="A199" s="50"/>
      <c r="B199" s="1209"/>
      <c r="C199" s="1391" t="s">
        <v>839</v>
      </c>
      <c r="D199" s="2331" t="s">
        <v>974</v>
      </c>
      <c r="E199" s="1434"/>
      <c r="F199" s="1396">
        <v>845</v>
      </c>
      <c r="G199" s="1396">
        <v>845</v>
      </c>
      <c r="H199" s="1415">
        <f t="shared" si="7"/>
        <v>100</v>
      </c>
      <c r="I199" s="1222"/>
      <c r="K199" s="1327"/>
    </row>
    <row r="200" spans="1:11" s="1107" customFormat="1" ht="15.75" thickTop="1" x14ac:dyDescent="0.25">
      <c r="A200" s="1223"/>
      <c r="B200" s="2342"/>
      <c r="C200" s="2343"/>
      <c r="D200" s="2344"/>
      <c r="E200" s="2345"/>
      <c r="F200" s="2346"/>
      <c r="G200" s="2346"/>
      <c r="H200" s="2347"/>
      <c r="I200" s="1222"/>
      <c r="K200" s="1327"/>
    </row>
    <row r="201" spans="1:11" s="1107" customFormat="1" ht="15" x14ac:dyDescent="0.25">
      <c r="A201" s="1139"/>
      <c r="B201" s="1131"/>
      <c r="C201" s="1391"/>
      <c r="D201" s="1856"/>
      <c r="E201" s="1434"/>
      <c r="F201" s="1397"/>
      <c r="G201" s="1397"/>
      <c r="H201" s="2348"/>
      <c r="I201" s="1222"/>
      <c r="K201" s="1327"/>
    </row>
    <row r="202" spans="1:11" s="1107" customFormat="1" ht="15" x14ac:dyDescent="0.25">
      <c r="A202" s="1139"/>
      <c r="B202" s="1131"/>
      <c r="C202" s="1391"/>
      <c r="D202" s="1856"/>
      <c r="E202" s="1434"/>
      <c r="F202" s="1397"/>
      <c r="G202" s="1397"/>
      <c r="H202" s="2348"/>
      <c r="I202" s="1222"/>
      <c r="K202" s="1327"/>
    </row>
    <row r="203" spans="1:11" ht="16.5" thickBot="1" x14ac:dyDescent="0.3">
      <c r="A203" s="98"/>
      <c r="C203" s="958"/>
      <c r="D203" s="734"/>
      <c r="E203" s="686"/>
      <c r="F203" s="809"/>
      <c r="G203" s="686"/>
      <c r="H203" s="1855" t="s">
        <v>173</v>
      </c>
    </row>
    <row r="204" spans="1:11" s="107" customFormat="1" ht="20.25" customHeight="1" thickTop="1" thickBot="1" x14ac:dyDescent="0.25">
      <c r="A204" s="633" t="s">
        <v>174</v>
      </c>
      <c r="B204" s="634" t="s">
        <v>175</v>
      </c>
      <c r="C204" s="678" t="s">
        <v>744</v>
      </c>
      <c r="D204" s="810" t="s">
        <v>176</v>
      </c>
      <c r="E204" s="636" t="s">
        <v>177</v>
      </c>
      <c r="F204" s="636" t="s">
        <v>922</v>
      </c>
      <c r="G204" s="636" t="s">
        <v>923</v>
      </c>
      <c r="H204" s="637" t="s">
        <v>924</v>
      </c>
    </row>
    <row r="205" spans="1:11" s="384" customFormat="1" ht="13.5" thickTop="1" thickBot="1" x14ac:dyDescent="0.25">
      <c r="A205" s="568">
        <v>1</v>
      </c>
      <c r="B205" s="569">
        <v>2</v>
      </c>
      <c r="C205" s="569">
        <v>3</v>
      </c>
      <c r="D205" s="569">
        <v>4</v>
      </c>
      <c r="E205" s="569">
        <v>5</v>
      </c>
      <c r="F205" s="543">
        <v>6</v>
      </c>
      <c r="G205" s="543">
        <v>7</v>
      </c>
      <c r="H205" s="638" t="s">
        <v>61</v>
      </c>
      <c r="I205" s="107"/>
    </row>
    <row r="206" spans="1:11" ht="15.75" thickTop="1" x14ac:dyDescent="0.25">
      <c r="A206" s="1442"/>
      <c r="B206" s="959">
        <v>5336</v>
      </c>
      <c r="C206" s="1451"/>
      <c r="D206" s="1437" t="s">
        <v>975</v>
      </c>
      <c r="E206" s="314"/>
      <c r="F206" s="315">
        <f>SUM(F207:F217)</f>
        <v>1987313</v>
      </c>
      <c r="G206" s="315">
        <f>SUM(G207:G217)</f>
        <v>1987313</v>
      </c>
      <c r="H206" s="1124">
        <f t="shared" ref="H206:H215" si="8">(G206/F206)*100</f>
        <v>100</v>
      </c>
    </row>
    <row r="207" spans="1:11" ht="15" customHeight="1" x14ac:dyDescent="0.2">
      <c r="A207" s="1442"/>
      <c r="B207" s="959"/>
      <c r="C207" s="554" t="s">
        <v>612</v>
      </c>
      <c r="D207" s="2678" t="s">
        <v>613</v>
      </c>
      <c r="E207" s="314"/>
      <c r="F207" s="316">
        <v>149</v>
      </c>
      <c r="G207" s="316">
        <v>149</v>
      </c>
      <c r="H207" s="1125">
        <f t="shared" si="8"/>
        <v>100</v>
      </c>
    </row>
    <row r="208" spans="1:11" ht="15" customHeight="1" x14ac:dyDescent="0.25">
      <c r="A208" s="1442"/>
      <c r="B208" s="959"/>
      <c r="C208" s="554"/>
      <c r="D208" s="2678"/>
      <c r="E208" s="314"/>
      <c r="F208" s="315"/>
      <c r="G208" s="315"/>
      <c r="H208" s="1124"/>
    </row>
    <row r="209" spans="1:12" x14ac:dyDescent="0.2">
      <c r="A209" s="1442"/>
      <c r="B209" s="959"/>
      <c r="C209" s="1110" t="s">
        <v>1182</v>
      </c>
      <c r="D209" s="1334" t="s">
        <v>26</v>
      </c>
      <c r="E209" s="314"/>
      <c r="F209" s="316">
        <v>1940955</v>
      </c>
      <c r="G209" s="316">
        <v>1940955</v>
      </c>
      <c r="H209" s="1125">
        <f t="shared" si="8"/>
        <v>100</v>
      </c>
    </row>
    <row r="210" spans="1:12" x14ac:dyDescent="0.2">
      <c r="A210" s="1442"/>
      <c r="B210" s="959"/>
      <c r="C210" s="1452" t="s">
        <v>733</v>
      </c>
      <c r="D210" s="1610" t="s">
        <v>979</v>
      </c>
      <c r="E210" s="314"/>
      <c r="F210" s="316">
        <v>988</v>
      </c>
      <c r="G210" s="316">
        <v>988</v>
      </c>
      <c r="H210" s="1125">
        <f t="shared" si="8"/>
        <v>100</v>
      </c>
    </row>
    <row r="211" spans="1:12" x14ac:dyDescent="0.2">
      <c r="A211" s="1442"/>
      <c r="B211" s="959"/>
      <c r="C211" s="1481" t="s">
        <v>1608</v>
      </c>
      <c r="D211" s="1922" t="s">
        <v>1609</v>
      </c>
      <c r="E211" s="314"/>
      <c r="F211" s="316">
        <v>5471</v>
      </c>
      <c r="G211" s="316">
        <v>5471</v>
      </c>
      <c r="H211" s="1125">
        <f t="shared" si="8"/>
        <v>100</v>
      </c>
    </row>
    <row r="212" spans="1:12" x14ac:dyDescent="0.2">
      <c r="A212" s="1442"/>
      <c r="B212" s="959"/>
      <c r="C212" s="1391" t="s">
        <v>976</v>
      </c>
      <c r="D212" s="1928" t="s">
        <v>977</v>
      </c>
      <c r="E212" s="314"/>
      <c r="F212" s="316">
        <v>288</v>
      </c>
      <c r="G212" s="357">
        <v>288</v>
      </c>
      <c r="H212" s="1125">
        <f t="shared" si="8"/>
        <v>100</v>
      </c>
    </row>
    <row r="213" spans="1:12" x14ac:dyDescent="0.2">
      <c r="A213" s="1442"/>
      <c r="B213" s="959"/>
      <c r="C213" s="1452" t="s">
        <v>734</v>
      </c>
      <c r="D213" s="1610" t="s">
        <v>979</v>
      </c>
      <c r="E213" s="314"/>
      <c r="F213" s="316">
        <v>5599</v>
      </c>
      <c r="G213" s="357">
        <v>5599</v>
      </c>
      <c r="H213" s="1125">
        <f t="shared" si="8"/>
        <v>100</v>
      </c>
    </row>
    <row r="214" spans="1:12" x14ac:dyDescent="0.2">
      <c r="A214" s="1442"/>
      <c r="B214" s="959"/>
      <c r="C214" s="1481" t="s">
        <v>1610</v>
      </c>
      <c r="D214" s="1922" t="s">
        <v>1609</v>
      </c>
      <c r="E214" s="314"/>
      <c r="F214" s="316">
        <v>31001</v>
      </c>
      <c r="G214" s="357">
        <v>31001</v>
      </c>
      <c r="H214" s="1125">
        <f t="shared" si="8"/>
        <v>100</v>
      </c>
    </row>
    <row r="215" spans="1:12" x14ac:dyDescent="0.2">
      <c r="A215" s="1442"/>
      <c r="B215" s="959"/>
      <c r="C215" s="1119" t="s">
        <v>978</v>
      </c>
      <c r="D215" s="1928" t="s">
        <v>977</v>
      </c>
      <c r="E215" s="314"/>
      <c r="F215" s="316">
        <v>1630</v>
      </c>
      <c r="G215" s="357">
        <v>1630</v>
      </c>
      <c r="H215" s="1125">
        <f t="shared" si="8"/>
        <v>100</v>
      </c>
    </row>
    <row r="216" spans="1:12" s="1107" customFormat="1" x14ac:dyDescent="0.2">
      <c r="A216" s="50"/>
      <c r="B216" s="31"/>
      <c r="C216" s="1119" t="s">
        <v>1424</v>
      </c>
      <c r="D216" s="1922" t="s">
        <v>1611</v>
      </c>
      <c r="E216" s="1434"/>
      <c r="F216" s="1396">
        <v>185</v>
      </c>
      <c r="G216" s="1396">
        <v>185</v>
      </c>
      <c r="H216" s="1415">
        <f>(G216/F216)*100</f>
        <v>100</v>
      </c>
      <c r="I216" s="1222"/>
      <c r="K216" s="1327"/>
    </row>
    <row r="217" spans="1:12" s="1107" customFormat="1" ht="15" thickBot="1" x14ac:dyDescent="0.25">
      <c r="A217" s="50"/>
      <c r="B217" s="31"/>
      <c r="C217" s="1119" t="s">
        <v>1426</v>
      </c>
      <c r="D217" s="1922" t="s">
        <v>1611</v>
      </c>
      <c r="E217" s="1434"/>
      <c r="F217" s="1396">
        <v>1047</v>
      </c>
      <c r="G217" s="1396">
        <v>1047</v>
      </c>
      <c r="H217" s="1415">
        <f>(G217/F217)*100</f>
        <v>100</v>
      </c>
      <c r="I217" s="1222"/>
      <c r="K217" s="1327"/>
    </row>
    <row r="218" spans="1:12" s="361" customFormat="1" ht="35.25" customHeight="1" thickTop="1" thickBot="1" x14ac:dyDescent="0.3">
      <c r="A218" s="639" t="s">
        <v>198</v>
      </c>
      <c r="B218" s="640"/>
      <c r="C218" s="683"/>
      <c r="D218" s="642"/>
      <c r="E218" s="643">
        <f>E165+E161+E163</f>
        <v>408139</v>
      </c>
      <c r="F218" s="643">
        <f>F161+F163+F165+F181+F206</f>
        <v>2413823</v>
      </c>
      <c r="G218" s="643">
        <f>G161+G163+G165+G181+G206</f>
        <v>2413823</v>
      </c>
      <c r="H218" s="658">
        <f>(G218/F218)*100</f>
        <v>100</v>
      </c>
      <c r="J218" s="1536"/>
      <c r="K218" s="1536"/>
      <c r="L218" s="991"/>
    </row>
    <row r="219" spans="1:12" s="361" customFormat="1" ht="20.25" customHeight="1" thickTop="1" x14ac:dyDescent="0.25">
      <c r="A219" s="359"/>
      <c r="B219" s="360"/>
      <c r="C219" s="142"/>
      <c r="D219" s="360"/>
      <c r="E219" s="17"/>
      <c r="F219" s="17"/>
      <c r="G219" s="17"/>
      <c r="H219" s="961"/>
      <c r="J219" s="1536"/>
      <c r="K219" s="1536"/>
      <c r="L219" s="701"/>
    </row>
    <row r="220" spans="1:12" s="361" customFormat="1" ht="20.25" customHeight="1" x14ac:dyDescent="0.25">
      <c r="A220" s="359"/>
      <c r="B220" s="360"/>
      <c r="C220" s="142"/>
      <c r="D220" s="360"/>
      <c r="E220" s="17"/>
      <c r="F220" s="17"/>
      <c r="G220" s="17"/>
      <c r="H220" s="961"/>
      <c r="J220" s="1536"/>
      <c r="K220" s="1536"/>
      <c r="L220" s="701"/>
    </row>
    <row r="221" spans="1:12" s="361" customFormat="1" ht="20.25" customHeight="1" x14ac:dyDescent="0.25">
      <c r="A221" s="359"/>
      <c r="B221" s="360"/>
      <c r="C221" s="142"/>
      <c r="D221" s="360"/>
      <c r="E221" s="17"/>
      <c r="F221" s="17"/>
      <c r="G221" s="17"/>
      <c r="H221" s="961"/>
      <c r="J221" s="1536"/>
      <c r="K221" s="1536"/>
      <c r="L221" s="701"/>
    </row>
    <row r="222" spans="1:12" ht="15.75" x14ac:dyDescent="0.25">
      <c r="A222" s="98" t="s">
        <v>665</v>
      </c>
    </row>
    <row r="223" spans="1:12" ht="14.25" customHeight="1" thickBot="1" x14ac:dyDescent="0.3">
      <c r="A223" s="33"/>
      <c r="C223" s="958"/>
      <c r="D223" s="734"/>
      <c r="E223" s="686"/>
      <c r="F223" s="809"/>
      <c r="G223" s="686"/>
      <c r="H223" s="1855" t="s">
        <v>173</v>
      </c>
    </row>
    <row r="224" spans="1:12" s="107" customFormat="1" ht="20.25" customHeight="1" thickTop="1" thickBot="1" x14ac:dyDescent="0.25">
      <c r="A224" s="633" t="s">
        <v>174</v>
      </c>
      <c r="B224" s="634" t="s">
        <v>175</v>
      </c>
      <c r="C224" s="678" t="s">
        <v>744</v>
      </c>
      <c r="D224" s="810" t="s">
        <v>176</v>
      </c>
      <c r="E224" s="636" t="s">
        <v>177</v>
      </c>
      <c r="F224" s="636" t="s">
        <v>922</v>
      </c>
      <c r="G224" s="636" t="s">
        <v>923</v>
      </c>
      <c r="H224" s="637" t="s">
        <v>924</v>
      </c>
    </row>
    <row r="225" spans="1:13" s="384" customFormat="1" ht="13.5" thickTop="1" thickBot="1" x14ac:dyDescent="0.25">
      <c r="A225" s="568">
        <v>1</v>
      </c>
      <c r="B225" s="569">
        <v>2</v>
      </c>
      <c r="C225" s="569">
        <v>3</v>
      </c>
      <c r="D225" s="569">
        <v>4</v>
      </c>
      <c r="E225" s="569">
        <v>5</v>
      </c>
      <c r="F225" s="543">
        <v>6</v>
      </c>
      <c r="G225" s="543">
        <v>7</v>
      </c>
      <c r="H225" s="638" t="s">
        <v>61</v>
      </c>
      <c r="I225" s="107"/>
    </row>
    <row r="226" spans="1:13" s="1107" customFormat="1" ht="15.75" thickTop="1" x14ac:dyDescent="0.25">
      <c r="A226" s="222"/>
      <c r="B226" s="241">
        <v>6351</v>
      </c>
      <c r="C226" s="1450"/>
      <c r="D226" s="1438" t="s">
        <v>657</v>
      </c>
      <c r="E226" s="233">
        <v>0</v>
      </c>
      <c r="F226" s="371">
        <f>SUM(F227:F228)</f>
        <v>4989</v>
      </c>
      <c r="G226" s="371">
        <f>SUM(G227:G228)</f>
        <v>4989</v>
      </c>
      <c r="H226" s="1399">
        <f>(G226/F226)*100</f>
        <v>100</v>
      </c>
    </row>
    <row r="227" spans="1:13" s="1107" customFormat="1" ht="15" x14ac:dyDescent="0.25">
      <c r="A227" s="50"/>
      <c r="B227" s="1334"/>
      <c r="C227" s="1110" t="s">
        <v>196</v>
      </c>
      <c r="D227" s="117" t="s">
        <v>751</v>
      </c>
      <c r="E227" s="94"/>
      <c r="F227" s="316">
        <v>1800</v>
      </c>
      <c r="G227" s="316">
        <v>1800</v>
      </c>
      <c r="H227" s="1116">
        <f>(G227/F227)*100</f>
        <v>100</v>
      </c>
    </row>
    <row r="228" spans="1:13" s="1107" customFormat="1" ht="15" thickBot="1" x14ac:dyDescent="0.25">
      <c r="A228" s="50"/>
      <c r="B228" s="1334"/>
      <c r="C228" s="1120" t="s">
        <v>1419</v>
      </c>
      <c r="D228" s="2329" t="s">
        <v>1420</v>
      </c>
      <c r="E228" s="1337"/>
      <c r="F228" s="316">
        <v>3189</v>
      </c>
      <c r="G228" s="316">
        <v>3189</v>
      </c>
      <c r="H228" s="1116">
        <f>(G228/F228)*100</f>
        <v>100</v>
      </c>
    </row>
    <row r="229" spans="1:13" s="361" customFormat="1" ht="35.25" customHeight="1" thickTop="1" thickBot="1" x14ac:dyDescent="0.3">
      <c r="A229" s="639" t="s">
        <v>666</v>
      </c>
      <c r="B229" s="640"/>
      <c r="C229" s="683"/>
      <c r="D229" s="642"/>
      <c r="E229" s="643">
        <f>E226</f>
        <v>0</v>
      </c>
      <c r="F229" s="1454">
        <f>F226</f>
        <v>4989</v>
      </c>
      <c r="G229" s="1454">
        <f>G226</f>
        <v>4989</v>
      </c>
      <c r="H229" s="658">
        <f>(G229/F229)*100</f>
        <v>100</v>
      </c>
      <c r="J229" s="1535">
        <f>E229+E218</f>
        <v>408139</v>
      </c>
      <c r="K229" s="1535">
        <f>F229+F218</f>
        <v>2418812</v>
      </c>
      <c r="L229" s="1535">
        <f>G229+G218</f>
        <v>2418812</v>
      </c>
      <c r="M229" s="1335"/>
    </row>
    <row r="230" spans="1:13" ht="15" thickTop="1" x14ac:dyDescent="0.2">
      <c r="J230" s="383"/>
      <c r="K230" s="383"/>
      <c r="L230" s="383"/>
    </row>
    <row r="235" spans="1:13" ht="15.75" x14ac:dyDescent="0.25">
      <c r="A235" s="98" t="s">
        <v>664</v>
      </c>
    </row>
    <row r="236" spans="1:13" ht="16.5" thickBot="1" x14ac:dyDescent="0.3">
      <c r="A236" s="98"/>
      <c r="C236" s="958"/>
      <c r="D236" s="734"/>
      <c r="E236" s="686"/>
      <c r="F236" s="809"/>
      <c r="G236" s="686"/>
      <c r="H236" s="1855" t="s">
        <v>173</v>
      </c>
    </row>
    <row r="237" spans="1:13" s="107" customFormat="1" ht="20.25" customHeight="1" thickTop="1" thickBot="1" x14ac:dyDescent="0.25">
      <c r="A237" s="633" t="s">
        <v>174</v>
      </c>
      <c r="B237" s="634" t="s">
        <v>175</v>
      </c>
      <c r="C237" s="678" t="s">
        <v>744</v>
      </c>
      <c r="D237" s="810" t="s">
        <v>176</v>
      </c>
      <c r="E237" s="636" t="s">
        <v>177</v>
      </c>
      <c r="F237" s="636" t="s">
        <v>922</v>
      </c>
      <c r="G237" s="636" t="s">
        <v>923</v>
      </c>
      <c r="H237" s="637" t="s">
        <v>924</v>
      </c>
    </row>
    <row r="238" spans="1:13" s="384" customFormat="1" ht="13.5" thickTop="1" thickBot="1" x14ac:dyDescent="0.25">
      <c r="A238" s="568">
        <v>1</v>
      </c>
      <c r="B238" s="569">
        <v>2</v>
      </c>
      <c r="C238" s="569">
        <v>3</v>
      </c>
      <c r="D238" s="569">
        <v>4</v>
      </c>
      <c r="E238" s="569">
        <v>5</v>
      </c>
      <c r="F238" s="543">
        <v>6</v>
      </c>
      <c r="G238" s="543">
        <v>7</v>
      </c>
      <c r="H238" s="638" t="s">
        <v>61</v>
      </c>
      <c r="I238" s="107"/>
    </row>
    <row r="239" spans="1:13" s="384" customFormat="1" ht="15.75" thickTop="1" x14ac:dyDescent="0.25">
      <c r="A239" s="50"/>
      <c r="B239" s="19">
        <v>5212</v>
      </c>
      <c r="C239" s="1447"/>
      <c r="D239" s="829" t="s">
        <v>712</v>
      </c>
      <c r="E239" s="1376"/>
      <c r="F239" s="413">
        <v>2316</v>
      </c>
      <c r="G239" s="413">
        <v>2316</v>
      </c>
      <c r="H239" s="1399">
        <f>(G239/F239)*100</f>
        <v>100</v>
      </c>
      <c r="I239" s="107"/>
    </row>
    <row r="240" spans="1:13" s="384" customFormat="1" x14ac:dyDescent="0.2">
      <c r="A240" s="1916"/>
      <c r="B240" s="1376"/>
      <c r="C240" s="1110" t="s">
        <v>1189</v>
      </c>
      <c r="D240" s="1330" t="s">
        <v>400</v>
      </c>
      <c r="E240" s="1376"/>
      <c r="F240" s="1462">
        <v>2316</v>
      </c>
      <c r="G240" s="1462">
        <v>2316</v>
      </c>
      <c r="H240" s="1125">
        <f>(G240/F240)*100</f>
        <v>100</v>
      </c>
      <c r="I240" s="107"/>
    </row>
    <row r="241" spans="1:21" s="1107" customFormat="1" ht="15" x14ac:dyDescent="0.25">
      <c r="A241" s="50"/>
      <c r="B241" s="31">
        <v>5213</v>
      </c>
      <c r="C241" s="1429"/>
      <c r="D241" s="1208" t="s">
        <v>343</v>
      </c>
      <c r="E241" s="71"/>
      <c r="F241" s="315">
        <f>F243+F244+F245+F247+F248+F249+F250</f>
        <v>162127</v>
      </c>
      <c r="G241" s="315">
        <f>G243+G244+G245+G247+G248+G249+G250</f>
        <v>161936</v>
      </c>
      <c r="H241" s="1124">
        <f>(G241/F241)*100</f>
        <v>99.882191121774909</v>
      </c>
      <c r="I241" s="24"/>
      <c r="J241" s="4"/>
      <c r="K241" s="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1107" customFormat="1" ht="15" x14ac:dyDescent="0.25">
      <c r="A242" s="50"/>
      <c r="B242" s="91"/>
      <c r="C242" s="1918"/>
      <c r="D242" s="1409" t="s">
        <v>399</v>
      </c>
      <c r="E242" s="71"/>
      <c r="F242" s="1038"/>
      <c r="G242" s="316"/>
      <c r="H242" s="1125"/>
    </row>
    <row r="243" spans="1:21" s="1107" customFormat="1" ht="15" x14ac:dyDescent="0.25">
      <c r="A243" s="50"/>
      <c r="B243" s="19"/>
      <c r="C243" s="1135" t="s">
        <v>1262</v>
      </c>
      <c r="D243" s="1727" t="s">
        <v>1757</v>
      </c>
      <c r="E243" s="71"/>
      <c r="F243" s="314">
        <v>55</v>
      </c>
      <c r="G243" s="316">
        <v>49</v>
      </c>
      <c r="H243" s="1125">
        <f t="shared" ref="H243:H251" si="9">(G243/F243)*100</f>
        <v>89.090909090909093</v>
      </c>
    </row>
    <row r="244" spans="1:21" s="1107" customFormat="1" ht="15" x14ac:dyDescent="0.25">
      <c r="A244" s="50"/>
      <c r="B244" s="19"/>
      <c r="C244" s="1120" t="s">
        <v>968</v>
      </c>
      <c r="D244" s="1177" t="s">
        <v>969</v>
      </c>
      <c r="E244" s="71"/>
      <c r="F244" s="314">
        <v>228</v>
      </c>
      <c r="G244" s="316">
        <v>228</v>
      </c>
      <c r="H244" s="1125">
        <f t="shared" si="9"/>
        <v>100</v>
      </c>
    </row>
    <row r="245" spans="1:21" s="1107" customFormat="1" ht="15" x14ac:dyDescent="0.25">
      <c r="A245" s="50"/>
      <c r="B245" s="91"/>
      <c r="C245" s="2671" t="s">
        <v>1510</v>
      </c>
      <c r="D245" s="2672" t="s">
        <v>1607</v>
      </c>
      <c r="E245" s="71"/>
      <c r="F245" s="1038">
        <v>52</v>
      </c>
      <c r="G245" s="316">
        <v>52</v>
      </c>
      <c r="H245" s="1125">
        <f t="shared" si="9"/>
        <v>100</v>
      </c>
      <c r="I245" s="1141"/>
    </row>
    <row r="246" spans="1:21" s="1107" customFormat="1" ht="15" x14ac:dyDescent="0.25">
      <c r="A246" s="50"/>
      <c r="B246" s="91"/>
      <c r="C246" s="2672"/>
      <c r="D246" s="2672"/>
      <c r="E246" s="71"/>
      <c r="F246" s="1038"/>
      <c r="G246" s="316"/>
      <c r="H246" s="1125"/>
      <c r="I246" s="1141"/>
    </row>
    <row r="247" spans="1:21" s="1107" customFormat="1" ht="15" x14ac:dyDescent="0.25">
      <c r="A247" s="50"/>
      <c r="B247" s="91"/>
      <c r="C247" s="1119" t="s">
        <v>1604</v>
      </c>
      <c r="D247" s="1927" t="s">
        <v>1603</v>
      </c>
      <c r="E247" s="71"/>
      <c r="F247" s="1038">
        <v>6</v>
      </c>
      <c r="G247" s="316">
        <v>6</v>
      </c>
      <c r="H247" s="1125">
        <f t="shared" si="9"/>
        <v>100</v>
      </c>
      <c r="I247" s="1141"/>
    </row>
    <row r="248" spans="1:21" s="1107" customFormat="1" ht="15" x14ac:dyDescent="0.25">
      <c r="A248" s="1448"/>
      <c r="B248" s="19"/>
      <c r="C248" s="1120" t="s">
        <v>1189</v>
      </c>
      <c r="D248" s="1917" t="s">
        <v>400</v>
      </c>
      <c r="E248" s="71"/>
      <c r="F248" s="314">
        <v>159799</v>
      </c>
      <c r="G248" s="316">
        <v>159614</v>
      </c>
      <c r="H248" s="1125">
        <f t="shared" si="9"/>
        <v>99.884229563388999</v>
      </c>
    </row>
    <row r="249" spans="1:21" s="1107" customFormat="1" ht="25.5" x14ac:dyDescent="0.25">
      <c r="A249" s="1448"/>
      <c r="B249" s="19"/>
      <c r="C249" s="1119" t="s">
        <v>401</v>
      </c>
      <c r="D249" s="1929" t="s">
        <v>980</v>
      </c>
      <c r="E249" s="71"/>
      <c r="F249" s="1397">
        <v>1891</v>
      </c>
      <c r="G249" s="1396">
        <v>1891</v>
      </c>
      <c r="H249" s="1415">
        <f t="shared" si="9"/>
        <v>100</v>
      </c>
    </row>
    <row r="250" spans="1:21" s="1107" customFormat="1" ht="25.5" x14ac:dyDescent="0.25">
      <c r="A250" s="1448"/>
      <c r="B250" s="19"/>
      <c r="C250" s="1391" t="s">
        <v>839</v>
      </c>
      <c r="D250" s="2331" t="s">
        <v>974</v>
      </c>
      <c r="E250" s="71"/>
      <c r="F250" s="1397">
        <v>96</v>
      </c>
      <c r="G250" s="1396">
        <v>96</v>
      </c>
      <c r="H250" s="1415">
        <f t="shared" si="9"/>
        <v>100</v>
      </c>
    </row>
    <row r="251" spans="1:21" s="1107" customFormat="1" ht="15" x14ac:dyDescent="0.25">
      <c r="A251" s="50"/>
      <c r="B251" s="31">
        <v>5221</v>
      </c>
      <c r="C251" s="1919"/>
      <c r="D251" s="1409" t="s">
        <v>614</v>
      </c>
      <c r="E251" s="71"/>
      <c r="F251" s="315">
        <f>F253+F254+F255</f>
        <v>63079</v>
      </c>
      <c r="G251" s="315">
        <f>G253+G254+G255</f>
        <v>63079</v>
      </c>
      <c r="H251" s="1124">
        <f t="shared" si="9"/>
        <v>100</v>
      </c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1107" customFormat="1" ht="14.25" customHeight="1" x14ac:dyDescent="0.25">
      <c r="A252" s="50"/>
      <c r="B252" s="91"/>
      <c r="C252" s="1918"/>
      <c r="D252" s="1409" t="s">
        <v>399</v>
      </c>
      <c r="E252" s="71"/>
      <c r="F252" s="1038"/>
      <c r="G252" s="316"/>
      <c r="H252" s="1125"/>
    </row>
    <row r="253" spans="1:21" s="1107" customFormat="1" ht="14.25" customHeight="1" x14ac:dyDescent="0.25">
      <c r="A253" s="50"/>
      <c r="B253" s="91"/>
      <c r="C253" s="1119" t="s">
        <v>970</v>
      </c>
      <c r="D253" s="1923" t="s">
        <v>615</v>
      </c>
      <c r="E253" s="71"/>
      <c r="F253" s="1038">
        <v>15</v>
      </c>
      <c r="G253" s="316">
        <v>15</v>
      </c>
      <c r="H253" s="1415">
        <f>(G253/F253)*100</f>
        <v>100</v>
      </c>
    </row>
    <row r="254" spans="1:21" s="1107" customFormat="1" ht="15" x14ac:dyDescent="0.25">
      <c r="A254" s="50"/>
      <c r="B254" s="1331"/>
      <c r="C254" s="1120" t="s">
        <v>1189</v>
      </c>
      <c r="D254" s="1917" t="s">
        <v>402</v>
      </c>
      <c r="E254" s="71"/>
      <c r="F254" s="314">
        <v>59925</v>
      </c>
      <c r="G254" s="357">
        <v>59925</v>
      </c>
      <c r="H254" s="1125">
        <f>(G254/F254)*100</f>
        <v>100</v>
      </c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1107" customFormat="1" ht="25.5" x14ac:dyDescent="0.25">
      <c r="A255" s="50"/>
      <c r="B255" s="1331"/>
      <c r="C255" s="1119" t="s">
        <v>401</v>
      </c>
      <c r="D255" s="1929" t="s">
        <v>980</v>
      </c>
      <c r="E255" s="71"/>
      <c r="F255" s="1397">
        <v>3139</v>
      </c>
      <c r="G255" s="1449">
        <v>3139</v>
      </c>
      <c r="H255" s="1415">
        <f>(G255/F255)*100</f>
        <v>100</v>
      </c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1107" customFormat="1" ht="15" x14ac:dyDescent="0.25">
      <c r="A256" s="50"/>
      <c r="B256" s="31">
        <v>5222</v>
      </c>
      <c r="C256" s="1919"/>
      <c r="D256" s="1409" t="s">
        <v>1190</v>
      </c>
      <c r="E256" s="71"/>
      <c r="F256" s="315">
        <f>F258+F259</f>
        <v>6767</v>
      </c>
      <c r="G256" s="315">
        <f>G258+G259</f>
        <v>6767</v>
      </c>
      <c r="H256" s="1124">
        <f>(G256/F256)*100</f>
        <v>100</v>
      </c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24" customFormat="1" ht="15" x14ac:dyDescent="0.25">
      <c r="A257" s="50"/>
      <c r="B257" s="91"/>
      <c r="C257" s="1918"/>
      <c r="D257" s="1409" t="s">
        <v>399</v>
      </c>
      <c r="E257" s="71"/>
      <c r="F257" s="1038"/>
      <c r="G257" s="316"/>
      <c r="H257" s="1125"/>
      <c r="I257" s="1107"/>
      <c r="J257" s="1107"/>
      <c r="K257" s="1107"/>
      <c r="L257" s="1107"/>
      <c r="M257" s="1107"/>
      <c r="N257" s="1107"/>
      <c r="O257" s="1107"/>
      <c r="P257" s="1107"/>
      <c r="Q257" s="1107"/>
      <c r="R257" s="1107"/>
      <c r="S257" s="1107"/>
      <c r="T257" s="1107"/>
      <c r="U257" s="1107"/>
    </row>
    <row r="258" spans="1:21" s="24" customFormat="1" ht="15" x14ac:dyDescent="0.25">
      <c r="A258" s="50"/>
      <c r="B258" s="91"/>
      <c r="C258" s="1120" t="s">
        <v>1189</v>
      </c>
      <c r="D258" s="1917" t="s">
        <v>402</v>
      </c>
      <c r="E258" s="71"/>
      <c r="F258" s="1038">
        <v>6137</v>
      </c>
      <c r="G258" s="316">
        <v>6137</v>
      </c>
      <c r="H258" s="1125">
        <f>(G258/F258)*100</f>
        <v>100</v>
      </c>
      <c r="I258" s="1107"/>
      <c r="J258" s="1107"/>
      <c r="K258" s="1107"/>
      <c r="L258" s="1107"/>
      <c r="M258" s="1107"/>
      <c r="N258" s="1107"/>
      <c r="O258" s="1107"/>
      <c r="P258" s="1107"/>
      <c r="Q258" s="1107"/>
      <c r="R258" s="1107"/>
      <c r="S258" s="1107"/>
      <c r="T258" s="1107"/>
      <c r="U258" s="1107"/>
    </row>
    <row r="259" spans="1:21" s="24" customFormat="1" ht="26.25" thickBot="1" x14ac:dyDescent="0.3">
      <c r="A259" s="1127"/>
      <c r="B259" s="1440"/>
      <c r="C259" s="1241" t="s">
        <v>401</v>
      </c>
      <c r="D259" s="1930" t="s">
        <v>980</v>
      </c>
      <c r="E259" s="1175"/>
      <c r="F259" s="1920">
        <v>630</v>
      </c>
      <c r="G259" s="1457">
        <v>630</v>
      </c>
      <c r="H259" s="1921">
        <f>(G259/F259)*100</f>
        <v>100</v>
      </c>
      <c r="I259" s="1107"/>
      <c r="J259" s="1107"/>
      <c r="K259" s="1107"/>
      <c r="L259" s="1107"/>
      <c r="M259" s="1107"/>
      <c r="N259" s="1107"/>
      <c r="O259" s="1107"/>
      <c r="P259" s="1107"/>
      <c r="Q259" s="1107"/>
      <c r="R259" s="1107"/>
      <c r="S259" s="1107"/>
      <c r="T259" s="1107"/>
      <c r="U259" s="1107"/>
    </row>
    <row r="260" spans="1:21" s="361" customFormat="1" ht="35.25" customHeight="1" thickTop="1" thickBot="1" x14ac:dyDescent="0.3">
      <c r="A260" s="696" t="s">
        <v>194</v>
      </c>
      <c r="B260" s="953"/>
      <c r="C260" s="698"/>
      <c r="D260" s="697"/>
      <c r="E260" s="699">
        <v>0</v>
      </c>
      <c r="F260" s="1456">
        <f>F241+F251+F256+F239</f>
        <v>234289</v>
      </c>
      <c r="G260" s="1456">
        <f>G241+G251+G256+G239</f>
        <v>234098</v>
      </c>
      <c r="H260" s="962">
        <f>(G260/F260)*100</f>
        <v>99.918476753069925</v>
      </c>
      <c r="J260" s="701"/>
      <c r="K260" s="701"/>
      <c r="L260" s="701"/>
    </row>
    <row r="261" spans="1:21" ht="15" thickTop="1" x14ac:dyDescent="0.2"/>
    <row r="263" spans="1:21" ht="15.75" x14ac:dyDescent="0.25">
      <c r="A263" s="963" t="s">
        <v>550</v>
      </c>
    </row>
    <row r="264" spans="1:21" ht="16.5" thickBot="1" x14ac:dyDescent="0.3">
      <c r="A264" s="963"/>
      <c r="H264" s="1855" t="s">
        <v>1289</v>
      </c>
    </row>
    <row r="265" spans="1:21" s="107" customFormat="1" ht="20.25" customHeight="1" thickTop="1" thickBot="1" x14ac:dyDescent="0.25">
      <c r="A265" s="633" t="s">
        <v>174</v>
      </c>
      <c r="B265" s="964" t="s">
        <v>175</v>
      </c>
      <c r="C265" s="678" t="s">
        <v>397</v>
      </c>
      <c r="D265" s="636" t="s">
        <v>176</v>
      </c>
      <c r="E265" s="636" t="s">
        <v>177</v>
      </c>
      <c r="F265" s="636" t="s">
        <v>922</v>
      </c>
      <c r="G265" s="636" t="s">
        <v>923</v>
      </c>
      <c r="H265" s="637" t="s">
        <v>924</v>
      </c>
      <c r="J265" s="382"/>
      <c r="K265" s="382"/>
      <c r="L265" s="382"/>
      <c r="M265" s="382"/>
      <c r="N265" s="382"/>
      <c r="O265" s="382"/>
    </row>
    <row r="266" spans="1:21" s="384" customFormat="1" ht="13.5" thickTop="1" thickBot="1" x14ac:dyDescent="0.25">
      <c r="A266" s="568">
        <v>1</v>
      </c>
      <c r="B266" s="569">
        <v>2</v>
      </c>
      <c r="C266" s="569">
        <v>3</v>
      </c>
      <c r="D266" s="569">
        <v>4</v>
      </c>
      <c r="E266" s="569">
        <v>5</v>
      </c>
      <c r="F266" s="543">
        <v>6</v>
      </c>
      <c r="G266" s="543">
        <v>7</v>
      </c>
      <c r="H266" s="638" t="s">
        <v>61</v>
      </c>
      <c r="I266" s="107"/>
    </row>
    <row r="267" spans="1:21" s="1107" customFormat="1" ht="15.75" thickTop="1" x14ac:dyDescent="0.25">
      <c r="A267" s="222"/>
      <c r="B267" s="241">
        <v>5229</v>
      </c>
      <c r="C267" s="1444"/>
      <c r="D267" s="1439" t="s">
        <v>1191</v>
      </c>
      <c r="E267" s="233"/>
      <c r="F267" s="371">
        <f>F268+F270+F271+F272+F273+F274+F276+F279</f>
        <v>11682</v>
      </c>
      <c r="G267" s="371">
        <f>G268+G270+G271+G272+G273+G274+G276+G279</f>
        <v>11682</v>
      </c>
      <c r="H267" s="1399">
        <f>(G267/F267)*100</f>
        <v>100</v>
      </c>
    </row>
    <row r="268" spans="1:21" s="1107" customFormat="1" x14ac:dyDescent="0.2">
      <c r="A268" s="50"/>
      <c r="B268" s="31"/>
      <c r="C268" s="1391" t="s">
        <v>1228</v>
      </c>
      <c r="D268" s="2675" t="s">
        <v>981</v>
      </c>
      <c r="E268" s="1337"/>
      <c r="F268" s="316">
        <v>3808</v>
      </c>
      <c r="G268" s="316">
        <v>3808</v>
      </c>
      <c r="H268" s="1116">
        <f>(G268/F268)*100</f>
        <v>100</v>
      </c>
    </row>
    <row r="269" spans="1:21" s="1107" customFormat="1" x14ac:dyDescent="0.2">
      <c r="A269" s="50"/>
      <c r="B269" s="31"/>
      <c r="C269" s="1391"/>
      <c r="D269" s="2675"/>
      <c r="E269" s="1337"/>
      <c r="F269" s="316"/>
      <c r="G269" s="316"/>
      <c r="H269" s="1116"/>
    </row>
    <row r="270" spans="1:21" s="1107" customFormat="1" x14ac:dyDescent="0.2">
      <c r="A270" s="50"/>
      <c r="B270" s="31"/>
      <c r="C270" s="1391" t="s">
        <v>982</v>
      </c>
      <c r="D270" s="2330" t="s">
        <v>1403</v>
      </c>
      <c r="E270" s="1337"/>
      <c r="F270" s="316">
        <v>56</v>
      </c>
      <c r="G270" s="316">
        <v>56</v>
      </c>
      <c r="H270" s="1116">
        <f t="shared" ref="H270:H280" si="10">(G270/F270)*100</f>
        <v>100</v>
      </c>
    </row>
    <row r="271" spans="1:21" s="1107" customFormat="1" x14ac:dyDescent="0.2">
      <c r="A271" s="50"/>
      <c r="B271" s="31"/>
      <c r="C271" s="1119" t="s">
        <v>970</v>
      </c>
      <c r="D271" s="1923" t="s">
        <v>615</v>
      </c>
      <c r="E271" s="1337"/>
      <c r="F271" s="316">
        <v>15</v>
      </c>
      <c r="G271" s="316">
        <v>15</v>
      </c>
      <c r="H271" s="1116">
        <f t="shared" si="10"/>
        <v>100</v>
      </c>
    </row>
    <row r="272" spans="1:21" s="1107" customFormat="1" x14ac:dyDescent="0.2">
      <c r="A272" s="50"/>
      <c r="B272" s="31"/>
      <c r="C272" s="1119" t="s">
        <v>1604</v>
      </c>
      <c r="D272" s="1922" t="s">
        <v>1603</v>
      </c>
      <c r="E272" s="1337"/>
      <c r="F272" s="316">
        <v>58</v>
      </c>
      <c r="G272" s="316">
        <v>58</v>
      </c>
      <c r="H272" s="1116">
        <f t="shared" si="10"/>
        <v>100</v>
      </c>
    </row>
    <row r="273" spans="1:14" s="1107" customFormat="1" x14ac:dyDescent="0.2">
      <c r="A273" s="50"/>
      <c r="B273" s="31"/>
      <c r="C273" s="1119" t="s">
        <v>1809</v>
      </c>
      <c r="D273" s="1922" t="s">
        <v>1810</v>
      </c>
      <c r="E273" s="1337"/>
      <c r="F273" s="316">
        <v>390</v>
      </c>
      <c r="G273" s="316">
        <v>390</v>
      </c>
      <c r="H273" s="1116">
        <f t="shared" si="10"/>
        <v>100</v>
      </c>
    </row>
    <row r="274" spans="1:14" s="1107" customFormat="1" x14ac:dyDescent="0.2">
      <c r="A274" s="50"/>
      <c r="B274" s="31"/>
      <c r="C274" s="1119" t="s">
        <v>1805</v>
      </c>
      <c r="D274" s="2674" t="s">
        <v>1806</v>
      </c>
      <c r="E274" s="1337"/>
      <c r="F274" s="316">
        <v>196</v>
      </c>
      <c r="G274" s="316">
        <v>196</v>
      </c>
      <c r="H274" s="1116">
        <f t="shared" si="10"/>
        <v>100</v>
      </c>
    </row>
    <row r="275" spans="1:14" s="1107" customFormat="1" x14ac:dyDescent="0.2">
      <c r="A275" s="50"/>
      <c r="B275" s="31"/>
      <c r="C275" s="1119"/>
      <c r="D275" s="2674"/>
      <c r="E275" s="1337"/>
      <c r="F275" s="316"/>
      <c r="G275" s="316"/>
      <c r="H275" s="1116"/>
    </row>
    <row r="276" spans="1:14" s="1107" customFormat="1" x14ac:dyDescent="0.2">
      <c r="A276" s="50"/>
      <c r="B276" s="31"/>
      <c r="C276" s="1119" t="s">
        <v>1606</v>
      </c>
      <c r="D276" s="2677" t="s">
        <v>1605</v>
      </c>
      <c r="E276" s="1337"/>
      <c r="F276" s="316">
        <v>14</v>
      </c>
      <c r="G276" s="316">
        <v>14</v>
      </c>
      <c r="H276" s="1116">
        <f t="shared" si="10"/>
        <v>100</v>
      </c>
    </row>
    <row r="277" spans="1:14" s="1107" customFormat="1" x14ac:dyDescent="0.2">
      <c r="A277" s="50"/>
      <c r="B277" s="31"/>
      <c r="C277" s="1119"/>
      <c r="D277" s="2677"/>
      <c r="E277" s="1337"/>
      <c r="F277" s="316"/>
      <c r="G277" s="316"/>
      <c r="H277" s="1116"/>
    </row>
    <row r="278" spans="1:14" s="1107" customFormat="1" x14ac:dyDescent="0.2">
      <c r="A278" s="50"/>
      <c r="B278" s="31"/>
      <c r="C278" s="1119"/>
      <c r="D278" s="2676"/>
      <c r="E278" s="1337"/>
      <c r="F278" s="316"/>
      <c r="G278" s="316"/>
      <c r="H278" s="1116"/>
    </row>
    <row r="279" spans="1:14" s="1107" customFormat="1" ht="25.5" x14ac:dyDescent="0.2">
      <c r="A279" s="50"/>
      <c r="B279" s="1332"/>
      <c r="C279" s="1391" t="s">
        <v>839</v>
      </c>
      <c r="D279" s="2331" t="s">
        <v>974</v>
      </c>
      <c r="E279" s="1337"/>
      <c r="F279" s="1396">
        <v>7145</v>
      </c>
      <c r="G279" s="1396">
        <v>7145</v>
      </c>
      <c r="H279" s="1426">
        <f t="shared" si="10"/>
        <v>100</v>
      </c>
    </row>
    <row r="280" spans="1:14" s="1159" customFormat="1" ht="14.25" customHeight="1" x14ac:dyDescent="0.25">
      <c r="A280" s="223"/>
      <c r="B280" s="96">
        <v>5333</v>
      </c>
      <c r="C280" s="1429"/>
      <c r="D280" s="2673" t="s">
        <v>1381</v>
      </c>
      <c r="E280" s="149"/>
      <c r="F280" s="315">
        <v>22756</v>
      </c>
      <c r="G280" s="315">
        <v>22756</v>
      </c>
      <c r="H280" s="203">
        <f t="shared" si="10"/>
        <v>100</v>
      </c>
    </row>
    <row r="281" spans="1:14" s="1159" customFormat="1" ht="14.25" customHeight="1" x14ac:dyDescent="0.25">
      <c r="A281" s="1445"/>
      <c r="B281" s="1443"/>
      <c r="C281" s="1431"/>
      <c r="D281" s="2674"/>
      <c r="E281" s="123"/>
      <c r="F281" s="315"/>
      <c r="G281" s="315"/>
      <c r="H281" s="1113"/>
    </row>
    <row r="282" spans="1:14" s="1159" customFormat="1" ht="14.25" customHeight="1" x14ac:dyDescent="0.25">
      <c r="A282" s="1445"/>
      <c r="B282" s="1443"/>
      <c r="C282" s="1110" t="s">
        <v>1182</v>
      </c>
      <c r="D282" s="1334" t="s">
        <v>26</v>
      </c>
      <c r="E282" s="123"/>
      <c r="F282" s="316">
        <v>22756</v>
      </c>
      <c r="G282" s="316">
        <v>22756</v>
      </c>
      <c r="H282" s="1116">
        <f>(G282/F282)*100</f>
        <v>100</v>
      </c>
    </row>
    <row r="283" spans="1:14" s="1159" customFormat="1" ht="14.25" customHeight="1" x14ac:dyDescent="0.25">
      <c r="A283" s="1445"/>
      <c r="B283" s="96">
        <v>5339</v>
      </c>
      <c r="C283" s="1110"/>
      <c r="D283" s="1209" t="s">
        <v>1299</v>
      </c>
      <c r="E283" s="123"/>
      <c r="F283" s="315">
        <v>2926616</v>
      </c>
      <c r="G283" s="315">
        <v>2926616</v>
      </c>
      <c r="H283" s="203">
        <f>(G283/F283)*100</f>
        <v>100</v>
      </c>
    </row>
    <row r="284" spans="1:14" s="1159" customFormat="1" ht="14.25" customHeight="1" thickBot="1" x14ac:dyDescent="0.3">
      <c r="A284" s="1445"/>
      <c r="B284" s="1443"/>
      <c r="C284" s="1110" t="s">
        <v>1182</v>
      </c>
      <c r="D284" s="1334" t="s">
        <v>26</v>
      </c>
      <c r="E284" s="123"/>
      <c r="F284" s="316">
        <v>2926616</v>
      </c>
      <c r="G284" s="316">
        <v>2926616</v>
      </c>
      <c r="H284" s="1116">
        <f>(G284/F284)*100</f>
        <v>100</v>
      </c>
    </row>
    <row r="285" spans="1:14" s="969" customFormat="1" ht="26.25" customHeight="1" thickTop="1" thickBot="1" x14ac:dyDescent="0.3">
      <c r="A285" s="965" t="s">
        <v>775</v>
      </c>
      <c r="B285" s="966"/>
      <c r="C285" s="967"/>
      <c r="D285" s="966"/>
      <c r="E285" s="1455">
        <v>0</v>
      </c>
      <c r="F285" s="1454">
        <f>F267+F280+F283</f>
        <v>2961054</v>
      </c>
      <c r="G285" s="1454">
        <f>G267+G280+G283</f>
        <v>2961054</v>
      </c>
      <c r="H285" s="968">
        <f>(G285/F285)*100</f>
        <v>100</v>
      </c>
      <c r="J285" s="526"/>
      <c r="K285" s="526"/>
      <c r="L285" s="526"/>
    </row>
    <row r="286" spans="1:14" ht="15" thickTop="1" x14ac:dyDescent="0.2"/>
    <row r="288" spans="1:14" ht="16.5" x14ac:dyDescent="0.25">
      <c r="A288" s="362" t="s">
        <v>215</v>
      </c>
      <c r="B288" s="363"/>
      <c r="C288" s="364"/>
      <c r="D288" s="365"/>
      <c r="E288" s="585">
        <f>SUM(E289:E292)</f>
        <v>62729</v>
      </c>
      <c r="F288" s="585">
        <f>SUM(F289:F292)</f>
        <v>87882</v>
      </c>
      <c r="G288" s="585">
        <f>SUM(G289:G293)</f>
        <v>87458</v>
      </c>
      <c r="H288" s="821">
        <f>(G288/F288)*100</f>
        <v>99.517534876311416</v>
      </c>
      <c r="L288" s="383"/>
      <c r="M288" s="383"/>
      <c r="N288" s="383"/>
    </row>
    <row r="289" spans="1:14" ht="15" x14ac:dyDescent="0.2">
      <c r="A289" s="557" t="s">
        <v>277</v>
      </c>
      <c r="B289" s="847"/>
      <c r="C289" s="1539"/>
      <c r="D289" s="848"/>
      <c r="E289" s="590">
        <f>E126</f>
        <v>52229</v>
      </c>
      <c r="F289" s="590">
        <f>F126-F291</f>
        <v>80510</v>
      </c>
      <c r="G289" s="590">
        <f>G126-G291</f>
        <v>80085</v>
      </c>
      <c r="H289" s="970">
        <f>(G289/F289)*100</f>
        <v>99.472115265184442</v>
      </c>
      <c r="L289" s="383"/>
      <c r="M289" s="383"/>
      <c r="N289" s="383"/>
    </row>
    <row r="290" spans="1:14" ht="15" x14ac:dyDescent="0.2">
      <c r="A290" s="557" t="s">
        <v>278</v>
      </c>
      <c r="B290" s="1540"/>
      <c r="C290" s="1539"/>
      <c r="D290" s="1541"/>
      <c r="E290" s="590">
        <f>E153</f>
        <v>10500</v>
      </c>
      <c r="F290" s="590">
        <f>F153</f>
        <v>6830</v>
      </c>
      <c r="G290" s="590">
        <f>G153</f>
        <v>6830</v>
      </c>
      <c r="H290" s="970">
        <f>(G290/F290)*100</f>
        <v>100</v>
      </c>
      <c r="I290" s="383"/>
      <c r="J290" s="383"/>
      <c r="L290" s="383"/>
      <c r="M290" s="383"/>
      <c r="N290" s="383"/>
    </row>
    <row r="291" spans="1:14" ht="15" x14ac:dyDescent="0.2">
      <c r="A291" s="557" t="s">
        <v>221</v>
      </c>
      <c r="B291" s="1540"/>
      <c r="C291" s="1539"/>
      <c r="D291" s="1541"/>
      <c r="E291" s="590">
        <v>0</v>
      </c>
      <c r="F291" s="590">
        <f>F98</f>
        <v>542</v>
      </c>
      <c r="G291" s="590">
        <f>G98</f>
        <v>542</v>
      </c>
      <c r="H291" s="970">
        <v>0</v>
      </c>
      <c r="L291" s="383"/>
      <c r="M291" s="383"/>
      <c r="N291" s="383"/>
    </row>
    <row r="292" spans="1:14" ht="15" x14ac:dyDescent="0.2">
      <c r="A292" s="557" t="s">
        <v>1206</v>
      </c>
      <c r="B292" s="1540"/>
      <c r="C292" s="1539"/>
      <c r="D292" s="1541"/>
      <c r="E292" s="590">
        <v>0</v>
      </c>
      <c r="F292" s="590">
        <v>0</v>
      </c>
      <c r="G292" s="590">
        <v>0</v>
      </c>
      <c r="H292" s="970">
        <v>0</v>
      </c>
      <c r="L292" s="951"/>
      <c r="M292" s="951"/>
      <c r="N292" s="951"/>
    </row>
    <row r="293" spans="1:14" ht="15" x14ac:dyDescent="0.2">
      <c r="A293" s="557" t="s">
        <v>488</v>
      </c>
      <c r="B293" s="1540"/>
      <c r="C293" s="1539"/>
      <c r="D293" s="1541"/>
      <c r="E293" s="590"/>
      <c r="F293" s="590"/>
      <c r="G293" s="590">
        <v>1</v>
      </c>
      <c r="H293" s="805"/>
    </row>
    <row r="294" spans="1:14" ht="16.5" x14ac:dyDescent="0.25">
      <c r="A294" s="773" t="s">
        <v>279</v>
      </c>
      <c r="B294" s="1540"/>
      <c r="C294" s="1539"/>
      <c r="D294" s="1541"/>
      <c r="E294" s="585">
        <f>SUM(E295:E298)</f>
        <v>408139</v>
      </c>
      <c r="F294" s="585">
        <f>SUM(F295:F298)</f>
        <v>2418812</v>
      </c>
      <c r="G294" s="585">
        <f>SUM(G295:G298)</f>
        <v>2418812</v>
      </c>
      <c r="H294" s="821">
        <f>(G294/F294)*100</f>
        <v>100</v>
      </c>
    </row>
    <row r="295" spans="1:14" ht="15" x14ac:dyDescent="0.2">
      <c r="A295" s="557" t="s">
        <v>1207</v>
      </c>
      <c r="B295" s="1540"/>
      <c r="C295" s="1539"/>
      <c r="D295" s="1541"/>
      <c r="E295" s="590">
        <f>E218</f>
        <v>408139</v>
      </c>
      <c r="F295" s="590">
        <f>F218-F297</f>
        <v>418867</v>
      </c>
      <c r="G295" s="590">
        <f>G218-G297</f>
        <v>418867</v>
      </c>
      <c r="H295" s="970">
        <f>(G295/F295)*100</f>
        <v>100</v>
      </c>
      <c r="K295" s="2670"/>
      <c r="L295" s="383"/>
      <c r="M295" s="383"/>
      <c r="N295" s="383"/>
    </row>
    <row r="296" spans="1:14" ht="15" x14ac:dyDescent="0.2">
      <c r="A296" s="557" t="s">
        <v>1208</v>
      </c>
      <c r="B296" s="1540"/>
      <c r="C296" s="1539"/>
      <c r="D296" s="1541"/>
      <c r="E296" s="590">
        <f>E229</f>
        <v>0</v>
      </c>
      <c r="F296" s="590">
        <f>F229-F298</f>
        <v>4989</v>
      </c>
      <c r="G296" s="590">
        <f>G229-G298</f>
        <v>4989</v>
      </c>
      <c r="H296" s="970">
        <f>(G296/F296)*100</f>
        <v>100</v>
      </c>
      <c r="K296" s="2670"/>
    </row>
    <row r="297" spans="1:14" ht="15" x14ac:dyDescent="0.2">
      <c r="A297" s="557" t="s">
        <v>221</v>
      </c>
      <c r="B297" s="1850"/>
      <c r="E297" s="590">
        <v>0</v>
      </c>
      <c r="F297" s="590">
        <f>F182+F183+F185+F186+F188+F190+F191+F192+F194+F195+F196+F197+F198+F199+F207+F209+F210+F211+F212+F213+F214+F215+F216+F217</f>
        <v>1994956</v>
      </c>
      <c r="G297" s="590">
        <f>G182+G183+G185+G186+G188+G190+G191+G192+G194+G195+G196+G197+G198+G199+G207+G209+G210+G211+G212+G213+G214+G215+G216+G217</f>
        <v>1994956</v>
      </c>
      <c r="H297" s="970">
        <f>(G297/F297)*100</f>
        <v>100</v>
      </c>
      <c r="I297" s="383"/>
      <c r="J297" s="383"/>
    </row>
    <row r="298" spans="1:14" ht="15" x14ac:dyDescent="0.2">
      <c r="A298" s="557" t="s">
        <v>1206</v>
      </c>
      <c r="B298" s="1850"/>
      <c r="E298" s="590">
        <v>0</v>
      </c>
      <c r="F298" s="590">
        <v>0</v>
      </c>
      <c r="G298" s="590">
        <v>0</v>
      </c>
      <c r="H298" s="970">
        <v>0</v>
      </c>
      <c r="K298" s="2670"/>
      <c r="L298" s="383"/>
      <c r="M298" s="383"/>
      <c r="N298" s="383"/>
    </row>
    <row r="299" spans="1:14" ht="15" x14ac:dyDescent="0.2">
      <c r="A299" s="557"/>
      <c r="B299" s="1540"/>
      <c r="C299" s="1539"/>
      <c r="D299" s="1539"/>
      <c r="E299" s="590"/>
      <c r="F299" s="590"/>
      <c r="G299" s="590"/>
      <c r="H299" s="805"/>
      <c r="K299" s="2670"/>
    </row>
    <row r="300" spans="1:14" ht="15.75" x14ac:dyDescent="0.25">
      <c r="A300" s="963" t="s">
        <v>216</v>
      </c>
      <c r="B300" s="1540"/>
      <c r="C300" s="1539"/>
      <c r="D300" s="1539"/>
      <c r="E300" s="585">
        <f>SUM(E301:E304)</f>
        <v>0</v>
      </c>
      <c r="F300" s="585">
        <f>SUM(F301:F304)</f>
        <v>234289</v>
      </c>
      <c r="G300" s="585">
        <f>SUM(G301:G304)</f>
        <v>234098</v>
      </c>
      <c r="H300" s="821">
        <f>(G300/F300)*100</f>
        <v>99.918476753069925</v>
      </c>
      <c r="K300" s="2670"/>
      <c r="L300" s="383"/>
      <c r="M300" s="383"/>
      <c r="N300" s="383"/>
    </row>
    <row r="301" spans="1:14" ht="15" x14ac:dyDescent="0.2">
      <c r="A301" s="557" t="s">
        <v>1207</v>
      </c>
      <c r="B301" s="1540"/>
      <c r="C301" s="1539"/>
      <c r="D301" s="1539"/>
      <c r="E301" s="590">
        <f>E260</f>
        <v>0</v>
      </c>
      <c r="F301" s="590">
        <f>F260-F303</f>
        <v>283</v>
      </c>
      <c r="G301" s="590">
        <f>G260-G303</f>
        <v>277</v>
      </c>
      <c r="H301" s="822">
        <f>(G301/F301)*100</f>
        <v>97.879858657243815</v>
      </c>
      <c r="I301" s="383"/>
      <c r="K301" s="2670"/>
    </row>
    <row r="302" spans="1:14" ht="15" x14ac:dyDescent="0.2">
      <c r="A302" s="557" t="s">
        <v>1208</v>
      </c>
      <c r="B302" s="1540"/>
      <c r="C302" s="1539"/>
      <c r="D302" s="1539"/>
      <c r="E302" s="590">
        <v>0</v>
      </c>
      <c r="F302" s="590">
        <v>0</v>
      </c>
      <c r="G302" s="590">
        <v>0</v>
      </c>
      <c r="H302" s="822">
        <v>0</v>
      </c>
      <c r="L302" s="383"/>
      <c r="M302" s="383"/>
      <c r="N302" s="383"/>
    </row>
    <row r="303" spans="1:14" ht="15" x14ac:dyDescent="0.2">
      <c r="A303" s="557" t="s">
        <v>221</v>
      </c>
      <c r="B303" s="1540"/>
      <c r="C303" s="1539"/>
      <c r="D303" s="1539"/>
      <c r="E303" s="590">
        <v>0</v>
      </c>
      <c r="F303" s="590">
        <f>F240+F245+F247+F248+F249+F250+F253+F254+F255+F258+F259</f>
        <v>234006</v>
      </c>
      <c r="G303" s="590">
        <f>G240+G245+G247+G248+G249+G250+G253+G254+G255+G258+G259</f>
        <v>233821</v>
      </c>
      <c r="H303" s="822">
        <f>(G303/F303)*100</f>
        <v>99.920942198063301</v>
      </c>
    </row>
    <row r="304" spans="1:14" ht="15" x14ac:dyDescent="0.2">
      <c r="A304" s="557" t="s">
        <v>1206</v>
      </c>
      <c r="B304" s="1540"/>
      <c r="C304" s="1539"/>
      <c r="D304" s="1539"/>
      <c r="E304" s="590">
        <v>0</v>
      </c>
      <c r="F304" s="590">
        <v>0</v>
      </c>
      <c r="G304" s="590">
        <v>0</v>
      </c>
      <c r="H304" s="822">
        <v>0</v>
      </c>
      <c r="L304" s="383"/>
      <c r="M304" s="383"/>
      <c r="N304" s="383"/>
    </row>
    <row r="305" spans="1:14" ht="15" x14ac:dyDescent="0.2">
      <c r="A305" s="557"/>
      <c r="B305" s="1540"/>
      <c r="C305" s="1539"/>
      <c r="D305" s="1539"/>
      <c r="E305" s="590"/>
      <c r="F305" s="590"/>
      <c r="G305" s="590"/>
      <c r="H305" s="805"/>
      <c r="K305" s="383">
        <f>E153+E229</f>
        <v>10500</v>
      </c>
      <c r="L305" s="383">
        <f>F153+F229</f>
        <v>11819</v>
      </c>
      <c r="M305" s="383">
        <f>G153+G229</f>
        <v>11819</v>
      </c>
      <c r="N305" s="383" t="s">
        <v>1811</v>
      </c>
    </row>
    <row r="306" spans="1:14" ht="15.75" x14ac:dyDescent="0.25">
      <c r="A306" s="971" t="s">
        <v>551</v>
      </c>
      <c r="B306" s="1540"/>
      <c r="C306" s="1539"/>
      <c r="D306" s="1539"/>
      <c r="E306" s="585">
        <f>SUM(E307:E310)</f>
        <v>0</v>
      </c>
      <c r="F306" s="585">
        <f>SUM(F307:F310)</f>
        <v>2961054</v>
      </c>
      <c r="G306" s="585">
        <f>SUM(G307:G310)</f>
        <v>2961054</v>
      </c>
      <c r="H306" s="821">
        <f>(G306/F306)*100</f>
        <v>100</v>
      </c>
      <c r="K306" s="383">
        <f>E126+E218+E260+E285</f>
        <v>460368</v>
      </c>
      <c r="L306" s="383">
        <f>F126+F218+F260+F285</f>
        <v>5690218</v>
      </c>
      <c r="M306" s="383">
        <f>G126+G218+G260+G285</f>
        <v>5689602</v>
      </c>
      <c r="N306" s="382" t="s">
        <v>1812</v>
      </c>
    </row>
    <row r="307" spans="1:14" ht="15" x14ac:dyDescent="0.2">
      <c r="A307" s="557" t="s">
        <v>1207</v>
      </c>
      <c r="B307" s="1540"/>
      <c r="C307" s="1539"/>
      <c r="D307" s="1539"/>
      <c r="E307" s="590">
        <f>E285</f>
        <v>0</v>
      </c>
      <c r="F307" s="590">
        <f>F285-F309</f>
        <v>0</v>
      </c>
      <c r="G307" s="590">
        <f>G285-G309</f>
        <v>0</v>
      </c>
      <c r="H307" s="970">
        <v>0</v>
      </c>
      <c r="L307" s="383"/>
      <c r="M307" s="383"/>
    </row>
    <row r="308" spans="1:14" ht="15" x14ac:dyDescent="0.2">
      <c r="A308" s="557" t="s">
        <v>1208</v>
      </c>
      <c r="B308" s="1540"/>
      <c r="C308" s="1539"/>
      <c r="D308" s="1539"/>
      <c r="E308" s="590">
        <v>0</v>
      </c>
      <c r="F308" s="590">
        <v>0</v>
      </c>
      <c r="G308" s="590">
        <v>0</v>
      </c>
      <c r="H308" s="970">
        <v>0</v>
      </c>
    </row>
    <row r="309" spans="1:14" ht="15" x14ac:dyDescent="0.2">
      <c r="A309" s="557" t="s">
        <v>221</v>
      </c>
      <c r="B309" s="1540"/>
      <c r="C309" s="1539"/>
      <c r="D309" s="1539"/>
      <c r="E309" s="590">
        <v>0</v>
      </c>
      <c r="F309" s="590">
        <f>F268+F270+F271+F272+F273+F274+F276+F279+F282+F284</f>
        <v>2961054</v>
      </c>
      <c r="G309" s="590">
        <f>G268+G270+G271+G272+G273+G274+G276+G279+G282+G284</f>
        <v>2961054</v>
      </c>
      <c r="H309" s="970">
        <f>(G309/F309)*100</f>
        <v>100</v>
      </c>
      <c r="J309" s="383"/>
      <c r="K309" s="951">
        <f>K310+K312</f>
        <v>5702037</v>
      </c>
      <c r="L309" s="951">
        <f>L310+L312</f>
        <v>5701421</v>
      </c>
      <c r="M309" s="382" t="s">
        <v>1405</v>
      </c>
    </row>
    <row r="310" spans="1:14" ht="15" x14ac:dyDescent="0.2">
      <c r="A310" s="557" t="s">
        <v>1206</v>
      </c>
      <c r="B310" s="1540"/>
      <c r="C310" s="1539"/>
      <c r="D310" s="1539"/>
      <c r="E310" s="590">
        <v>0</v>
      </c>
      <c r="F310" s="590">
        <v>0</v>
      </c>
      <c r="G310" s="590">
        <v>0</v>
      </c>
      <c r="H310" s="970">
        <v>0</v>
      </c>
      <c r="K310" s="383">
        <f>F126+F153</f>
        <v>87882</v>
      </c>
      <c r="L310" s="383">
        <f>G126+G153</f>
        <v>87457</v>
      </c>
      <c r="M310" s="382" t="s">
        <v>772</v>
      </c>
    </row>
    <row r="311" spans="1:14" ht="15" x14ac:dyDescent="0.2">
      <c r="A311" s="557"/>
      <c r="B311" s="1540"/>
      <c r="C311" s="1539"/>
      <c r="D311" s="1539"/>
      <c r="E311" s="590"/>
      <c r="F311" s="590"/>
      <c r="G311" s="590"/>
      <c r="H311" s="970"/>
      <c r="I311" s="383"/>
      <c r="J311" s="383">
        <v>5190559</v>
      </c>
      <c r="K311" s="951">
        <f>F291+F292+F297+F298+F303+F304+F309+F310</f>
        <v>5190558</v>
      </c>
      <c r="L311" s="951">
        <f>G291+G292+G297+G298+G303+G304+G309+G310</f>
        <v>5190373</v>
      </c>
      <c r="M311" s="382" t="s">
        <v>259</v>
      </c>
    </row>
    <row r="312" spans="1:14" ht="14.25" customHeight="1" x14ac:dyDescent="0.2">
      <c r="J312" s="383"/>
      <c r="K312" s="383">
        <f>F294+F300+F306</f>
        <v>5614155</v>
      </c>
      <c r="L312" s="383">
        <f>G294+G300+G306</f>
        <v>5613964</v>
      </c>
      <c r="M312" s="382" t="s">
        <v>1404</v>
      </c>
    </row>
    <row r="313" spans="1:14" s="58" customFormat="1" ht="47.25" customHeight="1" thickBot="1" x14ac:dyDescent="0.4">
      <c r="A313" s="2650" t="s">
        <v>926</v>
      </c>
      <c r="B313" s="2650"/>
      <c r="C313" s="2650"/>
      <c r="D313" s="2650"/>
      <c r="E313" s="1501">
        <f>E288+E294+E300+E306</f>
        <v>470868</v>
      </c>
      <c r="F313" s="1501">
        <f>F288+F294+F300+F306</f>
        <v>5702037</v>
      </c>
      <c r="G313" s="1501">
        <f>G288+G294+G300+G306</f>
        <v>5701422</v>
      </c>
      <c r="H313" s="778">
        <f>(G313/F313)*100</f>
        <v>99.989214380755513</v>
      </c>
    </row>
    <row r="314" spans="1:14" ht="15" thickTop="1" x14ac:dyDescent="0.2"/>
    <row r="316" spans="1:14" x14ac:dyDescent="0.2">
      <c r="H316" s="526"/>
    </row>
  </sheetData>
  <mergeCells count="18">
    <mergeCell ref="D183:D184"/>
    <mergeCell ref="D49:D50"/>
    <mergeCell ref="D122:D123"/>
    <mergeCell ref="K300:K301"/>
    <mergeCell ref="A313:D313"/>
    <mergeCell ref="K295:K296"/>
    <mergeCell ref="C186:C187"/>
    <mergeCell ref="C245:C246"/>
    <mergeCell ref="D280:D281"/>
    <mergeCell ref="D245:D246"/>
    <mergeCell ref="K298:K299"/>
    <mergeCell ref="D268:D269"/>
    <mergeCell ref="D188:D189"/>
    <mergeCell ref="D276:D278"/>
    <mergeCell ref="D186:D187"/>
    <mergeCell ref="D192:D193"/>
    <mergeCell ref="D207:D208"/>
    <mergeCell ref="D274:D275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43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 enableFormatConditionsCalculation="0">
    <tabColor rgb="FF00B0F0"/>
  </sheetPr>
  <dimension ref="A1:AA2632"/>
  <sheetViews>
    <sheetView showGridLines="0" view="pageBreakPreview" zoomScaleNormal="100" zoomScaleSheetLayoutView="100" workbookViewId="0">
      <selection activeCell="E279" sqref="E279"/>
    </sheetView>
  </sheetViews>
  <sheetFormatPr defaultRowHeight="12.75" x14ac:dyDescent="0.2"/>
  <cols>
    <col min="1" max="1" width="4.7109375" style="382" customWidth="1"/>
    <col min="2" max="2" width="4.7109375" style="645" customWidth="1"/>
    <col min="3" max="3" width="4.7109375" style="382" customWidth="1"/>
    <col min="4" max="4" width="9" style="852" customWidth="1"/>
    <col min="5" max="5" width="47.28515625" style="382" customWidth="1"/>
    <col min="6" max="6" width="11.5703125" style="383" customWidth="1"/>
    <col min="7" max="8" width="13.5703125" style="383" customWidth="1"/>
    <col min="9" max="9" width="7.42578125" style="1465" customWidth="1"/>
    <col min="10" max="15" width="0" style="382" hidden="1" customWidth="1"/>
    <col min="16" max="16" width="2.28515625" style="382" customWidth="1"/>
    <col min="17" max="17" width="9.140625" style="382"/>
    <col min="18" max="18" width="9.7109375" style="382" customWidth="1"/>
    <col min="19" max="19" width="9.5703125" style="382" customWidth="1"/>
    <col min="20" max="20" width="10.140625" style="382" customWidth="1"/>
    <col min="21" max="256" width="9.140625" style="382"/>
    <col min="257" max="259" width="4.7109375" style="382" customWidth="1"/>
    <col min="260" max="260" width="9" style="382" customWidth="1"/>
    <col min="261" max="261" width="47.28515625" style="382" customWidth="1"/>
    <col min="262" max="262" width="11.5703125" style="382" customWidth="1"/>
    <col min="263" max="264" width="13.5703125" style="382" customWidth="1"/>
    <col min="265" max="265" width="7.42578125" style="382" customWidth="1"/>
    <col min="266" max="271" width="0" style="382" hidden="1" customWidth="1"/>
    <col min="272" max="272" width="2.28515625" style="382" customWidth="1"/>
    <col min="273" max="273" width="9.140625" style="382"/>
    <col min="274" max="274" width="9.7109375" style="382" customWidth="1"/>
    <col min="275" max="275" width="9.5703125" style="382" customWidth="1"/>
    <col min="276" max="276" width="10.140625" style="382" customWidth="1"/>
    <col min="277" max="512" width="9.140625" style="382"/>
    <col min="513" max="515" width="4.7109375" style="382" customWidth="1"/>
    <col min="516" max="516" width="9" style="382" customWidth="1"/>
    <col min="517" max="517" width="47.28515625" style="382" customWidth="1"/>
    <col min="518" max="518" width="11.5703125" style="382" customWidth="1"/>
    <col min="519" max="520" width="13.5703125" style="382" customWidth="1"/>
    <col min="521" max="521" width="7.42578125" style="382" customWidth="1"/>
    <col min="522" max="527" width="0" style="382" hidden="1" customWidth="1"/>
    <col min="528" max="528" width="2.28515625" style="382" customWidth="1"/>
    <col min="529" max="529" width="9.140625" style="382"/>
    <col min="530" max="530" width="9.7109375" style="382" customWidth="1"/>
    <col min="531" max="531" width="9.5703125" style="382" customWidth="1"/>
    <col min="532" max="532" width="10.140625" style="382" customWidth="1"/>
    <col min="533" max="768" width="9.140625" style="382"/>
    <col min="769" max="771" width="4.7109375" style="382" customWidth="1"/>
    <col min="772" max="772" width="9" style="382" customWidth="1"/>
    <col min="773" max="773" width="47.28515625" style="382" customWidth="1"/>
    <col min="774" max="774" width="11.5703125" style="382" customWidth="1"/>
    <col min="775" max="776" width="13.5703125" style="382" customWidth="1"/>
    <col min="777" max="777" width="7.42578125" style="382" customWidth="1"/>
    <col min="778" max="783" width="0" style="382" hidden="1" customWidth="1"/>
    <col min="784" max="784" width="2.28515625" style="382" customWidth="1"/>
    <col min="785" max="785" width="9.140625" style="382"/>
    <col min="786" max="786" width="9.7109375" style="382" customWidth="1"/>
    <col min="787" max="787" width="9.5703125" style="382" customWidth="1"/>
    <col min="788" max="788" width="10.140625" style="382" customWidth="1"/>
    <col min="789" max="1024" width="9.140625" style="382"/>
    <col min="1025" max="1027" width="4.7109375" style="382" customWidth="1"/>
    <col min="1028" max="1028" width="9" style="382" customWidth="1"/>
    <col min="1029" max="1029" width="47.28515625" style="382" customWidth="1"/>
    <col min="1030" max="1030" width="11.5703125" style="382" customWidth="1"/>
    <col min="1031" max="1032" width="13.5703125" style="382" customWidth="1"/>
    <col min="1033" max="1033" width="7.42578125" style="382" customWidth="1"/>
    <col min="1034" max="1039" width="0" style="382" hidden="1" customWidth="1"/>
    <col min="1040" max="1040" width="2.28515625" style="382" customWidth="1"/>
    <col min="1041" max="1041" width="9.140625" style="382"/>
    <col min="1042" max="1042" width="9.7109375" style="382" customWidth="1"/>
    <col min="1043" max="1043" width="9.5703125" style="382" customWidth="1"/>
    <col min="1044" max="1044" width="10.140625" style="382" customWidth="1"/>
    <col min="1045" max="1280" width="9.140625" style="382"/>
    <col min="1281" max="1283" width="4.7109375" style="382" customWidth="1"/>
    <col min="1284" max="1284" width="9" style="382" customWidth="1"/>
    <col min="1285" max="1285" width="47.28515625" style="382" customWidth="1"/>
    <col min="1286" max="1286" width="11.5703125" style="382" customWidth="1"/>
    <col min="1287" max="1288" width="13.5703125" style="382" customWidth="1"/>
    <col min="1289" max="1289" width="7.42578125" style="382" customWidth="1"/>
    <col min="1290" max="1295" width="0" style="382" hidden="1" customWidth="1"/>
    <col min="1296" max="1296" width="2.28515625" style="382" customWidth="1"/>
    <col min="1297" max="1297" width="9.140625" style="382"/>
    <col min="1298" max="1298" width="9.7109375" style="382" customWidth="1"/>
    <col min="1299" max="1299" width="9.5703125" style="382" customWidth="1"/>
    <col min="1300" max="1300" width="10.140625" style="382" customWidth="1"/>
    <col min="1301" max="1536" width="9.140625" style="382"/>
    <col min="1537" max="1539" width="4.7109375" style="382" customWidth="1"/>
    <col min="1540" max="1540" width="9" style="382" customWidth="1"/>
    <col min="1541" max="1541" width="47.28515625" style="382" customWidth="1"/>
    <col min="1542" max="1542" width="11.5703125" style="382" customWidth="1"/>
    <col min="1543" max="1544" width="13.5703125" style="382" customWidth="1"/>
    <col min="1545" max="1545" width="7.42578125" style="382" customWidth="1"/>
    <col min="1546" max="1551" width="0" style="382" hidden="1" customWidth="1"/>
    <col min="1552" max="1552" width="2.28515625" style="382" customWidth="1"/>
    <col min="1553" max="1553" width="9.140625" style="382"/>
    <col min="1554" max="1554" width="9.7109375" style="382" customWidth="1"/>
    <col min="1555" max="1555" width="9.5703125" style="382" customWidth="1"/>
    <col min="1556" max="1556" width="10.140625" style="382" customWidth="1"/>
    <col min="1557" max="1792" width="9.140625" style="382"/>
    <col min="1793" max="1795" width="4.7109375" style="382" customWidth="1"/>
    <col min="1796" max="1796" width="9" style="382" customWidth="1"/>
    <col min="1797" max="1797" width="47.28515625" style="382" customWidth="1"/>
    <col min="1798" max="1798" width="11.5703125" style="382" customWidth="1"/>
    <col min="1799" max="1800" width="13.5703125" style="382" customWidth="1"/>
    <col min="1801" max="1801" width="7.42578125" style="382" customWidth="1"/>
    <col min="1802" max="1807" width="0" style="382" hidden="1" customWidth="1"/>
    <col min="1808" max="1808" width="2.28515625" style="382" customWidth="1"/>
    <col min="1809" max="1809" width="9.140625" style="382"/>
    <col min="1810" max="1810" width="9.7109375" style="382" customWidth="1"/>
    <col min="1811" max="1811" width="9.5703125" style="382" customWidth="1"/>
    <col min="1812" max="1812" width="10.140625" style="382" customWidth="1"/>
    <col min="1813" max="2048" width="9.140625" style="382"/>
    <col min="2049" max="2051" width="4.7109375" style="382" customWidth="1"/>
    <col min="2052" max="2052" width="9" style="382" customWidth="1"/>
    <col min="2053" max="2053" width="47.28515625" style="382" customWidth="1"/>
    <col min="2054" max="2054" width="11.5703125" style="382" customWidth="1"/>
    <col min="2055" max="2056" width="13.5703125" style="382" customWidth="1"/>
    <col min="2057" max="2057" width="7.42578125" style="382" customWidth="1"/>
    <col min="2058" max="2063" width="0" style="382" hidden="1" customWidth="1"/>
    <col min="2064" max="2064" width="2.28515625" style="382" customWidth="1"/>
    <col min="2065" max="2065" width="9.140625" style="382"/>
    <col min="2066" max="2066" width="9.7109375" style="382" customWidth="1"/>
    <col min="2067" max="2067" width="9.5703125" style="382" customWidth="1"/>
    <col min="2068" max="2068" width="10.140625" style="382" customWidth="1"/>
    <col min="2069" max="2304" width="9.140625" style="382"/>
    <col min="2305" max="2307" width="4.7109375" style="382" customWidth="1"/>
    <col min="2308" max="2308" width="9" style="382" customWidth="1"/>
    <col min="2309" max="2309" width="47.28515625" style="382" customWidth="1"/>
    <col min="2310" max="2310" width="11.5703125" style="382" customWidth="1"/>
    <col min="2311" max="2312" width="13.5703125" style="382" customWidth="1"/>
    <col min="2313" max="2313" width="7.42578125" style="382" customWidth="1"/>
    <col min="2314" max="2319" width="0" style="382" hidden="1" customWidth="1"/>
    <col min="2320" max="2320" width="2.28515625" style="382" customWidth="1"/>
    <col min="2321" max="2321" width="9.140625" style="382"/>
    <col min="2322" max="2322" width="9.7109375" style="382" customWidth="1"/>
    <col min="2323" max="2323" width="9.5703125" style="382" customWidth="1"/>
    <col min="2324" max="2324" width="10.140625" style="382" customWidth="1"/>
    <col min="2325" max="2560" width="9.140625" style="382"/>
    <col min="2561" max="2563" width="4.7109375" style="382" customWidth="1"/>
    <col min="2564" max="2564" width="9" style="382" customWidth="1"/>
    <col min="2565" max="2565" width="47.28515625" style="382" customWidth="1"/>
    <col min="2566" max="2566" width="11.5703125" style="382" customWidth="1"/>
    <col min="2567" max="2568" width="13.5703125" style="382" customWidth="1"/>
    <col min="2569" max="2569" width="7.42578125" style="382" customWidth="1"/>
    <col min="2570" max="2575" width="0" style="382" hidden="1" customWidth="1"/>
    <col min="2576" max="2576" width="2.28515625" style="382" customWidth="1"/>
    <col min="2577" max="2577" width="9.140625" style="382"/>
    <col min="2578" max="2578" width="9.7109375" style="382" customWidth="1"/>
    <col min="2579" max="2579" width="9.5703125" style="382" customWidth="1"/>
    <col min="2580" max="2580" width="10.140625" style="382" customWidth="1"/>
    <col min="2581" max="2816" width="9.140625" style="382"/>
    <col min="2817" max="2819" width="4.7109375" style="382" customWidth="1"/>
    <col min="2820" max="2820" width="9" style="382" customWidth="1"/>
    <col min="2821" max="2821" width="47.28515625" style="382" customWidth="1"/>
    <col min="2822" max="2822" width="11.5703125" style="382" customWidth="1"/>
    <col min="2823" max="2824" width="13.5703125" style="382" customWidth="1"/>
    <col min="2825" max="2825" width="7.42578125" style="382" customWidth="1"/>
    <col min="2826" max="2831" width="0" style="382" hidden="1" customWidth="1"/>
    <col min="2832" max="2832" width="2.28515625" style="382" customWidth="1"/>
    <col min="2833" max="2833" width="9.140625" style="382"/>
    <col min="2834" max="2834" width="9.7109375" style="382" customWidth="1"/>
    <col min="2835" max="2835" width="9.5703125" style="382" customWidth="1"/>
    <col min="2836" max="2836" width="10.140625" style="382" customWidth="1"/>
    <col min="2837" max="3072" width="9.140625" style="382"/>
    <col min="3073" max="3075" width="4.7109375" style="382" customWidth="1"/>
    <col min="3076" max="3076" width="9" style="382" customWidth="1"/>
    <col min="3077" max="3077" width="47.28515625" style="382" customWidth="1"/>
    <col min="3078" max="3078" width="11.5703125" style="382" customWidth="1"/>
    <col min="3079" max="3080" width="13.5703125" style="382" customWidth="1"/>
    <col min="3081" max="3081" width="7.42578125" style="382" customWidth="1"/>
    <col min="3082" max="3087" width="0" style="382" hidden="1" customWidth="1"/>
    <col min="3088" max="3088" width="2.28515625" style="382" customWidth="1"/>
    <col min="3089" max="3089" width="9.140625" style="382"/>
    <col min="3090" max="3090" width="9.7109375" style="382" customWidth="1"/>
    <col min="3091" max="3091" width="9.5703125" style="382" customWidth="1"/>
    <col min="3092" max="3092" width="10.140625" style="382" customWidth="1"/>
    <col min="3093" max="3328" width="9.140625" style="382"/>
    <col min="3329" max="3331" width="4.7109375" style="382" customWidth="1"/>
    <col min="3332" max="3332" width="9" style="382" customWidth="1"/>
    <col min="3333" max="3333" width="47.28515625" style="382" customWidth="1"/>
    <col min="3334" max="3334" width="11.5703125" style="382" customWidth="1"/>
    <col min="3335" max="3336" width="13.5703125" style="382" customWidth="1"/>
    <col min="3337" max="3337" width="7.42578125" style="382" customWidth="1"/>
    <col min="3338" max="3343" width="0" style="382" hidden="1" customWidth="1"/>
    <col min="3344" max="3344" width="2.28515625" style="382" customWidth="1"/>
    <col min="3345" max="3345" width="9.140625" style="382"/>
    <col min="3346" max="3346" width="9.7109375" style="382" customWidth="1"/>
    <col min="3347" max="3347" width="9.5703125" style="382" customWidth="1"/>
    <col min="3348" max="3348" width="10.140625" style="382" customWidth="1"/>
    <col min="3349" max="3584" width="9.140625" style="382"/>
    <col min="3585" max="3587" width="4.7109375" style="382" customWidth="1"/>
    <col min="3588" max="3588" width="9" style="382" customWidth="1"/>
    <col min="3589" max="3589" width="47.28515625" style="382" customWidth="1"/>
    <col min="3590" max="3590" width="11.5703125" style="382" customWidth="1"/>
    <col min="3591" max="3592" width="13.5703125" style="382" customWidth="1"/>
    <col min="3593" max="3593" width="7.42578125" style="382" customWidth="1"/>
    <col min="3594" max="3599" width="0" style="382" hidden="1" customWidth="1"/>
    <col min="3600" max="3600" width="2.28515625" style="382" customWidth="1"/>
    <col min="3601" max="3601" width="9.140625" style="382"/>
    <col min="3602" max="3602" width="9.7109375" style="382" customWidth="1"/>
    <col min="3603" max="3603" width="9.5703125" style="382" customWidth="1"/>
    <col min="3604" max="3604" width="10.140625" style="382" customWidth="1"/>
    <col min="3605" max="3840" width="9.140625" style="382"/>
    <col min="3841" max="3843" width="4.7109375" style="382" customWidth="1"/>
    <col min="3844" max="3844" width="9" style="382" customWidth="1"/>
    <col min="3845" max="3845" width="47.28515625" style="382" customWidth="1"/>
    <col min="3846" max="3846" width="11.5703125" style="382" customWidth="1"/>
    <col min="3847" max="3848" width="13.5703125" style="382" customWidth="1"/>
    <col min="3849" max="3849" width="7.42578125" style="382" customWidth="1"/>
    <col min="3850" max="3855" width="0" style="382" hidden="1" customWidth="1"/>
    <col min="3856" max="3856" width="2.28515625" style="382" customWidth="1"/>
    <col min="3857" max="3857" width="9.140625" style="382"/>
    <col min="3858" max="3858" width="9.7109375" style="382" customWidth="1"/>
    <col min="3859" max="3859" width="9.5703125" style="382" customWidth="1"/>
    <col min="3860" max="3860" width="10.140625" style="382" customWidth="1"/>
    <col min="3861" max="4096" width="9.140625" style="382"/>
    <col min="4097" max="4099" width="4.7109375" style="382" customWidth="1"/>
    <col min="4100" max="4100" width="9" style="382" customWidth="1"/>
    <col min="4101" max="4101" width="47.28515625" style="382" customWidth="1"/>
    <col min="4102" max="4102" width="11.5703125" style="382" customWidth="1"/>
    <col min="4103" max="4104" width="13.5703125" style="382" customWidth="1"/>
    <col min="4105" max="4105" width="7.42578125" style="382" customWidth="1"/>
    <col min="4106" max="4111" width="0" style="382" hidden="1" customWidth="1"/>
    <col min="4112" max="4112" width="2.28515625" style="382" customWidth="1"/>
    <col min="4113" max="4113" width="9.140625" style="382"/>
    <col min="4114" max="4114" width="9.7109375" style="382" customWidth="1"/>
    <col min="4115" max="4115" width="9.5703125" style="382" customWidth="1"/>
    <col min="4116" max="4116" width="10.140625" style="382" customWidth="1"/>
    <col min="4117" max="4352" width="9.140625" style="382"/>
    <col min="4353" max="4355" width="4.7109375" style="382" customWidth="1"/>
    <col min="4356" max="4356" width="9" style="382" customWidth="1"/>
    <col min="4357" max="4357" width="47.28515625" style="382" customWidth="1"/>
    <col min="4358" max="4358" width="11.5703125" style="382" customWidth="1"/>
    <col min="4359" max="4360" width="13.5703125" style="382" customWidth="1"/>
    <col min="4361" max="4361" width="7.42578125" style="382" customWidth="1"/>
    <col min="4362" max="4367" width="0" style="382" hidden="1" customWidth="1"/>
    <col min="4368" max="4368" width="2.28515625" style="382" customWidth="1"/>
    <col min="4369" max="4369" width="9.140625" style="382"/>
    <col min="4370" max="4370" width="9.7109375" style="382" customWidth="1"/>
    <col min="4371" max="4371" width="9.5703125" style="382" customWidth="1"/>
    <col min="4372" max="4372" width="10.140625" style="382" customWidth="1"/>
    <col min="4373" max="4608" width="9.140625" style="382"/>
    <col min="4609" max="4611" width="4.7109375" style="382" customWidth="1"/>
    <col min="4612" max="4612" width="9" style="382" customWidth="1"/>
    <col min="4613" max="4613" width="47.28515625" style="382" customWidth="1"/>
    <col min="4614" max="4614" width="11.5703125" style="382" customWidth="1"/>
    <col min="4615" max="4616" width="13.5703125" style="382" customWidth="1"/>
    <col min="4617" max="4617" width="7.42578125" style="382" customWidth="1"/>
    <col min="4618" max="4623" width="0" style="382" hidden="1" customWidth="1"/>
    <col min="4624" max="4624" width="2.28515625" style="382" customWidth="1"/>
    <col min="4625" max="4625" width="9.140625" style="382"/>
    <col min="4626" max="4626" width="9.7109375" style="382" customWidth="1"/>
    <col min="4627" max="4627" width="9.5703125" style="382" customWidth="1"/>
    <col min="4628" max="4628" width="10.140625" style="382" customWidth="1"/>
    <col min="4629" max="4864" width="9.140625" style="382"/>
    <col min="4865" max="4867" width="4.7109375" style="382" customWidth="1"/>
    <col min="4868" max="4868" width="9" style="382" customWidth="1"/>
    <col min="4869" max="4869" width="47.28515625" style="382" customWidth="1"/>
    <col min="4870" max="4870" width="11.5703125" style="382" customWidth="1"/>
    <col min="4871" max="4872" width="13.5703125" style="382" customWidth="1"/>
    <col min="4873" max="4873" width="7.42578125" style="382" customWidth="1"/>
    <col min="4874" max="4879" width="0" style="382" hidden="1" customWidth="1"/>
    <col min="4880" max="4880" width="2.28515625" style="382" customWidth="1"/>
    <col min="4881" max="4881" width="9.140625" style="382"/>
    <col min="4882" max="4882" width="9.7109375" style="382" customWidth="1"/>
    <col min="4883" max="4883" width="9.5703125" style="382" customWidth="1"/>
    <col min="4884" max="4884" width="10.140625" style="382" customWidth="1"/>
    <col min="4885" max="5120" width="9.140625" style="382"/>
    <col min="5121" max="5123" width="4.7109375" style="382" customWidth="1"/>
    <col min="5124" max="5124" width="9" style="382" customWidth="1"/>
    <col min="5125" max="5125" width="47.28515625" style="382" customWidth="1"/>
    <col min="5126" max="5126" width="11.5703125" style="382" customWidth="1"/>
    <col min="5127" max="5128" width="13.5703125" style="382" customWidth="1"/>
    <col min="5129" max="5129" width="7.42578125" style="382" customWidth="1"/>
    <col min="5130" max="5135" width="0" style="382" hidden="1" customWidth="1"/>
    <col min="5136" max="5136" width="2.28515625" style="382" customWidth="1"/>
    <col min="5137" max="5137" width="9.140625" style="382"/>
    <col min="5138" max="5138" width="9.7109375" style="382" customWidth="1"/>
    <col min="5139" max="5139" width="9.5703125" style="382" customWidth="1"/>
    <col min="5140" max="5140" width="10.140625" style="382" customWidth="1"/>
    <col min="5141" max="5376" width="9.140625" style="382"/>
    <col min="5377" max="5379" width="4.7109375" style="382" customWidth="1"/>
    <col min="5380" max="5380" width="9" style="382" customWidth="1"/>
    <col min="5381" max="5381" width="47.28515625" style="382" customWidth="1"/>
    <col min="5382" max="5382" width="11.5703125" style="382" customWidth="1"/>
    <col min="5383" max="5384" width="13.5703125" style="382" customWidth="1"/>
    <col min="5385" max="5385" width="7.42578125" style="382" customWidth="1"/>
    <col min="5386" max="5391" width="0" style="382" hidden="1" customWidth="1"/>
    <col min="5392" max="5392" width="2.28515625" style="382" customWidth="1"/>
    <col min="5393" max="5393" width="9.140625" style="382"/>
    <col min="5394" max="5394" width="9.7109375" style="382" customWidth="1"/>
    <col min="5395" max="5395" width="9.5703125" style="382" customWidth="1"/>
    <col min="5396" max="5396" width="10.140625" style="382" customWidth="1"/>
    <col min="5397" max="5632" width="9.140625" style="382"/>
    <col min="5633" max="5635" width="4.7109375" style="382" customWidth="1"/>
    <col min="5636" max="5636" width="9" style="382" customWidth="1"/>
    <col min="5637" max="5637" width="47.28515625" style="382" customWidth="1"/>
    <col min="5638" max="5638" width="11.5703125" style="382" customWidth="1"/>
    <col min="5639" max="5640" width="13.5703125" style="382" customWidth="1"/>
    <col min="5641" max="5641" width="7.42578125" style="382" customWidth="1"/>
    <col min="5642" max="5647" width="0" style="382" hidden="1" customWidth="1"/>
    <col min="5648" max="5648" width="2.28515625" style="382" customWidth="1"/>
    <col min="5649" max="5649" width="9.140625" style="382"/>
    <col min="5650" max="5650" width="9.7109375" style="382" customWidth="1"/>
    <col min="5651" max="5651" width="9.5703125" style="382" customWidth="1"/>
    <col min="5652" max="5652" width="10.140625" style="382" customWidth="1"/>
    <col min="5653" max="5888" width="9.140625" style="382"/>
    <col min="5889" max="5891" width="4.7109375" style="382" customWidth="1"/>
    <col min="5892" max="5892" width="9" style="382" customWidth="1"/>
    <col min="5893" max="5893" width="47.28515625" style="382" customWidth="1"/>
    <col min="5894" max="5894" width="11.5703125" style="382" customWidth="1"/>
    <col min="5895" max="5896" width="13.5703125" style="382" customWidth="1"/>
    <col min="5897" max="5897" width="7.42578125" style="382" customWidth="1"/>
    <col min="5898" max="5903" width="0" style="382" hidden="1" customWidth="1"/>
    <col min="5904" max="5904" width="2.28515625" style="382" customWidth="1"/>
    <col min="5905" max="5905" width="9.140625" style="382"/>
    <col min="5906" max="5906" width="9.7109375" style="382" customWidth="1"/>
    <col min="5907" max="5907" width="9.5703125" style="382" customWidth="1"/>
    <col min="5908" max="5908" width="10.140625" style="382" customWidth="1"/>
    <col min="5909" max="6144" width="9.140625" style="382"/>
    <col min="6145" max="6147" width="4.7109375" style="382" customWidth="1"/>
    <col min="6148" max="6148" width="9" style="382" customWidth="1"/>
    <col min="6149" max="6149" width="47.28515625" style="382" customWidth="1"/>
    <col min="6150" max="6150" width="11.5703125" style="382" customWidth="1"/>
    <col min="6151" max="6152" width="13.5703125" style="382" customWidth="1"/>
    <col min="6153" max="6153" width="7.42578125" style="382" customWidth="1"/>
    <col min="6154" max="6159" width="0" style="382" hidden="1" customWidth="1"/>
    <col min="6160" max="6160" width="2.28515625" style="382" customWidth="1"/>
    <col min="6161" max="6161" width="9.140625" style="382"/>
    <col min="6162" max="6162" width="9.7109375" style="382" customWidth="1"/>
    <col min="6163" max="6163" width="9.5703125" style="382" customWidth="1"/>
    <col min="6164" max="6164" width="10.140625" style="382" customWidth="1"/>
    <col min="6165" max="6400" width="9.140625" style="382"/>
    <col min="6401" max="6403" width="4.7109375" style="382" customWidth="1"/>
    <col min="6404" max="6404" width="9" style="382" customWidth="1"/>
    <col min="6405" max="6405" width="47.28515625" style="382" customWidth="1"/>
    <col min="6406" max="6406" width="11.5703125" style="382" customWidth="1"/>
    <col min="6407" max="6408" width="13.5703125" style="382" customWidth="1"/>
    <col min="6409" max="6409" width="7.42578125" style="382" customWidth="1"/>
    <col min="6410" max="6415" width="0" style="382" hidden="1" customWidth="1"/>
    <col min="6416" max="6416" width="2.28515625" style="382" customWidth="1"/>
    <col min="6417" max="6417" width="9.140625" style="382"/>
    <col min="6418" max="6418" width="9.7109375" style="382" customWidth="1"/>
    <col min="6419" max="6419" width="9.5703125" style="382" customWidth="1"/>
    <col min="6420" max="6420" width="10.140625" style="382" customWidth="1"/>
    <col min="6421" max="6656" width="9.140625" style="382"/>
    <col min="6657" max="6659" width="4.7109375" style="382" customWidth="1"/>
    <col min="6660" max="6660" width="9" style="382" customWidth="1"/>
    <col min="6661" max="6661" width="47.28515625" style="382" customWidth="1"/>
    <col min="6662" max="6662" width="11.5703125" style="382" customWidth="1"/>
    <col min="6663" max="6664" width="13.5703125" style="382" customWidth="1"/>
    <col min="6665" max="6665" width="7.42578125" style="382" customWidth="1"/>
    <col min="6666" max="6671" width="0" style="382" hidden="1" customWidth="1"/>
    <col min="6672" max="6672" width="2.28515625" style="382" customWidth="1"/>
    <col min="6673" max="6673" width="9.140625" style="382"/>
    <col min="6674" max="6674" width="9.7109375" style="382" customWidth="1"/>
    <col min="6675" max="6675" width="9.5703125" style="382" customWidth="1"/>
    <col min="6676" max="6676" width="10.140625" style="382" customWidth="1"/>
    <col min="6677" max="6912" width="9.140625" style="382"/>
    <col min="6913" max="6915" width="4.7109375" style="382" customWidth="1"/>
    <col min="6916" max="6916" width="9" style="382" customWidth="1"/>
    <col min="6917" max="6917" width="47.28515625" style="382" customWidth="1"/>
    <col min="6918" max="6918" width="11.5703125" style="382" customWidth="1"/>
    <col min="6919" max="6920" width="13.5703125" style="382" customWidth="1"/>
    <col min="6921" max="6921" width="7.42578125" style="382" customWidth="1"/>
    <col min="6922" max="6927" width="0" style="382" hidden="1" customWidth="1"/>
    <col min="6928" max="6928" width="2.28515625" style="382" customWidth="1"/>
    <col min="6929" max="6929" width="9.140625" style="382"/>
    <col min="6930" max="6930" width="9.7109375" style="382" customWidth="1"/>
    <col min="6931" max="6931" width="9.5703125" style="382" customWidth="1"/>
    <col min="6932" max="6932" width="10.140625" style="382" customWidth="1"/>
    <col min="6933" max="7168" width="9.140625" style="382"/>
    <col min="7169" max="7171" width="4.7109375" style="382" customWidth="1"/>
    <col min="7172" max="7172" width="9" style="382" customWidth="1"/>
    <col min="7173" max="7173" width="47.28515625" style="382" customWidth="1"/>
    <col min="7174" max="7174" width="11.5703125" style="382" customWidth="1"/>
    <col min="7175" max="7176" width="13.5703125" style="382" customWidth="1"/>
    <col min="7177" max="7177" width="7.42578125" style="382" customWidth="1"/>
    <col min="7178" max="7183" width="0" style="382" hidden="1" customWidth="1"/>
    <col min="7184" max="7184" width="2.28515625" style="382" customWidth="1"/>
    <col min="7185" max="7185" width="9.140625" style="382"/>
    <col min="7186" max="7186" width="9.7109375" style="382" customWidth="1"/>
    <col min="7187" max="7187" width="9.5703125" style="382" customWidth="1"/>
    <col min="7188" max="7188" width="10.140625" style="382" customWidth="1"/>
    <col min="7189" max="7424" width="9.140625" style="382"/>
    <col min="7425" max="7427" width="4.7109375" style="382" customWidth="1"/>
    <col min="7428" max="7428" width="9" style="382" customWidth="1"/>
    <col min="7429" max="7429" width="47.28515625" style="382" customWidth="1"/>
    <col min="7430" max="7430" width="11.5703125" style="382" customWidth="1"/>
    <col min="7431" max="7432" width="13.5703125" style="382" customWidth="1"/>
    <col min="7433" max="7433" width="7.42578125" style="382" customWidth="1"/>
    <col min="7434" max="7439" width="0" style="382" hidden="1" customWidth="1"/>
    <col min="7440" max="7440" width="2.28515625" style="382" customWidth="1"/>
    <col min="7441" max="7441" width="9.140625" style="382"/>
    <col min="7442" max="7442" width="9.7109375" style="382" customWidth="1"/>
    <col min="7443" max="7443" width="9.5703125" style="382" customWidth="1"/>
    <col min="7444" max="7444" width="10.140625" style="382" customWidth="1"/>
    <col min="7445" max="7680" width="9.140625" style="382"/>
    <col min="7681" max="7683" width="4.7109375" style="382" customWidth="1"/>
    <col min="7684" max="7684" width="9" style="382" customWidth="1"/>
    <col min="7685" max="7685" width="47.28515625" style="382" customWidth="1"/>
    <col min="7686" max="7686" width="11.5703125" style="382" customWidth="1"/>
    <col min="7687" max="7688" width="13.5703125" style="382" customWidth="1"/>
    <col min="7689" max="7689" width="7.42578125" style="382" customWidth="1"/>
    <col min="7690" max="7695" width="0" style="382" hidden="1" customWidth="1"/>
    <col min="7696" max="7696" width="2.28515625" style="382" customWidth="1"/>
    <col min="7697" max="7697" width="9.140625" style="382"/>
    <col min="7698" max="7698" width="9.7109375" style="382" customWidth="1"/>
    <col min="7699" max="7699" width="9.5703125" style="382" customWidth="1"/>
    <col min="7700" max="7700" width="10.140625" style="382" customWidth="1"/>
    <col min="7701" max="7936" width="9.140625" style="382"/>
    <col min="7937" max="7939" width="4.7109375" style="382" customWidth="1"/>
    <col min="7940" max="7940" width="9" style="382" customWidth="1"/>
    <col min="7941" max="7941" width="47.28515625" style="382" customWidth="1"/>
    <col min="7942" max="7942" width="11.5703125" style="382" customWidth="1"/>
    <col min="7943" max="7944" width="13.5703125" style="382" customWidth="1"/>
    <col min="7945" max="7945" width="7.42578125" style="382" customWidth="1"/>
    <col min="7946" max="7951" width="0" style="382" hidden="1" customWidth="1"/>
    <col min="7952" max="7952" width="2.28515625" style="382" customWidth="1"/>
    <col min="7953" max="7953" width="9.140625" style="382"/>
    <col min="7954" max="7954" width="9.7109375" style="382" customWidth="1"/>
    <col min="7955" max="7955" width="9.5703125" style="382" customWidth="1"/>
    <col min="7956" max="7956" width="10.140625" style="382" customWidth="1"/>
    <col min="7957" max="8192" width="9.140625" style="382"/>
    <col min="8193" max="8195" width="4.7109375" style="382" customWidth="1"/>
    <col min="8196" max="8196" width="9" style="382" customWidth="1"/>
    <col min="8197" max="8197" width="47.28515625" style="382" customWidth="1"/>
    <col min="8198" max="8198" width="11.5703125" style="382" customWidth="1"/>
    <col min="8199" max="8200" width="13.5703125" style="382" customWidth="1"/>
    <col min="8201" max="8201" width="7.42578125" style="382" customWidth="1"/>
    <col min="8202" max="8207" width="0" style="382" hidden="1" customWidth="1"/>
    <col min="8208" max="8208" width="2.28515625" style="382" customWidth="1"/>
    <col min="8209" max="8209" width="9.140625" style="382"/>
    <col min="8210" max="8210" width="9.7109375" style="382" customWidth="1"/>
    <col min="8211" max="8211" width="9.5703125" style="382" customWidth="1"/>
    <col min="8212" max="8212" width="10.140625" style="382" customWidth="1"/>
    <col min="8213" max="8448" width="9.140625" style="382"/>
    <col min="8449" max="8451" width="4.7109375" style="382" customWidth="1"/>
    <col min="8452" max="8452" width="9" style="382" customWidth="1"/>
    <col min="8453" max="8453" width="47.28515625" style="382" customWidth="1"/>
    <col min="8454" max="8454" width="11.5703125" style="382" customWidth="1"/>
    <col min="8455" max="8456" width="13.5703125" style="382" customWidth="1"/>
    <col min="8457" max="8457" width="7.42578125" style="382" customWidth="1"/>
    <col min="8458" max="8463" width="0" style="382" hidden="1" customWidth="1"/>
    <col min="8464" max="8464" width="2.28515625" style="382" customWidth="1"/>
    <col min="8465" max="8465" width="9.140625" style="382"/>
    <col min="8466" max="8466" width="9.7109375" style="382" customWidth="1"/>
    <col min="8467" max="8467" width="9.5703125" style="382" customWidth="1"/>
    <col min="8468" max="8468" width="10.140625" style="382" customWidth="1"/>
    <col min="8469" max="8704" width="9.140625" style="382"/>
    <col min="8705" max="8707" width="4.7109375" style="382" customWidth="1"/>
    <col min="8708" max="8708" width="9" style="382" customWidth="1"/>
    <col min="8709" max="8709" width="47.28515625" style="382" customWidth="1"/>
    <col min="8710" max="8710" width="11.5703125" style="382" customWidth="1"/>
    <col min="8711" max="8712" width="13.5703125" style="382" customWidth="1"/>
    <col min="8713" max="8713" width="7.42578125" style="382" customWidth="1"/>
    <col min="8714" max="8719" width="0" style="382" hidden="1" customWidth="1"/>
    <col min="8720" max="8720" width="2.28515625" style="382" customWidth="1"/>
    <col min="8721" max="8721" width="9.140625" style="382"/>
    <col min="8722" max="8722" width="9.7109375" style="382" customWidth="1"/>
    <col min="8723" max="8723" width="9.5703125" style="382" customWidth="1"/>
    <col min="8724" max="8724" width="10.140625" style="382" customWidth="1"/>
    <col min="8725" max="8960" width="9.140625" style="382"/>
    <col min="8961" max="8963" width="4.7109375" style="382" customWidth="1"/>
    <col min="8964" max="8964" width="9" style="382" customWidth="1"/>
    <col min="8965" max="8965" width="47.28515625" style="382" customWidth="1"/>
    <col min="8966" max="8966" width="11.5703125" style="382" customWidth="1"/>
    <col min="8967" max="8968" width="13.5703125" style="382" customWidth="1"/>
    <col min="8969" max="8969" width="7.42578125" style="382" customWidth="1"/>
    <col min="8970" max="8975" width="0" style="382" hidden="1" customWidth="1"/>
    <col min="8976" max="8976" width="2.28515625" style="382" customWidth="1"/>
    <col min="8977" max="8977" width="9.140625" style="382"/>
    <col min="8978" max="8978" width="9.7109375" style="382" customWidth="1"/>
    <col min="8979" max="8979" width="9.5703125" style="382" customWidth="1"/>
    <col min="8980" max="8980" width="10.140625" style="382" customWidth="1"/>
    <col min="8981" max="9216" width="9.140625" style="382"/>
    <col min="9217" max="9219" width="4.7109375" style="382" customWidth="1"/>
    <col min="9220" max="9220" width="9" style="382" customWidth="1"/>
    <col min="9221" max="9221" width="47.28515625" style="382" customWidth="1"/>
    <col min="9222" max="9222" width="11.5703125" style="382" customWidth="1"/>
    <col min="9223" max="9224" width="13.5703125" style="382" customWidth="1"/>
    <col min="9225" max="9225" width="7.42578125" style="382" customWidth="1"/>
    <col min="9226" max="9231" width="0" style="382" hidden="1" customWidth="1"/>
    <col min="9232" max="9232" width="2.28515625" style="382" customWidth="1"/>
    <col min="9233" max="9233" width="9.140625" style="382"/>
    <col min="9234" max="9234" width="9.7109375" style="382" customWidth="1"/>
    <col min="9235" max="9235" width="9.5703125" style="382" customWidth="1"/>
    <col min="9236" max="9236" width="10.140625" style="382" customWidth="1"/>
    <col min="9237" max="9472" width="9.140625" style="382"/>
    <col min="9473" max="9475" width="4.7109375" style="382" customWidth="1"/>
    <col min="9476" max="9476" width="9" style="382" customWidth="1"/>
    <col min="9477" max="9477" width="47.28515625" style="382" customWidth="1"/>
    <col min="9478" max="9478" width="11.5703125" style="382" customWidth="1"/>
    <col min="9479" max="9480" width="13.5703125" style="382" customWidth="1"/>
    <col min="9481" max="9481" width="7.42578125" style="382" customWidth="1"/>
    <col min="9482" max="9487" width="0" style="382" hidden="1" customWidth="1"/>
    <col min="9488" max="9488" width="2.28515625" style="382" customWidth="1"/>
    <col min="9489" max="9489" width="9.140625" style="382"/>
    <col min="9490" max="9490" width="9.7109375" style="382" customWidth="1"/>
    <col min="9491" max="9491" width="9.5703125" style="382" customWidth="1"/>
    <col min="9492" max="9492" width="10.140625" style="382" customWidth="1"/>
    <col min="9493" max="9728" width="9.140625" style="382"/>
    <col min="9729" max="9731" width="4.7109375" style="382" customWidth="1"/>
    <col min="9732" max="9732" width="9" style="382" customWidth="1"/>
    <col min="9733" max="9733" width="47.28515625" style="382" customWidth="1"/>
    <col min="9734" max="9734" width="11.5703125" style="382" customWidth="1"/>
    <col min="9735" max="9736" width="13.5703125" style="382" customWidth="1"/>
    <col min="9737" max="9737" width="7.42578125" style="382" customWidth="1"/>
    <col min="9738" max="9743" width="0" style="382" hidden="1" customWidth="1"/>
    <col min="9744" max="9744" width="2.28515625" style="382" customWidth="1"/>
    <col min="9745" max="9745" width="9.140625" style="382"/>
    <col min="9746" max="9746" width="9.7109375" style="382" customWidth="1"/>
    <col min="9747" max="9747" width="9.5703125" style="382" customWidth="1"/>
    <col min="9748" max="9748" width="10.140625" style="382" customWidth="1"/>
    <col min="9749" max="9984" width="9.140625" style="382"/>
    <col min="9985" max="9987" width="4.7109375" style="382" customWidth="1"/>
    <col min="9988" max="9988" width="9" style="382" customWidth="1"/>
    <col min="9989" max="9989" width="47.28515625" style="382" customWidth="1"/>
    <col min="9990" max="9990" width="11.5703125" style="382" customWidth="1"/>
    <col min="9991" max="9992" width="13.5703125" style="382" customWidth="1"/>
    <col min="9993" max="9993" width="7.42578125" style="382" customWidth="1"/>
    <col min="9994" max="9999" width="0" style="382" hidden="1" customWidth="1"/>
    <col min="10000" max="10000" width="2.28515625" style="382" customWidth="1"/>
    <col min="10001" max="10001" width="9.140625" style="382"/>
    <col min="10002" max="10002" width="9.7109375" style="382" customWidth="1"/>
    <col min="10003" max="10003" width="9.5703125" style="382" customWidth="1"/>
    <col min="10004" max="10004" width="10.140625" style="382" customWidth="1"/>
    <col min="10005" max="10240" width="9.140625" style="382"/>
    <col min="10241" max="10243" width="4.7109375" style="382" customWidth="1"/>
    <col min="10244" max="10244" width="9" style="382" customWidth="1"/>
    <col min="10245" max="10245" width="47.28515625" style="382" customWidth="1"/>
    <col min="10246" max="10246" width="11.5703125" style="382" customWidth="1"/>
    <col min="10247" max="10248" width="13.5703125" style="382" customWidth="1"/>
    <col min="10249" max="10249" width="7.42578125" style="382" customWidth="1"/>
    <col min="10250" max="10255" width="0" style="382" hidden="1" customWidth="1"/>
    <col min="10256" max="10256" width="2.28515625" style="382" customWidth="1"/>
    <col min="10257" max="10257" width="9.140625" style="382"/>
    <col min="10258" max="10258" width="9.7109375" style="382" customWidth="1"/>
    <col min="10259" max="10259" width="9.5703125" style="382" customWidth="1"/>
    <col min="10260" max="10260" width="10.140625" style="382" customWidth="1"/>
    <col min="10261" max="10496" width="9.140625" style="382"/>
    <col min="10497" max="10499" width="4.7109375" style="382" customWidth="1"/>
    <col min="10500" max="10500" width="9" style="382" customWidth="1"/>
    <col min="10501" max="10501" width="47.28515625" style="382" customWidth="1"/>
    <col min="10502" max="10502" width="11.5703125" style="382" customWidth="1"/>
    <col min="10503" max="10504" width="13.5703125" style="382" customWidth="1"/>
    <col min="10505" max="10505" width="7.42578125" style="382" customWidth="1"/>
    <col min="10506" max="10511" width="0" style="382" hidden="1" customWidth="1"/>
    <col min="10512" max="10512" width="2.28515625" style="382" customWidth="1"/>
    <col min="10513" max="10513" width="9.140625" style="382"/>
    <col min="10514" max="10514" width="9.7109375" style="382" customWidth="1"/>
    <col min="10515" max="10515" width="9.5703125" style="382" customWidth="1"/>
    <col min="10516" max="10516" width="10.140625" style="382" customWidth="1"/>
    <col min="10517" max="10752" width="9.140625" style="382"/>
    <col min="10753" max="10755" width="4.7109375" style="382" customWidth="1"/>
    <col min="10756" max="10756" width="9" style="382" customWidth="1"/>
    <col min="10757" max="10757" width="47.28515625" style="382" customWidth="1"/>
    <col min="10758" max="10758" width="11.5703125" style="382" customWidth="1"/>
    <col min="10759" max="10760" width="13.5703125" style="382" customWidth="1"/>
    <col min="10761" max="10761" width="7.42578125" style="382" customWidth="1"/>
    <col min="10762" max="10767" width="0" style="382" hidden="1" customWidth="1"/>
    <col min="10768" max="10768" width="2.28515625" style="382" customWidth="1"/>
    <col min="10769" max="10769" width="9.140625" style="382"/>
    <col min="10770" max="10770" width="9.7109375" style="382" customWidth="1"/>
    <col min="10771" max="10771" width="9.5703125" style="382" customWidth="1"/>
    <col min="10772" max="10772" width="10.140625" style="382" customWidth="1"/>
    <col min="10773" max="11008" width="9.140625" style="382"/>
    <col min="11009" max="11011" width="4.7109375" style="382" customWidth="1"/>
    <col min="11012" max="11012" width="9" style="382" customWidth="1"/>
    <col min="11013" max="11013" width="47.28515625" style="382" customWidth="1"/>
    <col min="11014" max="11014" width="11.5703125" style="382" customWidth="1"/>
    <col min="11015" max="11016" width="13.5703125" style="382" customWidth="1"/>
    <col min="11017" max="11017" width="7.42578125" style="382" customWidth="1"/>
    <col min="11018" max="11023" width="0" style="382" hidden="1" customWidth="1"/>
    <col min="11024" max="11024" width="2.28515625" style="382" customWidth="1"/>
    <col min="11025" max="11025" width="9.140625" style="382"/>
    <col min="11026" max="11026" width="9.7109375" style="382" customWidth="1"/>
    <col min="11027" max="11027" width="9.5703125" style="382" customWidth="1"/>
    <col min="11028" max="11028" width="10.140625" style="382" customWidth="1"/>
    <col min="11029" max="11264" width="9.140625" style="382"/>
    <col min="11265" max="11267" width="4.7109375" style="382" customWidth="1"/>
    <col min="11268" max="11268" width="9" style="382" customWidth="1"/>
    <col min="11269" max="11269" width="47.28515625" style="382" customWidth="1"/>
    <col min="11270" max="11270" width="11.5703125" style="382" customWidth="1"/>
    <col min="11271" max="11272" width="13.5703125" style="382" customWidth="1"/>
    <col min="11273" max="11273" width="7.42578125" style="382" customWidth="1"/>
    <col min="11274" max="11279" width="0" style="382" hidden="1" customWidth="1"/>
    <col min="11280" max="11280" width="2.28515625" style="382" customWidth="1"/>
    <col min="11281" max="11281" width="9.140625" style="382"/>
    <col min="11282" max="11282" width="9.7109375" style="382" customWidth="1"/>
    <col min="11283" max="11283" width="9.5703125" style="382" customWidth="1"/>
    <col min="11284" max="11284" width="10.140625" style="382" customWidth="1"/>
    <col min="11285" max="11520" width="9.140625" style="382"/>
    <col min="11521" max="11523" width="4.7109375" style="382" customWidth="1"/>
    <col min="11524" max="11524" width="9" style="382" customWidth="1"/>
    <col min="11525" max="11525" width="47.28515625" style="382" customWidth="1"/>
    <col min="11526" max="11526" width="11.5703125" style="382" customWidth="1"/>
    <col min="11527" max="11528" width="13.5703125" style="382" customWidth="1"/>
    <col min="11529" max="11529" width="7.42578125" style="382" customWidth="1"/>
    <col min="11530" max="11535" width="0" style="382" hidden="1" customWidth="1"/>
    <col min="11536" max="11536" width="2.28515625" style="382" customWidth="1"/>
    <col min="11537" max="11537" width="9.140625" style="382"/>
    <col min="11538" max="11538" width="9.7109375" style="382" customWidth="1"/>
    <col min="11539" max="11539" width="9.5703125" style="382" customWidth="1"/>
    <col min="11540" max="11540" width="10.140625" style="382" customWidth="1"/>
    <col min="11541" max="11776" width="9.140625" style="382"/>
    <col min="11777" max="11779" width="4.7109375" style="382" customWidth="1"/>
    <col min="11780" max="11780" width="9" style="382" customWidth="1"/>
    <col min="11781" max="11781" width="47.28515625" style="382" customWidth="1"/>
    <col min="11782" max="11782" width="11.5703125" style="382" customWidth="1"/>
    <col min="11783" max="11784" width="13.5703125" style="382" customWidth="1"/>
    <col min="11785" max="11785" width="7.42578125" style="382" customWidth="1"/>
    <col min="11786" max="11791" width="0" style="382" hidden="1" customWidth="1"/>
    <col min="11792" max="11792" width="2.28515625" style="382" customWidth="1"/>
    <col min="11793" max="11793" width="9.140625" style="382"/>
    <col min="11794" max="11794" width="9.7109375" style="382" customWidth="1"/>
    <col min="11795" max="11795" width="9.5703125" style="382" customWidth="1"/>
    <col min="11796" max="11796" width="10.140625" style="382" customWidth="1"/>
    <col min="11797" max="12032" width="9.140625" style="382"/>
    <col min="12033" max="12035" width="4.7109375" style="382" customWidth="1"/>
    <col min="12036" max="12036" width="9" style="382" customWidth="1"/>
    <col min="12037" max="12037" width="47.28515625" style="382" customWidth="1"/>
    <col min="12038" max="12038" width="11.5703125" style="382" customWidth="1"/>
    <col min="12039" max="12040" width="13.5703125" style="382" customWidth="1"/>
    <col min="12041" max="12041" width="7.42578125" style="382" customWidth="1"/>
    <col min="12042" max="12047" width="0" style="382" hidden="1" customWidth="1"/>
    <col min="12048" max="12048" width="2.28515625" style="382" customWidth="1"/>
    <col min="12049" max="12049" width="9.140625" style="382"/>
    <col min="12050" max="12050" width="9.7109375" style="382" customWidth="1"/>
    <col min="12051" max="12051" width="9.5703125" style="382" customWidth="1"/>
    <col min="12052" max="12052" width="10.140625" style="382" customWidth="1"/>
    <col min="12053" max="12288" width="9.140625" style="382"/>
    <col min="12289" max="12291" width="4.7109375" style="382" customWidth="1"/>
    <col min="12292" max="12292" width="9" style="382" customWidth="1"/>
    <col min="12293" max="12293" width="47.28515625" style="382" customWidth="1"/>
    <col min="12294" max="12294" width="11.5703125" style="382" customWidth="1"/>
    <col min="12295" max="12296" width="13.5703125" style="382" customWidth="1"/>
    <col min="12297" max="12297" width="7.42578125" style="382" customWidth="1"/>
    <col min="12298" max="12303" width="0" style="382" hidden="1" customWidth="1"/>
    <col min="12304" max="12304" width="2.28515625" style="382" customWidth="1"/>
    <col min="12305" max="12305" width="9.140625" style="382"/>
    <col min="12306" max="12306" width="9.7109375" style="382" customWidth="1"/>
    <col min="12307" max="12307" width="9.5703125" style="382" customWidth="1"/>
    <col min="12308" max="12308" width="10.140625" style="382" customWidth="1"/>
    <col min="12309" max="12544" width="9.140625" style="382"/>
    <col min="12545" max="12547" width="4.7109375" style="382" customWidth="1"/>
    <col min="12548" max="12548" width="9" style="382" customWidth="1"/>
    <col min="12549" max="12549" width="47.28515625" style="382" customWidth="1"/>
    <col min="12550" max="12550" width="11.5703125" style="382" customWidth="1"/>
    <col min="12551" max="12552" width="13.5703125" style="382" customWidth="1"/>
    <col min="12553" max="12553" width="7.42578125" style="382" customWidth="1"/>
    <col min="12554" max="12559" width="0" style="382" hidden="1" customWidth="1"/>
    <col min="12560" max="12560" width="2.28515625" style="382" customWidth="1"/>
    <col min="12561" max="12561" width="9.140625" style="382"/>
    <col min="12562" max="12562" width="9.7109375" style="382" customWidth="1"/>
    <col min="12563" max="12563" width="9.5703125" style="382" customWidth="1"/>
    <col min="12564" max="12564" width="10.140625" style="382" customWidth="1"/>
    <col min="12565" max="12800" width="9.140625" style="382"/>
    <col min="12801" max="12803" width="4.7109375" style="382" customWidth="1"/>
    <col min="12804" max="12804" width="9" style="382" customWidth="1"/>
    <col min="12805" max="12805" width="47.28515625" style="382" customWidth="1"/>
    <col min="12806" max="12806" width="11.5703125" style="382" customWidth="1"/>
    <col min="12807" max="12808" width="13.5703125" style="382" customWidth="1"/>
    <col min="12809" max="12809" width="7.42578125" style="382" customWidth="1"/>
    <col min="12810" max="12815" width="0" style="382" hidden="1" customWidth="1"/>
    <col min="12816" max="12816" width="2.28515625" style="382" customWidth="1"/>
    <col min="12817" max="12817" width="9.140625" style="382"/>
    <col min="12818" max="12818" width="9.7109375" style="382" customWidth="1"/>
    <col min="12819" max="12819" width="9.5703125" style="382" customWidth="1"/>
    <col min="12820" max="12820" width="10.140625" style="382" customWidth="1"/>
    <col min="12821" max="13056" width="9.140625" style="382"/>
    <col min="13057" max="13059" width="4.7109375" style="382" customWidth="1"/>
    <col min="13060" max="13060" width="9" style="382" customWidth="1"/>
    <col min="13061" max="13061" width="47.28515625" style="382" customWidth="1"/>
    <col min="13062" max="13062" width="11.5703125" style="382" customWidth="1"/>
    <col min="13063" max="13064" width="13.5703125" style="382" customWidth="1"/>
    <col min="13065" max="13065" width="7.42578125" style="382" customWidth="1"/>
    <col min="13066" max="13071" width="0" style="382" hidden="1" customWidth="1"/>
    <col min="13072" max="13072" width="2.28515625" style="382" customWidth="1"/>
    <col min="13073" max="13073" width="9.140625" style="382"/>
    <col min="13074" max="13074" width="9.7109375" style="382" customWidth="1"/>
    <col min="13075" max="13075" width="9.5703125" style="382" customWidth="1"/>
    <col min="13076" max="13076" width="10.140625" style="382" customWidth="1"/>
    <col min="13077" max="13312" width="9.140625" style="382"/>
    <col min="13313" max="13315" width="4.7109375" style="382" customWidth="1"/>
    <col min="13316" max="13316" width="9" style="382" customWidth="1"/>
    <col min="13317" max="13317" width="47.28515625" style="382" customWidth="1"/>
    <col min="13318" max="13318" width="11.5703125" style="382" customWidth="1"/>
    <col min="13319" max="13320" width="13.5703125" style="382" customWidth="1"/>
    <col min="13321" max="13321" width="7.42578125" style="382" customWidth="1"/>
    <col min="13322" max="13327" width="0" style="382" hidden="1" customWidth="1"/>
    <col min="13328" max="13328" width="2.28515625" style="382" customWidth="1"/>
    <col min="13329" max="13329" width="9.140625" style="382"/>
    <col min="13330" max="13330" width="9.7109375" style="382" customWidth="1"/>
    <col min="13331" max="13331" width="9.5703125" style="382" customWidth="1"/>
    <col min="13332" max="13332" width="10.140625" style="382" customWidth="1"/>
    <col min="13333" max="13568" width="9.140625" style="382"/>
    <col min="13569" max="13571" width="4.7109375" style="382" customWidth="1"/>
    <col min="13572" max="13572" width="9" style="382" customWidth="1"/>
    <col min="13573" max="13573" width="47.28515625" style="382" customWidth="1"/>
    <col min="13574" max="13574" width="11.5703125" style="382" customWidth="1"/>
    <col min="13575" max="13576" width="13.5703125" style="382" customWidth="1"/>
    <col min="13577" max="13577" width="7.42578125" style="382" customWidth="1"/>
    <col min="13578" max="13583" width="0" style="382" hidden="1" customWidth="1"/>
    <col min="13584" max="13584" width="2.28515625" style="382" customWidth="1"/>
    <col min="13585" max="13585" width="9.140625" style="382"/>
    <col min="13586" max="13586" width="9.7109375" style="382" customWidth="1"/>
    <col min="13587" max="13587" width="9.5703125" style="382" customWidth="1"/>
    <col min="13588" max="13588" width="10.140625" style="382" customWidth="1"/>
    <col min="13589" max="13824" width="9.140625" style="382"/>
    <col min="13825" max="13827" width="4.7109375" style="382" customWidth="1"/>
    <col min="13828" max="13828" width="9" style="382" customWidth="1"/>
    <col min="13829" max="13829" width="47.28515625" style="382" customWidth="1"/>
    <col min="13830" max="13830" width="11.5703125" style="382" customWidth="1"/>
    <col min="13831" max="13832" width="13.5703125" style="382" customWidth="1"/>
    <col min="13833" max="13833" width="7.42578125" style="382" customWidth="1"/>
    <col min="13834" max="13839" width="0" style="382" hidden="1" customWidth="1"/>
    <col min="13840" max="13840" width="2.28515625" style="382" customWidth="1"/>
    <col min="13841" max="13841" width="9.140625" style="382"/>
    <col min="13842" max="13842" width="9.7109375" style="382" customWidth="1"/>
    <col min="13843" max="13843" width="9.5703125" style="382" customWidth="1"/>
    <col min="13844" max="13844" width="10.140625" style="382" customWidth="1"/>
    <col min="13845" max="14080" width="9.140625" style="382"/>
    <col min="14081" max="14083" width="4.7109375" style="382" customWidth="1"/>
    <col min="14084" max="14084" width="9" style="382" customWidth="1"/>
    <col min="14085" max="14085" width="47.28515625" style="382" customWidth="1"/>
    <col min="14086" max="14086" width="11.5703125" style="382" customWidth="1"/>
    <col min="14087" max="14088" width="13.5703125" style="382" customWidth="1"/>
    <col min="14089" max="14089" width="7.42578125" style="382" customWidth="1"/>
    <col min="14090" max="14095" width="0" style="382" hidden="1" customWidth="1"/>
    <col min="14096" max="14096" width="2.28515625" style="382" customWidth="1"/>
    <col min="14097" max="14097" width="9.140625" style="382"/>
    <col min="14098" max="14098" width="9.7109375" style="382" customWidth="1"/>
    <col min="14099" max="14099" width="9.5703125" style="382" customWidth="1"/>
    <col min="14100" max="14100" width="10.140625" style="382" customWidth="1"/>
    <col min="14101" max="14336" width="9.140625" style="382"/>
    <col min="14337" max="14339" width="4.7109375" style="382" customWidth="1"/>
    <col min="14340" max="14340" width="9" style="382" customWidth="1"/>
    <col min="14341" max="14341" width="47.28515625" style="382" customWidth="1"/>
    <col min="14342" max="14342" width="11.5703125" style="382" customWidth="1"/>
    <col min="14343" max="14344" width="13.5703125" style="382" customWidth="1"/>
    <col min="14345" max="14345" width="7.42578125" style="382" customWidth="1"/>
    <col min="14346" max="14351" width="0" style="382" hidden="1" customWidth="1"/>
    <col min="14352" max="14352" width="2.28515625" style="382" customWidth="1"/>
    <col min="14353" max="14353" width="9.140625" style="382"/>
    <col min="14354" max="14354" width="9.7109375" style="382" customWidth="1"/>
    <col min="14355" max="14355" width="9.5703125" style="382" customWidth="1"/>
    <col min="14356" max="14356" width="10.140625" style="382" customWidth="1"/>
    <col min="14357" max="14592" width="9.140625" style="382"/>
    <col min="14593" max="14595" width="4.7109375" style="382" customWidth="1"/>
    <col min="14596" max="14596" width="9" style="382" customWidth="1"/>
    <col min="14597" max="14597" width="47.28515625" style="382" customWidth="1"/>
    <col min="14598" max="14598" width="11.5703125" style="382" customWidth="1"/>
    <col min="14599" max="14600" width="13.5703125" style="382" customWidth="1"/>
    <col min="14601" max="14601" width="7.42578125" style="382" customWidth="1"/>
    <col min="14602" max="14607" width="0" style="382" hidden="1" customWidth="1"/>
    <col min="14608" max="14608" width="2.28515625" style="382" customWidth="1"/>
    <col min="14609" max="14609" width="9.140625" style="382"/>
    <col min="14610" max="14610" width="9.7109375" style="382" customWidth="1"/>
    <col min="14611" max="14611" width="9.5703125" style="382" customWidth="1"/>
    <col min="14612" max="14612" width="10.140625" style="382" customWidth="1"/>
    <col min="14613" max="14848" width="9.140625" style="382"/>
    <col min="14849" max="14851" width="4.7109375" style="382" customWidth="1"/>
    <col min="14852" max="14852" width="9" style="382" customWidth="1"/>
    <col min="14853" max="14853" width="47.28515625" style="382" customWidth="1"/>
    <col min="14854" max="14854" width="11.5703125" style="382" customWidth="1"/>
    <col min="14855" max="14856" width="13.5703125" style="382" customWidth="1"/>
    <col min="14857" max="14857" width="7.42578125" style="382" customWidth="1"/>
    <col min="14858" max="14863" width="0" style="382" hidden="1" customWidth="1"/>
    <col min="14864" max="14864" width="2.28515625" style="382" customWidth="1"/>
    <col min="14865" max="14865" width="9.140625" style="382"/>
    <col min="14866" max="14866" width="9.7109375" style="382" customWidth="1"/>
    <col min="14867" max="14867" width="9.5703125" style="382" customWidth="1"/>
    <col min="14868" max="14868" width="10.140625" style="382" customWidth="1"/>
    <col min="14869" max="15104" width="9.140625" style="382"/>
    <col min="15105" max="15107" width="4.7109375" style="382" customWidth="1"/>
    <col min="15108" max="15108" width="9" style="382" customWidth="1"/>
    <col min="15109" max="15109" width="47.28515625" style="382" customWidth="1"/>
    <col min="15110" max="15110" width="11.5703125" style="382" customWidth="1"/>
    <col min="15111" max="15112" width="13.5703125" style="382" customWidth="1"/>
    <col min="15113" max="15113" width="7.42578125" style="382" customWidth="1"/>
    <col min="15114" max="15119" width="0" style="382" hidden="1" customWidth="1"/>
    <col min="15120" max="15120" width="2.28515625" style="382" customWidth="1"/>
    <col min="15121" max="15121" width="9.140625" style="382"/>
    <col min="15122" max="15122" width="9.7109375" style="382" customWidth="1"/>
    <col min="15123" max="15123" width="9.5703125" style="382" customWidth="1"/>
    <col min="15124" max="15124" width="10.140625" style="382" customWidth="1"/>
    <col min="15125" max="15360" width="9.140625" style="382"/>
    <col min="15361" max="15363" width="4.7109375" style="382" customWidth="1"/>
    <col min="15364" max="15364" width="9" style="382" customWidth="1"/>
    <col min="15365" max="15365" width="47.28515625" style="382" customWidth="1"/>
    <col min="15366" max="15366" width="11.5703125" style="382" customWidth="1"/>
    <col min="15367" max="15368" width="13.5703125" style="382" customWidth="1"/>
    <col min="15369" max="15369" width="7.42578125" style="382" customWidth="1"/>
    <col min="15370" max="15375" width="0" style="382" hidden="1" customWidth="1"/>
    <col min="15376" max="15376" width="2.28515625" style="382" customWidth="1"/>
    <col min="15377" max="15377" width="9.140625" style="382"/>
    <col min="15378" max="15378" width="9.7109375" style="382" customWidth="1"/>
    <col min="15379" max="15379" width="9.5703125" style="382" customWidth="1"/>
    <col min="15380" max="15380" width="10.140625" style="382" customWidth="1"/>
    <col min="15381" max="15616" width="9.140625" style="382"/>
    <col min="15617" max="15619" width="4.7109375" style="382" customWidth="1"/>
    <col min="15620" max="15620" width="9" style="382" customWidth="1"/>
    <col min="15621" max="15621" width="47.28515625" style="382" customWidth="1"/>
    <col min="15622" max="15622" width="11.5703125" style="382" customWidth="1"/>
    <col min="15623" max="15624" width="13.5703125" style="382" customWidth="1"/>
    <col min="15625" max="15625" width="7.42578125" style="382" customWidth="1"/>
    <col min="15626" max="15631" width="0" style="382" hidden="1" customWidth="1"/>
    <col min="15632" max="15632" width="2.28515625" style="382" customWidth="1"/>
    <col min="15633" max="15633" width="9.140625" style="382"/>
    <col min="15634" max="15634" width="9.7109375" style="382" customWidth="1"/>
    <col min="15635" max="15635" width="9.5703125" style="382" customWidth="1"/>
    <col min="15636" max="15636" width="10.140625" style="382" customWidth="1"/>
    <col min="15637" max="15872" width="9.140625" style="382"/>
    <col min="15873" max="15875" width="4.7109375" style="382" customWidth="1"/>
    <col min="15876" max="15876" width="9" style="382" customWidth="1"/>
    <col min="15877" max="15877" width="47.28515625" style="382" customWidth="1"/>
    <col min="15878" max="15878" width="11.5703125" style="382" customWidth="1"/>
    <col min="15879" max="15880" width="13.5703125" style="382" customWidth="1"/>
    <col min="15881" max="15881" width="7.42578125" style="382" customWidth="1"/>
    <col min="15882" max="15887" width="0" style="382" hidden="1" customWidth="1"/>
    <col min="15888" max="15888" width="2.28515625" style="382" customWidth="1"/>
    <col min="15889" max="15889" width="9.140625" style="382"/>
    <col min="15890" max="15890" width="9.7109375" style="382" customWidth="1"/>
    <col min="15891" max="15891" width="9.5703125" style="382" customWidth="1"/>
    <col min="15892" max="15892" width="10.140625" style="382" customWidth="1"/>
    <col min="15893" max="16128" width="9.140625" style="382"/>
    <col min="16129" max="16131" width="4.7109375" style="382" customWidth="1"/>
    <col min="16132" max="16132" width="9" style="382" customWidth="1"/>
    <col min="16133" max="16133" width="47.28515625" style="382" customWidth="1"/>
    <col min="16134" max="16134" width="11.5703125" style="382" customWidth="1"/>
    <col min="16135" max="16136" width="13.5703125" style="382" customWidth="1"/>
    <col min="16137" max="16137" width="7.42578125" style="382" customWidth="1"/>
    <col min="16138" max="16143" width="0" style="382" hidden="1" customWidth="1"/>
    <col min="16144" max="16144" width="2.28515625" style="382" customWidth="1"/>
    <col min="16145" max="16145" width="9.140625" style="382"/>
    <col min="16146" max="16146" width="9.7109375" style="382" customWidth="1"/>
    <col min="16147" max="16147" width="9.5703125" style="382" customWidth="1"/>
    <col min="16148" max="16148" width="10.140625" style="382" customWidth="1"/>
    <col min="16149" max="16384" width="9.140625" style="382"/>
  </cols>
  <sheetData>
    <row r="1" spans="1:10" ht="18.75" thickBot="1" x14ac:dyDescent="0.3">
      <c r="A1" s="465" t="s">
        <v>749</v>
      </c>
      <c r="B1" s="466"/>
      <c r="C1" s="490"/>
      <c r="D1" s="491"/>
      <c r="E1" s="1464"/>
      <c r="F1" s="468"/>
      <c r="G1" s="469" t="s">
        <v>750</v>
      </c>
      <c r="J1" s="17"/>
    </row>
    <row r="2" spans="1:10" ht="12.75" customHeight="1" x14ac:dyDescent="0.25">
      <c r="B2" s="6"/>
      <c r="C2" s="28"/>
      <c r="D2" s="63"/>
      <c r="E2" s="10"/>
      <c r="F2" s="307"/>
      <c r="G2" s="307"/>
      <c r="H2" s="182"/>
      <c r="I2" s="214"/>
      <c r="J2" s="17"/>
    </row>
    <row r="3" spans="1:10" ht="12.75" customHeight="1" x14ac:dyDescent="0.2">
      <c r="A3" s="67" t="s">
        <v>387</v>
      </c>
      <c r="B3" s="28"/>
      <c r="C3" s="525" t="s">
        <v>229</v>
      </c>
      <c r="D3" s="629"/>
      <c r="E3" s="307"/>
      <c r="F3" s="182"/>
      <c r="G3" s="183"/>
      <c r="H3" s="183"/>
    </row>
    <row r="4" spans="1:10" ht="12.75" customHeight="1" x14ac:dyDescent="0.25">
      <c r="A4" s="6"/>
      <c r="B4" s="28"/>
      <c r="C4" s="1538" t="s">
        <v>486</v>
      </c>
      <c r="D4" s="383"/>
      <c r="E4" s="307"/>
      <c r="F4" s="182"/>
      <c r="G4" s="183"/>
      <c r="H4" s="183"/>
    </row>
    <row r="5" spans="1:10" ht="12.75" customHeight="1" x14ac:dyDescent="0.25">
      <c r="A5" s="6"/>
      <c r="B5" s="28"/>
      <c r="C5" s="1538"/>
      <c r="D5" s="383"/>
      <c r="E5" s="307"/>
      <c r="F5" s="182"/>
      <c r="G5" s="183"/>
      <c r="H5" s="183"/>
    </row>
    <row r="6" spans="1:10" ht="12.75" customHeight="1" x14ac:dyDescent="0.25">
      <c r="B6" s="6"/>
      <c r="C6" s="28"/>
      <c r="D6" s="63"/>
      <c r="E6" s="10"/>
      <c r="F6" s="307"/>
      <c r="G6" s="307"/>
      <c r="H6" s="182"/>
      <c r="I6" s="214"/>
      <c r="J6" s="17"/>
    </row>
    <row r="7" spans="1:10" ht="18" x14ac:dyDescent="0.25">
      <c r="A7" s="33" t="s">
        <v>660</v>
      </c>
      <c r="B7" s="33"/>
      <c r="C7" s="28"/>
      <c r="D7" s="63"/>
      <c r="E7" s="10"/>
      <c r="F7" s="307"/>
      <c r="G7" s="307"/>
      <c r="H7" s="182"/>
      <c r="I7" s="214"/>
      <c r="J7" s="17"/>
    </row>
    <row r="8" spans="1:10" ht="18" x14ac:dyDescent="0.25">
      <c r="A8" s="33"/>
      <c r="B8" s="33"/>
      <c r="C8" s="28"/>
      <c r="D8" s="63"/>
      <c r="E8" s="10"/>
      <c r="F8" s="307"/>
      <c r="G8" s="307"/>
      <c r="H8" s="182"/>
      <c r="I8" s="214"/>
      <c r="J8" s="17"/>
    </row>
    <row r="9" spans="1:10" ht="13.5" thickBot="1" x14ac:dyDescent="0.25">
      <c r="A9" s="433" t="s">
        <v>270</v>
      </c>
      <c r="B9" s="631"/>
      <c r="C9" s="631"/>
      <c r="D9" s="853"/>
      <c r="E9" s="632"/>
      <c r="H9" s="619"/>
      <c r="I9" s="1465" t="s">
        <v>1289</v>
      </c>
    </row>
    <row r="10" spans="1:10" s="107" customFormat="1" thickTop="1" thickBot="1" x14ac:dyDescent="0.25">
      <c r="A10" s="633" t="s">
        <v>661</v>
      </c>
      <c r="B10" s="810" t="s">
        <v>174</v>
      </c>
      <c r="C10" s="634" t="s">
        <v>175</v>
      </c>
      <c r="D10" s="636" t="s">
        <v>744</v>
      </c>
      <c r="E10" s="636" t="s">
        <v>176</v>
      </c>
      <c r="F10" s="636" t="s">
        <v>177</v>
      </c>
      <c r="G10" s="636" t="s">
        <v>922</v>
      </c>
      <c r="H10" s="636" t="s">
        <v>923</v>
      </c>
      <c r="I10" s="856" t="s">
        <v>924</v>
      </c>
    </row>
    <row r="11" spans="1:10" s="384" customFormat="1" ht="20.25" customHeight="1" thickTop="1" thickBot="1" x14ac:dyDescent="0.25">
      <c r="A11" s="568">
        <v>1</v>
      </c>
      <c r="B11" s="569">
        <v>2</v>
      </c>
      <c r="C11" s="569">
        <v>3</v>
      </c>
      <c r="D11" s="569">
        <v>4</v>
      </c>
      <c r="E11" s="569">
        <v>5</v>
      </c>
      <c r="F11" s="543">
        <v>6</v>
      </c>
      <c r="G11" s="543">
        <v>7</v>
      </c>
      <c r="H11" s="544">
        <v>8</v>
      </c>
      <c r="I11" s="638" t="s">
        <v>801</v>
      </c>
    </row>
    <row r="12" spans="1:10" ht="15.75" thickTop="1" x14ac:dyDescent="0.25">
      <c r="A12" s="1466">
        <v>1000</v>
      </c>
      <c r="B12" s="811">
        <v>3111</v>
      </c>
      <c r="C12" s="811">
        <v>5331</v>
      </c>
      <c r="D12" s="877"/>
      <c r="E12" s="898" t="s">
        <v>996</v>
      </c>
      <c r="F12" s="899"/>
      <c r="G12" s="899">
        <f>SUM(G13:G13)</f>
        <v>340</v>
      </c>
      <c r="H12" s="899">
        <f>SUM(H13:H13)</f>
        <v>340</v>
      </c>
      <c r="I12" s="864">
        <f t="shared" ref="I12:I28" si="0">(H12/G12)*100</f>
        <v>100</v>
      </c>
    </row>
    <row r="13" spans="1:10" ht="14.25" x14ac:dyDescent="0.2">
      <c r="A13" s="432"/>
      <c r="B13" s="681"/>
      <c r="C13" s="878"/>
      <c r="D13" s="554" t="s">
        <v>1184</v>
      </c>
      <c r="E13" s="455" t="s">
        <v>998</v>
      </c>
      <c r="F13" s="865"/>
      <c r="G13" s="865">
        <v>340</v>
      </c>
      <c r="H13" s="865">
        <v>340</v>
      </c>
      <c r="I13" s="861">
        <f t="shared" si="0"/>
        <v>100</v>
      </c>
    </row>
    <row r="14" spans="1:10" ht="15" x14ac:dyDescent="0.25">
      <c r="A14" s="432">
        <v>1000</v>
      </c>
      <c r="B14" s="783">
        <v>3111</v>
      </c>
      <c r="C14" s="681">
        <v>5336</v>
      </c>
      <c r="D14" s="570"/>
      <c r="E14" s="680" t="s">
        <v>1523</v>
      </c>
      <c r="F14" s="884"/>
      <c r="G14" s="884">
        <v>782</v>
      </c>
      <c r="H14" s="884">
        <v>782</v>
      </c>
      <c r="I14" s="874">
        <f t="shared" si="0"/>
        <v>100</v>
      </c>
    </row>
    <row r="15" spans="1:10" ht="14.25" x14ac:dyDescent="0.2">
      <c r="A15" s="432"/>
      <c r="B15" s="783"/>
      <c r="C15" s="681"/>
      <c r="D15" s="554" t="s">
        <v>1182</v>
      </c>
      <c r="E15" s="456" t="s">
        <v>832</v>
      </c>
      <c r="F15" s="871"/>
      <c r="G15" s="871">
        <v>782</v>
      </c>
      <c r="H15" s="871">
        <v>782</v>
      </c>
      <c r="I15" s="866">
        <f t="shared" si="0"/>
        <v>100</v>
      </c>
    </row>
    <row r="16" spans="1:10" ht="15" x14ac:dyDescent="0.25">
      <c r="A16" s="432">
        <v>1000</v>
      </c>
      <c r="B16" s="783">
        <v>3113</v>
      </c>
      <c r="C16" s="783">
        <v>5331</v>
      </c>
      <c r="D16" s="897"/>
      <c r="E16" s="680" t="s">
        <v>996</v>
      </c>
      <c r="F16" s="873"/>
      <c r="G16" s="873">
        <f>SUM(G17:G17)</f>
        <v>1750</v>
      </c>
      <c r="H16" s="873">
        <f>SUM(H17:H17)</f>
        <v>1750</v>
      </c>
      <c r="I16" s="874">
        <f t="shared" si="0"/>
        <v>100</v>
      </c>
    </row>
    <row r="17" spans="1:20" ht="14.25" x14ac:dyDescent="0.2">
      <c r="A17" s="432"/>
      <c r="B17" s="783"/>
      <c r="C17" s="783"/>
      <c r="D17" s="554" t="s">
        <v>1184</v>
      </c>
      <c r="E17" s="455" t="s">
        <v>998</v>
      </c>
      <c r="F17" s="871"/>
      <c r="G17" s="871">
        <v>1750</v>
      </c>
      <c r="H17" s="871">
        <v>1750</v>
      </c>
      <c r="I17" s="866">
        <f t="shared" si="0"/>
        <v>100</v>
      </c>
    </row>
    <row r="18" spans="1:20" ht="15" x14ac:dyDescent="0.25">
      <c r="A18" s="432">
        <v>1000</v>
      </c>
      <c r="B18" s="783">
        <v>3113</v>
      </c>
      <c r="C18" s="783">
        <v>5336</v>
      </c>
      <c r="D18" s="570"/>
      <c r="E18" s="680" t="s">
        <v>1523</v>
      </c>
      <c r="F18" s="884"/>
      <c r="G18" s="884">
        <f>G19+G20+G21</f>
        <v>4222</v>
      </c>
      <c r="H18" s="884">
        <f>H19+H20+H21</f>
        <v>4222</v>
      </c>
      <c r="I18" s="874">
        <f t="shared" si="0"/>
        <v>100</v>
      </c>
    </row>
    <row r="19" spans="1:20" ht="14.25" x14ac:dyDescent="0.2">
      <c r="A19" s="432"/>
      <c r="B19" s="783"/>
      <c r="C19" s="783"/>
      <c r="D19" s="554" t="s">
        <v>1182</v>
      </c>
      <c r="E19" s="456" t="s">
        <v>832</v>
      </c>
      <c r="F19" s="871"/>
      <c r="G19" s="871">
        <v>4002</v>
      </c>
      <c r="H19" s="871">
        <v>4002</v>
      </c>
      <c r="I19" s="866">
        <f t="shared" si="0"/>
        <v>100</v>
      </c>
    </row>
    <row r="20" spans="1:20" ht="14.25" x14ac:dyDescent="0.2">
      <c r="A20" s="432"/>
      <c r="B20" s="783"/>
      <c r="C20" s="783"/>
      <c r="D20" s="570" t="s">
        <v>976</v>
      </c>
      <c r="E20" s="906" t="s">
        <v>1524</v>
      </c>
      <c r="F20" s="871"/>
      <c r="G20" s="871">
        <v>33</v>
      </c>
      <c r="H20" s="871">
        <v>33</v>
      </c>
      <c r="I20" s="866">
        <f t="shared" si="0"/>
        <v>100</v>
      </c>
    </row>
    <row r="21" spans="1:20" ht="14.25" x14ac:dyDescent="0.2">
      <c r="A21" s="432"/>
      <c r="B21" s="783"/>
      <c r="C21" s="783"/>
      <c r="D21" s="570" t="s">
        <v>978</v>
      </c>
      <c r="E21" s="906" t="s">
        <v>1525</v>
      </c>
      <c r="F21" s="871"/>
      <c r="G21" s="871">
        <v>187</v>
      </c>
      <c r="H21" s="871">
        <v>187</v>
      </c>
      <c r="I21" s="866">
        <f t="shared" si="0"/>
        <v>100</v>
      </c>
    </row>
    <row r="22" spans="1:20" ht="15" x14ac:dyDescent="0.25">
      <c r="A22" s="432">
        <v>1000</v>
      </c>
      <c r="B22" s="783">
        <v>3141</v>
      </c>
      <c r="C22" s="783">
        <v>5331</v>
      </c>
      <c r="D22" s="897"/>
      <c r="E22" s="680" t="s">
        <v>996</v>
      </c>
      <c r="F22" s="873"/>
      <c r="G22" s="873">
        <v>310</v>
      </c>
      <c r="H22" s="873">
        <v>310</v>
      </c>
      <c r="I22" s="874">
        <f t="shared" si="0"/>
        <v>100</v>
      </c>
    </row>
    <row r="23" spans="1:20" ht="15" x14ac:dyDescent="0.25">
      <c r="A23" s="432"/>
      <c r="B23" s="783"/>
      <c r="C23" s="783"/>
      <c r="D23" s="554" t="s">
        <v>1184</v>
      </c>
      <c r="E23" s="455" t="s">
        <v>831</v>
      </c>
      <c r="F23" s="873"/>
      <c r="G23" s="871">
        <v>310</v>
      </c>
      <c r="H23" s="871">
        <v>310</v>
      </c>
      <c r="I23" s="866">
        <f t="shared" si="0"/>
        <v>100</v>
      </c>
    </row>
    <row r="24" spans="1:20" ht="15" x14ac:dyDescent="0.25">
      <c r="A24" s="432">
        <v>1000</v>
      </c>
      <c r="B24" s="783">
        <v>3141</v>
      </c>
      <c r="C24" s="783">
        <v>5336</v>
      </c>
      <c r="D24" s="570"/>
      <c r="E24" s="680" t="s">
        <v>1523</v>
      </c>
      <c r="F24" s="873"/>
      <c r="G24" s="884">
        <v>420</v>
      </c>
      <c r="H24" s="884">
        <v>420</v>
      </c>
      <c r="I24" s="876">
        <f t="shared" si="0"/>
        <v>100</v>
      </c>
    </row>
    <row r="25" spans="1:20" ht="15" x14ac:dyDescent="0.25">
      <c r="A25" s="432"/>
      <c r="B25" s="783"/>
      <c r="C25" s="783"/>
      <c r="D25" s="554" t="s">
        <v>1182</v>
      </c>
      <c r="E25" s="456" t="s">
        <v>832</v>
      </c>
      <c r="F25" s="873"/>
      <c r="G25" s="871">
        <v>420</v>
      </c>
      <c r="H25" s="871">
        <v>420</v>
      </c>
      <c r="I25" s="866">
        <f t="shared" si="0"/>
        <v>100</v>
      </c>
    </row>
    <row r="26" spans="1:20" ht="15" x14ac:dyDescent="0.25">
      <c r="A26" s="432">
        <v>1000</v>
      </c>
      <c r="B26" s="783">
        <v>3143</v>
      </c>
      <c r="C26" s="783">
        <v>5336</v>
      </c>
      <c r="D26" s="897"/>
      <c r="E26" s="680" t="s">
        <v>1523</v>
      </c>
      <c r="F26" s="873"/>
      <c r="G26" s="873">
        <v>473</v>
      </c>
      <c r="H26" s="873">
        <v>473</v>
      </c>
      <c r="I26" s="874">
        <f t="shared" si="0"/>
        <v>100</v>
      </c>
    </row>
    <row r="27" spans="1:20" ht="15.75" thickBot="1" x14ac:dyDescent="0.3">
      <c r="A27" s="432"/>
      <c r="B27" s="783"/>
      <c r="C27" s="783"/>
      <c r="D27" s="554" t="s">
        <v>1182</v>
      </c>
      <c r="E27" s="456" t="s">
        <v>832</v>
      </c>
      <c r="F27" s="873"/>
      <c r="G27" s="871">
        <v>473</v>
      </c>
      <c r="H27" s="871">
        <v>473</v>
      </c>
      <c r="I27" s="866">
        <f t="shared" si="0"/>
        <v>100</v>
      </c>
    </row>
    <row r="28" spans="1:20" ht="17.25" thickTop="1" thickBot="1" x14ac:dyDescent="0.3">
      <c r="A28" s="2685" t="s">
        <v>1162</v>
      </c>
      <c r="B28" s="2686"/>
      <c r="C28" s="2686"/>
      <c r="D28" s="2686"/>
      <c r="E28" s="2686"/>
      <c r="F28" s="900">
        <v>0</v>
      </c>
      <c r="G28" s="900">
        <f>G12+G16+G22+G26+G18+G14+G24</f>
        <v>8297</v>
      </c>
      <c r="H28" s="900">
        <f>H12+H16+H22+H26+H18+H14+H24</f>
        <v>8297</v>
      </c>
      <c r="I28" s="901">
        <f t="shared" si="0"/>
        <v>100</v>
      </c>
      <c r="R28" s="383">
        <f>F28</f>
        <v>0</v>
      </c>
      <c r="S28" s="383">
        <f>G28</f>
        <v>8297</v>
      </c>
      <c r="T28" s="383">
        <f>H28</f>
        <v>8297</v>
      </c>
    </row>
    <row r="29" spans="1:20" ht="18.75" thickTop="1" x14ac:dyDescent="0.25">
      <c r="A29" s="33"/>
      <c r="B29" s="33"/>
      <c r="C29" s="28"/>
      <c r="D29" s="63"/>
      <c r="E29" s="10"/>
      <c r="F29" s="307"/>
      <c r="G29" s="307"/>
      <c r="H29" s="182"/>
      <c r="I29" s="214"/>
      <c r="J29" s="17"/>
    </row>
    <row r="30" spans="1:20" ht="13.5" thickBot="1" x14ac:dyDescent="0.25">
      <c r="A30" s="433" t="s">
        <v>990</v>
      </c>
      <c r="B30" s="631"/>
      <c r="C30" s="631"/>
      <c r="D30" s="853"/>
      <c r="E30" s="632"/>
      <c r="H30" s="619"/>
      <c r="I30" s="1465" t="s">
        <v>173</v>
      </c>
    </row>
    <row r="31" spans="1:20" s="107" customFormat="1" ht="14.25" customHeight="1" thickTop="1" thickBot="1" x14ac:dyDescent="0.25">
      <c r="A31" s="633" t="s">
        <v>661</v>
      </c>
      <c r="B31" s="810" t="s">
        <v>174</v>
      </c>
      <c r="C31" s="634" t="s">
        <v>175</v>
      </c>
      <c r="D31" s="636" t="s">
        <v>744</v>
      </c>
      <c r="E31" s="636" t="s">
        <v>176</v>
      </c>
      <c r="F31" s="636" t="s">
        <v>177</v>
      </c>
      <c r="G31" s="636" t="s">
        <v>922</v>
      </c>
      <c r="H31" s="636" t="s">
        <v>923</v>
      </c>
      <c r="I31" s="856" t="s">
        <v>924</v>
      </c>
    </row>
    <row r="32" spans="1:20" s="384" customFormat="1" ht="13.5" thickTop="1" thickBot="1" x14ac:dyDescent="0.25">
      <c r="A32" s="568">
        <v>1</v>
      </c>
      <c r="B32" s="569">
        <v>2</v>
      </c>
      <c r="C32" s="569">
        <v>3</v>
      </c>
      <c r="D32" s="569">
        <v>4</v>
      </c>
      <c r="E32" s="569">
        <v>5</v>
      </c>
      <c r="F32" s="543">
        <v>6</v>
      </c>
      <c r="G32" s="543">
        <v>7</v>
      </c>
      <c r="H32" s="544">
        <v>8</v>
      </c>
      <c r="I32" s="638" t="s">
        <v>801</v>
      </c>
    </row>
    <row r="33" spans="1:20" ht="20.25" customHeight="1" thickTop="1" x14ac:dyDescent="0.25">
      <c r="A33" s="1466">
        <v>1001</v>
      </c>
      <c r="B33" s="811">
        <v>3112</v>
      </c>
      <c r="C33" s="811">
        <v>5331</v>
      </c>
      <c r="D33" s="877"/>
      <c r="E33" s="898" t="s">
        <v>996</v>
      </c>
      <c r="F33" s="899">
        <f>SUM(F34:F37)</f>
        <v>528</v>
      </c>
      <c r="G33" s="899">
        <f>G34+G35</f>
        <v>528</v>
      </c>
      <c r="H33" s="899">
        <f>H34+H35</f>
        <v>528</v>
      </c>
      <c r="I33" s="864">
        <f t="shared" ref="I33:I40" si="1">(H33/G33)*100</f>
        <v>100</v>
      </c>
    </row>
    <row r="34" spans="1:20" ht="14.25" x14ac:dyDescent="0.2">
      <c r="A34" s="432"/>
      <c r="B34" s="681"/>
      <c r="C34" s="681"/>
      <c r="D34" s="719" t="s">
        <v>611</v>
      </c>
      <c r="E34" s="1569" t="s">
        <v>833</v>
      </c>
      <c r="F34" s="865">
        <v>68</v>
      </c>
      <c r="G34" s="865">
        <v>68</v>
      </c>
      <c r="H34" s="865">
        <v>68</v>
      </c>
      <c r="I34" s="861">
        <f t="shared" si="1"/>
        <v>100</v>
      </c>
    </row>
    <row r="35" spans="1:20" ht="14.25" x14ac:dyDescent="0.2">
      <c r="A35" s="432"/>
      <c r="B35" s="681"/>
      <c r="C35" s="681"/>
      <c r="D35" s="554" t="s">
        <v>606</v>
      </c>
      <c r="E35" s="456" t="s">
        <v>72</v>
      </c>
      <c r="F35" s="865">
        <v>460</v>
      </c>
      <c r="G35" s="865">
        <v>460</v>
      </c>
      <c r="H35" s="865">
        <v>460</v>
      </c>
      <c r="I35" s="861">
        <f t="shared" si="1"/>
        <v>100</v>
      </c>
    </row>
    <row r="36" spans="1:20" ht="15" x14ac:dyDescent="0.25">
      <c r="A36" s="432">
        <v>1001</v>
      </c>
      <c r="B36" s="783">
        <v>3112</v>
      </c>
      <c r="C36" s="783">
        <v>5336</v>
      </c>
      <c r="D36" s="554"/>
      <c r="E36" s="680" t="s">
        <v>1523</v>
      </c>
      <c r="F36" s="884"/>
      <c r="G36" s="884">
        <v>2605</v>
      </c>
      <c r="H36" s="884">
        <v>2605</v>
      </c>
      <c r="I36" s="891">
        <f t="shared" si="1"/>
        <v>100</v>
      </c>
    </row>
    <row r="37" spans="1:20" ht="14.25" x14ac:dyDescent="0.2">
      <c r="A37" s="432"/>
      <c r="B37" s="783"/>
      <c r="C37" s="783"/>
      <c r="D37" s="554" t="s">
        <v>1182</v>
      </c>
      <c r="E37" s="456" t="s">
        <v>832</v>
      </c>
      <c r="F37" s="871"/>
      <c r="G37" s="871">
        <v>2605</v>
      </c>
      <c r="H37" s="871">
        <v>2605</v>
      </c>
      <c r="I37" s="861">
        <f t="shared" si="1"/>
        <v>100</v>
      </c>
    </row>
    <row r="38" spans="1:20" ht="15" x14ac:dyDescent="0.25">
      <c r="A38" s="432">
        <v>1001</v>
      </c>
      <c r="B38" s="783">
        <v>3141</v>
      </c>
      <c r="C38" s="783">
        <v>5336</v>
      </c>
      <c r="D38" s="781"/>
      <c r="E38" s="680" t="s">
        <v>1523</v>
      </c>
      <c r="F38" s="873"/>
      <c r="G38" s="873">
        <v>46</v>
      </c>
      <c r="H38" s="873">
        <v>46</v>
      </c>
      <c r="I38" s="874">
        <f t="shared" si="1"/>
        <v>100</v>
      </c>
    </row>
    <row r="39" spans="1:20" ht="15" thickBot="1" x14ac:dyDescent="0.25">
      <c r="A39" s="432"/>
      <c r="B39" s="783"/>
      <c r="C39" s="783"/>
      <c r="D39" s="554" t="s">
        <v>1182</v>
      </c>
      <c r="E39" s="456" t="s">
        <v>832</v>
      </c>
      <c r="F39" s="871"/>
      <c r="G39" s="871">
        <v>46</v>
      </c>
      <c r="H39" s="871">
        <v>46</v>
      </c>
      <c r="I39" s="866">
        <f t="shared" si="1"/>
        <v>100</v>
      </c>
    </row>
    <row r="40" spans="1:20" ht="17.25" thickTop="1" thickBot="1" x14ac:dyDescent="0.3">
      <c r="A40" s="2685" t="s">
        <v>1162</v>
      </c>
      <c r="B40" s="2686"/>
      <c r="C40" s="2686"/>
      <c r="D40" s="2686"/>
      <c r="E40" s="2686"/>
      <c r="F40" s="900">
        <f>SUM(F33)</f>
        <v>528</v>
      </c>
      <c r="G40" s="900">
        <f>G33+G36+G38</f>
        <v>3179</v>
      </c>
      <c r="H40" s="900">
        <f>H33+H36+H38</f>
        <v>3179</v>
      </c>
      <c r="I40" s="901">
        <f t="shared" si="1"/>
        <v>100</v>
      </c>
      <c r="R40" s="383">
        <f>F40</f>
        <v>528</v>
      </c>
      <c r="S40" s="383">
        <f>G40</f>
        <v>3179</v>
      </c>
      <c r="T40" s="383">
        <f>H40</f>
        <v>3179</v>
      </c>
    </row>
    <row r="41" spans="1:20" ht="13.5" thickTop="1" x14ac:dyDescent="0.2"/>
    <row r="42" spans="1:20" ht="13.5" thickBot="1" x14ac:dyDescent="0.25">
      <c r="A42" s="433" t="s">
        <v>777</v>
      </c>
      <c r="I42" s="1465" t="s">
        <v>173</v>
      </c>
    </row>
    <row r="43" spans="1:20" s="107" customFormat="1" thickTop="1" thickBot="1" x14ac:dyDescent="0.25">
      <c r="A43" s="633" t="s">
        <v>661</v>
      </c>
      <c r="B43" s="810" t="s">
        <v>174</v>
      </c>
      <c r="C43" s="634" t="s">
        <v>175</v>
      </c>
      <c r="D43" s="636" t="s">
        <v>744</v>
      </c>
      <c r="E43" s="636" t="s">
        <v>176</v>
      </c>
      <c r="F43" s="636" t="s">
        <v>177</v>
      </c>
      <c r="G43" s="636" t="s">
        <v>922</v>
      </c>
      <c r="H43" s="636" t="s">
        <v>923</v>
      </c>
      <c r="I43" s="856" t="s">
        <v>924</v>
      </c>
    </row>
    <row r="44" spans="1:20" s="384" customFormat="1" ht="13.5" thickTop="1" thickBot="1" x14ac:dyDescent="0.25">
      <c r="A44" s="568">
        <v>1</v>
      </c>
      <c r="B44" s="569">
        <v>2</v>
      </c>
      <c r="C44" s="569">
        <v>3</v>
      </c>
      <c r="D44" s="569">
        <v>4</v>
      </c>
      <c r="E44" s="569">
        <v>5</v>
      </c>
      <c r="F44" s="543">
        <v>6</v>
      </c>
      <c r="G44" s="543">
        <v>7</v>
      </c>
      <c r="H44" s="544">
        <v>8</v>
      </c>
      <c r="I44" s="638" t="s">
        <v>801</v>
      </c>
    </row>
    <row r="45" spans="1:20" ht="20.25" customHeight="1" thickTop="1" x14ac:dyDescent="0.25">
      <c r="A45" s="1466">
        <v>1010</v>
      </c>
      <c r="B45" s="811">
        <v>3112</v>
      </c>
      <c r="C45" s="811">
        <v>5331</v>
      </c>
      <c r="D45" s="877"/>
      <c r="E45" s="898" t="s">
        <v>996</v>
      </c>
      <c r="F45" s="899">
        <f>SUM(F46:F46)</f>
        <v>392</v>
      </c>
      <c r="G45" s="899">
        <f>SUM(G46:G46)</f>
        <v>392</v>
      </c>
      <c r="H45" s="899">
        <f>SUM(H46:H46)</f>
        <v>392</v>
      </c>
      <c r="I45" s="864">
        <f t="shared" ref="I45:I53" si="2">(H45/G45)*100</f>
        <v>100</v>
      </c>
    </row>
    <row r="46" spans="1:20" ht="14.25" x14ac:dyDescent="0.2">
      <c r="A46" s="432"/>
      <c r="B46" s="681"/>
      <c r="C46" s="681"/>
      <c r="D46" s="554" t="s">
        <v>606</v>
      </c>
      <c r="E46" s="456" t="s">
        <v>72</v>
      </c>
      <c r="F46" s="865">
        <v>392</v>
      </c>
      <c r="G46" s="865">
        <v>392</v>
      </c>
      <c r="H46" s="865">
        <v>392</v>
      </c>
      <c r="I46" s="861">
        <f t="shared" si="2"/>
        <v>100</v>
      </c>
    </row>
    <row r="47" spans="1:20" ht="15" x14ac:dyDescent="0.25">
      <c r="A47" s="432">
        <v>1010</v>
      </c>
      <c r="B47" s="681">
        <v>3112</v>
      </c>
      <c r="C47" s="681">
        <v>5336</v>
      </c>
      <c r="D47" s="554"/>
      <c r="E47" s="680" t="s">
        <v>1523</v>
      </c>
      <c r="F47" s="2268"/>
      <c r="G47" s="889">
        <v>3025</v>
      </c>
      <c r="H47" s="889">
        <v>3025</v>
      </c>
      <c r="I47" s="891">
        <f t="shared" si="2"/>
        <v>100</v>
      </c>
    </row>
    <row r="48" spans="1:20" ht="14.25" x14ac:dyDescent="0.2">
      <c r="A48" s="432"/>
      <c r="B48" s="681"/>
      <c r="C48" s="681"/>
      <c r="D48" s="554" t="s">
        <v>1182</v>
      </c>
      <c r="E48" s="456" t="s">
        <v>832</v>
      </c>
      <c r="F48" s="865"/>
      <c r="G48" s="865">
        <v>3025</v>
      </c>
      <c r="H48" s="865">
        <v>3025</v>
      </c>
      <c r="I48" s="861">
        <f t="shared" si="2"/>
        <v>100</v>
      </c>
    </row>
    <row r="49" spans="1:20" ht="15" x14ac:dyDescent="0.25">
      <c r="A49" s="432">
        <v>1010</v>
      </c>
      <c r="B49" s="783">
        <v>3114</v>
      </c>
      <c r="C49" s="1468">
        <v>5331</v>
      </c>
      <c r="D49" s="880"/>
      <c r="E49" s="680" t="s">
        <v>996</v>
      </c>
      <c r="F49" s="873">
        <f>SUM(F50:F50)</f>
        <v>150</v>
      </c>
      <c r="G49" s="873">
        <f>SUM(G50:G50)</f>
        <v>150</v>
      </c>
      <c r="H49" s="873">
        <f>SUM(H50:H50)</f>
        <v>150</v>
      </c>
      <c r="I49" s="874">
        <f t="shared" si="2"/>
        <v>100</v>
      </c>
    </row>
    <row r="50" spans="1:20" ht="14.25" x14ac:dyDescent="0.2">
      <c r="A50" s="432"/>
      <c r="B50" s="681"/>
      <c r="C50" s="1467"/>
      <c r="D50" s="554" t="s">
        <v>606</v>
      </c>
      <c r="E50" s="456" t="s">
        <v>72</v>
      </c>
      <c r="F50" s="865">
        <v>150</v>
      </c>
      <c r="G50" s="865">
        <v>150</v>
      </c>
      <c r="H50" s="865">
        <v>150</v>
      </c>
      <c r="I50" s="861">
        <f t="shared" si="2"/>
        <v>100</v>
      </c>
    </row>
    <row r="51" spans="1:20" ht="15" x14ac:dyDescent="0.25">
      <c r="A51" s="432">
        <v>1010</v>
      </c>
      <c r="B51" s="783">
        <v>3114</v>
      </c>
      <c r="C51" s="783">
        <v>5336</v>
      </c>
      <c r="D51" s="570"/>
      <c r="E51" s="680" t="s">
        <v>1523</v>
      </c>
      <c r="F51" s="884"/>
      <c r="G51" s="884">
        <f>G52</f>
        <v>3048</v>
      </c>
      <c r="H51" s="884">
        <f>H52</f>
        <v>3048</v>
      </c>
      <c r="I51" s="874">
        <f t="shared" si="2"/>
        <v>100</v>
      </c>
    </row>
    <row r="52" spans="1:20" ht="15.75" customHeight="1" thickBot="1" x14ac:dyDescent="0.3">
      <c r="A52" s="432"/>
      <c r="B52" s="783"/>
      <c r="C52" s="783"/>
      <c r="D52" s="554" t="s">
        <v>1182</v>
      </c>
      <c r="E52" s="456" t="s">
        <v>832</v>
      </c>
      <c r="F52" s="884"/>
      <c r="G52" s="875">
        <v>3048</v>
      </c>
      <c r="H52" s="875">
        <v>3048</v>
      </c>
      <c r="I52" s="861">
        <f t="shared" si="2"/>
        <v>100</v>
      </c>
    </row>
    <row r="53" spans="1:20" ht="15.75" customHeight="1" thickTop="1" thickBot="1" x14ac:dyDescent="0.3">
      <c r="A53" s="2685" t="s">
        <v>1162</v>
      </c>
      <c r="B53" s="2686"/>
      <c r="C53" s="2686"/>
      <c r="D53" s="2686"/>
      <c r="E53" s="2686"/>
      <c r="F53" s="862">
        <f>F45+F49+F51+F47</f>
        <v>542</v>
      </c>
      <c r="G53" s="862">
        <f>G45+G49+G51+G47</f>
        <v>6615</v>
      </c>
      <c r="H53" s="862">
        <f>H45+H49+H51+H47</f>
        <v>6615</v>
      </c>
      <c r="I53" s="863">
        <f t="shared" si="2"/>
        <v>100</v>
      </c>
      <c r="R53" s="383">
        <f>F53</f>
        <v>542</v>
      </c>
      <c r="S53" s="383">
        <f>G53</f>
        <v>6615</v>
      </c>
      <c r="T53" s="383">
        <f>H53</f>
        <v>6615</v>
      </c>
    </row>
    <row r="54" spans="1:20" ht="15.75" customHeight="1" thickTop="1" x14ac:dyDescent="0.25">
      <c r="A54" s="369"/>
      <c r="B54" s="369"/>
      <c r="C54" s="369"/>
      <c r="D54" s="369"/>
      <c r="E54" s="369"/>
      <c r="F54" s="181"/>
      <c r="G54" s="181"/>
      <c r="H54" s="181"/>
      <c r="I54" s="210"/>
      <c r="R54" s="383"/>
      <c r="S54" s="383"/>
      <c r="T54" s="383"/>
    </row>
    <row r="55" spans="1:20" ht="13.5" thickBot="1" x14ac:dyDescent="0.25">
      <c r="A55" s="433" t="s">
        <v>834</v>
      </c>
      <c r="I55" s="1465" t="s">
        <v>173</v>
      </c>
    </row>
    <row r="56" spans="1:20" s="107" customFormat="1" ht="20.25" customHeight="1" thickTop="1" thickBot="1" x14ac:dyDescent="0.25">
      <c r="A56" s="633" t="s">
        <v>661</v>
      </c>
      <c r="B56" s="810" t="s">
        <v>174</v>
      </c>
      <c r="C56" s="634" t="s">
        <v>175</v>
      </c>
      <c r="D56" s="636" t="s">
        <v>744</v>
      </c>
      <c r="E56" s="636" t="s">
        <v>176</v>
      </c>
      <c r="F56" s="636" t="s">
        <v>177</v>
      </c>
      <c r="G56" s="636" t="s">
        <v>922</v>
      </c>
      <c r="H56" s="636" t="s">
        <v>923</v>
      </c>
      <c r="I56" s="856" t="s">
        <v>924</v>
      </c>
    </row>
    <row r="57" spans="1:20" s="384" customFormat="1" ht="13.5" thickTop="1" thickBot="1" x14ac:dyDescent="0.25">
      <c r="A57" s="568">
        <v>1</v>
      </c>
      <c r="B57" s="569">
        <v>2</v>
      </c>
      <c r="C57" s="569">
        <v>3</v>
      </c>
      <c r="D57" s="569">
        <v>4</v>
      </c>
      <c r="E57" s="569">
        <v>5</v>
      </c>
      <c r="F57" s="543">
        <v>6</v>
      </c>
      <c r="G57" s="543">
        <v>7</v>
      </c>
      <c r="H57" s="544">
        <v>8</v>
      </c>
      <c r="I57" s="638" t="s">
        <v>801</v>
      </c>
    </row>
    <row r="58" spans="1:20" s="384" customFormat="1" ht="15.75" thickTop="1" x14ac:dyDescent="0.25">
      <c r="A58" s="1466">
        <v>1012</v>
      </c>
      <c r="B58" s="902">
        <v>3112</v>
      </c>
      <c r="C58" s="811">
        <v>5331</v>
      </c>
      <c r="D58" s="888"/>
      <c r="E58" s="898" t="s">
        <v>996</v>
      </c>
      <c r="F58" s="903">
        <v>100</v>
      </c>
      <c r="G58" s="413">
        <v>100</v>
      </c>
      <c r="H58" s="413">
        <v>100</v>
      </c>
      <c r="I58" s="864">
        <f t="shared" ref="I58:I90" si="3">(H58/G58)*100</f>
        <v>100</v>
      </c>
    </row>
    <row r="59" spans="1:20" s="384" customFormat="1" ht="14.25" x14ac:dyDescent="0.2">
      <c r="A59" s="904"/>
      <c r="B59" s="905"/>
      <c r="C59" s="905"/>
      <c r="D59" s="570" t="s">
        <v>606</v>
      </c>
      <c r="E59" s="906" t="s">
        <v>72</v>
      </c>
      <c r="F59" s="1570">
        <v>100</v>
      </c>
      <c r="G59" s="1570">
        <v>100</v>
      </c>
      <c r="H59" s="1570">
        <v>100</v>
      </c>
      <c r="I59" s="866">
        <f t="shared" si="3"/>
        <v>100</v>
      </c>
    </row>
    <row r="60" spans="1:20" s="384" customFormat="1" ht="15" x14ac:dyDescent="0.25">
      <c r="A60" s="1474">
        <v>1012</v>
      </c>
      <c r="B60" s="2269">
        <v>3112</v>
      </c>
      <c r="C60" s="2269">
        <v>5336</v>
      </c>
      <c r="D60" s="570"/>
      <c r="E60" s="680" t="s">
        <v>1523</v>
      </c>
      <c r="F60" s="1374"/>
      <c r="G60" s="1274">
        <v>2042</v>
      </c>
      <c r="H60" s="1274">
        <v>2042</v>
      </c>
      <c r="I60" s="859">
        <f t="shared" si="3"/>
        <v>100</v>
      </c>
    </row>
    <row r="61" spans="1:20" s="384" customFormat="1" ht="14.25" x14ac:dyDescent="0.2">
      <c r="A61" s="904"/>
      <c r="B61" s="905"/>
      <c r="C61" s="905"/>
      <c r="D61" s="570" t="s">
        <v>1182</v>
      </c>
      <c r="E61" s="906" t="s">
        <v>832</v>
      </c>
      <c r="F61" s="1570"/>
      <c r="G61" s="1484">
        <v>2042</v>
      </c>
      <c r="H61" s="1484">
        <v>2042</v>
      </c>
      <c r="I61" s="861">
        <f t="shared" si="3"/>
        <v>100</v>
      </c>
    </row>
    <row r="62" spans="1:20" ht="15" x14ac:dyDescent="0.25">
      <c r="A62" s="432">
        <v>1012</v>
      </c>
      <c r="B62" s="681">
        <v>3114</v>
      </c>
      <c r="C62" s="681">
        <v>5331</v>
      </c>
      <c r="D62" s="857"/>
      <c r="E62" s="680" t="s">
        <v>996</v>
      </c>
      <c r="F62" s="873">
        <f>SUM(F63:F64)</f>
        <v>3178</v>
      </c>
      <c r="G62" s="873">
        <f>SUM(G63:G64)</f>
        <v>3175</v>
      </c>
      <c r="H62" s="873">
        <f>SUM(H63:H64)</f>
        <v>3175</v>
      </c>
      <c r="I62" s="859">
        <f t="shared" si="3"/>
        <v>100</v>
      </c>
    </row>
    <row r="63" spans="1:20" ht="14.25" x14ac:dyDescent="0.2">
      <c r="A63" s="432"/>
      <c r="B63" s="681"/>
      <c r="C63" s="681"/>
      <c r="D63" s="719" t="s">
        <v>611</v>
      </c>
      <c r="E63" s="1569" t="s">
        <v>833</v>
      </c>
      <c r="F63" s="865">
        <v>1119</v>
      </c>
      <c r="G63" s="865">
        <v>1116</v>
      </c>
      <c r="H63" s="865">
        <v>1116</v>
      </c>
      <c r="I63" s="861">
        <f t="shared" si="3"/>
        <v>100</v>
      </c>
    </row>
    <row r="64" spans="1:20" ht="14.25" x14ac:dyDescent="0.2">
      <c r="A64" s="432"/>
      <c r="B64" s="681"/>
      <c r="C64" s="1467"/>
      <c r="D64" s="554" t="s">
        <v>606</v>
      </c>
      <c r="E64" s="456" t="s">
        <v>72</v>
      </c>
      <c r="F64" s="865">
        <v>2059</v>
      </c>
      <c r="G64" s="865">
        <v>2059</v>
      </c>
      <c r="H64" s="865">
        <v>2059</v>
      </c>
      <c r="I64" s="861">
        <f t="shared" si="3"/>
        <v>100</v>
      </c>
    </row>
    <row r="65" spans="1:9" ht="15" x14ac:dyDescent="0.25">
      <c r="A65" s="432">
        <v>1012</v>
      </c>
      <c r="B65" s="783">
        <v>3114</v>
      </c>
      <c r="C65" s="1468">
        <v>5336</v>
      </c>
      <c r="D65" s="570"/>
      <c r="E65" s="680" t="s">
        <v>1523</v>
      </c>
      <c r="F65" s="884"/>
      <c r="G65" s="884">
        <f>G66</f>
        <v>12600</v>
      </c>
      <c r="H65" s="884">
        <f>H66</f>
        <v>12600</v>
      </c>
      <c r="I65" s="874">
        <f t="shared" si="3"/>
        <v>100</v>
      </c>
    </row>
    <row r="66" spans="1:9" ht="15.75" thickBot="1" x14ac:dyDescent="0.3">
      <c r="A66" s="1469"/>
      <c r="B66" s="930"/>
      <c r="C66" s="1470"/>
      <c r="D66" s="2279" t="s">
        <v>1182</v>
      </c>
      <c r="E66" s="1471" t="s">
        <v>832</v>
      </c>
      <c r="F66" s="1283"/>
      <c r="G66" s="944">
        <v>12600</v>
      </c>
      <c r="H66" s="944">
        <v>12600</v>
      </c>
      <c r="I66" s="893">
        <f t="shared" si="3"/>
        <v>100</v>
      </c>
    </row>
    <row r="67" spans="1:9" ht="15.75" thickTop="1" x14ac:dyDescent="0.25">
      <c r="A67" s="1472"/>
      <c r="B67" s="779"/>
      <c r="C67" s="1472"/>
      <c r="D67" s="828"/>
      <c r="E67" s="67"/>
      <c r="F67" s="960"/>
      <c r="G67" s="921"/>
      <c r="H67" s="921"/>
      <c r="I67" s="932"/>
    </row>
    <row r="68" spans="1:9" ht="15" x14ac:dyDescent="0.25">
      <c r="A68" s="1472"/>
      <c r="B68" s="779"/>
      <c r="C68" s="1472"/>
      <c r="D68" s="828"/>
      <c r="E68" s="67"/>
      <c r="F68" s="960"/>
      <c r="G68" s="921"/>
      <c r="H68" s="921"/>
      <c r="I68" s="932"/>
    </row>
    <row r="69" spans="1:9" ht="15" x14ac:dyDescent="0.25">
      <c r="A69" s="1472"/>
      <c r="B69" s="779"/>
      <c r="C69" s="1472"/>
      <c r="D69" s="828"/>
      <c r="E69" s="67"/>
      <c r="F69" s="960"/>
      <c r="G69" s="921"/>
      <c r="H69" s="921"/>
      <c r="I69" s="932"/>
    </row>
    <row r="70" spans="1:9" s="1472" customFormat="1" ht="15" thickBot="1" x14ac:dyDescent="0.25">
      <c r="B70" s="779"/>
      <c r="D70" s="828"/>
      <c r="E70" s="67"/>
      <c r="F70" s="879"/>
      <c r="G70" s="879"/>
      <c r="H70" s="879"/>
      <c r="I70" s="1465" t="s">
        <v>173</v>
      </c>
    </row>
    <row r="71" spans="1:9" s="1472" customFormat="1" ht="14.25" thickTop="1" thickBot="1" x14ac:dyDescent="0.25">
      <c r="A71" s="633" t="s">
        <v>661</v>
      </c>
      <c r="B71" s="810" t="s">
        <v>174</v>
      </c>
      <c r="C71" s="634" t="s">
        <v>175</v>
      </c>
      <c r="D71" s="636" t="s">
        <v>744</v>
      </c>
      <c r="E71" s="636" t="s">
        <v>176</v>
      </c>
      <c r="F71" s="636" t="s">
        <v>177</v>
      </c>
      <c r="G71" s="636" t="s">
        <v>922</v>
      </c>
      <c r="H71" s="636" t="s">
        <v>923</v>
      </c>
      <c r="I71" s="856" t="s">
        <v>924</v>
      </c>
    </row>
    <row r="72" spans="1:9" s="1472" customFormat="1" ht="14.25" thickTop="1" thickBot="1" x14ac:dyDescent="0.25">
      <c r="A72" s="568">
        <v>1</v>
      </c>
      <c r="B72" s="569">
        <v>2</v>
      </c>
      <c r="C72" s="569">
        <v>3</v>
      </c>
      <c r="D72" s="569">
        <v>4</v>
      </c>
      <c r="E72" s="569">
        <v>5</v>
      </c>
      <c r="F72" s="543">
        <v>6</v>
      </c>
      <c r="G72" s="543">
        <v>7</v>
      </c>
      <c r="H72" s="544">
        <v>8</v>
      </c>
      <c r="I72" s="638" t="s">
        <v>801</v>
      </c>
    </row>
    <row r="73" spans="1:9" ht="15.75" thickTop="1" x14ac:dyDescent="0.25">
      <c r="A73" s="432">
        <v>1012</v>
      </c>
      <c r="B73" s="783">
        <v>3141</v>
      </c>
      <c r="C73" s="1468">
        <v>5336</v>
      </c>
      <c r="D73" s="570"/>
      <c r="E73" s="680" t="s">
        <v>1523</v>
      </c>
      <c r="F73" s="884"/>
      <c r="G73" s="884">
        <v>613</v>
      </c>
      <c r="H73" s="884">
        <v>613</v>
      </c>
      <c r="I73" s="876">
        <f t="shared" si="3"/>
        <v>100</v>
      </c>
    </row>
    <row r="74" spans="1:9" ht="14.25" x14ac:dyDescent="0.2">
      <c r="A74" s="432"/>
      <c r="B74" s="783"/>
      <c r="C74" s="1468"/>
      <c r="D74" s="570" t="s">
        <v>1182</v>
      </c>
      <c r="E74" s="906" t="s">
        <v>832</v>
      </c>
      <c r="F74" s="871"/>
      <c r="G74" s="871">
        <v>613</v>
      </c>
      <c r="H74" s="871">
        <v>613</v>
      </c>
      <c r="I74" s="866">
        <f t="shared" si="3"/>
        <v>100</v>
      </c>
    </row>
    <row r="75" spans="1:9" ht="15" x14ac:dyDescent="0.25">
      <c r="A75" s="432">
        <v>1012</v>
      </c>
      <c r="B75" s="783">
        <v>3142</v>
      </c>
      <c r="C75" s="1468">
        <v>5331</v>
      </c>
      <c r="D75" s="880"/>
      <c r="E75" s="680" t="s">
        <v>996</v>
      </c>
      <c r="F75" s="873">
        <f>SUM(F76:F76)</f>
        <v>350</v>
      </c>
      <c r="G75" s="873">
        <f>SUM(G76:G76)</f>
        <v>350</v>
      </c>
      <c r="H75" s="873">
        <f>SUM(H76:H76)</f>
        <v>350</v>
      </c>
      <c r="I75" s="874">
        <f t="shared" si="3"/>
        <v>100</v>
      </c>
    </row>
    <row r="76" spans="1:9" ht="14.25" x14ac:dyDescent="0.2">
      <c r="A76" s="432"/>
      <c r="B76" s="783"/>
      <c r="C76" s="1468"/>
      <c r="D76" s="554" t="s">
        <v>606</v>
      </c>
      <c r="E76" s="456" t="s">
        <v>72</v>
      </c>
      <c r="F76" s="871">
        <v>350</v>
      </c>
      <c r="G76" s="871">
        <v>350</v>
      </c>
      <c r="H76" s="871">
        <v>350</v>
      </c>
      <c r="I76" s="866">
        <f t="shared" si="3"/>
        <v>100</v>
      </c>
    </row>
    <row r="77" spans="1:9" ht="15.75" customHeight="1" x14ac:dyDescent="0.25">
      <c r="A77" s="432">
        <v>1012</v>
      </c>
      <c r="B77" s="783">
        <v>3142</v>
      </c>
      <c r="C77" s="1468">
        <v>5336</v>
      </c>
      <c r="D77" s="570"/>
      <c r="E77" s="680" t="s">
        <v>1523</v>
      </c>
      <c r="F77" s="884"/>
      <c r="G77" s="884">
        <v>402</v>
      </c>
      <c r="H77" s="884">
        <v>402</v>
      </c>
      <c r="I77" s="876">
        <f t="shared" si="3"/>
        <v>100</v>
      </c>
    </row>
    <row r="78" spans="1:9" ht="15.75" customHeight="1" x14ac:dyDescent="0.2">
      <c r="A78" s="432"/>
      <c r="B78" s="783"/>
      <c r="C78" s="1468"/>
      <c r="D78" s="570" t="s">
        <v>1182</v>
      </c>
      <c r="E78" s="906" t="s">
        <v>832</v>
      </c>
      <c r="F78" s="871"/>
      <c r="G78" s="871">
        <v>402</v>
      </c>
      <c r="H78" s="871">
        <v>402</v>
      </c>
      <c r="I78" s="866">
        <f t="shared" si="3"/>
        <v>100</v>
      </c>
    </row>
    <row r="79" spans="1:9" ht="15.75" customHeight="1" x14ac:dyDescent="0.25">
      <c r="A79" s="432">
        <v>1012</v>
      </c>
      <c r="B79" s="783">
        <v>3143</v>
      </c>
      <c r="C79" s="1468">
        <v>5336</v>
      </c>
      <c r="D79" s="880"/>
      <c r="E79" s="680" t="s">
        <v>1523</v>
      </c>
      <c r="F79" s="873"/>
      <c r="G79" s="873">
        <v>801</v>
      </c>
      <c r="H79" s="873">
        <v>801</v>
      </c>
      <c r="I79" s="874">
        <f t="shared" si="3"/>
        <v>100</v>
      </c>
    </row>
    <row r="80" spans="1:9" ht="15.75" customHeight="1" x14ac:dyDescent="0.2">
      <c r="A80" s="432"/>
      <c r="B80" s="783"/>
      <c r="C80" s="1468"/>
      <c r="D80" s="570" t="s">
        <v>1182</v>
      </c>
      <c r="E80" s="906" t="s">
        <v>832</v>
      </c>
      <c r="F80" s="871"/>
      <c r="G80" s="871">
        <v>801</v>
      </c>
      <c r="H80" s="871">
        <v>801</v>
      </c>
      <c r="I80" s="866">
        <f t="shared" si="3"/>
        <v>100</v>
      </c>
    </row>
    <row r="81" spans="1:20" ht="15.75" customHeight="1" x14ac:dyDescent="0.25">
      <c r="A81" s="432">
        <v>1012</v>
      </c>
      <c r="B81" s="681">
        <v>3145</v>
      </c>
      <c r="C81" s="1468">
        <v>5331</v>
      </c>
      <c r="D81" s="880"/>
      <c r="E81" s="829" t="s">
        <v>996</v>
      </c>
      <c r="F81" s="896">
        <f>F82</f>
        <v>400</v>
      </c>
      <c r="G81" s="889">
        <f>SUM(G82:G82)</f>
        <v>400</v>
      </c>
      <c r="H81" s="889">
        <f>SUM(H82:H82)</f>
        <v>400</v>
      </c>
      <c r="I81" s="874">
        <f t="shared" si="3"/>
        <v>100</v>
      </c>
    </row>
    <row r="82" spans="1:20" ht="15.75" customHeight="1" x14ac:dyDescent="0.2">
      <c r="A82" s="432"/>
      <c r="B82" s="681"/>
      <c r="C82" s="1473"/>
      <c r="D82" s="554" t="s">
        <v>606</v>
      </c>
      <c r="E82" s="907" t="s">
        <v>72</v>
      </c>
      <c r="F82" s="860">
        <v>400</v>
      </c>
      <c r="G82" s="865">
        <v>400</v>
      </c>
      <c r="H82" s="865">
        <v>400</v>
      </c>
      <c r="I82" s="866">
        <f t="shared" si="3"/>
        <v>100</v>
      </c>
    </row>
    <row r="83" spans="1:20" ht="15.75" customHeight="1" x14ac:dyDescent="0.25">
      <c r="A83" s="432">
        <v>1012</v>
      </c>
      <c r="B83" s="681">
        <v>3145</v>
      </c>
      <c r="C83" s="1472">
        <v>5336</v>
      </c>
      <c r="D83" s="554"/>
      <c r="E83" s="680" t="s">
        <v>1523</v>
      </c>
      <c r="F83" s="2270"/>
      <c r="G83" s="889">
        <v>3000</v>
      </c>
      <c r="H83" s="889">
        <v>3000</v>
      </c>
      <c r="I83" s="876">
        <f t="shared" si="3"/>
        <v>100</v>
      </c>
    </row>
    <row r="84" spans="1:20" ht="15.75" customHeight="1" x14ac:dyDescent="0.2">
      <c r="A84" s="432"/>
      <c r="B84" s="681"/>
      <c r="C84" s="1467"/>
      <c r="D84" s="570" t="s">
        <v>1182</v>
      </c>
      <c r="E84" s="906" t="s">
        <v>832</v>
      </c>
      <c r="F84" s="860"/>
      <c r="G84" s="865">
        <v>3000</v>
      </c>
      <c r="H84" s="865">
        <v>3000</v>
      </c>
      <c r="I84" s="866">
        <f t="shared" si="3"/>
        <v>100</v>
      </c>
    </row>
    <row r="85" spans="1:20" ht="15.75" customHeight="1" x14ac:dyDescent="0.25">
      <c r="A85" s="432">
        <v>1012</v>
      </c>
      <c r="B85" s="681">
        <v>3146</v>
      </c>
      <c r="C85" s="1472">
        <v>5331</v>
      </c>
      <c r="D85" s="867"/>
      <c r="E85" s="380" t="s">
        <v>996</v>
      </c>
      <c r="F85" s="896">
        <f>F86</f>
        <v>250</v>
      </c>
      <c r="G85" s="896">
        <v>262</v>
      </c>
      <c r="H85" s="858">
        <v>262</v>
      </c>
      <c r="I85" s="874">
        <f t="shared" si="3"/>
        <v>100</v>
      </c>
    </row>
    <row r="86" spans="1:20" ht="15.75" customHeight="1" x14ac:dyDescent="0.2">
      <c r="A86" s="432"/>
      <c r="B86" s="681"/>
      <c r="C86" s="1473"/>
      <c r="D86" s="554" t="s">
        <v>606</v>
      </c>
      <c r="E86" s="67" t="s">
        <v>72</v>
      </c>
      <c r="F86" s="860">
        <v>250</v>
      </c>
      <c r="G86" s="865">
        <v>250</v>
      </c>
      <c r="H86" s="865">
        <v>250</v>
      </c>
      <c r="I86" s="866">
        <f t="shared" si="3"/>
        <v>100</v>
      </c>
    </row>
    <row r="87" spans="1:20" ht="15.75" customHeight="1" x14ac:dyDescent="0.2">
      <c r="A87" s="432"/>
      <c r="B87" s="681"/>
      <c r="C87" s="1467"/>
      <c r="D87" s="1391" t="s">
        <v>1803</v>
      </c>
      <c r="E87" s="2273" t="s">
        <v>1979</v>
      </c>
      <c r="F87" s="860"/>
      <c r="G87" s="865">
        <v>12</v>
      </c>
      <c r="H87" s="865">
        <v>12</v>
      </c>
      <c r="I87" s="866">
        <f t="shared" si="3"/>
        <v>100</v>
      </c>
    </row>
    <row r="88" spans="1:20" ht="15.75" customHeight="1" x14ac:dyDescent="0.25">
      <c r="A88" s="432">
        <v>1012</v>
      </c>
      <c r="B88" s="681">
        <v>3146</v>
      </c>
      <c r="C88" s="1473">
        <v>5336</v>
      </c>
      <c r="D88" s="554"/>
      <c r="E88" s="680" t="s">
        <v>1523</v>
      </c>
      <c r="F88" s="2270"/>
      <c r="G88" s="889">
        <v>6622</v>
      </c>
      <c r="H88" s="889">
        <v>6622</v>
      </c>
      <c r="I88" s="876">
        <f t="shared" si="3"/>
        <v>100</v>
      </c>
    </row>
    <row r="89" spans="1:20" ht="18" customHeight="1" thickBot="1" x14ac:dyDescent="0.3">
      <c r="A89" s="432"/>
      <c r="B89" s="681"/>
      <c r="C89" s="1473"/>
      <c r="D89" s="733" t="s">
        <v>1182</v>
      </c>
      <c r="E89" s="1471" t="s">
        <v>832</v>
      </c>
      <c r="F89" s="908"/>
      <c r="G89" s="909">
        <v>6622</v>
      </c>
      <c r="H89" s="909">
        <v>6622</v>
      </c>
      <c r="I89" s="910">
        <f t="shared" si="3"/>
        <v>100</v>
      </c>
    </row>
    <row r="90" spans="1:20" ht="16.5" thickTop="1" thickBot="1" x14ac:dyDescent="0.3">
      <c r="A90" s="2685" t="s">
        <v>1162</v>
      </c>
      <c r="B90" s="2686"/>
      <c r="C90" s="2686"/>
      <c r="D90" s="2698"/>
      <c r="E90" s="2698"/>
      <c r="F90" s="911">
        <f>F62+F75+F79+F81+F85+F58+F60+F65+F73+F83+F88+F77</f>
        <v>4278</v>
      </c>
      <c r="G90" s="911">
        <f>G62+G75+G79+G81+G85+G58+G60+G65+G73+G83+G88+G77</f>
        <v>30367</v>
      </c>
      <c r="H90" s="911">
        <f>H62+H75+H79+H81+H85+H58+H60+H65+H73+H83+H88+H77</f>
        <v>30367</v>
      </c>
      <c r="I90" s="894">
        <f t="shared" si="3"/>
        <v>100</v>
      </c>
      <c r="R90" s="383">
        <f>F90</f>
        <v>4278</v>
      </c>
      <c r="S90" s="383">
        <f>G90</f>
        <v>30367</v>
      </c>
      <c r="T90" s="383">
        <f>H90</f>
        <v>30367</v>
      </c>
    </row>
    <row r="91" spans="1:20" ht="13.5" thickTop="1" x14ac:dyDescent="0.2"/>
    <row r="92" spans="1:20" ht="20.25" customHeight="1" thickBot="1" x14ac:dyDescent="0.25">
      <c r="A92" s="433" t="s">
        <v>1715</v>
      </c>
      <c r="I92" s="1465" t="s">
        <v>173</v>
      </c>
    </row>
    <row r="93" spans="1:20" s="107" customFormat="1" thickTop="1" thickBot="1" x14ac:dyDescent="0.25">
      <c r="A93" s="633" t="s">
        <v>661</v>
      </c>
      <c r="B93" s="810" t="s">
        <v>174</v>
      </c>
      <c r="C93" s="634" t="s">
        <v>175</v>
      </c>
      <c r="D93" s="636" t="s">
        <v>744</v>
      </c>
      <c r="E93" s="636" t="s">
        <v>176</v>
      </c>
      <c r="F93" s="636" t="s">
        <v>177</v>
      </c>
      <c r="G93" s="636" t="s">
        <v>922</v>
      </c>
      <c r="H93" s="636" t="s">
        <v>923</v>
      </c>
      <c r="I93" s="856" t="s">
        <v>924</v>
      </c>
    </row>
    <row r="94" spans="1:20" s="384" customFormat="1" ht="13.5" thickTop="1" thickBot="1" x14ac:dyDescent="0.25">
      <c r="A94" s="568">
        <v>1</v>
      </c>
      <c r="B94" s="569">
        <v>2</v>
      </c>
      <c r="C94" s="569">
        <v>3</v>
      </c>
      <c r="D94" s="569">
        <v>4</v>
      </c>
      <c r="E94" s="569">
        <v>5</v>
      </c>
      <c r="F94" s="543">
        <v>6</v>
      </c>
      <c r="G94" s="543">
        <v>7</v>
      </c>
      <c r="H94" s="544">
        <v>8</v>
      </c>
      <c r="I94" s="638" t="s">
        <v>801</v>
      </c>
    </row>
    <row r="95" spans="1:20" ht="15.75" thickTop="1" x14ac:dyDescent="0.25">
      <c r="A95" s="432">
        <v>1013</v>
      </c>
      <c r="B95" s="783">
        <v>3112</v>
      </c>
      <c r="C95" s="1468">
        <v>5331</v>
      </c>
      <c r="D95" s="880"/>
      <c r="E95" s="680" t="s">
        <v>996</v>
      </c>
      <c r="F95" s="884">
        <v>100</v>
      </c>
      <c r="G95" s="884">
        <v>100</v>
      </c>
      <c r="H95" s="884">
        <v>100</v>
      </c>
      <c r="I95" s="891">
        <f t="shared" ref="I95:I96" si="4">(H95/G95)*100</f>
        <v>100</v>
      </c>
    </row>
    <row r="96" spans="1:20" ht="14.25" x14ac:dyDescent="0.2">
      <c r="A96" s="432"/>
      <c r="B96" s="783"/>
      <c r="C96" s="783"/>
      <c r="D96" s="554" t="s">
        <v>606</v>
      </c>
      <c r="E96" s="456" t="s">
        <v>72</v>
      </c>
      <c r="F96" s="871">
        <v>100</v>
      </c>
      <c r="G96" s="871">
        <v>100</v>
      </c>
      <c r="H96" s="871">
        <v>100</v>
      </c>
      <c r="I96" s="861">
        <f t="shared" si="4"/>
        <v>100</v>
      </c>
    </row>
    <row r="97" spans="1:9" ht="15" x14ac:dyDescent="0.25">
      <c r="A97" s="432">
        <v>1013</v>
      </c>
      <c r="B97" s="783">
        <v>3112</v>
      </c>
      <c r="C97" s="783">
        <v>5336</v>
      </c>
      <c r="D97" s="570"/>
      <c r="E97" s="680" t="s">
        <v>1523</v>
      </c>
      <c r="F97" s="884"/>
      <c r="G97" s="884">
        <v>1486</v>
      </c>
      <c r="H97" s="884">
        <v>1486</v>
      </c>
      <c r="I97" s="891">
        <f t="shared" ref="I97:I123" si="5">(H97/G97)*100</f>
        <v>100</v>
      </c>
    </row>
    <row r="98" spans="1:9" s="384" customFormat="1" ht="14.25" x14ac:dyDescent="0.2">
      <c r="A98" s="904"/>
      <c r="B98" s="1376"/>
      <c r="C98" s="1376"/>
      <c r="D98" s="554" t="s">
        <v>1182</v>
      </c>
      <c r="E98" s="67" t="s">
        <v>832</v>
      </c>
      <c r="F98" s="1582"/>
      <c r="G98" s="1582">
        <v>1486</v>
      </c>
      <c r="H98" s="1583">
        <v>1486</v>
      </c>
      <c r="I98" s="861">
        <f t="shared" si="5"/>
        <v>100</v>
      </c>
    </row>
    <row r="99" spans="1:9" ht="15" x14ac:dyDescent="0.25">
      <c r="A99" s="432">
        <v>1013</v>
      </c>
      <c r="B99" s="681">
        <v>3114</v>
      </c>
      <c r="C99" s="681">
        <v>5331</v>
      </c>
      <c r="D99" s="857"/>
      <c r="E99" s="829" t="s">
        <v>996</v>
      </c>
      <c r="F99" s="858">
        <f>SUM(F100:F101)</f>
        <v>6242</v>
      </c>
      <c r="G99" s="858">
        <f>SUM(G100:G103)</f>
        <v>7388</v>
      </c>
      <c r="H99" s="858">
        <f>SUM(H100:H103)</f>
        <v>7388</v>
      </c>
      <c r="I99" s="859">
        <f t="shared" si="5"/>
        <v>100</v>
      </c>
    </row>
    <row r="100" spans="1:9" ht="14.25" x14ac:dyDescent="0.2">
      <c r="A100" s="432"/>
      <c r="B100" s="681"/>
      <c r="C100" s="681"/>
      <c r="D100" s="719" t="s">
        <v>611</v>
      </c>
      <c r="E100" s="1569" t="s">
        <v>833</v>
      </c>
      <c r="F100" s="865">
        <v>4342</v>
      </c>
      <c r="G100" s="865">
        <v>4823</v>
      </c>
      <c r="H100" s="865">
        <v>4823</v>
      </c>
      <c r="I100" s="861">
        <f t="shared" si="5"/>
        <v>100</v>
      </c>
    </row>
    <row r="101" spans="1:9" ht="14.25" x14ac:dyDescent="0.2">
      <c r="A101" s="432"/>
      <c r="B101" s="681"/>
      <c r="C101" s="681"/>
      <c r="D101" s="554" t="s">
        <v>606</v>
      </c>
      <c r="E101" s="456" t="s">
        <v>72</v>
      </c>
      <c r="F101" s="865">
        <v>1900</v>
      </c>
      <c r="G101" s="865">
        <v>1900</v>
      </c>
      <c r="H101" s="865">
        <v>1900</v>
      </c>
      <c r="I101" s="861">
        <f t="shared" si="5"/>
        <v>100</v>
      </c>
    </row>
    <row r="102" spans="1:9" ht="14.25" x14ac:dyDescent="0.2">
      <c r="A102" s="432"/>
      <c r="B102" s="783"/>
      <c r="C102" s="783"/>
      <c r="D102" s="554" t="s">
        <v>703</v>
      </c>
      <c r="E102" s="456" t="s">
        <v>75</v>
      </c>
      <c r="F102" s="871"/>
      <c r="G102" s="871">
        <v>648</v>
      </c>
      <c r="H102" s="871">
        <v>648</v>
      </c>
      <c r="I102" s="861">
        <f t="shared" si="5"/>
        <v>100</v>
      </c>
    </row>
    <row r="103" spans="1:9" ht="14.25" x14ac:dyDescent="0.2">
      <c r="A103" s="432"/>
      <c r="B103" s="783"/>
      <c r="C103" s="783"/>
      <c r="D103" s="1119" t="s">
        <v>970</v>
      </c>
      <c r="E103" s="2271" t="s">
        <v>1716</v>
      </c>
      <c r="F103" s="871"/>
      <c r="G103" s="871">
        <v>17</v>
      </c>
      <c r="H103" s="871">
        <v>17</v>
      </c>
      <c r="I103" s="861">
        <f t="shared" si="5"/>
        <v>100</v>
      </c>
    </row>
    <row r="104" spans="1:9" ht="15" x14ac:dyDescent="0.25">
      <c r="A104" s="432">
        <v>1013</v>
      </c>
      <c r="B104" s="783">
        <v>3114</v>
      </c>
      <c r="C104" s="783">
        <v>5336</v>
      </c>
      <c r="D104" s="570"/>
      <c r="E104" s="680" t="s">
        <v>1523</v>
      </c>
      <c r="F104" s="884"/>
      <c r="G104" s="884">
        <v>8159</v>
      </c>
      <c r="H104" s="884">
        <v>8159</v>
      </c>
      <c r="I104" s="891">
        <f t="shared" si="5"/>
        <v>100</v>
      </c>
    </row>
    <row r="105" spans="1:9" ht="15" x14ac:dyDescent="0.25">
      <c r="A105" s="432"/>
      <c r="B105" s="783"/>
      <c r="C105" s="783"/>
      <c r="D105" s="554" t="s">
        <v>1182</v>
      </c>
      <c r="E105" s="456" t="s">
        <v>832</v>
      </c>
      <c r="F105" s="884"/>
      <c r="G105" s="875">
        <v>8159</v>
      </c>
      <c r="H105" s="875">
        <v>8159</v>
      </c>
      <c r="I105" s="861">
        <f t="shared" si="5"/>
        <v>100</v>
      </c>
    </row>
    <row r="106" spans="1:9" ht="15" x14ac:dyDescent="0.25">
      <c r="A106" s="432">
        <v>1013</v>
      </c>
      <c r="B106" s="783">
        <v>3141</v>
      </c>
      <c r="C106" s="783">
        <v>5336</v>
      </c>
      <c r="D106" s="570"/>
      <c r="E106" s="680" t="s">
        <v>1523</v>
      </c>
      <c r="F106" s="884"/>
      <c r="G106" s="884">
        <v>78</v>
      </c>
      <c r="H106" s="884">
        <v>78</v>
      </c>
      <c r="I106" s="891">
        <f t="shared" si="5"/>
        <v>100</v>
      </c>
    </row>
    <row r="107" spans="1:9" ht="14.25" x14ac:dyDescent="0.2">
      <c r="A107" s="432"/>
      <c r="B107" s="783"/>
      <c r="C107" s="783"/>
      <c r="D107" s="554" t="s">
        <v>1182</v>
      </c>
      <c r="E107" s="456" t="s">
        <v>832</v>
      </c>
      <c r="F107" s="871"/>
      <c r="G107" s="871">
        <v>78</v>
      </c>
      <c r="H107" s="871">
        <v>78</v>
      </c>
      <c r="I107" s="861">
        <f t="shared" si="5"/>
        <v>100</v>
      </c>
    </row>
    <row r="108" spans="1:9" ht="15" x14ac:dyDescent="0.25">
      <c r="A108" s="432">
        <v>1013</v>
      </c>
      <c r="B108" s="783">
        <v>3142</v>
      </c>
      <c r="C108" s="1468">
        <v>5331</v>
      </c>
      <c r="D108" s="880"/>
      <c r="E108" s="680" t="s">
        <v>996</v>
      </c>
      <c r="F108" s="884">
        <v>150</v>
      </c>
      <c r="G108" s="884">
        <v>150</v>
      </c>
      <c r="H108" s="884">
        <v>150</v>
      </c>
      <c r="I108" s="891">
        <f t="shared" si="5"/>
        <v>100</v>
      </c>
    </row>
    <row r="109" spans="1:9" ht="14.25" x14ac:dyDescent="0.2">
      <c r="A109" s="432"/>
      <c r="B109" s="783"/>
      <c r="C109" s="783"/>
      <c r="D109" s="554" t="s">
        <v>606</v>
      </c>
      <c r="E109" s="456" t="s">
        <v>72</v>
      </c>
      <c r="F109" s="871">
        <v>150</v>
      </c>
      <c r="G109" s="871">
        <v>150</v>
      </c>
      <c r="H109" s="871">
        <v>150</v>
      </c>
      <c r="I109" s="861">
        <f t="shared" si="5"/>
        <v>100</v>
      </c>
    </row>
    <row r="110" spans="1:9" ht="15" x14ac:dyDescent="0.25">
      <c r="A110" s="432">
        <v>1013</v>
      </c>
      <c r="B110" s="783">
        <v>3142</v>
      </c>
      <c r="C110" s="783">
        <v>5336</v>
      </c>
      <c r="D110" s="570"/>
      <c r="E110" s="680" t="s">
        <v>1523</v>
      </c>
      <c r="F110" s="884"/>
      <c r="G110" s="884">
        <v>49</v>
      </c>
      <c r="H110" s="884">
        <v>49</v>
      </c>
      <c r="I110" s="891">
        <f t="shared" si="5"/>
        <v>100</v>
      </c>
    </row>
    <row r="111" spans="1:9" ht="14.25" x14ac:dyDescent="0.2">
      <c r="A111" s="432"/>
      <c r="B111" s="783"/>
      <c r="C111" s="783"/>
      <c r="D111" s="554" t="s">
        <v>1182</v>
      </c>
      <c r="E111" s="456" t="s">
        <v>832</v>
      </c>
      <c r="F111" s="871"/>
      <c r="G111" s="871">
        <v>49</v>
      </c>
      <c r="H111" s="871">
        <v>49</v>
      </c>
      <c r="I111" s="861">
        <f t="shared" si="5"/>
        <v>100</v>
      </c>
    </row>
    <row r="112" spans="1:9" ht="15" x14ac:dyDescent="0.25">
      <c r="A112" s="432">
        <v>1013</v>
      </c>
      <c r="B112" s="783">
        <v>3143</v>
      </c>
      <c r="C112" s="783">
        <v>5336</v>
      </c>
      <c r="D112" s="570"/>
      <c r="E112" s="680" t="s">
        <v>1523</v>
      </c>
      <c r="F112" s="884"/>
      <c r="G112" s="884">
        <v>489</v>
      </c>
      <c r="H112" s="884">
        <v>489</v>
      </c>
      <c r="I112" s="891">
        <f t="shared" si="5"/>
        <v>100</v>
      </c>
    </row>
    <row r="113" spans="1:20" ht="14.25" x14ac:dyDescent="0.2">
      <c r="A113" s="432"/>
      <c r="B113" s="783"/>
      <c r="C113" s="783"/>
      <c r="D113" s="554" t="s">
        <v>1182</v>
      </c>
      <c r="E113" s="456" t="s">
        <v>832</v>
      </c>
      <c r="F113" s="871"/>
      <c r="G113" s="871">
        <v>489</v>
      </c>
      <c r="H113" s="871">
        <v>489</v>
      </c>
      <c r="I113" s="861">
        <f t="shared" si="5"/>
        <v>100</v>
      </c>
    </row>
    <row r="114" spans="1:20" ht="15" x14ac:dyDescent="0.25">
      <c r="A114" s="432">
        <v>1013</v>
      </c>
      <c r="B114" s="783">
        <v>3145</v>
      </c>
      <c r="C114" s="1468">
        <v>5331</v>
      </c>
      <c r="D114" s="880"/>
      <c r="E114" s="829" t="s">
        <v>996</v>
      </c>
      <c r="F114" s="884">
        <v>815</v>
      </c>
      <c r="G114" s="884">
        <v>815</v>
      </c>
      <c r="H114" s="884">
        <v>815</v>
      </c>
      <c r="I114" s="891">
        <f t="shared" si="5"/>
        <v>100</v>
      </c>
    </row>
    <row r="115" spans="1:20" ht="14.25" x14ac:dyDescent="0.2">
      <c r="A115" s="432"/>
      <c r="B115" s="783"/>
      <c r="C115" s="783"/>
      <c r="D115" s="554" t="s">
        <v>606</v>
      </c>
      <c r="E115" s="456" t="s">
        <v>72</v>
      </c>
      <c r="F115" s="871">
        <v>815</v>
      </c>
      <c r="G115" s="871">
        <v>815</v>
      </c>
      <c r="H115" s="871">
        <v>815</v>
      </c>
      <c r="I115" s="861">
        <f t="shared" si="5"/>
        <v>100</v>
      </c>
    </row>
    <row r="116" spans="1:20" ht="15.75" customHeight="1" x14ac:dyDescent="0.25">
      <c r="A116" s="432">
        <v>1013</v>
      </c>
      <c r="B116" s="783">
        <v>3145</v>
      </c>
      <c r="C116" s="783">
        <v>5336</v>
      </c>
      <c r="D116" s="554"/>
      <c r="E116" s="680" t="s">
        <v>1523</v>
      </c>
      <c r="F116" s="884"/>
      <c r="G116" s="884">
        <v>1702</v>
      </c>
      <c r="H116" s="884">
        <v>1702</v>
      </c>
      <c r="I116" s="891">
        <f t="shared" si="5"/>
        <v>100</v>
      </c>
    </row>
    <row r="117" spans="1:20" ht="15.75" customHeight="1" x14ac:dyDescent="0.2">
      <c r="A117" s="432"/>
      <c r="B117" s="783"/>
      <c r="C117" s="783"/>
      <c r="D117" s="554" t="s">
        <v>1182</v>
      </c>
      <c r="E117" s="456" t="s">
        <v>832</v>
      </c>
      <c r="F117" s="871"/>
      <c r="G117" s="871">
        <v>1702</v>
      </c>
      <c r="H117" s="871">
        <v>1702</v>
      </c>
      <c r="I117" s="861">
        <f t="shared" si="5"/>
        <v>100</v>
      </c>
    </row>
    <row r="118" spans="1:20" ht="15.75" customHeight="1" x14ac:dyDescent="0.25">
      <c r="A118" s="432">
        <v>1013</v>
      </c>
      <c r="B118" s="783">
        <v>3146</v>
      </c>
      <c r="C118" s="1468">
        <v>5331</v>
      </c>
      <c r="D118" s="880"/>
      <c r="E118" s="829" t="s">
        <v>996</v>
      </c>
      <c r="F118" s="873">
        <v>50</v>
      </c>
      <c r="G118" s="873">
        <v>62</v>
      </c>
      <c r="H118" s="873">
        <v>62</v>
      </c>
      <c r="I118" s="874">
        <f t="shared" si="5"/>
        <v>100</v>
      </c>
    </row>
    <row r="119" spans="1:20" ht="18" customHeight="1" x14ac:dyDescent="0.2">
      <c r="A119" s="432"/>
      <c r="B119" s="783"/>
      <c r="C119" s="1468"/>
      <c r="D119" s="554" t="s">
        <v>606</v>
      </c>
      <c r="E119" s="456" t="s">
        <v>72</v>
      </c>
      <c r="F119" s="871">
        <v>50</v>
      </c>
      <c r="G119" s="871">
        <v>50</v>
      </c>
      <c r="H119" s="871">
        <v>50</v>
      </c>
      <c r="I119" s="866">
        <f t="shared" si="5"/>
        <v>100</v>
      </c>
    </row>
    <row r="120" spans="1:20" ht="18" customHeight="1" x14ac:dyDescent="0.2">
      <c r="A120" s="432"/>
      <c r="B120" s="783"/>
      <c r="C120" s="1468"/>
      <c r="D120" s="1391" t="s">
        <v>1803</v>
      </c>
      <c r="E120" s="2273" t="s">
        <v>1979</v>
      </c>
      <c r="F120" s="871"/>
      <c r="G120" s="871">
        <v>12</v>
      </c>
      <c r="H120" s="871">
        <v>12</v>
      </c>
      <c r="I120" s="866">
        <f t="shared" si="5"/>
        <v>100</v>
      </c>
    </row>
    <row r="121" spans="1:20" ht="15" customHeight="1" x14ac:dyDescent="0.25">
      <c r="A121" s="432">
        <v>1013</v>
      </c>
      <c r="B121" s="783">
        <v>3146</v>
      </c>
      <c r="C121" s="1468">
        <v>5336</v>
      </c>
      <c r="D121" s="554"/>
      <c r="E121" s="680" t="s">
        <v>1523</v>
      </c>
      <c r="F121" s="884"/>
      <c r="G121" s="884">
        <v>728</v>
      </c>
      <c r="H121" s="884">
        <v>728</v>
      </c>
      <c r="I121" s="876">
        <f t="shared" si="5"/>
        <v>100</v>
      </c>
    </row>
    <row r="122" spans="1:20" ht="18" customHeight="1" thickBot="1" x14ac:dyDescent="0.25">
      <c r="A122" s="1469"/>
      <c r="B122" s="930"/>
      <c r="C122" s="1470"/>
      <c r="D122" s="554" t="s">
        <v>1182</v>
      </c>
      <c r="E122" s="456" t="s">
        <v>832</v>
      </c>
      <c r="F122" s="931"/>
      <c r="G122" s="931">
        <v>728</v>
      </c>
      <c r="H122" s="931">
        <v>728</v>
      </c>
      <c r="I122" s="910">
        <f t="shared" si="5"/>
        <v>100</v>
      </c>
    </row>
    <row r="123" spans="1:20" ht="18" customHeight="1" thickTop="1" thickBot="1" x14ac:dyDescent="0.3">
      <c r="A123" s="2682" t="s">
        <v>1162</v>
      </c>
      <c r="B123" s="2683"/>
      <c r="C123" s="2683"/>
      <c r="D123" s="2683"/>
      <c r="E123" s="2684"/>
      <c r="F123" s="862">
        <f>F99+F118+F108+F114+F95+F97+F104+F106+F110+F112+F116+F121</f>
        <v>7357</v>
      </c>
      <c r="G123" s="862">
        <f>G99+G118+G108+G114+G97+G104+G106+G110+G112+G116+G121+G95</f>
        <v>21206</v>
      </c>
      <c r="H123" s="862">
        <f>H99+H118+H108+H114+H97+H104+H106+H110+H112+H116+H121+H95</f>
        <v>21206</v>
      </c>
      <c r="I123" s="863">
        <f t="shared" si="5"/>
        <v>100</v>
      </c>
      <c r="R123" s="383">
        <f>F123</f>
        <v>7357</v>
      </c>
      <c r="S123" s="383">
        <f>G123</f>
        <v>21206</v>
      </c>
      <c r="T123" s="383">
        <f>H123</f>
        <v>21206</v>
      </c>
    </row>
    <row r="124" spans="1:20" s="1574" customFormat="1" ht="18" customHeight="1" thickTop="1" x14ac:dyDescent="0.2">
      <c r="A124" s="1571"/>
      <c r="B124" s="1571"/>
      <c r="C124" s="1571"/>
      <c r="D124" s="1571"/>
      <c r="E124" s="1571"/>
      <c r="F124" s="1572"/>
      <c r="G124" s="1572"/>
      <c r="H124" s="1572"/>
      <c r="I124" s="1573"/>
    </row>
    <row r="125" spans="1:20" ht="13.5" thickBot="1" x14ac:dyDescent="0.25">
      <c r="A125" s="433" t="s">
        <v>778</v>
      </c>
      <c r="I125" s="1465" t="s">
        <v>173</v>
      </c>
    </row>
    <row r="126" spans="1:20" s="107" customFormat="1" ht="20.25" customHeight="1" thickTop="1" thickBot="1" x14ac:dyDescent="0.25">
      <c r="A126" s="633" t="s">
        <v>661</v>
      </c>
      <c r="B126" s="810" t="s">
        <v>174</v>
      </c>
      <c r="C126" s="634" t="s">
        <v>175</v>
      </c>
      <c r="D126" s="636" t="s">
        <v>744</v>
      </c>
      <c r="E126" s="636" t="s">
        <v>176</v>
      </c>
      <c r="F126" s="636" t="s">
        <v>177</v>
      </c>
      <c r="G126" s="636" t="s">
        <v>922</v>
      </c>
      <c r="H126" s="636" t="s">
        <v>923</v>
      </c>
      <c r="I126" s="856" t="s">
        <v>924</v>
      </c>
    </row>
    <row r="127" spans="1:20" s="384" customFormat="1" ht="13.5" thickTop="1" thickBot="1" x14ac:dyDescent="0.25">
      <c r="A127" s="568">
        <v>1</v>
      </c>
      <c r="B127" s="569">
        <v>2</v>
      </c>
      <c r="C127" s="569">
        <v>3</v>
      </c>
      <c r="D127" s="569">
        <v>4</v>
      </c>
      <c r="E127" s="569">
        <v>5</v>
      </c>
      <c r="F127" s="543">
        <v>6</v>
      </c>
      <c r="G127" s="543">
        <v>7</v>
      </c>
      <c r="H127" s="544">
        <v>8</v>
      </c>
      <c r="I127" s="638" t="s">
        <v>801</v>
      </c>
    </row>
    <row r="128" spans="1:20" s="1574" customFormat="1" ht="15.75" thickTop="1" x14ac:dyDescent="0.2">
      <c r="A128" s="1575">
        <v>1014</v>
      </c>
      <c r="B128" s="1576">
        <v>3114</v>
      </c>
      <c r="C128" s="1576">
        <v>5331</v>
      </c>
      <c r="D128" s="1577"/>
      <c r="E128" s="1578" t="s">
        <v>996</v>
      </c>
      <c r="F128" s="1579">
        <f>SUM(F129:F130)</f>
        <v>2422</v>
      </c>
      <c r="G128" s="1579">
        <f>SUM(G129:G130)</f>
        <v>2422</v>
      </c>
      <c r="H128" s="1579">
        <f>SUM(H129:H130)</f>
        <v>2422</v>
      </c>
      <c r="I128" s="1580">
        <f t="shared" ref="I128:I160" si="6">(H128/G128)*100</f>
        <v>100</v>
      </c>
    </row>
    <row r="129" spans="1:9" ht="14.25" x14ac:dyDescent="0.2">
      <c r="A129" s="432"/>
      <c r="B129" s="681"/>
      <c r="C129" s="681"/>
      <c r="D129" s="828" t="s">
        <v>611</v>
      </c>
      <c r="E129" s="1569" t="s">
        <v>833</v>
      </c>
      <c r="F129" s="2390">
        <v>34</v>
      </c>
      <c r="G129" s="2390">
        <v>34</v>
      </c>
      <c r="H129" s="2386">
        <v>34</v>
      </c>
      <c r="I129" s="861">
        <f t="shared" si="6"/>
        <v>100</v>
      </c>
    </row>
    <row r="130" spans="1:9" ht="14.25" x14ac:dyDescent="0.2">
      <c r="A130" s="432"/>
      <c r="B130" s="681"/>
      <c r="C130" s="681"/>
      <c r="D130" s="554" t="s">
        <v>606</v>
      </c>
      <c r="E130" s="456" t="s">
        <v>72</v>
      </c>
      <c r="F130" s="865">
        <v>2388</v>
      </c>
      <c r="G130" s="865">
        <v>2388</v>
      </c>
      <c r="H130" s="865">
        <v>2388</v>
      </c>
      <c r="I130" s="861">
        <f t="shared" si="6"/>
        <v>100</v>
      </c>
    </row>
    <row r="131" spans="1:9" ht="17.25" customHeight="1" x14ac:dyDescent="0.25">
      <c r="A131" s="432">
        <v>1014</v>
      </c>
      <c r="B131" s="783">
        <v>3114</v>
      </c>
      <c r="C131" s="783">
        <v>5336</v>
      </c>
      <c r="D131" s="1360"/>
      <c r="E131" s="680" t="s">
        <v>1523</v>
      </c>
      <c r="F131" s="884"/>
      <c r="G131" s="1364">
        <f>G132+G133+G134</f>
        <v>13540</v>
      </c>
      <c r="H131" s="1364">
        <f>H132+H133+H134</f>
        <v>13540</v>
      </c>
      <c r="I131" s="1655">
        <f t="shared" si="6"/>
        <v>100</v>
      </c>
    </row>
    <row r="132" spans="1:9" ht="15.75" customHeight="1" x14ac:dyDescent="0.2">
      <c r="A132" s="432"/>
      <c r="B132" s="783"/>
      <c r="C132" s="783"/>
      <c r="D132" s="554" t="s">
        <v>1182</v>
      </c>
      <c r="E132" s="456" t="s">
        <v>832</v>
      </c>
      <c r="F132" s="871"/>
      <c r="G132" s="1362">
        <v>13094</v>
      </c>
      <c r="H132" s="1362">
        <v>13094</v>
      </c>
      <c r="I132" s="861">
        <f t="shared" si="6"/>
        <v>100</v>
      </c>
    </row>
    <row r="133" spans="1:9" ht="17.25" customHeight="1" x14ac:dyDescent="0.2">
      <c r="A133" s="432"/>
      <c r="B133" s="783"/>
      <c r="C133" s="783"/>
      <c r="D133" s="570" t="s">
        <v>976</v>
      </c>
      <c r="E133" s="906" t="s">
        <v>1524</v>
      </c>
      <c r="F133" s="871"/>
      <c r="G133" s="1362">
        <v>67</v>
      </c>
      <c r="H133" s="1362">
        <v>67</v>
      </c>
      <c r="I133" s="1366">
        <f t="shared" si="6"/>
        <v>100</v>
      </c>
    </row>
    <row r="134" spans="1:9" ht="15.75" customHeight="1" thickBot="1" x14ac:dyDescent="0.25">
      <c r="A134" s="1469"/>
      <c r="B134" s="930"/>
      <c r="C134" s="930"/>
      <c r="D134" s="2279" t="s">
        <v>978</v>
      </c>
      <c r="E134" s="1471" t="s">
        <v>1525</v>
      </c>
      <c r="F134" s="931"/>
      <c r="G134" s="2280">
        <v>379</v>
      </c>
      <c r="H134" s="2280">
        <v>379</v>
      </c>
      <c r="I134" s="2281">
        <f t="shared" si="6"/>
        <v>100</v>
      </c>
    </row>
    <row r="135" spans="1:9" ht="15.75" customHeight="1" thickTop="1" x14ac:dyDescent="0.2">
      <c r="A135" s="1472"/>
      <c r="B135" s="779"/>
      <c r="C135" s="779"/>
      <c r="D135" s="828"/>
      <c r="E135" s="67"/>
      <c r="F135" s="879"/>
      <c r="G135" s="2388"/>
      <c r="H135" s="2388"/>
      <c r="I135" s="2389"/>
    </row>
    <row r="136" spans="1:9" ht="15.75" customHeight="1" x14ac:dyDescent="0.2">
      <c r="A136" s="1472"/>
      <c r="B136" s="779"/>
      <c r="C136" s="779"/>
      <c r="D136" s="828"/>
      <c r="E136" s="67"/>
      <c r="F136" s="879"/>
      <c r="G136" s="2388"/>
      <c r="H136" s="2388"/>
      <c r="I136" s="2389"/>
    </row>
    <row r="137" spans="1:9" ht="13.5" thickBot="1" x14ac:dyDescent="0.25">
      <c r="A137" s="433"/>
      <c r="I137" s="1465" t="s">
        <v>173</v>
      </c>
    </row>
    <row r="138" spans="1:9" s="107" customFormat="1" ht="20.25" customHeight="1" thickTop="1" thickBot="1" x14ac:dyDescent="0.25">
      <c r="A138" s="633" t="s">
        <v>661</v>
      </c>
      <c r="B138" s="810" t="s">
        <v>174</v>
      </c>
      <c r="C138" s="634" t="s">
        <v>175</v>
      </c>
      <c r="D138" s="636" t="s">
        <v>744</v>
      </c>
      <c r="E138" s="636" t="s">
        <v>176</v>
      </c>
      <c r="F138" s="636" t="s">
        <v>177</v>
      </c>
      <c r="G138" s="636" t="s">
        <v>922</v>
      </c>
      <c r="H138" s="636" t="s">
        <v>923</v>
      </c>
      <c r="I138" s="856" t="s">
        <v>924</v>
      </c>
    </row>
    <row r="139" spans="1:9" s="384" customFormat="1" ht="13.5" thickTop="1" thickBot="1" x14ac:dyDescent="0.25">
      <c r="A139" s="568">
        <v>1</v>
      </c>
      <c r="B139" s="569">
        <v>2</v>
      </c>
      <c r="C139" s="569">
        <v>3</v>
      </c>
      <c r="D139" s="569">
        <v>4</v>
      </c>
      <c r="E139" s="569">
        <v>5</v>
      </c>
      <c r="F139" s="543">
        <v>6</v>
      </c>
      <c r="G139" s="543">
        <v>7</v>
      </c>
      <c r="H139" s="544">
        <v>8</v>
      </c>
      <c r="I139" s="638" t="s">
        <v>801</v>
      </c>
    </row>
    <row r="140" spans="1:9" ht="15.75" customHeight="1" thickTop="1" x14ac:dyDescent="0.25">
      <c r="A140" s="432">
        <v>1014</v>
      </c>
      <c r="B140" s="783">
        <v>3124</v>
      </c>
      <c r="C140" s="783">
        <v>5336</v>
      </c>
      <c r="D140" s="570"/>
      <c r="E140" s="680" t="s">
        <v>1523</v>
      </c>
      <c r="F140" s="884"/>
      <c r="G140" s="1364">
        <v>1907</v>
      </c>
      <c r="H140" s="1364">
        <v>1907</v>
      </c>
      <c r="I140" s="1365">
        <f t="shared" si="6"/>
        <v>100</v>
      </c>
    </row>
    <row r="141" spans="1:9" ht="15.75" customHeight="1" x14ac:dyDescent="0.2">
      <c r="A141" s="432"/>
      <c r="B141" s="783"/>
      <c r="C141" s="783"/>
      <c r="D141" s="554" t="s">
        <v>1182</v>
      </c>
      <c r="E141" s="456" t="s">
        <v>832</v>
      </c>
      <c r="F141" s="871"/>
      <c r="G141" s="1362">
        <v>1907</v>
      </c>
      <c r="H141" s="1362">
        <v>1907</v>
      </c>
      <c r="I141" s="1366">
        <f t="shared" si="6"/>
        <v>100</v>
      </c>
    </row>
    <row r="142" spans="1:9" ht="15.75" customHeight="1" x14ac:dyDescent="0.25">
      <c r="A142" s="432">
        <v>1014</v>
      </c>
      <c r="B142" s="783">
        <v>3141</v>
      </c>
      <c r="C142" s="783">
        <v>5336</v>
      </c>
      <c r="D142" s="1360"/>
      <c r="E142" s="680" t="s">
        <v>1523</v>
      </c>
      <c r="F142" s="884"/>
      <c r="G142" s="1364">
        <v>49</v>
      </c>
      <c r="H142" s="1364">
        <v>49</v>
      </c>
      <c r="I142" s="1365">
        <f t="shared" si="6"/>
        <v>100</v>
      </c>
    </row>
    <row r="143" spans="1:9" ht="15.75" customHeight="1" x14ac:dyDescent="0.2">
      <c r="A143" s="432"/>
      <c r="B143" s="783"/>
      <c r="C143" s="783"/>
      <c r="D143" s="554" t="s">
        <v>1182</v>
      </c>
      <c r="E143" s="456" t="s">
        <v>832</v>
      </c>
      <c r="F143" s="871"/>
      <c r="G143" s="1362">
        <v>49</v>
      </c>
      <c r="H143" s="1362">
        <v>49</v>
      </c>
      <c r="I143" s="866">
        <f t="shared" si="6"/>
        <v>100</v>
      </c>
    </row>
    <row r="144" spans="1:9" ht="15.75" customHeight="1" x14ac:dyDescent="0.25">
      <c r="A144" s="432">
        <v>1014</v>
      </c>
      <c r="B144" s="783">
        <v>3142</v>
      </c>
      <c r="C144" s="1468">
        <v>5331</v>
      </c>
      <c r="D144" s="880"/>
      <c r="E144" s="680" t="s">
        <v>996</v>
      </c>
      <c r="F144" s="873">
        <v>100</v>
      </c>
      <c r="G144" s="873">
        <v>100</v>
      </c>
      <c r="H144" s="873">
        <v>100</v>
      </c>
      <c r="I144" s="874">
        <f t="shared" si="6"/>
        <v>100</v>
      </c>
    </row>
    <row r="145" spans="1:20" ht="15.75" customHeight="1" x14ac:dyDescent="0.2">
      <c r="A145" s="432"/>
      <c r="B145" s="783"/>
      <c r="C145" s="1468"/>
      <c r="D145" s="554" t="s">
        <v>606</v>
      </c>
      <c r="E145" s="456" t="s">
        <v>72</v>
      </c>
      <c r="F145" s="871">
        <v>100</v>
      </c>
      <c r="G145" s="871">
        <v>100</v>
      </c>
      <c r="H145" s="871">
        <v>100</v>
      </c>
      <c r="I145" s="866">
        <f t="shared" si="6"/>
        <v>100</v>
      </c>
    </row>
    <row r="146" spans="1:20" ht="15.75" customHeight="1" x14ac:dyDescent="0.25">
      <c r="A146" s="432">
        <v>1014</v>
      </c>
      <c r="B146" s="783">
        <v>3142</v>
      </c>
      <c r="C146" s="1468">
        <v>5336</v>
      </c>
      <c r="D146" s="554"/>
      <c r="E146" s="680" t="s">
        <v>1523</v>
      </c>
      <c r="F146" s="884"/>
      <c r="G146" s="884">
        <v>15</v>
      </c>
      <c r="H146" s="884">
        <v>15</v>
      </c>
      <c r="I146" s="874">
        <f t="shared" si="6"/>
        <v>100</v>
      </c>
    </row>
    <row r="147" spans="1:20" ht="15.75" customHeight="1" x14ac:dyDescent="0.2">
      <c r="A147" s="432"/>
      <c r="B147" s="783"/>
      <c r="C147" s="1468"/>
      <c r="D147" s="554" t="s">
        <v>1182</v>
      </c>
      <c r="E147" s="456" t="s">
        <v>832</v>
      </c>
      <c r="F147" s="871"/>
      <c r="G147" s="871">
        <v>15</v>
      </c>
      <c r="H147" s="871">
        <v>15</v>
      </c>
      <c r="I147" s="866">
        <f t="shared" si="6"/>
        <v>100</v>
      </c>
    </row>
    <row r="148" spans="1:20" ht="15.75" customHeight="1" x14ac:dyDescent="0.25">
      <c r="A148" s="432">
        <v>1014</v>
      </c>
      <c r="B148" s="783">
        <v>3143</v>
      </c>
      <c r="C148" s="1468">
        <v>5331</v>
      </c>
      <c r="D148" s="880"/>
      <c r="E148" s="680" t="s">
        <v>996</v>
      </c>
      <c r="F148" s="884">
        <v>40</v>
      </c>
      <c r="G148" s="884">
        <v>40</v>
      </c>
      <c r="H148" s="884">
        <v>40</v>
      </c>
      <c r="I148" s="874">
        <f t="shared" si="6"/>
        <v>100</v>
      </c>
    </row>
    <row r="149" spans="1:20" ht="15.75" customHeight="1" x14ac:dyDescent="0.2">
      <c r="A149" s="432"/>
      <c r="B149" s="783"/>
      <c r="C149" s="1468"/>
      <c r="D149" s="554" t="s">
        <v>606</v>
      </c>
      <c r="E149" s="456" t="s">
        <v>72</v>
      </c>
      <c r="F149" s="871">
        <v>40</v>
      </c>
      <c r="G149" s="871">
        <v>40</v>
      </c>
      <c r="H149" s="871">
        <v>40</v>
      </c>
      <c r="I149" s="866">
        <f t="shared" si="6"/>
        <v>100</v>
      </c>
    </row>
    <row r="150" spans="1:20" ht="15.75" customHeight="1" x14ac:dyDescent="0.25">
      <c r="A150" s="432">
        <v>1014</v>
      </c>
      <c r="B150" s="783">
        <v>3143</v>
      </c>
      <c r="C150" s="1468">
        <v>5336</v>
      </c>
      <c r="D150" s="570"/>
      <c r="E150" s="680" t="s">
        <v>1523</v>
      </c>
      <c r="F150" s="884"/>
      <c r="G150" s="884">
        <v>379</v>
      </c>
      <c r="H150" s="884">
        <v>379</v>
      </c>
      <c r="I150" s="876">
        <f t="shared" si="6"/>
        <v>100</v>
      </c>
    </row>
    <row r="151" spans="1:20" ht="15.75" customHeight="1" x14ac:dyDescent="0.2">
      <c r="A151" s="432"/>
      <c r="B151" s="783"/>
      <c r="C151" s="1468"/>
      <c r="D151" s="570" t="s">
        <v>1182</v>
      </c>
      <c r="E151" s="906" t="s">
        <v>832</v>
      </c>
      <c r="F151" s="871"/>
      <c r="G151" s="871">
        <v>379</v>
      </c>
      <c r="H151" s="871">
        <v>379</v>
      </c>
      <c r="I151" s="866">
        <f t="shared" si="6"/>
        <v>100</v>
      </c>
    </row>
    <row r="152" spans="1:20" ht="18" customHeight="1" x14ac:dyDescent="0.25">
      <c r="A152" s="432">
        <v>1014</v>
      </c>
      <c r="B152" s="783">
        <v>3145</v>
      </c>
      <c r="C152" s="1468">
        <v>5331</v>
      </c>
      <c r="D152" s="880"/>
      <c r="E152" s="680" t="s">
        <v>996</v>
      </c>
      <c r="F152" s="873">
        <v>350</v>
      </c>
      <c r="G152" s="873">
        <v>350</v>
      </c>
      <c r="H152" s="873">
        <v>350</v>
      </c>
      <c r="I152" s="874">
        <f t="shared" si="6"/>
        <v>100</v>
      </c>
    </row>
    <row r="153" spans="1:20" ht="14.25" x14ac:dyDescent="0.2">
      <c r="A153" s="432"/>
      <c r="B153" s="783"/>
      <c r="C153" s="1468"/>
      <c r="D153" s="554" t="s">
        <v>606</v>
      </c>
      <c r="E153" s="456" t="s">
        <v>72</v>
      </c>
      <c r="F153" s="871">
        <v>350</v>
      </c>
      <c r="G153" s="871">
        <v>350</v>
      </c>
      <c r="H153" s="871">
        <v>350</v>
      </c>
      <c r="I153" s="866">
        <f t="shared" si="6"/>
        <v>100</v>
      </c>
    </row>
    <row r="154" spans="1:20" ht="15" x14ac:dyDescent="0.25">
      <c r="A154" s="432">
        <v>1014</v>
      </c>
      <c r="B154" s="783">
        <v>3145</v>
      </c>
      <c r="C154" s="1468">
        <v>5336</v>
      </c>
      <c r="D154" s="554"/>
      <c r="E154" s="680" t="s">
        <v>1523</v>
      </c>
      <c r="F154" s="884"/>
      <c r="G154" s="884">
        <v>1173</v>
      </c>
      <c r="H154" s="884">
        <v>1173</v>
      </c>
      <c r="I154" s="876">
        <f t="shared" si="6"/>
        <v>100</v>
      </c>
    </row>
    <row r="155" spans="1:20" ht="14.25" x14ac:dyDescent="0.2">
      <c r="A155" s="432"/>
      <c r="B155" s="783"/>
      <c r="C155" s="1468"/>
      <c r="D155" s="554" t="s">
        <v>1182</v>
      </c>
      <c r="E155" s="456" t="s">
        <v>832</v>
      </c>
      <c r="F155" s="871"/>
      <c r="G155" s="871">
        <v>1173</v>
      </c>
      <c r="H155" s="871">
        <v>1173</v>
      </c>
      <c r="I155" s="866">
        <f t="shared" si="6"/>
        <v>100</v>
      </c>
    </row>
    <row r="156" spans="1:20" ht="15" x14ac:dyDescent="0.25">
      <c r="A156" s="432">
        <v>1014</v>
      </c>
      <c r="B156" s="783">
        <v>3146</v>
      </c>
      <c r="C156" s="1468">
        <v>5331</v>
      </c>
      <c r="D156" s="880"/>
      <c r="E156" s="680" t="s">
        <v>996</v>
      </c>
      <c r="F156" s="873">
        <v>140</v>
      </c>
      <c r="G156" s="873">
        <v>140</v>
      </c>
      <c r="H156" s="873">
        <v>140</v>
      </c>
      <c r="I156" s="874">
        <f t="shared" si="6"/>
        <v>100</v>
      </c>
    </row>
    <row r="157" spans="1:20" ht="20.25" customHeight="1" x14ac:dyDescent="0.2">
      <c r="A157" s="432"/>
      <c r="B157" s="783"/>
      <c r="C157" s="1468"/>
      <c r="D157" s="554" t="s">
        <v>606</v>
      </c>
      <c r="E157" s="456" t="s">
        <v>72</v>
      </c>
      <c r="F157" s="875">
        <v>140</v>
      </c>
      <c r="G157" s="871">
        <v>140</v>
      </c>
      <c r="H157" s="871">
        <v>140</v>
      </c>
      <c r="I157" s="866">
        <f t="shared" si="6"/>
        <v>100</v>
      </c>
    </row>
    <row r="158" spans="1:20" ht="15" x14ac:dyDescent="0.25">
      <c r="A158" s="432">
        <v>1014</v>
      </c>
      <c r="B158" s="783">
        <v>3146</v>
      </c>
      <c r="C158" s="1468">
        <v>5336</v>
      </c>
      <c r="D158" s="554"/>
      <c r="E158" s="680" t="s">
        <v>1523</v>
      </c>
      <c r="F158" s="884"/>
      <c r="G158" s="884">
        <v>3204</v>
      </c>
      <c r="H158" s="884">
        <v>3204</v>
      </c>
      <c r="I158" s="876">
        <f t="shared" si="6"/>
        <v>100</v>
      </c>
    </row>
    <row r="159" spans="1:20" ht="15" thickBot="1" x14ac:dyDescent="0.25">
      <c r="A159" s="432"/>
      <c r="B159" s="783"/>
      <c r="C159" s="1468"/>
      <c r="D159" s="554" t="s">
        <v>1182</v>
      </c>
      <c r="E159" s="456" t="s">
        <v>832</v>
      </c>
      <c r="F159" s="871"/>
      <c r="G159" s="871">
        <v>3204</v>
      </c>
      <c r="H159" s="871">
        <v>3204</v>
      </c>
      <c r="I159" s="866">
        <f t="shared" si="6"/>
        <v>100</v>
      </c>
    </row>
    <row r="160" spans="1:20" ht="16.5" thickTop="1" thickBot="1" x14ac:dyDescent="0.3">
      <c r="A160" s="2685" t="s">
        <v>1162</v>
      </c>
      <c r="B160" s="2686"/>
      <c r="C160" s="2686"/>
      <c r="D160" s="2686"/>
      <c r="E160" s="2686"/>
      <c r="F160" s="862">
        <f>SUM(F128,F144,F156,F152,F148)</f>
        <v>3052</v>
      </c>
      <c r="G160" s="862">
        <f>SUM(G128,G144,G156,G152,G148,G142,G131,G140,G146,G150,G154,G158)</f>
        <v>23319</v>
      </c>
      <c r="H160" s="862">
        <f>SUM(H128,H144,H156,H152,H148,H142,H131,H140,H146,H150,H154,H158)</f>
        <v>23319</v>
      </c>
      <c r="I160" s="863">
        <f t="shared" si="6"/>
        <v>100</v>
      </c>
      <c r="R160" s="383">
        <f>F160</f>
        <v>3052</v>
      </c>
      <c r="S160" s="383">
        <f>G160</f>
        <v>23319</v>
      </c>
      <c r="T160" s="383">
        <f>H160</f>
        <v>23319</v>
      </c>
    </row>
    <row r="161" spans="1:9" ht="13.5" thickTop="1" x14ac:dyDescent="0.2"/>
    <row r="162" spans="1:9" ht="14.25" customHeight="1" thickBot="1" x14ac:dyDescent="0.25">
      <c r="A162" s="433" t="s">
        <v>444</v>
      </c>
      <c r="I162" s="1465" t="s">
        <v>173</v>
      </c>
    </row>
    <row r="163" spans="1:9" s="107" customFormat="1" thickTop="1" thickBot="1" x14ac:dyDescent="0.25">
      <c r="A163" s="633" t="s">
        <v>661</v>
      </c>
      <c r="B163" s="810" t="s">
        <v>174</v>
      </c>
      <c r="C163" s="634" t="s">
        <v>175</v>
      </c>
      <c r="D163" s="636" t="s">
        <v>744</v>
      </c>
      <c r="E163" s="636" t="s">
        <v>176</v>
      </c>
      <c r="F163" s="636" t="s">
        <v>177</v>
      </c>
      <c r="G163" s="636" t="s">
        <v>922</v>
      </c>
      <c r="H163" s="636" t="s">
        <v>923</v>
      </c>
      <c r="I163" s="856" t="s">
        <v>924</v>
      </c>
    </row>
    <row r="164" spans="1:9" s="384" customFormat="1" ht="13.5" thickTop="1" thickBot="1" x14ac:dyDescent="0.25">
      <c r="A164" s="568">
        <v>1</v>
      </c>
      <c r="B164" s="569">
        <v>2</v>
      </c>
      <c r="C164" s="569">
        <v>3</v>
      </c>
      <c r="D164" s="569">
        <v>4</v>
      </c>
      <c r="E164" s="569">
        <v>5</v>
      </c>
      <c r="F164" s="543">
        <v>6</v>
      </c>
      <c r="G164" s="543">
        <v>7</v>
      </c>
      <c r="H164" s="544">
        <v>8</v>
      </c>
      <c r="I164" s="638" t="s">
        <v>801</v>
      </c>
    </row>
    <row r="165" spans="1:9" s="384" customFormat="1" ht="15.75" thickTop="1" x14ac:dyDescent="0.25">
      <c r="A165" s="1466">
        <v>1015</v>
      </c>
      <c r="B165" s="811">
        <v>3124</v>
      </c>
      <c r="C165" s="811">
        <v>5331</v>
      </c>
      <c r="D165" s="877"/>
      <c r="E165" s="898" t="s">
        <v>996</v>
      </c>
      <c r="F165" s="413">
        <f>F166+F167</f>
        <v>2640</v>
      </c>
      <c r="G165" s="413">
        <f>G166+G167</f>
        <v>2665</v>
      </c>
      <c r="H165" s="413">
        <f>H166+H167</f>
        <v>2665</v>
      </c>
      <c r="I165" s="859">
        <f t="shared" ref="I165:I172" si="7">(H165/G165)*100</f>
        <v>100</v>
      </c>
    </row>
    <row r="166" spans="1:9" s="384" customFormat="1" ht="14.25" x14ac:dyDescent="0.2">
      <c r="A166" s="432"/>
      <c r="B166" s="681"/>
      <c r="C166" s="681"/>
      <c r="D166" s="828" t="s">
        <v>611</v>
      </c>
      <c r="E166" s="1569" t="s">
        <v>833</v>
      </c>
      <c r="F166" s="1462">
        <v>87</v>
      </c>
      <c r="G166" s="1462">
        <v>112</v>
      </c>
      <c r="H166" s="1581">
        <v>112</v>
      </c>
      <c r="I166" s="861">
        <f t="shared" si="7"/>
        <v>100</v>
      </c>
    </row>
    <row r="167" spans="1:9" s="384" customFormat="1" ht="14.25" x14ac:dyDescent="0.2">
      <c r="A167" s="432"/>
      <c r="B167" s="681"/>
      <c r="C167" s="681"/>
      <c r="D167" s="554" t="s">
        <v>606</v>
      </c>
      <c r="E167" s="456" t="s">
        <v>72</v>
      </c>
      <c r="F167" s="1462">
        <v>2553</v>
      </c>
      <c r="G167" s="1462">
        <v>2553</v>
      </c>
      <c r="H167" s="1581">
        <v>2553</v>
      </c>
      <c r="I167" s="861">
        <f t="shared" si="7"/>
        <v>100</v>
      </c>
    </row>
    <row r="168" spans="1:9" s="384" customFormat="1" ht="15" x14ac:dyDescent="0.25">
      <c r="A168" s="432">
        <v>1015</v>
      </c>
      <c r="B168" s="681">
        <v>3124</v>
      </c>
      <c r="C168" s="681">
        <v>5336</v>
      </c>
      <c r="D168" s="1119"/>
      <c r="E168" s="680" t="s">
        <v>1523</v>
      </c>
      <c r="F168" s="414"/>
      <c r="G168" s="414">
        <f>G169+G170+G171</f>
        <v>15059</v>
      </c>
      <c r="H168" s="414">
        <f>H169+H170+H171</f>
        <v>15059</v>
      </c>
      <c r="I168" s="891">
        <f t="shared" si="7"/>
        <v>100</v>
      </c>
    </row>
    <row r="169" spans="1:9" s="384" customFormat="1" ht="14.25" x14ac:dyDescent="0.2">
      <c r="A169" s="432"/>
      <c r="B169" s="681"/>
      <c r="C169" s="681"/>
      <c r="D169" s="554" t="s">
        <v>1182</v>
      </c>
      <c r="E169" s="456" t="s">
        <v>832</v>
      </c>
      <c r="F169" s="1462"/>
      <c r="G169" s="1462">
        <v>14764</v>
      </c>
      <c r="H169" s="1581">
        <v>14764</v>
      </c>
      <c r="I169" s="861">
        <f t="shared" si="7"/>
        <v>100</v>
      </c>
    </row>
    <row r="170" spans="1:9" s="384" customFormat="1" ht="14.25" x14ac:dyDescent="0.2">
      <c r="A170" s="432"/>
      <c r="B170" s="681"/>
      <c r="C170" s="681"/>
      <c r="D170" s="570" t="s">
        <v>976</v>
      </c>
      <c r="E170" s="906" t="s">
        <v>1524</v>
      </c>
      <c r="F170" s="1462"/>
      <c r="G170" s="1462">
        <v>44</v>
      </c>
      <c r="H170" s="1581">
        <v>44</v>
      </c>
      <c r="I170" s="861">
        <f t="shared" si="7"/>
        <v>100</v>
      </c>
    </row>
    <row r="171" spans="1:9" s="384" customFormat="1" ht="14.25" x14ac:dyDescent="0.2">
      <c r="A171" s="432"/>
      <c r="B171" s="681"/>
      <c r="C171" s="681"/>
      <c r="D171" s="570" t="s">
        <v>978</v>
      </c>
      <c r="E171" s="906" t="s">
        <v>1525</v>
      </c>
      <c r="F171" s="1462"/>
      <c r="G171" s="1462">
        <v>251</v>
      </c>
      <c r="H171" s="1581">
        <v>251</v>
      </c>
      <c r="I171" s="861">
        <f t="shared" si="7"/>
        <v>100</v>
      </c>
    </row>
    <row r="172" spans="1:9" ht="15" x14ac:dyDescent="0.25">
      <c r="A172" s="432">
        <v>1015</v>
      </c>
      <c r="B172" s="681">
        <v>3142</v>
      </c>
      <c r="C172" s="1467">
        <v>5331</v>
      </c>
      <c r="D172" s="912"/>
      <c r="E172" s="829" t="s">
        <v>996</v>
      </c>
      <c r="F172" s="884">
        <f>SUM(F173:F175)</f>
        <v>434</v>
      </c>
      <c r="G172" s="884">
        <f>SUM(G173:G175)</f>
        <v>434</v>
      </c>
      <c r="H172" s="884">
        <f>SUM(H173:H175)</f>
        <v>434</v>
      </c>
      <c r="I172" s="891">
        <f t="shared" si="7"/>
        <v>100</v>
      </c>
    </row>
    <row r="173" spans="1:9" ht="14.25" x14ac:dyDescent="0.2">
      <c r="A173" s="432"/>
      <c r="B173" s="681"/>
      <c r="C173" s="878"/>
      <c r="D173" s="554" t="s">
        <v>611</v>
      </c>
      <c r="E173" s="1569" t="s">
        <v>833</v>
      </c>
      <c r="F173" s="871">
        <v>38</v>
      </c>
      <c r="G173" s="871">
        <v>38</v>
      </c>
      <c r="H173" s="871">
        <v>38</v>
      </c>
      <c r="I173" s="861">
        <f t="shared" ref="I173:I184" si="8">(H173/G173)*100</f>
        <v>100</v>
      </c>
    </row>
    <row r="174" spans="1:9" ht="14.25" x14ac:dyDescent="0.2">
      <c r="A174" s="432"/>
      <c r="B174" s="681"/>
      <c r="C174" s="878"/>
      <c r="D174" s="554" t="s">
        <v>606</v>
      </c>
      <c r="E174" s="456" t="s">
        <v>72</v>
      </c>
      <c r="F174" s="871">
        <v>331</v>
      </c>
      <c r="G174" s="871">
        <v>346</v>
      </c>
      <c r="H174" s="871">
        <v>346</v>
      </c>
      <c r="I174" s="861">
        <f t="shared" si="8"/>
        <v>100</v>
      </c>
    </row>
    <row r="175" spans="1:9" ht="18" customHeight="1" x14ac:dyDescent="0.2">
      <c r="A175" s="432"/>
      <c r="B175" s="681"/>
      <c r="C175" s="878"/>
      <c r="D175" s="554" t="s">
        <v>703</v>
      </c>
      <c r="E175" s="456" t="s">
        <v>75</v>
      </c>
      <c r="F175" s="871">
        <v>65</v>
      </c>
      <c r="G175" s="871">
        <v>50</v>
      </c>
      <c r="H175" s="871">
        <v>50</v>
      </c>
      <c r="I175" s="861">
        <f t="shared" si="8"/>
        <v>100</v>
      </c>
    </row>
    <row r="176" spans="1:9" ht="15" x14ac:dyDescent="0.25">
      <c r="A176" s="432">
        <v>1015</v>
      </c>
      <c r="B176" s="681">
        <v>3142</v>
      </c>
      <c r="C176" s="878">
        <v>5336</v>
      </c>
      <c r="D176" s="554"/>
      <c r="E176" s="680" t="s">
        <v>1523</v>
      </c>
      <c r="F176" s="884"/>
      <c r="G176" s="884">
        <v>301</v>
      </c>
      <c r="H176" s="884">
        <v>301</v>
      </c>
      <c r="I176" s="891">
        <f t="shared" si="8"/>
        <v>100</v>
      </c>
    </row>
    <row r="177" spans="1:20" ht="14.25" x14ac:dyDescent="0.2">
      <c r="A177" s="432"/>
      <c r="B177" s="681"/>
      <c r="C177" s="878"/>
      <c r="D177" s="554" t="s">
        <v>1182</v>
      </c>
      <c r="E177" s="456" t="s">
        <v>832</v>
      </c>
      <c r="F177" s="871"/>
      <c r="G177" s="871">
        <v>301</v>
      </c>
      <c r="H177" s="871">
        <v>301</v>
      </c>
      <c r="I177" s="861">
        <f t="shared" si="8"/>
        <v>100</v>
      </c>
    </row>
    <row r="178" spans="1:20" ht="15" x14ac:dyDescent="0.25">
      <c r="A178" s="432">
        <v>1015</v>
      </c>
      <c r="B178" s="681">
        <v>3145</v>
      </c>
      <c r="C178" s="1467">
        <v>5331</v>
      </c>
      <c r="D178" s="912"/>
      <c r="E178" s="829" t="s">
        <v>996</v>
      </c>
      <c r="F178" s="884">
        <f>SUM(F179:F181)</f>
        <v>194</v>
      </c>
      <c r="G178" s="884">
        <v>194</v>
      </c>
      <c r="H178" s="884">
        <v>194</v>
      </c>
      <c r="I178" s="891">
        <f t="shared" si="8"/>
        <v>100</v>
      </c>
    </row>
    <row r="179" spans="1:20" ht="14.25" x14ac:dyDescent="0.2">
      <c r="A179" s="432"/>
      <c r="B179" s="681"/>
      <c r="C179" s="878"/>
      <c r="D179" s="554" t="s">
        <v>606</v>
      </c>
      <c r="E179" s="456" t="s">
        <v>72</v>
      </c>
      <c r="F179" s="871">
        <v>194</v>
      </c>
      <c r="G179" s="871">
        <v>194</v>
      </c>
      <c r="H179" s="871">
        <v>194</v>
      </c>
      <c r="I179" s="861">
        <f t="shared" si="8"/>
        <v>100</v>
      </c>
    </row>
    <row r="180" spans="1:20" ht="20.25" customHeight="1" x14ac:dyDescent="0.25">
      <c r="A180" s="432">
        <v>1015</v>
      </c>
      <c r="B180" s="681">
        <v>3145</v>
      </c>
      <c r="C180" s="878">
        <v>5336</v>
      </c>
      <c r="D180" s="554"/>
      <c r="E180" s="680" t="s">
        <v>1523</v>
      </c>
      <c r="F180" s="884"/>
      <c r="G180" s="884">
        <v>2239</v>
      </c>
      <c r="H180" s="884">
        <v>2239</v>
      </c>
      <c r="I180" s="891">
        <f t="shared" si="8"/>
        <v>100</v>
      </c>
    </row>
    <row r="181" spans="1:20" ht="14.25" x14ac:dyDescent="0.2">
      <c r="A181" s="432"/>
      <c r="B181" s="681"/>
      <c r="C181" s="878"/>
      <c r="D181" s="554" t="s">
        <v>1182</v>
      </c>
      <c r="E181" s="456" t="s">
        <v>832</v>
      </c>
      <c r="F181" s="871"/>
      <c r="G181" s="871">
        <v>2239</v>
      </c>
      <c r="H181" s="871">
        <v>2239</v>
      </c>
      <c r="I181" s="861">
        <f t="shared" si="8"/>
        <v>100</v>
      </c>
    </row>
    <row r="182" spans="1:20" ht="13.5" customHeight="1" x14ac:dyDescent="0.25">
      <c r="A182" s="432">
        <v>1015</v>
      </c>
      <c r="B182" s="681">
        <v>3293</v>
      </c>
      <c r="C182" s="1467">
        <v>5331</v>
      </c>
      <c r="D182" s="912"/>
      <c r="E182" s="829" t="s">
        <v>996</v>
      </c>
      <c r="F182" s="884"/>
      <c r="G182" s="884">
        <v>14</v>
      </c>
      <c r="H182" s="884">
        <v>14</v>
      </c>
      <c r="I182" s="891">
        <f t="shared" si="8"/>
        <v>100</v>
      </c>
    </row>
    <row r="183" spans="1:20" ht="13.5" customHeight="1" thickBot="1" x14ac:dyDescent="0.25">
      <c r="A183" s="432"/>
      <c r="B183" s="681"/>
      <c r="C183" s="1473"/>
      <c r="D183" s="781" t="s">
        <v>1185</v>
      </c>
      <c r="E183" s="1584" t="s">
        <v>62</v>
      </c>
      <c r="F183" s="871"/>
      <c r="G183" s="871">
        <v>14</v>
      </c>
      <c r="H183" s="871">
        <v>14</v>
      </c>
      <c r="I183" s="861">
        <f t="shared" si="8"/>
        <v>100</v>
      </c>
    </row>
    <row r="184" spans="1:20" ht="13.5" customHeight="1" thickTop="1" thickBot="1" x14ac:dyDescent="0.3">
      <c r="A184" s="2685" t="s">
        <v>1162</v>
      </c>
      <c r="B184" s="2686"/>
      <c r="C184" s="2686"/>
      <c r="D184" s="2686"/>
      <c r="E184" s="2686"/>
      <c r="F184" s="862">
        <f>SUM(F165,F182,F172,F178)</f>
        <v>3268</v>
      </c>
      <c r="G184" s="862">
        <f>SUM(G165,G182,G172,G178,G168,G176,G180)</f>
        <v>20906</v>
      </c>
      <c r="H184" s="862">
        <f>SUM(H165,H182,H172,H178,H168,H176,H180)</f>
        <v>20906</v>
      </c>
      <c r="I184" s="863">
        <f t="shared" si="8"/>
        <v>100</v>
      </c>
      <c r="R184" s="383">
        <f>F184</f>
        <v>3268</v>
      </c>
      <c r="S184" s="383">
        <f>G184</f>
        <v>20906</v>
      </c>
      <c r="T184" s="383">
        <f>H184</f>
        <v>20906</v>
      </c>
    </row>
    <row r="185" spans="1:20" ht="13.5" customHeight="1" thickTop="1" x14ac:dyDescent="0.2">
      <c r="C185" s="1472"/>
      <c r="D185" s="939"/>
    </row>
    <row r="186" spans="1:20" ht="13.5" thickBot="1" x14ac:dyDescent="0.25">
      <c r="A186" s="433" t="s">
        <v>779</v>
      </c>
      <c r="I186" s="1465" t="s">
        <v>173</v>
      </c>
    </row>
    <row r="187" spans="1:20" s="107" customFormat="1" thickTop="1" thickBot="1" x14ac:dyDescent="0.25">
      <c r="A187" s="690" t="s">
        <v>661</v>
      </c>
      <c r="B187" s="693" t="s">
        <v>174</v>
      </c>
      <c r="C187" s="691" t="s">
        <v>175</v>
      </c>
      <c r="D187" s="694" t="s">
        <v>744</v>
      </c>
      <c r="E187" s="636" t="s">
        <v>176</v>
      </c>
      <c r="F187" s="694" t="s">
        <v>177</v>
      </c>
      <c r="G187" s="694" t="s">
        <v>922</v>
      </c>
      <c r="H187" s="694" t="s">
        <v>923</v>
      </c>
      <c r="I187" s="856" t="s">
        <v>924</v>
      </c>
    </row>
    <row r="188" spans="1:20" s="384" customFormat="1" ht="13.5" thickTop="1" thickBot="1" x14ac:dyDescent="0.25">
      <c r="A188" s="568">
        <v>1</v>
      </c>
      <c r="B188" s="569">
        <v>2</v>
      </c>
      <c r="C188" s="569">
        <v>3</v>
      </c>
      <c r="D188" s="569">
        <v>4</v>
      </c>
      <c r="E188" s="569">
        <v>5</v>
      </c>
      <c r="F188" s="543">
        <v>6</v>
      </c>
      <c r="G188" s="543">
        <v>7</v>
      </c>
      <c r="H188" s="544">
        <v>8</v>
      </c>
      <c r="I188" s="638" t="s">
        <v>801</v>
      </c>
    </row>
    <row r="189" spans="1:20" s="107" customFormat="1" ht="20.25" customHeight="1" thickTop="1" x14ac:dyDescent="0.25">
      <c r="A189" s="913">
        <v>1016</v>
      </c>
      <c r="B189" s="914">
        <v>3112</v>
      </c>
      <c r="C189" s="915">
        <v>5331</v>
      </c>
      <c r="D189" s="694"/>
      <c r="E189" s="829" t="s">
        <v>996</v>
      </c>
      <c r="F189" s="916">
        <f>F190+F191</f>
        <v>1069</v>
      </c>
      <c r="G189" s="916">
        <f>SUM(G190:G191)</f>
        <v>1069</v>
      </c>
      <c r="H189" s="916">
        <f>SUM(H190:H191)</f>
        <v>1069</v>
      </c>
      <c r="I189" s="891">
        <f t="shared" ref="I189:I227" si="9">(H189/G189)*100</f>
        <v>100</v>
      </c>
    </row>
    <row r="190" spans="1:20" s="107" customFormat="1" ht="14.25" x14ac:dyDescent="0.2">
      <c r="A190" s="917"/>
      <c r="B190" s="918"/>
      <c r="C190" s="919"/>
      <c r="D190" s="719" t="s">
        <v>611</v>
      </c>
      <c r="E190" s="1569" t="s">
        <v>833</v>
      </c>
      <c r="F190" s="920">
        <v>114</v>
      </c>
      <c r="G190" s="920">
        <v>114</v>
      </c>
      <c r="H190" s="920">
        <v>114</v>
      </c>
      <c r="I190" s="892">
        <f t="shared" si="9"/>
        <v>100</v>
      </c>
    </row>
    <row r="191" spans="1:20" s="107" customFormat="1" ht="14.25" x14ac:dyDescent="0.2">
      <c r="A191" s="917"/>
      <c r="B191" s="918"/>
      <c r="C191" s="919"/>
      <c r="D191" s="554" t="s">
        <v>606</v>
      </c>
      <c r="E191" s="456" t="s">
        <v>72</v>
      </c>
      <c r="F191" s="920">
        <v>955</v>
      </c>
      <c r="G191" s="920">
        <v>955</v>
      </c>
      <c r="H191" s="920">
        <v>955</v>
      </c>
      <c r="I191" s="892">
        <f t="shared" si="9"/>
        <v>100</v>
      </c>
    </row>
    <row r="192" spans="1:20" s="107" customFormat="1" ht="15" x14ac:dyDescent="0.25">
      <c r="A192" s="432">
        <v>1016</v>
      </c>
      <c r="B192" s="783">
        <v>3112</v>
      </c>
      <c r="C192" s="783">
        <v>5336</v>
      </c>
      <c r="D192" s="897"/>
      <c r="E192" s="680" t="s">
        <v>1523</v>
      </c>
      <c r="F192" s="927"/>
      <c r="G192" s="927">
        <v>6533</v>
      </c>
      <c r="H192" s="927">
        <v>6533</v>
      </c>
      <c r="I192" s="891">
        <f t="shared" si="9"/>
        <v>100</v>
      </c>
    </row>
    <row r="193" spans="1:9" s="107" customFormat="1" ht="14.25" x14ac:dyDescent="0.2">
      <c r="A193" s="917"/>
      <c r="B193" s="918"/>
      <c r="C193" s="919"/>
      <c r="D193" s="554" t="s">
        <v>1182</v>
      </c>
      <c r="E193" s="456" t="s">
        <v>832</v>
      </c>
      <c r="F193" s="920"/>
      <c r="G193" s="920">
        <v>6533</v>
      </c>
      <c r="H193" s="920">
        <v>6533</v>
      </c>
      <c r="I193" s="892">
        <f t="shared" si="9"/>
        <v>100</v>
      </c>
    </row>
    <row r="194" spans="1:9" ht="15" x14ac:dyDescent="0.25">
      <c r="A194" s="432">
        <v>1016</v>
      </c>
      <c r="B194" s="783">
        <v>3114</v>
      </c>
      <c r="C194" s="783">
        <v>5331</v>
      </c>
      <c r="D194" s="897"/>
      <c r="E194" s="680" t="s">
        <v>996</v>
      </c>
      <c r="F194" s="884">
        <f>SUM(F195:F196)</f>
        <v>1665</v>
      </c>
      <c r="G194" s="884">
        <f>SUM(G195:G196)</f>
        <v>1655</v>
      </c>
      <c r="H194" s="884">
        <f>SUM(H195:H196)</f>
        <v>1655</v>
      </c>
      <c r="I194" s="876">
        <f t="shared" si="9"/>
        <v>100</v>
      </c>
    </row>
    <row r="195" spans="1:9" ht="14.25" x14ac:dyDescent="0.2">
      <c r="A195" s="432"/>
      <c r="B195" s="783"/>
      <c r="C195" s="783"/>
      <c r="D195" s="719" t="s">
        <v>611</v>
      </c>
      <c r="E195" s="1569" t="s">
        <v>833</v>
      </c>
      <c r="F195" s="875">
        <v>610</v>
      </c>
      <c r="G195" s="875">
        <v>600</v>
      </c>
      <c r="H195" s="875">
        <v>600</v>
      </c>
      <c r="I195" s="377">
        <f t="shared" si="9"/>
        <v>100</v>
      </c>
    </row>
    <row r="196" spans="1:9" ht="14.25" x14ac:dyDescent="0.2">
      <c r="A196" s="432"/>
      <c r="B196" s="783"/>
      <c r="C196" s="783"/>
      <c r="D196" s="554" t="s">
        <v>606</v>
      </c>
      <c r="E196" s="456" t="s">
        <v>72</v>
      </c>
      <c r="F196" s="875">
        <v>1055</v>
      </c>
      <c r="G196" s="875">
        <v>1055</v>
      </c>
      <c r="H196" s="875">
        <v>1055</v>
      </c>
      <c r="I196" s="377">
        <f t="shared" si="9"/>
        <v>100</v>
      </c>
    </row>
    <row r="197" spans="1:9" ht="15" x14ac:dyDescent="0.25">
      <c r="A197" s="432">
        <v>1016</v>
      </c>
      <c r="B197" s="783">
        <v>3114</v>
      </c>
      <c r="C197" s="783">
        <v>5336</v>
      </c>
      <c r="D197" s="570"/>
      <c r="E197" s="680" t="s">
        <v>1523</v>
      </c>
      <c r="F197" s="884"/>
      <c r="G197" s="884">
        <f>G198</f>
        <v>8476</v>
      </c>
      <c r="H197" s="884">
        <f>H198</f>
        <v>8476</v>
      </c>
      <c r="I197" s="876">
        <f t="shared" si="9"/>
        <v>100</v>
      </c>
    </row>
    <row r="198" spans="1:9" ht="15" x14ac:dyDescent="0.25">
      <c r="A198" s="432"/>
      <c r="B198" s="783"/>
      <c r="C198" s="783"/>
      <c r="D198" s="554" t="s">
        <v>1182</v>
      </c>
      <c r="E198" s="456" t="s">
        <v>832</v>
      </c>
      <c r="F198" s="884"/>
      <c r="G198" s="875">
        <v>8476</v>
      </c>
      <c r="H198" s="875">
        <v>8476</v>
      </c>
      <c r="I198" s="377">
        <f t="shared" si="9"/>
        <v>100</v>
      </c>
    </row>
    <row r="199" spans="1:9" ht="15.75" customHeight="1" x14ac:dyDescent="0.25">
      <c r="A199" s="432">
        <v>1016</v>
      </c>
      <c r="B199" s="783">
        <v>3124</v>
      </c>
      <c r="C199" s="1468">
        <v>5331</v>
      </c>
      <c r="D199" s="880"/>
      <c r="E199" s="680" t="s">
        <v>996</v>
      </c>
      <c r="F199" s="884">
        <f>F200</f>
        <v>100</v>
      </c>
      <c r="G199" s="884">
        <v>138</v>
      </c>
      <c r="H199" s="884">
        <v>138</v>
      </c>
      <c r="I199" s="876">
        <f t="shared" si="9"/>
        <v>100</v>
      </c>
    </row>
    <row r="200" spans="1:9" ht="15.75" customHeight="1" x14ac:dyDescent="0.2">
      <c r="A200" s="432"/>
      <c r="B200" s="783"/>
      <c r="C200" s="1468"/>
      <c r="D200" s="554" t="s">
        <v>606</v>
      </c>
      <c r="E200" s="456" t="s">
        <v>72</v>
      </c>
      <c r="F200" s="875">
        <v>100</v>
      </c>
      <c r="G200" s="875">
        <v>100</v>
      </c>
      <c r="H200" s="875">
        <v>100</v>
      </c>
      <c r="I200" s="377">
        <f t="shared" si="9"/>
        <v>100</v>
      </c>
    </row>
    <row r="201" spans="1:9" ht="15.75" customHeight="1" thickBot="1" x14ac:dyDescent="0.25">
      <c r="A201" s="1469"/>
      <c r="B201" s="682"/>
      <c r="C201" s="1475"/>
      <c r="D201" s="1132" t="s">
        <v>968</v>
      </c>
      <c r="E201" s="1483" t="s">
        <v>969</v>
      </c>
      <c r="F201" s="453"/>
      <c r="G201" s="453">
        <v>38</v>
      </c>
      <c r="H201" s="453">
        <v>38</v>
      </c>
      <c r="I201" s="2387">
        <f t="shared" si="9"/>
        <v>100</v>
      </c>
    </row>
    <row r="202" spans="1:9" ht="15.75" customHeight="1" thickTop="1" x14ac:dyDescent="0.2">
      <c r="A202" s="1472"/>
      <c r="B202" s="779"/>
      <c r="C202" s="1472"/>
      <c r="D202" s="828"/>
      <c r="E202" s="67"/>
      <c r="F202" s="921"/>
      <c r="G202" s="921"/>
      <c r="H202" s="921"/>
      <c r="I202" s="2282"/>
    </row>
    <row r="203" spans="1:9" ht="15.75" customHeight="1" x14ac:dyDescent="0.2">
      <c r="A203" s="1472"/>
      <c r="B203" s="779"/>
      <c r="C203" s="1472"/>
      <c r="D203" s="828"/>
      <c r="E203" s="67"/>
      <c r="F203" s="921"/>
      <c r="G203" s="921"/>
      <c r="H203" s="921"/>
      <c r="I203" s="2282"/>
    </row>
    <row r="204" spans="1:9" ht="15.75" customHeight="1" x14ac:dyDescent="0.2">
      <c r="A204" s="1472"/>
      <c r="B204" s="779"/>
      <c r="C204" s="1472"/>
      <c r="D204" s="828"/>
      <c r="E204" s="67"/>
      <c r="F204" s="921"/>
      <c r="G204" s="921"/>
      <c r="H204" s="921"/>
      <c r="I204" s="2282"/>
    </row>
    <row r="205" spans="1:9" ht="15.75" customHeight="1" x14ac:dyDescent="0.2">
      <c r="A205" s="1472"/>
      <c r="B205" s="779"/>
      <c r="C205" s="1472"/>
      <c r="D205" s="828"/>
      <c r="E205" s="67"/>
      <c r="F205" s="921"/>
      <c r="G205" s="921"/>
      <c r="H205" s="921"/>
      <c r="I205" s="2282"/>
    </row>
    <row r="206" spans="1:9" ht="13.5" thickBot="1" x14ac:dyDescent="0.25">
      <c r="A206" s="433"/>
      <c r="I206" s="1465" t="s">
        <v>173</v>
      </c>
    </row>
    <row r="207" spans="1:9" s="107" customFormat="1" thickTop="1" thickBot="1" x14ac:dyDescent="0.25">
      <c r="A207" s="690" t="s">
        <v>661</v>
      </c>
      <c r="B207" s="693" t="s">
        <v>174</v>
      </c>
      <c r="C207" s="691" t="s">
        <v>175</v>
      </c>
      <c r="D207" s="694" t="s">
        <v>744</v>
      </c>
      <c r="E207" s="636" t="s">
        <v>176</v>
      </c>
      <c r="F207" s="694" t="s">
        <v>177</v>
      </c>
      <c r="G207" s="694" t="s">
        <v>922</v>
      </c>
      <c r="H207" s="694" t="s">
        <v>923</v>
      </c>
      <c r="I207" s="856" t="s">
        <v>924</v>
      </c>
    </row>
    <row r="208" spans="1:9" s="384" customFormat="1" ht="13.5" thickTop="1" thickBot="1" x14ac:dyDescent="0.25">
      <c r="A208" s="568">
        <v>1</v>
      </c>
      <c r="B208" s="569">
        <v>2</v>
      </c>
      <c r="C208" s="569">
        <v>3</v>
      </c>
      <c r="D208" s="569">
        <v>4</v>
      </c>
      <c r="E208" s="569">
        <v>5</v>
      </c>
      <c r="F208" s="543">
        <v>6</v>
      </c>
      <c r="G208" s="543">
        <v>7</v>
      </c>
      <c r="H208" s="544">
        <v>8</v>
      </c>
      <c r="I208" s="638" t="s">
        <v>801</v>
      </c>
    </row>
    <row r="209" spans="1:9" ht="15.75" customHeight="1" thickTop="1" x14ac:dyDescent="0.25">
      <c r="A209" s="432">
        <v>1016</v>
      </c>
      <c r="B209" s="783">
        <v>3124</v>
      </c>
      <c r="C209" s="783">
        <v>5336</v>
      </c>
      <c r="D209" s="897"/>
      <c r="E209" s="680" t="s">
        <v>1523</v>
      </c>
      <c r="F209" s="884"/>
      <c r="G209" s="884">
        <f>G210+G211+G212</f>
        <v>6947</v>
      </c>
      <c r="H209" s="884">
        <f>H210+H211+H212</f>
        <v>6947</v>
      </c>
      <c r="I209" s="876">
        <f t="shared" si="9"/>
        <v>100</v>
      </c>
    </row>
    <row r="210" spans="1:9" ht="14.25" x14ac:dyDescent="0.2">
      <c r="A210" s="432"/>
      <c r="B210" s="783"/>
      <c r="C210" s="1468"/>
      <c r="D210" s="554" t="s">
        <v>1182</v>
      </c>
      <c r="E210" s="456" t="s">
        <v>832</v>
      </c>
      <c r="F210" s="875"/>
      <c r="G210" s="875">
        <v>6770</v>
      </c>
      <c r="H210" s="875">
        <v>6770</v>
      </c>
      <c r="I210" s="377">
        <f t="shared" si="9"/>
        <v>100</v>
      </c>
    </row>
    <row r="211" spans="1:9" ht="14.25" x14ac:dyDescent="0.2">
      <c r="A211" s="432"/>
      <c r="B211" s="783"/>
      <c r="C211" s="1468"/>
      <c r="D211" s="1481" t="s">
        <v>1608</v>
      </c>
      <c r="E211" s="1476" t="s">
        <v>1717</v>
      </c>
      <c r="F211" s="875"/>
      <c r="G211" s="875">
        <v>27</v>
      </c>
      <c r="H211" s="875">
        <v>27</v>
      </c>
      <c r="I211" s="377">
        <f t="shared" si="9"/>
        <v>100</v>
      </c>
    </row>
    <row r="212" spans="1:9" ht="15.75" customHeight="1" x14ac:dyDescent="0.2">
      <c r="A212" s="432"/>
      <c r="B212" s="783"/>
      <c r="C212" s="1468"/>
      <c r="D212" s="1481" t="s">
        <v>1610</v>
      </c>
      <c r="E212" s="1476" t="s">
        <v>1717</v>
      </c>
      <c r="F212" s="875"/>
      <c r="G212" s="875">
        <v>150</v>
      </c>
      <c r="H212" s="875">
        <v>150</v>
      </c>
      <c r="I212" s="377">
        <f t="shared" si="9"/>
        <v>100</v>
      </c>
    </row>
    <row r="213" spans="1:9" ht="15.75" customHeight="1" x14ac:dyDescent="0.25">
      <c r="A213" s="432">
        <v>1016</v>
      </c>
      <c r="B213" s="783">
        <v>3141</v>
      </c>
      <c r="C213" s="1468">
        <v>5336</v>
      </c>
      <c r="D213" s="554"/>
      <c r="E213" s="680" t="s">
        <v>1523</v>
      </c>
      <c r="F213" s="884"/>
      <c r="G213" s="884">
        <v>683</v>
      </c>
      <c r="H213" s="884">
        <v>683</v>
      </c>
      <c r="I213" s="876">
        <f t="shared" si="9"/>
        <v>100</v>
      </c>
    </row>
    <row r="214" spans="1:9" ht="15.75" customHeight="1" x14ac:dyDescent="0.2">
      <c r="A214" s="432"/>
      <c r="B214" s="783"/>
      <c r="C214" s="1468"/>
      <c r="D214" s="554" t="s">
        <v>1182</v>
      </c>
      <c r="E214" s="456" t="s">
        <v>832</v>
      </c>
      <c r="F214" s="875"/>
      <c r="G214" s="875">
        <v>683</v>
      </c>
      <c r="H214" s="875">
        <v>683</v>
      </c>
      <c r="I214" s="377">
        <f t="shared" si="9"/>
        <v>100</v>
      </c>
    </row>
    <row r="215" spans="1:9" ht="15.75" customHeight="1" x14ac:dyDescent="0.25">
      <c r="A215" s="432">
        <v>1016</v>
      </c>
      <c r="B215" s="783">
        <v>3142</v>
      </c>
      <c r="C215" s="1467">
        <v>5331</v>
      </c>
      <c r="D215" s="867"/>
      <c r="E215" s="829" t="s">
        <v>996</v>
      </c>
      <c r="F215" s="889">
        <v>383</v>
      </c>
      <c r="G215" s="889">
        <v>383</v>
      </c>
      <c r="H215" s="884">
        <v>383</v>
      </c>
      <c r="I215" s="891">
        <f t="shared" si="9"/>
        <v>100</v>
      </c>
    </row>
    <row r="216" spans="1:9" ht="18" customHeight="1" x14ac:dyDescent="0.2">
      <c r="A216" s="432"/>
      <c r="B216" s="681"/>
      <c r="C216" s="1467"/>
      <c r="D216" s="554" t="s">
        <v>606</v>
      </c>
      <c r="E216" s="456" t="s">
        <v>72</v>
      </c>
      <c r="F216" s="357">
        <v>383</v>
      </c>
      <c r="G216" s="357">
        <v>383</v>
      </c>
      <c r="H216" s="357">
        <v>383</v>
      </c>
      <c r="I216" s="892">
        <f t="shared" si="9"/>
        <v>100</v>
      </c>
    </row>
    <row r="217" spans="1:9" ht="15.75" customHeight="1" x14ac:dyDescent="0.25">
      <c r="A217" s="432">
        <v>1016</v>
      </c>
      <c r="B217" s="783">
        <v>3142</v>
      </c>
      <c r="C217" s="1468">
        <v>5336</v>
      </c>
      <c r="D217" s="554"/>
      <c r="E217" s="680" t="s">
        <v>1523</v>
      </c>
      <c r="F217" s="889"/>
      <c r="G217" s="889">
        <v>677</v>
      </c>
      <c r="H217" s="889">
        <v>677</v>
      </c>
      <c r="I217" s="891">
        <f t="shared" si="9"/>
        <v>100</v>
      </c>
    </row>
    <row r="218" spans="1:9" ht="15.75" customHeight="1" x14ac:dyDescent="0.2">
      <c r="A218" s="432"/>
      <c r="B218" s="681"/>
      <c r="C218" s="1467"/>
      <c r="D218" s="554" t="s">
        <v>1182</v>
      </c>
      <c r="E218" s="456" t="s">
        <v>832</v>
      </c>
      <c r="F218" s="357"/>
      <c r="G218" s="357">
        <v>677</v>
      </c>
      <c r="H218" s="357">
        <v>677</v>
      </c>
      <c r="I218" s="892">
        <f t="shared" si="9"/>
        <v>100</v>
      </c>
    </row>
    <row r="219" spans="1:9" ht="12" customHeight="1" x14ac:dyDescent="0.25">
      <c r="A219" s="432">
        <v>1016</v>
      </c>
      <c r="B219" s="681">
        <v>3143</v>
      </c>
      <c r="C219" s="1467">
        <v>5331</v>
      </c>
      <c r="D219" s="867"/>
      <c r="E219" s="829" t="s">
        <v>996</v>
      </c>
      <c r="F219" s="889">
        <v>40</v>
      </c>
      <c r="G219" s="889">
        <v>40</v>
      </c>
      <c r="H219" s="889">
        <v>40</v>
      </c>
      <c r="I219" s="891">
        <f t="shared" si="9"/>
        <v>100</v>
      </c>
    </row>
    <row r="220" spans="1:9" ht="14.25" x14ac:dyDescent="0.2">
      <c r="A220" s="432"/>
      <c r="B220" s="681"/>
      <c r="C220" s="1467"/>
      <c r="D220" s="554" t="s">
        <v>606</v>
      </c>
      <c r="E220" s="456" t="s">
        <v>72</v>
      </c>
      <c r="F220" s="357">
        <v>40</v>
      </c>
      <c r="G220" s="921">
        <v>40</v>
      </c>
      <c r="H220" s="357">
        <v>40</v>
      </c>
      <c r="I220" s="377">
        <f t="shared" si="9"/>
        <v>100</v>
      </c>
    </row>
    <row r="221" spans="1:9" ht="20.25" customHeight="1" x14ac:dyDescent="0.25">
      <c r="A221" s="432">
        <v>1016</v>
      </c>
      <c r="B221" s="783">
        <v>3143</v>
      </c>
      <c r="C221" s="1468">
        <v>5336</v>
      </c>
      <c r="D221" s="554"/>
      <c r="E221" s="680" t="s">
        <v>1523</v>
      </c>
      <c r="F221" s="889"/>
      <c r="G221" s="960">
        <v>398</v>
      </c>
      <c r="H221" s="889">
        <v>398</v>
      </c>
      <c r="I221" s="876">
        <f t="shared" si="9"/>
        <v>100</v>
      </c>
    </row>
    <row r="222" spans="1:9" s="1472" customFormat="1" ht="14.25" x14ac:dyDescent="0.2">
      <c r="A222" s="432"/>
      <c r="B222" s="681"/>
      <c r="C222" s="1467"/>
      <c r="D222" s="554" t="s">
        <v>1182</v>
      </c>
      <c r="E222" s="456" t="s">
        <v>832</v>
      </c>
      <c r="F222" s="357"/>
      <c r="G222" s="921">
        <v>398</v>
      </c>
      <c r="H222" s="357">
        <v>398</v>
      </c>
      <c r="I222" s="377">
        <f t="shared" si="9"/>
        <v>100</v>
      </c>
    </row>
    <row r="223" spans="1:9" s="1472" customFormat="1" ht="15" x14ac:dyDescent="0.25">
      <c r="A223" s="432">
        <v>1016</v>
      </c>
      <c r="B223" s="681">
        <v>3145</v>
      </c>
      <c r="C223" s="1467">
        <v>5331</v>
      </c>
      <c r="D223" s="867"/>
      <c r="E223" s="829" t="s">
        <v>996</v>
      </c>
      <c r="F223" s="884">
        <v>365</v>
      </c>
      <c r="G223" s="889">
        <v>365</v>
      </c>
      <c r="H223" s="889">
        <v>365</v>
      </c>
      <c r="I223" s="891">
        <f t="shared" si="9"/>
        <v>100</v>
      </c>
    </row>
    <row r="224" spans="1:9" s="1472" customFormat="1" ht="14.25" x14ac:dyDescent="0.2">
      <c r="A224" s="432"/>
      <c r="B224" s="681"/>
      <c r="C224" s="1467"/>
      <c r="D224" s="554" t="s">
        <v>606</v>
      </c>
      <c r="E224" s="456" t="s">
        <v>72</v>
      </c>
      <c r="F224" s="875">
        <v>365</v>
      </c>
      <c r="G224" s="357">
        <v>365</v>
      </c>
      <c r="H224" s="875">
        <v>365</v>
      </c>
      <c r="I224" s="377">
        <f t="shared" si="9"/>
        <v>100</v>
      </c>
    </row>
    <row r="225" spans="1:20" s="1472" customFormat="1" ht="15" x14ac:dyDescent="0.25">
      <c r="A225" s="432">
        <v>1016</v>
      </c>
      <c r="B225" s="783">
        <v>3145</v>
      </c>
      <c r="C225" s="1468">
        <v>5336</v>
      </c>
      <c r="D225" s="554"/>
      <c r="E225" s="680" t="s">
        <v>1523</v>
      </c>
      <c r="F225" s="884"/>
      <c r="G225" s="889">
        <v>860</v>
      </c>
      <c r="H225" s="884">
        <v>860</v>
      </c>
      <c r="I225" s="876">
        <f t="shared" si="9"/>
        <v>100</v>
      </c>
    </row>
    <row r="226" spans="1:20" s="1472" customFormat="1" ht="15" thickBot="1" x14ac:dyDescent="0.25">
      <c r="A226" s="1469"/>
      <c r="B226" s="682"/>
      <c r="C226" s="1475"/>
      <c r="D226" s="733" t="s">
        <v>1182</v>
      </c>
      <c r="E226" s="458" t="s">
        <v>832</v>
      </c>
      <c r="F226" s="944"/>
      <c r="G226" s="453">
        <v>860</v>
      </c>
      <c r="H226" s="944">
        <v>860</v>
      </c>
      <c r="I226" s="945">
        <f t="shared" si="9"/>
        <v>100</v>
      </c>
    </row>
    <row r="227" spans="1:20" ht="16.5" thickTop="1" thickBot="1" x14ac:dyDescent="0.3">
      <c r="A227" s="2699" t="s">
        <v>1162</v>
      </c>
      <c r="B227" s="2698"/>
      <c r="C227" s="2698"/>
      <c r="D227" s="2698"/>
      <c r="E227" s="2698"/>
      <c r="F227" s="922">
        <f>SUM(F194,F215,F189,F219,F199,F223)</f>
        <v>3622</v>
      </c>
      <c r="G227" s="922">
        <f>SUM(G194,G215,G189,G219,G199,G223,G213,G197,G225,G221,G217,G209,G192)</f>
        <v>28224</v>
      </c>
      <c r="H227" s="922">
        <f>SUM(H194,H215,H189,H219,H199,H223,H213,H197,H225,H221,H217,H209,H192)</f>
        <v>28224</v>
      </c>
      <c r="I227" s="923">
        <f t="shared" si="9"/>
        <v>100</v>
      </c>
      <c r="R227" s="383">
        <f>F227</f>
        <v>3622</v>
      </c>
      <c r="S227" s="383">
        <f>G227</f>
        <v>28224</v>
      </c>
      <c r="T227" s="383">
        <f>H227</f>
        <v>28224</v>
      </c>
    </row>
    <row r="228" spans="1:20" ht="15.75" thickTop="1" x14ac:dyDescent="0.25">
      <c r="A228" s="369"/>
      <c r="B228" s="369"/>
      <c r="C228" s="369"/>
      <c r="D228" s="369"/>
      <c r="E228" s="369"/>
      <c r="F228" s="960"/>
      <c r="G228" s="960"/>
      <c r="H228" s="960"/>
      <c r="I228" s="1485"/>
      <c r="R228" s="383"/>
      <c r="S228" s="383"/>
      <c r="T228" s="383"/>
    </row>
    <row r="229" spans="1:20" ht="15" x14ac:dyDescent="0.25">
      <c r="A229" s="369"/>
      <c r="B229" s="369"/>
      <c r="C229" s="369"/>
      <c r="D229" s="369"/>
      <c r="E229" s="369"/>
      <c r="F229" s="960"/>
      <c r="G229" s="960"/>
      <c r="H229" s="960"/>
      <c r="I229" s="1485"/>
      <c r="R229" s="383"/>
      <c r="S229" s="383"/>
      <c r="T229" s="383"/>
    </row>
    <row r="230" spans="1:20" ht="13.5" thickBot="1" x14ac:dyDescent="0.25">
      <c r="A230" s="433" t="s">
        <v>1978</v>
      </c>
      <c r="I230" s="1465" t="s">
        <v>173</v>
      </c>
    </row>
    <row r="231" spans="1:20" s="107" customFormat="1" thickTop="1" thickBot="1" x14ac:dyDescent="0.25">
      <c r="A231" s="633" t="s">
        <v>661</v>
      </c>
      <c r="B231" s="810" t="s">
        <v>174</v>
      </c>
      <c r="C231" s="634" t="s">
        <v>175</v>
      </c>
      <c r="D231" s="636" t="s">
        <v>744</v>
      </c>
      <c r="E231" s="636" t="s">
        <v>176</v>
      </c>
      <c r="F231" s="636" t="s">
        <v>177</v>
      </c>
      <c r="G231" s="636" t="s">
        <v>922</v>
      </c>
      <c r="H231" s="636" t="s">
        <v>923</v>
      </c>
      <c r="I231" s="856" t="s">
        <v>924</v>
      </c>
    </row>
    <row r="232" spans="1:20" s="384" customFormat="1" ht="15.75" customHeight="1" thickTop="1" thickBot="1" x14ac:dyDescent="0.25">
      <c r="A232" s="568">
        <v>1</v>
      </c>
      <c r="B232" s="569">
        <v>2</v>
      </c>
      <c r="C232" s="569">
        <v>3</v>
      </c>
      <c r="D232" s="569">
        <v>4</v>
      </c>
      <c r="E232" s="569">
        <v>5</v>
      </c>
      <c r="F232" s="543">
        <v>6</v>
      </c>
      <c r="G232" s="543">
        <v>7</v>
      </c>
      <c r="H232" s="544">
        <v>8</v>
      </c>
      <c r="I232" s="638" t="s">
        <v>801</v>
      </c>
    </row>
    <row r="233" spans="1:20" ht="15.75" customHeight="1" thickTop="1" x14ac:dyDescent="0.25">
      <c r="A233" s="1466">
        <v>1017</v>
      </c>
      <c r="B233" s="811">
        <v>3114</v>
      </c>
      <c r="C233" s="811">
        <v>5331</v>
      </c>
      <c r="D233" s="877"/>
      <c r="E233" s="924" t="s">
        <v>996</v>
      </c>
      <c r="F233" s="899">
        <v>949</v>
      </c>
      <c r="G233" s="899">
        <f>G234+G235</f>
        <v>977</v>
      </c>
      <c r="H233" s="899">
        <f>H234+H235</f>
        <v>977</v>
      </c>
      <c r="I233" s="864">
        <f t="shared" ref="I233:I256" si="10">(H233/G233)*100</f>
        <v>100</v>
      </c>
    </row>
    <row r="234" spans="1:20" ht="15.75" customHeight="1" x14ac:dyDescent="0.2">
      <c r="A234" s="432"/>
      <c r="B234" s="681"/>
      <c r="C234" s="681"/>
      <c r="D234" s="554" t="s">
        <v>606</v>
      </c>
      <c r="E234" s="456" t="s">
        <v>72</v>
      </c>
      <c r="F234" s="865">
        <v>949</v>
      </c>
      <c r="G234" s="865">
        <v>949</v>
      </c>
      <c r="H234" s="865">
        <v>949</v>
      </c>
      <c r="I234" s="861">
        <f t="shared" si="10"/>
        <v>100</v>
      </c>
    </row>
    <row r="235" spans="1:20" ht="15.75" customHeight="1" x14ac:dyDescent="0.2">
      <c r="A235" s="432"/>
      <c r="B235" s="783"/>
      <c r="C235" s="783"/>
      <c r="D235" s="1119" t="s">
        <v>970</v>
      </c>
      <c r="E235" s="2271" t="s">
        <v>1716</v>
      </c>
      <c r="F235" s="865"/>
      <c r="G235" s="871">
        <v>28</v>
      </c>
      <c r="H235" s="871">
        <v>28</v>
      </c>
      <c r="I235" s="861">
        <f t="shared" si="10"/>
        <v>100</v>
      </c>
    </row>
    <row r="236" spans="1:20" ht="15.75" customHeight="1" x14ac:dyDescent="0.25">
      <c r="A236" s="432">
        <v>1017</v>
      </c>
      <c r="B236" s="783">
        <v>3114</v>
      </c>
      <c r="C236" s="783">
        <v>5336</v>
      </c>
      <c r="D236" s="570"/>
      <c r="E236" s="680" t="s">
        <v>1523</v>
      </c>
      <c r="F236" s="865"/>
      <c r="G236" s="884">
        <v>7048</v>
      </c>
      <c r="H236" s="884">
        <v>7048</v>
      </c>
      <c r="I236" s="891">
        <f t="shared" si="10"/>
        <v>100</v>
      </c>
    </row>
    <row r="237" spans="1:20" ht="15.75" customHeight="1" x14ac:dyDescent="0.25">
      <c r="A237" s="432"/>
      <c r="B237" s="681"/>
      <c r="C237" s="783"/>
      <c r="D237" s="554" t="s">
        <v>1182</v>
      </c>
      <c r="E237" s="456" t="s">
        <v>832</v>
      </c>
      <c r="F237" s="858"/>
      <c r="G237" s="871">
        <v>7048</v>
      </c>
      <c r="H237" s="871">
        <v>7048</v>
      </c>
      <c r="I237" s="861">
        <f t="shared" si="10"/>
        <v>100</v>
      </c>
    </row>
    <row r="238" spans="1:20" ht="15.75" customHeight="1" x14ac:dyDescent="0.25">
      <c r="A238" s="432">
        <v>1017</v>
      </c>
      <c r="B238" s="783">
        <v>3124</v>
      </c>
      <c r="C238" s="783">
        <v>5336</v>
      </c>
      <c r="D238" s="570"/>
      <c r="E238" s="680" t="s">
        <v>1523</v>
      </c>
      <c r="F238" s="873"/>
      <c r="G238" s="884">
        <v>1376</v>
      </c>
      <c r="H238" s="884">
        <v>1376</v>
      </c>
      <c r="I238" s="876">
        <f t="shared" si="10"/>
        <v>100</v>
      </c>
    </row>
    <row r="239" spans="1:20" ht="15.75" customHeight="1" x14ac:dyDescent="0.25">
      <c r="A239" s="432"/>
      <c r="B239" s="783"/>
      <c r="C239" s="783"/>
      <c r="D239" s="554" t="s">
        <v>1182</v>
      </c>
      <c r="E239" s="456" t="s">
        <v>832</v>
      </c>
      <c r="F239" s="873"/>
      <c r="G239" s="871">
        <v>1376</v>
      </c>
      <c r="H239" s="871">
        <v>1376</v>
      </c>
      <c r="I239" s="866">
        <f t="shared" si="10"/>
        <v>100</v>
      </c>
    </row>
    <row r="240" spans="1:20" ht="15.75" customHeight="1" x14ac:dyDescent="0.25">
      <c r="A240" s="432">
        <v>1017</v>
      </c>
      <c r="B240" s="783">
        <v>3141</v>
      </c>
      <c r="C240" s="1468">
        <v>5331</v>
      </c>
      <c r="D240" s="880"/>
      <c r="E240" s="680" t="s">
        <v>996</v>
      </c>
      <c r="F240" s="873">
        <v>60</v>
      </c>
      <c r="G240" s="873">
        <v>60</v>
      </c>
      <c r="H240" s="873">
        <v>60</v>
      </c>
      <c r="I240" s="876">
        <f t="shared" si="10"/>
        <v>100</v>
      </c>
    </row>
    <row r="241" spans="1:20" ht="15.75" customHeight="1" x14ac:dyDescent="0.2">
      <c r="A241" s="432"/>
      <c r="B241" s="783"/>
      <c r="C241" s="783"/>
      <c r="D241" s="554" t="s">
        <v>606</v>
      </c>
      <c r="E241" s="456" t="s">
        <v>72</v>
      </c>
      <c r="F241" s="875">
        <v>60</v>
      </c>
      <c r="G241" s="871">
        <v>60</v>
      </c>
      <c r="H241" s="871">
        <v>60</v>
      </c>
      <c r="I241" s="866">
        <f t="shared" si="10"/>
        <v>100</v>
      </c>
    </row>
    <row r="242" spans="1:20" ht="15" x14ac:dyDescent="0.25">
      <c r="A242" s="432">
        <v>1017</v>
      </c>
      <c r="B242" s="783">
        <v>3143</v>
      </c>
      <c r="C242" s="1468">
        <v>5331</v>
      </c>
      <c r="D242" s="880"/>
      <c r="E242" s="680" t="s">
        <v>996</v>
      </c>
      <c r="F242" s="873">
        <f>F243</f>
        <v>50</v>
      </c>
      <c r="G242" s="873">
        <v>50</v>
      </c>
      <c r="H242" s="873">
        <v>50</v>
      </c>
      <c r="I242" s="874">
        <f t="shared" si="10"/>
        <v>100</v>
      </c>
    </row>
    <row r="243" spans="1:20" ht="14.25" x14ac:dyDescent="0.2">
      <c r="A243" s="432"/>
      <c r="B243" s="783"/>
      <c r="C243" s="1468"/>
      <c r="D243" s="554" t="s">
        <v>606</v>
      </c>
      <c r="E243" s="456" t="s">
        <v>72</v>
      </c>
      <c r="F243" s="871">
        <v>50</v>
      </c>
      <c r="G243" s="871">
        <v>50</v>
      </c>
      <c r="H243" s="871">
        <v>50</v>
      </c>
      <c r="I243" s="866">
        <f t="shared" si="10"/>
        <v>100</v>
      </c>
    </row>
    <row r="244" spans="1:20" ht="15" x14ac:dyDescent="0.25">
      <c r="A244" s="432">
        <v>1017</v>
      </c>
      <c r="B244" s="783">
        <v>3143</v>
      </c>
      <c r="C244" s="783">
        <v>5336</v>
      </c>
      <c r="D244" s="570"/>
      <c r="E244" s="680" t="s">
        <v>1523</v>
      </c>
      <c r="F244" s="871"/>
      <c r="G244" s="884">
        <v>771</v>
      </c>
      <c r="H244" s="884">
        <v>771</v>
      </c>
      <c r="I244" s="876">
        <f t="shared" si="10"/>
        <v>100</v>
      </c>
    </row>
    <row r="245" spans="1:20" ht="15" x14ac:dyDescent="0.25">
      <c r="A245" s="432"/>
      <c r="B245" s="783"/>
      <c r="C245" s="1468"/>
      <c r="D245" s="554" t="s">
        <v>1182</v>
      </c>
      <c r="E245" s="456" t="s">
        <v>832</v>
      </c>
      <c r="F245" s="873"/>
      <c r="G245" s="871">
        <v>771</v>
      </c>
      <c r="H245" s="871">
        <v>771</v>
      </c>
      <c r="I245" s="866">
        <f t="shared" si="10"/>
        <v>100</v>
      </c>
    </row>
    <row r="246" spans="1:20" ht="20.25" customHeight="1" x14ac:dyDescent="0.25">
      <c r="A246" s="432">
        <v>1017</v>
      </c>
      <c r="B246" s="783">
        <v>3146</v>
      </c>
      <c r="C246" s="1468">
        <v>5331</v>
      </c>
      <c r="D246" s="880"/>
      <c r="E246" s="680" t="s">
        <v>996</v>
      </c>
      <c r="F246" s="873">
        <f>SUM(F247)</f>
        <v>410</v>
      </c>
      <c r="G246" s="873">
        <f>G247+G248</f>
        <v>422</v>
      </c>
      <c r="H246" s="873">
        <f>H247+H248</f>
        <v>422</v>
      </c>
      <c r="I246" s="874">
        <f t="shared" si="10"/>
        <v>100</v>
      </c>
    </row>
    <row r="247" spans="1:20" ht="14.25" x14ac:dyDescent="0.2">
      <c r="A247" s="432"/>
      <c r="B247" s="783"/>
      <c r="C247" s="1468"/>
      <c r="D247" s="554" t="s">
        <v>606</v>
      </c>
      <c r="E247" s="456" t="s">
        <v>72</v>
      </c>
      <c r="F247" s="871">
        <v>410</v>
      </c>
      <c r="G247" s="871">
        <v>410</v>
      </c>
      <c r="H247" s="871">
        <v>410</v>
      </c>
      <c r="I247" s="866">
        <f t="shared" si="10"/>
        <v>100</v>
      </c>
    </row>
    <row r="248" spans="1:20" ht="14.25" x14ac:dyDescent="0.2">
      <c r="A248" s="432"/>
      <c r="B248" s="783"/>
      <c r="C248" s="1468"/>
      <c r="D248" s="1391" t="s">
        <v>1803</v>
      </c>
      <c r="E248" s="2273" t="s">
        <v>1979</v>
      </c>
      <c r="F248" s="871"/>
      <c r="G248" s="871">
        <v>12</v>
      </c>
      <c r="H248" s="871">
        <v>12</v>
      </c>
      <c r="I248" s="866">
        <f t="shared" si="10"/>
        <v>100</v>
      </c>
    </row>
    <row r="249" spans="1:20" ht="15.75" customHeight="1" x14ac:dyDescent="0.25">
      <c r="A249" s="432">
        <v>1017</v>
      </c>
      <c r="B249" s="783">
        <v>3146</v>
      </c>
      <c r="C249" s="783">
        <v>5336</v>
      </c>
      <c r="D249" s="570"/>
      <c r="E249" s="680" t="s">
        <v>1523</v>
      </c>
      <c r="F249" s="871"/>
      <c r="G249" s="884">
        <v>3200</v>
      </c>
      <c r="H249" s="884">
        <v>3200</v>
      </c>
      <c r="I249" s="876">
        <f t="shared" si="10"/>
        <v>100</v>
      </c>
    </row>
    <row r="250" spans="1:20" ht="15.75" customHeight="1" x14ac:dyDescent="0.25">
      <c r="A250" s="432"/>
      <c r="B250" s="783"/>
      <c r="C250" s="1468"/>
      <c r="D250" s="554" t="s">
        <v>1182</v>
      </c>
      <c r="E250" s="456" t="s">
        <v>832</v>
      </c>
      <c r="F250" s="873"/>
      <c r="G250" s="871">
        <v>3200</v>
      </c>
      <c r="H250" s="871">
        <v>3200</v>
      </c>
      <c r="I250" s="866">
        <f t="shared" si="10"/>
        <v>100</v>
      </c>
    </row>
    <row r="251" spans="1:20" ht="15.75" customHeight="1" x14ac:dyDescent="0.25">
      <c r="A251" s="432">
        <v>1017</v>
      </c>
      <c r="B251" s="783">
        <v>4322</v>
      </c>
      <c r="C251" s="1468">
        <v>5331</v>
      </c>
      <c r="D251" s="925"/>
      <c r="E251" s="680" t="s">
        <v>996</v>
      </c>
      <c r="F251" s="873">
        <f>SUM(F252:F253)</f>
        <v>3918</v>
      </c>
      <c r="G251" s="873">
        <f>SUM(G252:G253)</f>
        <v>3911</v>
      </c>
      <c r="H251" s="873">
        <f>SUM(H252:H253)</f>
        <v>3911</v>
      </c>
      <c r="I251" s="874">
        <f t="shared" si="10"/>
        <v>100</v>
      </c>
    </row>
    <row r="252" spans="1:20" ht="15.75" customHeight="1" x14ac:dyDescent="0.2">
      <c r="A252" s="432"/>
      <c r="B252" s="783"/>
      <c r="C252" s="1468"/>
      <c r="D252" s="719" t="s">
        <v>611</v>
      </c>
      <c r="E252" s="1569" t="s">
        <v>833</v>
      </c>
      <c r="F252" s="871">
        <v>1050</v>
      </c>
      <c r="G252" s="871">
        <v>1043</v>
      </c>
      <c r="H252" s="871">
        <v>1043</v>
      </c>
      <c r="I252" s="866">
        <f t="shared" si="10"/>
        <v>100</v>
      </c>
    </row>
    <row r="253" spans="1:20" ht="15.75" customHeight="1" x14ac:dyDescent="0.2">
      <c r="A253" s="432"/>
      <c r="B253" s="783"/>
      <c r="C253" s="1468"/>
      <c r="D253" s="554" t="s">
        <v>606</v>
      </c>
      <c r="E253" s="456" t="s">
        <v>72</v>
      </c>
      <c r="F253" s="871">
        <v>2868</v>
      </c>
      <c r="G253" s="871">
        <v>2868</v>
      </c>
      <c r="H253" s="871">
        <v>2868</v>
      </c>
      <c r="I253" s="866">
        <f t="shared" si="10"/>
        <v>100</v>
      </c>
    </row>
    <row r="254" spans="1:20" ht="20.25" customHeight="1" x14ac:dyDescent="0.25">
      <c r="A254" s="432">
        <v>1017</v>
      </c>
      <c r="B254" s="783">
        <v>4322</v>
      </c>
      <c r="C254" s="783">
        <v>5336</v>
      </c>
      <c r="D254" s="570"/>
      <c r="E254" s="680" t="s">
        <v>1523</v>
      </c>
      <c r="F254" s="871"/>
      <c r="G254" s="884">
        <v>12202</v>
      </c>
      <c r="H254" s="884">
        <v>12202</v>
      </c>
      <c r="I254" s="876">
        <f t="shared" si="10"/>
        <v>100</v>
      </c>
    </row>
    <row r="255" spans="1:20" ht="15" thickBot="1" x14ac:dyDescent="0.25">
      <c r="A255" s="432"/>
      <c r="B255" s="783"/>
      <c r="C255" s="1468"/>
      <c r="D255" s="554" t="s">
        <v>1182</v>
      </c>
      <c r="E255" s="456" t="s">
        <v>832</v>
      </c>
      <c r="F255" s="871"/>
      <c r="G255" s="871">
        <v>12202</v>
      </c>
      <c r="H255" s="871">
        <v>12202</v>
      </c>
      <c r="I255" s="866">
        <f t="shared" si="10"/>
        <v>100</v>
      </c>
    </row>
    <row r="256" spans="1:20" s="1574" customFormat="1" ht="15.75" customHeight="1" thickTop="1" thickBot="1" x14ac:dyDescent="0.25">
      <c r="A256" s="2696" t="s">
        <v>1162</v>
      </c>
      <c r="B256" s="2697"/>
      <c r="C256" s="2697"/>
      <c r="D256" s="2697"/>
      <c r="E256" s="2697"/>
      <c r="F256" s="1585">
        <f>F251+F246+F233+F242+F240</f>
        <v>5387</v>
      </c>
      <c r="G256" s="1585">
        <f>G251+G246+G233+G242+G240+G254+G249+G244+G238+G236</f>
        <v>30017</v>
      </c>
      <c r="H256" s="1585">
        <f>H251+H246+H233+H242+H240+H254+H249+H244+H238+H236</f>
        <v>30017</v>
      </c>
      <c r="I256" s="1586">
        <f t="shared" si="10"/>
        <v>100</v>
      </c>
      <c r="R256" s="1587">
        <f>F256</f>
        <v>5387</v>
      </c>
      <c r="S256" s="1587">
        <f>G256</f>
        <v>30017</v>
      </c>
      <c r="T256" s="1587">
        <f>H256</f>
        <v>30017</v>
      </c>
    </row>
    <row r="257" spans="1:20" s="1574" customFormat="1" ht="15.75" customHeight="1" thickTop="1" x14ac:dyDescent="0.2">
      <c r="B257" s="1588"/>
      <c r="D257" s="1589"/>
      <c r="F257" s="1587"/>
      <c r="G257" s="1587"/>
      <c r="H257" s="1587"/>
      <c r="I257" s="1590"/>
    </row>
    <row r="258" spans="1:20" s="1574" customFormat="1" ht="15.75" customHeight="1" x14ac:dyDescent="0.2">
      <c r="B258" s="1588"/>
      <c r="D258" s="1589"/>
      <c r="F258" s="1587"/>
      <c r="G258" s="1587"/>
      <c r="H258" s="1587"/>
      <c r="I258" s="1590"/>
    </row>
    <row r="259" spans="1:20" ht="18" customHeight="1" thickBot="1" x14ac:dyDescent="0.25">
      <c r="A259" s="433" t="s">
        <v>557</v>
      </c>
      <c r="I259" s="1465" t="s">
        <v>173</v>
      </c>
    </row>
    <row r="260" spans="1:20" s="107" customFormat="1" thickTop="1" thickBot="1" x14ac:dyDescent="0.25">
      <c r="A260" s="633" t="s">
        <v>661</v>
      </c>
      <c r="B260" s="810" t="s">
        <v>174</v>
      </c>
      <c r="C260" s="634" t="s">
        <v>175</v>
      </c>
      <c r="D260" s="636" t="s">
        <v>744</v>
      </c>
      <c r="E260" s="636" t="s">
        <v>176</v>
      </c>
      <c r="F260" s="636" t="s">
        <v>177</v>
      </c>
      <c r="G260" s="636" t="s">
        <v>922</v>
      </c>
      <c r="H260" s="636" t="s">
        <v>923</v>
      </c>
      <c r="I260" s="856" t="s">
        <v>924</v>
      </c>
    </row>
    <row r="261" spans="1:20" s="384" customFormat="1" ht="13.5" thickTop="1" thickBot="1" x14ac:dyDescent="0.25">
      <c r="A261" s="568">
        <v>1</v>
      </c>
      <c r="B261" s="569">
        <v>2</v>
      </c>
      <c r="C261" s="569">
        <v>3</v>
      </c>
      <c r="D261" s="569">
        <v>4</v>
      </c>
      <c r="E261" s="569">
        <v>5</v>
      </c>
      <c r="F261" s="543">
        <v>6</v>
      </c>
      <c r="G261" s="543">
        <v>7</v>
      </c>
      <c r="H261" s="544">
        <v>8</v>
      </c>
      <c r="I261" s="638" t="s">
        <v>801</v>
      </c>
    </row>
    <row r="262" spans="1:20" ht="15.75" thickTop="1" x14ac:dyDescent="0.25">
      <c r="A262" s="1477">
        <v>1021</v>
      </c>
      <c r="B262" s="885">
        <v>3112</v>
      </c>
      <c r="C262" s="1478">
        <v>5331</v>
      </c>
      <c r="D262" s="926"/>
      <c r="E262" s="924" t="s">
        <v>996</v>
      </c>
      <c r="F262" s="883">
        <v>40</v>
      </c>
      <c r="G262" s="883">
        <v>28</v>
      </c>
      <c r="H262" s="883">
        <v>28</v>
      </c>
      <c r="I262" s="887">
        <f t="shared" ref="I262:I272" si="11">(H262/G262)*100</f>
        <v>100</v>
      </c>
    </row>
    <row r="263" spans="1:20" ht="13.5" customHeight="1" x14ac:dyDescent="0.2">
      <c r="A263" s="432"/>
      <c r="B263" s="681"/>
      <c r="C263" s="1467"/>
      <c r="D263" s="554" t="s">
        <v>606</v>
      </c>
      <c r="E263" s="456" t="s">
        <v>72</v>
      </c>
      <c r="F263" s="357">
        <v>40</v>
      </c>
      <c r="G263" s="357">
        <v>28</v>
      </c>
      <c r="H263" s="357">
        <v>28</v>
      </c>
      <c r="I263" s="861">
        <f t="shared" si="11"/>
        <v>100</v>
      </c>
    </row>
    <row r="264" spans="1:20" ht="15" x14ac:dyDescent="0.25">
      <c r="A264" s="432">
        <v>1021</v>
      </c>
      <c r="B264" s="681">
        <v>3112</v>
      </c>
      <c r="C264" s="1467">
        <v>5336</v>
      </c>
      <c r="D264" s="554"/>
      <c r="E264" s="680" t="s">
        <v>1523</v>
      </c>
      <c r="F264" s="357"/>
      <c r="G264" s="889">
        <v>248</v>
      </c>
      <c r="H264" s="889">
        <v>248</v>
      </c>
      <c r="I264" s="891">
        <f t="shared" si="11"/>
        <v>100</v>
      </c>
    </row>
    <row r="265" spans="1:20" ht="15" customHeight="1" x14ac:dyDescent="0.25">
      <c r="A265" s="432"/>
      <c r="B265" s="681"/>
      <c r="C265" s="1467"/>
      <c r="D265" s="554" t="s">
        <v>1182</v>
      </c>
      <c r="E265" s="456" t="s">
        <v>832</v>
      </c>
      <c r="F265" s="858"/>
      <c r="G265" s="357">
        <v>248</v>
      </c>
      <c r="H265" s="357">
        <v>248</v>
      </c>
      <c r="I265" s="861">
        <f t="shared" si="11"/>
        <v>100</v>
      </c>
    </row>
    <row r="266" spans="1:20" ht="15" customHeight="1" x14ac:dyDescent="0.25">
      <c r="A266" s="432">
        <v>1021</v>
      </c>
      <c r="B266" s="681">
        <v>3114</v>
      </c>
      <c r="C266" s="1467">
        <v>5331</v>
      </c>
      <c r="D266" s="867"/>
      <c r="E266" s="680" t="s">
        <v>996</v>
      </c>
      <c r="F266" s="858">
        <v>435</v>
      </c>
      <c r="G266" s="858">
        <v>435</v>
      </c>
      <c r="H266" s="858">
        <v>435</v>
      </c>
      <c r="I266" s="891">
        <f t="shared" si="11"/>
        <v>100</v>
      </c>
    </row>
    <row r="267" spans="1:20" ht="15" customHeight="1" x14ac:dyDescent="0.2">
      <c r="A267" s="432"/>
      <c r="B267" s="681"/>
      <c r="C267" s="1467"/>
      <c r="D267" s="554" t="s">
        <v>606</v>
      </c>
      <c r="E267" s="456" t="s">
        <v>72</v>
      </c>
      <c r="F267" s="865">
        <v>435</v>
      </c>
      <c r="G267" s="865">
        <v>435</v>
      </c>
      <c r="H267" s="865">
        <v>435</v>
      </c>
      <c r="I267" s="861">
        <f t="shared" si="11"/>
        <v>100</v>
      </c>
    </row>
    <row r="268" spans="1:20" ht="15" x14ac:dyDescent="0.25">
      <c r="A268" s="432">
        <v>1021</v>
      </c>
      <c r="B268" s="681">
        <v>3114</v>
      </c>
      <c r="C268" s="1467">
        <v>5336</v>
      </c>
      <c r="D268" s="554"/>
      <c r="E268" s="680" t="s">
        <v>1523</v>
      </c>
      <c r="F268" s="865"/>
      <c r="G268" s="889">
        <f>G269+G270+G271</f>
        <v>4687</v>
      </c>
      <c r="H268" s="889">
        <f>H269+H270+H271</f>
        <v>4687</v>
      </c>
      <c r="I268" s="891">
        <f t="shared" si="11"/>
        <v>100</v>
      </c>
    </row>
    <row r="269" spans="1:20" ht="14.25" x14ac:dyDescent="0.2">
      <c r="A269" s="432"/>
      <c r="B269" s="681"/>
      <c r="C269" s="1467"/>
      <c r="D269" s="554" t="s">
        <v>1182</v>
      </c>
      <c r="E269" s="456" t="s">
        <v>832</v>
      </c>
      <c r="F269" s="865"/>
      <c r="G269" s="865">
        <v>4397</v>
      </c>
      <c r="H269" s="865">
        <v>4397</v>
      </c>
      <c r="I269" s="861">
        <f t="shared" si="11"/>
        <v>100</v>
      </c>
    </row>
    <row r="270" spans="1:20" ht="14.25" x14ac:dyDescent="0.2">
      <c r="A270" s="432"/>
      <c r="B270" s="681"/>
      <c r="C270" s="1467"/>
      <c r="D270" s="570" t="s">
        <v>976</v>
      </c>
      <c r="E270" s="906" t="s">
        <v>1524</v>
      </c>
      <c r="F270" s="865"/>
      <c r="G270" s="865">
        <v>43</v>
      </c>
      <c r="H270" s="865">
        <v>43</v>
      </c>
      <c r="I270" s="861">
        <f t="shared" si="11"/>
        <v>100</v>
      </c>
    </row>
    <row r="271" spans="1:20" ht="15" thickBot="1" x14ac:dyDescent="0.25">
      <c r="A271" s="1469"/>
      <c r="B271" s="682"/>
      <c r="C271" s="1475"/>
      <c r="D271" s="570" t="s">
        <v>978</v>
      </c>
      <c r="E271" s="906" t="s">
        <v>1525</v>
      </c>
      <c r="F271" s="909"/>
      <c r="G271" s="909">
        <v>247</v>
      </c>
      <c r="H271" s="909">
        <v>247</v>
      </c>
      <c r="I271" s="893">
        <f t="shared" si="11"/>
        <v>100</v>
      </c>
    </row>
    <row r="272" spans="1:20" s="1574" customFormat="1" ht="16.5" thickTop="1" thickBot="1" x14ac:dyDescent="0.25">
      <c r="A272" s="2696" t="s">
        <v>1162</v>
      </c>
      <c r="B272" s="2697"/>
      <c r="C272" s="2697"/>
      <c r="D272" s="2697"/>
      <c r="E272" s="2697"/>
      <c r="F272" s="1585">
        <f>SUM(F266,F262)</f>
        <v>475</v>
      </c>
      <c r="G272" s="1585">
        <f>SUM(G262,G266,G264,G268)</f>
        <v>5398</v>
      </c>
      <c r="H272" s="1585">
        <f>SUM(H262,H266,H264,H268)</f>
        <v>5398</v>
      </c>
      <c r="I272" s="1586">
        <f t="shared" si="11"/>
        <v>100</v>
      </c>
      <c r="R272" s="1587">
        <f>F272</f>
        <v>475</v>
      </c>
      <c r="S272" s="1587">
        <f>G272</f>
        <v>5398</v>
      </c>
      <c r="T272" s="1587">
        <f>H272</f>
        <v>5398</v>
      </c>
    </row>
    <row r="273" spans="1:20" s="1574" customFormat="1" ht="13.5" thickTop="1" x14ac:dyDescent="0.2">
      <c r="B273" s="1588"/>
      <c r="D273" s="1589"/>
      <c r="F273" s="1587"/>
      <c r="G273" s="1587"/>
      <c r="H273" s="1587"/>
      <c r="I273" s="1590"/>
    </row>
    <row r="274" spans="1:20" ht="13.5" thickBot="1" x14ac:dyDescent="0.25">
      <c r="A274" s="433" t="s">
        <v>471</v>
      </c>
      <c r="I274" s="1465" t="s">
        <v>173</v>
      </c>
    </row>
    <row r="275" spans="1:20" s="107" customFormat="1" thickTop="1" thickBot="1" x14ac:dyDescent="0.25">
      <c r="A275" s="633" t="s">
        <v>661</v>
      </c>
      <c r="B275" s="810" t="s">
        <v>174</v>
      </c>
      <c r="C275" s="634" t="s">
        <v>175</v>
      </c>
      <c r="D275" s="636" t="s">
        <v>744</v>
      </c>
      <c r="E275" s="636" t="s">
        <v>176</v>
      </c>
      <c r="F275" s="636" t="s">
        <v>177</v>
      </c>
      <c r="G275" s="636" t="s">
        <v>922</v>
      </c>
      <c r="H275" s="636" t="s">
        <v>923</v>
      </c>
      <c r="I275" s="856" t="s">
        <v>924</v>
      </c>
    </row>
    <row r="276" spans="1:20" s="384" customFormat="1" ht="18" customHeight="1" thickTop="1" thickBot="1" x14ac:dyDescent="0.25">
      <c r="A276" s="568">
        <v>1</v>
      </c>
      <c r="B276" s="569">
        <v>2</v>
      </c>
      <c r="C276" s="569">
        <v>3</v>
      </c>
      <c r="D276" s="569">
        <v>4</v>
      </c>
      <c r="E276" s="569">
        <v>5</v>
      </c>
      <c r="F276" s="543">
        <v>6</v>
      </c>
      <c r="G276" s="543">
        <v>7</v>
      </c>
      <c r="H276" s="544">
        <v>8</v>
      </c>
      <c r="I276" s="638" t="s">
        <v>801</v>
      </c>
    </row>
    <row r="277" spans="1:20" s="107" customFormat="1" ht="15.75" thickTop="1" x14ac:dyDescent="0.25">
      <c r="A277" s="432">
        <v>1022</v>
      </c>
      <c r="B277" s="681">
        <v>3112</v>
      </c>
      <c r="C277" s="681">
        <v>5331</v>
      </c>
      <c r="D277" s="857"/>
      <c r="E277" s="829" t="s">
        <v>996</v>
      </c>
      <c r="F277" s="927">
        <f>SUM(F278:F280)</f>
        <v>20</v>
      </c>
      <c r="G277" s="927">
        <v>10</v>
      </c>
      <c r="H277" s="927">
        <v>10</v>
      </c>
      <c r="I277" s="891">
        <f t="shared" ref="I277:I285" si="12">(H277/G277)*100</f>
        <v>100</v>
      </c>
    </row>
    <row r="278" spans="1:20" s="107" customFormat="1" ht="14.25" x14ac:dyDescent="0.2">
      <c r="A278" s="917"/>
      <c r="B278" s="918"/>
      <c r="C278" s="919"/>
      <c r="D278" s="554" t="s">
        <v>606</v>
      </c>
      <c r="E278" s="456" t="s">
        <v>72</v>
      </c>
      <c r="F278" s="920">
        <v>20</v>
      </c>
      <c r="G278" s="920">
        <v>10</v>
      </c>
      <c r="H278" s="920">
        <v>10</v>
      </c>
      <c r="I278" s="892">
        <f t="shared" si="12"/>
        <v>100</v>
      </c>
    </row>
    <row r="279" spans="1:20" s="107" customFormat="1" ht="15" x14ac:dyDescent="0.25">
      <c r="A279" s="432">
        <v>1022</v>
      </c>
      <c r="B279" s="783">
        <v>3112</v>
      </c>
      <c r="C279" s="783">
        <v>5336</v>
      </c>
      <c r="D279" s="570"/>
      <c r="E279" s="680" t="s">
        <v>1523</v>
      </c>
      <c r="F279" s="920"/>
      <c r="G279" s="927">
        <v>423</v>
      </c>
      <c r="H279" s="927">
        <v>423</v>
      </c>
      <c r="I279" s="891">
        <f t="shared" si="12"/>
        <v>100</v>
      </c>
    </row>
    <row r="280" spans="1:20" s="107" customFormat="1" ht="13.5" customHeight="1" x14ac:dyDescent="0.2">
      <c r="A280" s="917"/>
      <c r="B280" s="918"/>
      <c r="C280" s="919"/>
      <c r="D280" s="554" t="s">
        <v>1182</v>
      </c>
      <c r="E280" s="456" t="s">
        <v>832</v>
      </c>
      <c r="F280" s="920"/>
      <c r="G280" s="920">
        <v>423</v>
      </c>
      <c r="H280" s="920">
        <v>423</v>
      </c>
      <c r="I280" s="892">
        <f t="shared" si="12"/>
        <v>100</v>
      </c>
    </row>
    <row r="281" spans="1:20" ht="15" x14ac:dyDescent="0.25">
      <c r="A281" s="432">
        <v>1022</v>
      </c>
      <c r="B281" s="783">
        <v>3114</v>
      </c>
      <c r="C281" s="783">
        <v>5331</v>
      </c>
      <c r="D281" s="897"/>
      <c r="E281" s="680" t="s">
        <v>996</v>
      </c>
      <c r="F281" s="884">
        <v>400</v>
      </c>
      <c r="G281" s="884">
        <v>310</v>
      </c>
      <c r="H281" s="884">
        <v>310</v>
      </c>
      <c r="I281" s="876">
        <f t="shared" si="12"/>
        <v>100</v>
      </c>
    </row>
    <row r="282" spans="1:20" ht="14.25" x14ac:dyDescent="0.2">
      <c r="A282" s="432"/>
      <c r="B282" s="783"/>
      <c r="C282" s="783"/>
      <c r="D282" s="554" t="s">
        <v>606</v>
      </c>
      <c r="E282" s="456" t="s">
        <v>72</v>
      </c>
      <c r="F282" s="875">
        <v>400</v>
      </c>
      <c r="G282" s="875">
        <v>310</v>
      </c>
      <c r="H282" s="875">
        <v>310</v>
      </c>
      <c r="I282" s="377">
        <f t="shared" si="12"/>
        <v>100</v>
      </c>
    </row>
    <row r="283" spans="1:20" ht="15" x14ac:dyDescent="0.25">
      <c r="A283" s="432">
        <v>1022</v>
      </c>
      <c r="B283" s="783">
        <v>3114</v>
      </c>
      <c r="C283" s="783">
        <v>5336</v>
      </c>
      <c r="D283" s="570"/>
      <c r="E283" s="680" t="s">
        <v>1523</v>
      </c>
      <c r="F283" s="875"/>
      <c r="G283" s="884">
        <v>2356</v>
      </c>
      <c r="H283" s="884">
        <v>2356</v>
      </c>
      <c r="I283" s="876">
        <f t="shared" si="12"/>
        <v>100</v>
      </c>
    </row>
    <row r="284" spans="1:20" ht="15" thickBot="1" x14ac:dyDescent="0.25">
      <c r="A284" s="432"/>
      <c r="B284" s="783"/>
      <c r="C284" s="783"/>
      <c r="D284" s="554" t="s">
        <v>1182</v>
      </c>
      <c r="E284" s="456" t="s">
        <v>832</v>
      </c>
      <c r="F284" s="875"/>
      <c r="G284" s="875">
        <v>2356</v>
      </c>
      <c r="H284" s="875">
        <v>2356</v>
      </c>
      <c r="I284" s="377">
        <f t="shared" si="12"/>
        <v>100</v>
      </c>
    </row>
    <row r="285" spans="1:20" ht="15.75" customHeight="1" thickTop="1" thickBot="1" x14ac:dyDescent="0.3">
      <c r="A285" s="2685" t="s">
        <v>1162</v>
      </c>
      <c r="B285" s="2686"/>
      <c r="C285" s="2686"/>
      <c r="D285" s="2686"/>
      <c r="E285" s="2686"/>
      <c r="F285" s="928">
        <f>SUM(F281,F277)</f>
        <v>420</v>
      </c>
      <c r="G285" s="928">
        <f>SUM(G281,G277,G283,G279)</f>
        <v>3099</v>
      </c>
      <c r="H285" s="928">
        <f>SUM(H281,H277,H283,H279)</f>
        <v>3099</v>
      </c>
      <c r="I285" s="929">
        <f t="shared" si="12"/>
        <v>100</v>
      </c>
      <c r="R285" s="383">
        <f>F285</f>
        <v>420</v>
      </c>
      <c r="S285" s="383">
        <f>G285</f>
        <v>3099</v>
      </c>
      <c r="T285" s="383">
        <f>H285</f>
        <v>3099</v>
      </c>
    </row>
    <row r="286" spans="1:20" ht="15.75" customHeight="1" thickTop="1" x14ac:dyDescent="0.2"/>
    <row r="287" spans="1:20" ht="15.75" customHeight="1" thickBot="1" x14ac:dyDescent="0.25">
      <c r="A287" s="433" t="s">
        <v>472</v>
      </c>
      <c r="I287" s="1465" t="s">
        <v>173</v>
      </c>
    </row>
    <row r="288" spans="1:20" s="107" customFormat="1" ht="15.75" customHeight="1" thickTop="1" thickBot="1" x14ac:dyDescent="0.25">
      <c r="A288" s="633" t="s">
        <v>661</v>
      </c>
      <c r="B288" s="810" t="s">
        <v>174</v>
      </c>
      <c r="C288" s="634" t="s">
        <v>175</v>
      </c>
      <c r="D288" s="636" t="s">
        <v>744</v>
      </c>
      <c r="E288" s="636" t="s">
        <v>176</v>
      </c>
      <c r="F288" s="636" t="s">
        <v>177</v>
      </c>
      <c r="G288" s="636" t="s">
        <v>922</v>
      </c>
      <c r="H288" s="636" t="s">
        <v>923</v>
      </c>
      <c r="I288" s="856" t="s">
        <v>924</v>
      </c>
    </row>
    <row r="289" spans="1:9" s="384" customFormat="1" ht="15.75" customHeight="1" thickTop="1" thickBot="1" x14ac:dyDescent="0.25">
      <c r="A289" s="568">
        <v>1</v>
      </c>
      <c r="B289" s="569">
        <v>2</v>
      </c>
      <c r="C289" s="569">
        <v>3</v>
      </c>
      <c r="D289" s="569">
        <v>4</v>
      </c>
      <c r="E289" s="569">
        <v>5</v>
      </c>
      <c r="F289" s="543">
        <v>6</v>
      </c>
      <c r="G289" s="543">
        <v>7</v>
      </c>
      <c r="H289" s="544">
        <v>8</v>
      </c>
      <c r="I289" s="638" t="s">
        <v>801</v>
      </c>
    </row>
    <row r="290" spans="1:9" ht="15.75" customHeight="1" thickTop="1" x14ac:dyDescent="0.25">
      <c r="A290" s="1466">
        <v>1024</v>
      </c>
      <c r="B290" s="811">
        <v>3112</v>
      </c>
      <c r="C290" s="811">
        <v>5331</v>
      </c>
      <c r="D290" s="877"/>
      <c r="E290" s="898" t="s">
        <v>996</v>
      </c>
      <c r="F290" s="899">
        <v>15</v>
      </c>
      <c r="G290" s="899">
        <v>15</v>
      </c>
      <c r="H290" s="899">
        <v>15</v>
      </c>
      <c r="I290" s="864">
        <f t="shared" ref="I290:I310" si="13">(H290/G290)*100</f>
        <v>100</v>
      </c>
    </row>
    <row r="291" spans="1:9" ht="12" customHeight="1" x14ac:dyDescent="0.2">
      <c r="A291" s="432"/>
      <c r="B291" s="681"/>
      <c r="C291" s="681"/>
      <c r="D291" s="554" t="s">
        <v>606</v>
      </c>
      <c r="E291" s="456" t="s">
        <v>72</v>
      </c>
      <c r="F291" s="865">
        <v>15</v>
      </c>
      <c r="G291" s="865">
        <v>15</v>
      </c>
      <c r="H291" s="865">
        <v>15</v>
      </c>
      <c r="I291" s="861">
        <f t="shared" si="13"/>
        <v>100</v>
      </c>
    </row>
    <row r="292" spans="1:9" ht="12" customHeight="1" x14ac:dyDescent="0.25">
      <c r="A292" s="432">
        <v>1024</v>
      </c>
      <c r="B292" s="783">
        <v>3112</v>
      </c>
      <c r="C292" s="1468">
        <v>5336</v>
      </c>
      <c r="D292" s="570"/>
      <c r="E292" s="680" t="s">
        <v>1523</v>
      </c>
      <c r="F292" s="865"/>
      <c r="G292" s="889">
        <v>1034</v>
      </c>
      <c r="H292" s="889">
        <v>1034</v>
      </c>
      <c r="I292" s="891">
        <f t="shared" si="13"/>
        <v>100</v>
      </c>
    </row>
    <row r="293" spans="1:9" ht="12" customHeight="1" x14ac:dyDescent="0.2">
      <c r="A293" s="432"/>
      <c r="B293" s="783"/>
      <c r="C293" s="1467"/>
      <c r="D293" s="554" t="s">
        <v>1182</v>
      </c>
      <c r="E293" s="456" t="s">
        <v>832</v>
      </c>
      <c r="F293" s="865"/>
      <c r="G293" s="865">
        <v>1034</v>
      </c>
      <c r="H293" s="865">
        <v>1034</v>
      </c>
      <c r="I293" s="861">
        <f t="shared" si="13"/>
        <v>100</v>
      </c>
    </row>
    <row r="294" spans="1:9" ht="12" customHeight="1" x14ac:dyDescent="0.25">
      <c r="A294" s="432">
        <v>1024</v>
      </c>
      <c r="B294" s="783">
        <v>3114</v>
      </c>
      <c r="C294" s="1468">
        <v>5331</v>
      </c>
      <c r="D294" s="880"/>
      <c r="E294" s="680" t="s">
        <v>996</v>
      </c>
      <c r="F294" s="873">
        <f>SUM(F295:F297)</f>
        <v>1788</v>
      </c>
      <c r="G294" s="873">
        <f>SUM(G295:G297)</f>
        <v>1870</v>
      </c>
      <c r="H294" s="873">
        <f>SUM(H295:H297)</f>
        <v>1870</v>
      </c>
      <c r="I294" s="874">
        <f t="shared" si="13"/>
        <v>100</v>
      </c>
    </row>
    <row r="295" spans="1:9" ht="15.75" customHeight="1" x14ac:dyDescent="0.2">
      <c r="A295" s="432"/>
      <c r="B295" s="783"/>
      <c r="C295" s="1468"/>
      <c r="D295" s="719" t="s">
        <v>611</v>
      </c>
      <c r="E295" s="1569" t="s">
        <v>833</v>
      </c>
      <c r="F295" s="871">
        <v>196</v>
      </c>
      <c r="G295" s="871">
        <v>196</v>
      </c>
      <c r="H295" s="871">
        <v>196</v>
      </c>
      <c r="I295" s="866">
        <f t="shared" si="13"/>
        <v>100</v>
      </c>
    </row>
    <row r="296" spans="1:9" ht="13.5" customHeight="1" x14ac:dyDescent="0.2">
      <c r="A296" s="432"/>
      <c r="B296" s="783"/>
      <c r="C296" s="1468"/>
      <c r="D296" s="554" t="s">
        <v>606</v>
      </c>
      <c r="E296" s="456" t="s">
        <v>72</v>
      </c>
      <c r="F296" s="871">
        <v>1592</v>
      </c>
      <c r="G296" s="871">
        <v>1472</v>
      </c>
      <c r="H296" s="871">
        <v>1472</v>
      </c>
      <c r="I296" s="866">
        <f t="shared" si="13"/>
        <v>100</v>
      </c>
    </row>
    <row r="297" spans="1:9" ht="13.5" customHeight="1" x14ac:dyDescent="0.2">
      <c r="A297" s="432"/>
      <c r="B297" s="783"/>
      <c r="C297" s="1468"/>
      <c r="D297" s="1110" t="s">
        <v>703</v>
      </c>
      <c r="E297" s="1334" t="s">
        <v>1357</v>
      </c>
      <c r="F297" s="871"/>
      <c r="G297" s="871">
        <v>202</v>
      </c>
      <c r="H297" s="871">
        <v>202</v>
      </c>
      <c r="I297" s="866">
        <f t="shared" si="13"/>
        <v>100</v>
      </c>
    </row>
    <row r="298" spans="1:9" ht="15.75" customHeight="1" x14ac:dyDescent="0.25">
      <c r="A298" s="432">
        <v>1024</v>
      </c>
      <c r="B298" s="783">
        <v>3114</v>
      </c>
      <c r="C298" s="1468">
        <v>5336</v>
      </c>
      <c r="D298" s="570"/>
      <c r="E298" s="680" t="s">
        <v>1523</v>
      </c>
      <c r="F298" s="884"/>
      <c r="G298" s="884">
        <v>6983</v>
      </c>
      <c r="H298" s="884">
        <v>6983</v>
      </c>
      <c r="I298" s="874">
        <f t="shared" si="13"/>
        <v>100</v>
      </c>
    </row>
    <row r="299" spans="1:9" ht="15.75" customHeight="1" x14ac:dyDescent="0.25">
      <c r="A299" s="432"/>
      <c r="B299" s="783"/>
      <c r="C299" s="1468"/>
      <c r="D299" s="554" t="s">
        <v>1182</v>
      </c>
      <c r="E299" s="456" t="s">
        <v>832</v>
      </c>
      <c r="F299" s="884"/>
      <c r="G299" s="875">
        <v>6983</v>
      </c>
      <c r="H299" s="875">
        <v>6983</v>
      </c>
      <c r="I299" s="866">
        <f t="shared" si="13"/>
        <v>100</v>
      </c>
    </row>
    <row r="300" spans="1:9" ht="15.75" customHeight="1" x14ac:dyDescent="0.25">
      <c r="A300" s="432">
        <v>1024</v>
      </c>
      <c r="B300" s="783">
        <v>3141</v>
      </c>
      <c r="C300" s="1468">
        <v>5331</v>
      </c>
      <c r="D300" s="880"/>
      <c r="E300" s="680" t="s">
        <v>996</v>
      </c>
      <c r="F300" s="873">
        <v>8</v>
      </c>
      <c r="G300" s="873">
        <v>8</v>
      </c>
      <c r="H300" s="873">
        <v>8</v>
      </c>
      <c r="I300" s="874">
        <f t="shared" si="13"/>
        <v>100</v>
      </c>
    </row>
    <row r="301" spans="1:9" ht="18" customHeight="1" x14ac:dyDescent="0.2">
      <c r="A301" s="432"/>
      <c r="B301" s="783"/>
      <c r="C301" s="1468"/>
      <c r="D301" s="554" t="s">
        <v>606</v>
      </c>
      <c r="E301" s="456" t="s">
        <v>72</v>
      </c>
      <c r="F301" s="871">
        <v>8</v>
      </c>
      <c r="G301" s="871">
        <v>8</v>
      </c>
      <c r="H301" s="871">
        <v>8</v>
      </c>
      <c r="I301" s="866">
        <f t="shared" si="13"/>
        <v>100</v>
      </c>
    </row>
    <row r="302" spans="1:9" ht="15" x14ac:dyDescent="0.25">
      <c r="A302" s="432">
        <v>1024</v>
      </c>
      <c r="B302" s="783">
        <v>3141</v>
      </c>
      <c r="C302" s="1468">
        <v>5336</v>
      </c>
      <c r="D302" s="570"/>
      <c r="E302" s="680" t="s">
        <v>1523</v>
      </c>
      <c r="F302" s="871"/>
      <c r="G302" s="884">
        <v>24</v>
      </c>
      <c r="H302" s="884">
        <v>24</v>
      </c>
      <c r="I302" s="876">
        <f t="shared" si="13"/>
        <v>100</v>
      </c>
    </row>
    <row r="303" spans="1:9" ht="14.25" x14ac:dyDescent="0.2">
      <c r="A303" s="432"/>
      <c r="B303" s="783"/>
      <c r="C303" s="1468"/>
      <c r="D303" s="554" t="s">
        <v>1182</v>
      </c>
      <c r="E303" s="456" t="s">
        <v>832</v>
      </c>
      <c r="F303" s="871"/>
      <c r="G303" s="871">
        <v>24</v>
      </c>
      <c r="H303" s="871">
        <v>24</v>
      </c>
      <c r="I303" s="866">
        <f t="shared" si="13"/>
        <v>100</v>
      </c>
    </row>
    <row r="304" spans="1:9" ht="15" x14ac:dyDescent="0.25">
      <c r="A304" s="432">
        <v>1024</v>
      </c>
      <c r="B304" s="783">
        <v>3143</v>
      </c>
      <c r="C304" s="1468">
        <v>5331</v>
      </c>
      <c r="D304" s="880"/>
      <c r="E304" s="680" t="s">
        <v>996</v>
      </c>
      <c r="F304" s="873">
        <v>10</v>
      </c>
      <c r="G304" s="873">
        <v>10</v>
      </c>
      <c r="H304" s="873">
        <v>10</v>
      </c>
      <c r="I304" s="874">
        <f t="shared" si="13"/>
        <v>100</v>
      </c>
    </row>
    <row r="305" spans="1:20" ht="14.25" customHeight="1" x14ac:dyDescent="0.2">
      <c r="A305" s="432"/>
      <c r="B305" s="783"/>
      <c r="C305" s="1468"/>
      <c r="D305" s="554" t="s">
        <v>606</v>
      </c>
      <c r="E305" s="456" t="s">
        <v>72</v>
      </c>
      <c r="F305" s="871">
        <v>10</v>
      </c>
      <c r="G305" s="871">
        <v>10</v>
      </c>
      <c r="H305" s="871">
        <v>10</v>
      </c>
      <c r="I305" s="866">
        <f t="shared" si="13"/>
        <v>100</v>
      </c>
    </row>
    <row r="306" spans="1:20" ht="15" x14ac:dyDescent="0.25">
      <c r="A306" s="432">
        <v>1024</v>
      </c>
      <c r="B306" s="783">
        <v>3143</v>
      </c>
      <c r="C306" s="1468">
        <v>5336</v>
      </c>
      <c r="D306" s="570"/>
      <c r="E306" s="680" t="s">
        <v>1523</v>
      </c>
      <c r="F306" s="871"/>
      <c r="G306" s="884">
        <v>568</v>
      </c>
      <c r="H306" s="884">
        <v>568</v>
      </c>
      <c r="I306" s="876">
        <f t="shared" si="13"/>
        <v>100</v>
      </c>
    </row>
    <row r="307" spans="1:20" ht="14.25" x14ac:dyDescent="0.2">
      <c r="A307" s="432"/>
      <c r="B307" s="783"/>
      <c r="C307" s="1468"/>
      <c r="D307" s="554" t="s">
        <v>1182</v>
      </c>
      <c r="E307" s="456" t="s">
        <v>832</v>
      </c>
      <c r="F307" s="871"/>
      <c r="G307" s="871">
        <v>568</v>
      </c>
      <c r="H307" s="871">
        <v>568</v>
      </c>
      <c r="I307" s="866">
        <f t="shared" si="13"/>
        <v>100</v>
      </c>
    </row>
    <row r="308" spans="1:20" ht="15" x14ac:dyDescent="0.25">
      <c r="A308" s="432">
        <v>1024</v>
      </c>
      <c r="B308" s="783">
        <v>3146</v>
      </c>
      <c r="C308" s="1468">
        <v>5331</v>
      </c>
      <c r="D308" s="880"/>
      <c r="E308" s="680" t="s">
        <v>996</v>
      </c>
      <c r="F308" s="873">
        <v>65</v>
      </c>
      <c r="G308" s="873">
        <v>65</v>
      </c>
      <c r="H308" s="873">
        <v>65</v>
      </c>
      <c r="I308" s="874">
        <f t="shared" si="13"/>
        <v>100</v>
      </c>
    </row>
    <row r="309" spans="1:20" ht="15.75" customHeight="1" x14ac:dyDescent="0.2">
      <c r="A309" s="432"/>
      <c r="B309" s="783"/>
      <c r="C309" s="1468"/>
      <c r="D309" s="554" t="s">
        <v>606</v>
      </c>
      <c r="E309" s="456" t="s">
        <v>72</v>
      </c>
      <c r="F309" s="871">
        <v>65</v>
      </c>
      <c r="G309" s="871">
        <v>65</v>
      </c>
      <c r="H309" s="871">
        <v>65</v>
      </c>
      <c r="I309" s="866">
        <f t="shared" si="13"/>
        <v>100</v>
      </c>
    </row>
    <row r="310" spans="1:20" ht="15.75" customHeight="1" x14ac:dyDescent="0.25">
      <c r="A310" s="432">
        <v>1024</v>
      </c>
      <c r="B310" s="783">
        <v>3146</v>
      </c>
      <c r="C310" s="1468">
        <v>5336</v>
      </c>
      <c r="D310" s="570"/>
      <c r="E310" s="680" t="s">
        <v>1523</v>
      </c>
      <c r="F310" s="871"/>
      <c r="G310" s="884">
        <v>2362</v>
      </c>
      <c r="H310" s="884">
        <v>2362</v>
      </c>
      <c r="I310" s="876">
        <f t="shared" si="13"/>
        <v>100</v>
      </c>
    </row>
    <row r="311" spans="1:20" ht="15.75" customHeight="1" thickBot="1" x14ac:dyDescent="0.25">
      <c r="A311" s="432"/>
      <c r="B311" s="783"/>
      <c r="C311" s="1468"/>
      <c r="D311" s="554" t="s">
        <v>1182</v>
      </c>
      <c r="E311" s="456" t="s">
        <v>832</v>
      </c>
      <c r="F311" s="871"/>
      <c r="G311" s="871">
        <v>2362</v>
      </c>
      <c r="H311" s="871">
        <v>2362</v>
      </c>
      <c r="I311" s="866">
        <f>(H311/G311)*100</f>
        <v>100</v>
      </c>
    </row>
    <row r="312" spans="1:20" s="1574" customFormat="1" ht="15.75" customHeight="1" thickTop="1" thickBot="1" x14ac:dyDescent="0.25">
      <c r="A312" s="2696" t="s">
        <v>1162</v>
      </c>
      <c r="B312" s="2697"/>
      <c r="C312" s="2697"/>
      <c r="D312" s="2697"/>
      <c r="E312" s="2697"/>
      <c r="F312" s="1585">
        <f>SUM(F290,F294,F300,F304,F308)</f>
        <v>1886</v>
      </c>
      <c r="G312" s="1585">
        <f>SUM(G290,G294,G300,G304,G308,G298,G310,G306,G302,G292)</f>
        <v>12939</v>
      </c>
      <c r="H312" s="1585">
        <f>SUM(H290,H294,H300,H304,H308,H298,H310,H306,H302,H292)</f>
        <v>12939</v>
      </c>
      <c r="I312" s="1586">
        <f>(H312/G312)*100</f>
        <v>100</v>
      </c>
      <c r="R312" s="1587">
        <f>F312</f>
        <v>1886</v>
      </c>
      <c r="S312" s="1587">
        <f>G312</f>
        <v>12939</v>
      </c>
      <c r="T312" s="1587">
        <f>H312</f>
        <v>12939</v>
      </c>
    </row>
    <row r="313" spans="1:20" s="1574" customFormat="1" ht="15.75" customHeight="1" thickTop="1" x14ac:dyDescent="0.2">
      <c r="B313" s="1588"/>
      <c r="D313" s="1589"/>
      <c r="F313" s="1587"/>
      <c r="G313" s="1587"/>
      <c r="H313" s="1587"/>
      <c r="I313" s="1590"/>
    </row>
    <row r="314" spans="1:20" ht="15.75" customHeight="1" thickBot="1" x14ac:dyDescent="0.25">
      <c r="A314" s="433" t="s">
        <v>1317</v>
      </c>
      <c r="I314" s="1465" t="s">
        <v>173</v>
      </c>
    </row>
    <row r="315" spans="1:20" s="107" customFormat="1" thickTop="1" thickBot="1" x14ac:dyDescent="0.25">
      <c r="A315" s="633" t="s">
        <v>661</v>
      </c>
      <c r="B315" s="810" t="s">
        <v>174</v>
      </c>
      <c r="C315" s="634" t="s">
        <v>175</v>
      </c>
      <c r="D315" s="636" t="s">
        <v>744</v>
      </c>
      <c r="E315" s="636" t="s">
        <v>176</v>
      </c>
      <c r="F315" s="636" t="s">
        <v>177</v>
      </c>
      <c r="G315" s="636" t="s">
        <v>922</v>
      </c>
      <c r="H315" s="636" t="s">
        <v>923</v>
      </c>
      <c r="I315" s="856" t="s">
        <v>924</v>
      </c>
    </row>
    <row r="316" spans="1:20" s="384" customFormat="1" ht="20.25" customHeight="1" thickTop="1" thickBot="1" x14ac:dyDescent="0.25">
      <c r="A316" s="568">
        <v>1</v>
      </c>
      <c r="B316" s="569">
        <v>2</v>
      </c>
      <c r="C316" s="569">
        <v>3</v>
      </c>
      <c r="D316" s="569">
        <v>4</v>
      </c>
      <c r="E316" s="569">
        <v>5</v>
      </c>
      <c r="F316" s="543">
        <v>6</v>
      </c>
      <c r="G316" s="543">
        <v>7</v>
      </c>
      <c r="H316" s="544">
        <v>8</v>
      </c>
      <c r="I316" s="638" t="s">
        <v>801</v>
      </c>
    </row>
    <row r="317" spans="1:20" ht="15.75" thickTop="1" x14ac:dyDescent="0.25">
      <c r="A317" s="1466">
        <v>1025</v>
      </c>
      <c r="B317" s="811">
        <v>3112</v>
      </c>
      <c r="C317" s="811">
        <v>5336</v>
      </c>
      <c r="D317" s="877"/>
      <c r="E317" s="680" t="s">
        <v>1523</v>
      </c>
      <c r="F317" s="899"/>
      <c r="G317" s="899">
        <v>518</v>
      </c>
      <c r="H317" s="899">
        <v>518</v>
      </c>
      <c r="I317" s="864">
        <f t="shared" ref="I317:I326" si="14">(H317/G317)*100</f>
        <v>100</v>
      </c>
    </row>
    <row r="318" spans="1:20" ht="15.75" customHeight="1" x14ac:dyDescent="0.2">
      <c r="A318" s="432"/>
      <c r="B318" s="681"/>
      <c r="C318" s="1467"/>
      <c r="D318" s="554" t="s">
        <v>1182</v>
      </c>
      <c r="E318" s="456" t="s">
        <v>832</v>
      </c>
      <c r="F318" s="865"/>
      <c r="G318" s="865">
        <v>518</v>
      </c>
      <c r="H318" s="865">
        <v>518</v>
      </c>
      <c r="I318" s="861">
        <f t="shared" si="14"/>
        <v>100</v>
      </c>
    </row>
    <row r="319" spans="1:20" ht="15.75" customHeight="1" x14ac:dyDescent="0.25">
      <c r="A319" s="435">
        <v>1025</v>
      </c>
      <c r="B319" s="681">
        <v>3114</v>
      </c>
      <c r="C319" s="1468">
        <v>5331</v>
      </c>
      <c r="D319" s="880"/>
      <c r="E319" s="680" t="s">
        <v>996</v>
      </c>
      <c r="F319" s="873">
        <f>F320+F321</f>
        <v>533</v>
      </c>
      <c r="G319" s="873">
        <f>SUM(G320:G321)</f>
        <v>533</v>
      </c>
      <c r="H319" s="873">
        <f>SUM(H320:H321)</f>
        <v>533</v>
      </c>
      <c r="I319" s="874">
        <f t="shared" si="14"/>
        <v>100</v>
      </c>
    </row>
    <row r="320" spans="1:20" ht="15.75" customHeight="1" x14ac:dyDescent="0.2">
      <c r="A320" s="435"/>
      <c r="B320" s="681"/>
      <c r="C320" s="1468"/>
      <c r="D320" s="719" t="s">
        <v>611</v>
      </c>
      <c r="E320" s="1569" t="s">
        <v>833</v>
      </c>
      <c r="F320" s="871">
        <v>13</v>
      </c>
      <c r="G320" s="871">
        <v>13</v>
      </c>
      <c r="H320" s="871">
        <v>13</v>
      </c>
      <c r="I320" s="866">
        <f t="shared" si="14"/>
        <v>100</v>
      </c>
    </row>
    <row r="321" spans="1:27" ht="15.75" customHeight="1" x14ac:dyDescent="0.2">
      <c r="A321" s="435"/>
      <c r="B321" s="681"/>
      <c r="C321" s="1468"/>
      <c r="D321" s="554" t="s">
        <v>606</v>
      </c>
      <c r="E321" s="456" t="s">
        <v>72</v>
      </c>
      <c r="F321" s="871">
        <v>520</v>
      </c>
      <c r="G321" s="871">
        <v>520</v>
      </c>
      <c r="H321" s="871">
        <v>520</v>
      </c>
      <c r="I321" s="866">
        <f t="shared" si="14"/>
        <v>100</v>
      </c>
    </row>
    <row r="322" spans="1:27" ht="15.75" customHeight="1" x14ac:dyDescent="0.25">
      <c r="A322" s="435">
        <v>1025</v>
      </c>
      <c r="B322" s="681">
        <v>3114</v>
      </c>
      <c r="C322" s="1468">
        <v>5336</v>
      </c>
      <c r="D322" s="570"/>
      <c r="E322" s="680" t="s">
        <v>1523</v>
      </c>
      <c r="F322" s="884"/>
      <c r="G322" s="884">
        <v>4199</v>
      </c>
      <c r="H322" s="884">
        <v>4199</v>
      </c>
      <c r="I322" s="874">
        <f t="shared" si="14"/>
        <v>100</v>
      </c>
    </row>
    <row r="323" spans="1:27" ht="15.75" customHeight="1" x14ac:dyDescent="0.25">
      <c r="A323" s="435"/>
      <c r="B323" s="681"/>
      <c r="C323" s="1468"/>
      <c r="D323" s="554" t="s">
        <v>1182</v>
      </c>
      <c r="E323" s="456" t="s">
        <v>832</v>
      </c>
      <c r="F323" s="884"/>
      <c r="G323" s="875">
        <v>4199</v>
      </c>
      <c r="H323" s="875">
        <v>4199</v>
      </c>
      <c r="I323" s="866">
        <f t="shared" si="14"/>
        <v>100</v>
      </c>
    </row>
    <row r="324" spans="1:27" ht="15.75" customHeight="1" x14ac:dyDescent="0.25">
      <c r="A324" s="435">
        <v>1025</v>
      </c>
      <c r="B324" s="681">
        <v>3792</v>
      </c>
      <c r="C324" s="1468">
        <v>5331</v>
      </c>
      <c r="D324" s="554"/>
      <c r="E324" s="680" t="s">
        <v>996</v>
      </c>
      <c r="F324" s="884"/>
      <c r="G324" s="884">
        <v>15</v>
      </c>
      <c r="H324" s="884">
        <v>15</v>
      </c>
      <c r="I324" s="876">
        <f t="shared" si="14"/>
        <v>100</v>
      </c>
    </row>
    <row r="325" spans="1:27" ht="15.75" customHeight="1" thickBot="1" x14ac:dyDescent="0.3">
      <c r="A325" s="435"/>
      <c r="B325" s="681"/>
      <c r="C325" s="1468"/>
      <c r="D325" s="1110" t="s">
        <v>1382</v>
      </c>
      <c r="E325" s="1215" t="s">
        <v>389</v>
      </c>
      <c r="F325" s="884"/>
      <c r="G325" s="875">
        <v>15</v>
      </c>
      <c r="H325" s="875">
        <v>15</v>
      </c>
      <c r="I325" s="866">
        <f t="shared" si="14"/>
        <v>100</v>
      </c>
    </row>
    <row r="326" spans="1:27" s="1574" customFormat="1" ht="16.5" thickTop="1" thickBot="1" x14ac:dyDescent="0.25">
      <c r="A326" s="2696" t="s">
        <v>1162</v>
      </c>
      <c r="B326" s="2697"/>
      <c r="C326" s="2697"/>
      <c r="D326" s="2697"/>
      <c r="E326" s="2697"/>
      <c r="F326" s="1585">
        <f>F319+F317+F322</f>
        <v>533</v>
      </c>
      <c r="G326" s="1585">
        <f>G319+G317+G322+G324</f>
        <v>5265</v>
      </c>
      <c r="H326" s="1585">
        <f>H319+H317+H322+H324</f>
        <v>5265</v>
      </c>
      <c r="I326" s="1586">
        <f t="shared" si="14"/>
        <v>100</v>
      </c>
      <c r="J326" s="1587" t="e">
        <f>F326+#REF!</f>
        <v>#REF!</v>
      </c>
      <c r="K326" s="1587" t="e">
        <f>G326+#REF!</f>
        <v>#REF!</v>
      </c>
      <c r="L326" s="1587" t="e">
        <f>H326+#REF!</f>
        <v>#REF!</v>
      </c>
      <c r="R326" s="1587">
        <f>F326</f>
        <v>533</v>
      </c>
      <c r="S326" s="1587">
        <f>G326</f>
        <v>5265</v>
      </c>
      <c r="T326" s="1587">
        <f>H326</f>
        <v>5265</v>
      </c>
      <c r="V326" s="1587"/>
      <c r="W326" s="1587"/>
      <c r="Y326" s="1587"/>
      <c r="Z326" s="1587"/>
      <c r="AA326" s="1587"/>
    </row>
    <row r="327" spans="1:27" ht="20.25" customHeight="1" thickTop="1" x14ac:dyDescent="0.2"/>
    <row r="328" spans="1:27" ht="13.5" thickBot="1" x14ac:dyDescent="0.25">
      <c r="A328" s="433" t="s">
        <v>330</v>
      </c>
      <c r="I328" s="1465" t="s">
        <v>173</v>
      </c>
    </row>
    <row r="329" spans="1:27" s="107" customFormat="1" thickTop="1" thickBot="1" x14ac:dyDescent="0.25">
      <c r="A329" s="633" t="s">
        <v>661</v>
      </c>
      <c r="B329" s="810" t="s">
        <v>174</v>
      </c>
      <c r="C329" s="634" t="s">
        <v>175</v>
      </c>
      <c r="D329" s="636" t="s">
        <v>744</v>
      </c>
      <c r="E329" s="636" t="s">
        <v>176</v>
      </c>
      <c r="F329" s="636" t="s">
        <v>177</v>
      </c>
      <c r="G329" s="636" t="s">
        <v>922</v>
      </c>
      <c r="H329" s="636" t="s">
        <v>923</v>
      </c>
      <c r="I329" s="856" t="s">
        <v>924</v>
      </c>
    </row>
    <row r="330" spans="1:27" s="384" customFormat="1" ht="13.5" thickTop="1" thickBot="1" x14ac:dyDescent="0.25">
      <c r="A330" s="568">
        <v>1</v>
      </c>
      <c r="B330" s="569">
        <v>2</v>
      </c>
      <c r="C330" s="569">
        <v>3</v>
      </c>
      <c r="D330" s="569">
        <v>4</v>
      </c>
      <c r="E330" s="569">
        <v>5</v>
      </c>
      <c r="F330" s="543">
        <v>6</v>
      </c>
      <c r="G330" s="543">
        <v>7</v>
      </c>
      <c r="H330" s="544">
        <v>8</v>
      </c>
      <c r="I330" s="638" t="s">
        <v>801</v>
      </c>
    </row>
    <row r="331" spans="1:27" ht="15.75" thickTop="1" x14ac:dyDescent="0.25">
      <c r="A331" s="1466">
        <v>1026</v>
      </c>
      <c r="B331" s="811">
        <v>3112</v>
      </c>
      <c r="C331" s="811">
        <v>5331</v>
      </c>
      <c r="D331" s="877"/>
      <c r="E331" s="898" t="s">
        <v>996</v>
      </c>
      <c r="F331" s="899">
        <v>12</v>
      </c>
      <c r="G331" s="899">
        <v>12</v>
      </c>
      <c r="H331" s="899">
        <v>12</v>
      </c>
      <c r="I331" s="864">
        <f t="shared" ref="I331:I341" si="15">(H331/G331)*100</f>
        <v>100</v>
      </c>
    </row>
    <row r="332" spans="1:27" ht="15.75" customHeight="1" x14ac:dyDescent="0.2">
      <c r="A332" s="432"/>
      <c r="B332" s="681"/>
      <c r="C332" s="681"/>
      <c r="D332" s="554" t="s">
        <v>606</v>
      </c>
      <c r="E332" s="456" t="s">
        <v>72</v>
      </c>
      <c r="F332" s="865">
        <v>12</v>
      </c>
      <c r="G332" s="865">
        <v>12</v>
      </c>
      <c r="H332" s="865">
        <v>12</v>
      </c>
      <c r="I332" s="861">
        <f t="shared" si="15"/>
        <v>100</v>
      </c>
    </row>
    <row r="333" spans="1:27" ht="15.75" customHeight="1" x14ac:dyDescent="0.25">
      <c r="A333" s="435">
        <v>1026</v>
      </c>
      <c r="B333" s="681">
        <v>3112</v>
      </c>
      <c r="C333" s="1468">
        <v>5336</v>
      </c>
      <c r="D333" s="570"/>
      <c r="E333" s="680" t="s">
        <v>1523</v>
      </c>
      <c r="F333" s="865"/>
      <c r="G333" s="884">
        <v>810</v>
      </c>
      <c r="H333" s="884">
        <v>810</v>
      </c>
      <c r="I333" s="891">
        <f t="shared" si="15"/>
        <v>100</v>
      </c>
    </row>
    <row r="334" spans="1:27" ht="15.75" customHeight="1" x14ac:dyDescent="0.2">
      <c r="A334" s="432"/>
      <c r="B334" s="681"/>
      <c r="C334" s="1467"/>
      <c r="D334" s="554" t="s">
        <v>1182</v>
      </c>
      <c r="E334" s="456" t="s">
        <v>832</v>
      </c>
      <c r="F334" s="865"/>
      <c r="G334" s="871">
        <v>810</v>
      </c>
      <c r="H334" s="871">
        <v>810</v>
      </c>
      <c r="I334" s="861">
        <f t="shared" si="15"/>
        <v>100</v>
      </c>
    </row>
    <row r="335" spans="1:27" ht="15.75" customHeight="1" x14ac:dyDescent="0.25">
      <c r="A335" s="432">
        <v>1026</v>
      </c>
      <c r="B335" s="783">
        <v>3114</v>
      </c>
      <c r="C335" s="1468">
        <v>5331</v>
      </c>
      <c r="D335" s="880"/>
      <c r="E335" s="680" t="s">
        <v>996</v>
      </c>
      <c r="F335" s="873">
        <v>433</v>
      </c>
      <c r="G335" s="873">
        <v>433</v>
      </c>
      <c r="H335" s="873">
        <v>433</v>
      </c>
      <c r="I335" s="874">
        <f t="shared" si="15"/>
        <v>100</v>
      </c>
    </row>
    <row r="336" spans="1:27" ht="15.75" customHeight="1" x14ac:dyDescent="0.2">
      <c r="A336" s="432"/>
      <c r="B336" s="783"/>
      <c r="C336" s="1468"/>
      <c r="D336" s="554" t="s">
        <v>606</v>
      </c>
      <c r="E336" s="456" t="s">
        <v>72</v>
      </c>
      <c r="F336" s="871">
        <v>433</v>
      </c>
      <c r="G336" s="871">
        <v>433</v>
      </c>
      <c r="H336" s="871">
        <v>433</v>
      </c>
      <c r="I336" s="866">
        <f t="shared" si="15"/>
        <v>100</v>
      </c>
    </row>
    <row r="337" spans="1:20" ht="15.75" customHeight="1" x14ac:dyDescent="0.25">
      <c r="A337" s="435">
        <v>1026</v>
      </c>
      <c r="B337" s="681">
        <v>3114</v>
      </c>
      <c r="C337" s="1468">
        <v>5336</v>
      </c>
      <c r="D337" s="570"/>
      <c r="E337" s="680" t="s">
        <v>1523</v>
      </c>
      <c r="F337" s="871"/>
      <c r="G337" s="884">
        <f>G338+G339+G340</f>
        <v>3714</v>
      </c>
      <c r="H337" s="884">
        <f>H338+H339+H340</f>
        <v>3714</v>
      </c>
      <c r="I337" s="876">
        <f t="shared" si="15"/>
        <v>100</v>
      </c>
    </row>
    <row r="338" spans="1:20" ht="15.75" customHeight="1" x14ac:dyDescent="0.2">
      <c r="A338" s="432"/>
      <c r="B338" s="783"/>
      <c r="C338" s="1468"/>
      <c r="D338" s="554" t="s">
        <v>1182</v>
      </c>
      <c r="E338" s="456" t="s">
        <v>832</v>
      </c>
      <c r="F338" s="871"/>
      <c r="G338" s="871">
        <v>3538</v>
      </c>
      <c r="H338" s="871">
        <v>3538</v>
      </c>
      <c r="I338" s="866">
        <f t="shared" si="15"/>
        <v>100</v>
      </c>
    </row>
    <row r="339" spans="1:20" ht="15.75" customHeight="1" x14ac:dyDescent="0.2">
      <c r="A339" s="432"/>
      <c r="B339" s="783"/>
      <c r="C339" s="1468"/>
      <c r="D339" s="570" t="s">
        <v>976</v>
      </c>
      <c r="E339" s="906" t="s">
        <v>1524</v>
      </c>
      <c r="F339" s="871"/>
      <c r="G339" s="871">
        <v>26</v>
      </c>
      <c r="H339" s="871">
        <v>26</v>
      </c>
      <c r="I339" s="866">
        <f t="shared" si="15"/>
        <v>100</v>
      </c>
    </row>
    <row r="340" spans="1:20" ht="15.75" customHeight="1" thickBot="1" x14ac:dyDescent="0.25">
      <c r="A340" s="432"/>
      <c r="B340" s="783"/>
      <c r="C340" s="1468"/>
      <c r="D340" s="570" t="s">
        <v>978</v>
      </c>
      <c r="E340" s="906" t="s">
        <v>1525</v>
      </c>
      <c r="F340" s="871"/>
      <c r="G340" s="871">
        <v>150</v>
      </c>
      <c r="H340" s="871">
        <v>150</v>
      </c>
      <c r="I340" s="866">
        <f t="shared" si="15"/>
        <v>100</v>
      </c>
    </row>
    <row r="341" spans="1:20" s="1574" customFormat="1" ht="18" customHeight="1" thickTop="1" thickBot="1" x14ac:dyDescent="0.25">
      <c r="A341" s="2696" t="s">
        <v>1162</v>
      </c>
      <c r="B341" s="2697"/>
      <c r="C341" s="2697"/>
      <c r="D341" s="2697"/>
      <c r="E341" s="2697"/>
      <c r="F341" s="1585">
        <f>SUM(F331,F335)</f>
        <v>445</v>
      </c>
      <c r="G341" s="1585">
        <f>SUM(G331,G335,G333,G337)</f>
        <v>4969</v>
      </c>
      <c r="H341" s="1585">
        <f>SUM(H331,H335,H333,H337)</f>
        <v>4969</v>
      </c>
      <c r="I341" s="1586">
        <f t="shared" si="15"/>
        <v>100</v>
      </c>
      <c r="R341" s="1587">
        <f>F341</f>
        <v>445</v>
      </c>
      <c r="S341" s="1587">
        <f>G341</f>
        <v>4969</v>
      </c>
      <c r="T341" s="1587">
        <f>H341</f>
        <v>4969</v>
      </c>
    </row>
    <row r="342" spans="1:20" ht="13.5" thickTop="1" x14ac:dyDescent="0.2"/>
    <row r="343" spans="1:20" ht="20.25" customHeight="1" thickBot="1" x14ac:dyDescent="0.25">
      <c r="A343" s="433" t="s">
        <v>331</v>
      </c>
      <c r="I343" s="1465" t="s">
        <v>173</v>
      </c>
    </row>
    <row r="344" spans="1:20" s="107" customFormat="1" thickTop="1" thickBot="1" x14ac:dyDescent="0.25">
      <c r="A344" s="633" t="s">
        <v>661</v>
      </c>
      <c r="B344" s="810" t="s">
        <v>174</v>
      </c>
      <c r="C344" s="634" t="s">
        <v>175</v>
      </c>
      <c r="D344" s="636" t="s">
        <v>744</v>
      </c>
      <c r="E344" s="636" t="s">
        <v>176</v>
      </c>
      <c r="F344" s="636" t="s">
        <v>177</v>
      </c>
      <c r="G344" s="636" t="s">
        <v>922</v>
      </c>
      <c r="H344" s="636" t="s">
        <v>923</v>
      </c>
      <c r="I344" s="856" t="s">
        <v>924</v>
      </c>
    </row>
    <row r="345" spans="1:20" s="384" customFormat="1" ht="13.5" thickTop="1" thickBot="1" x14ac:dyDescent="0.25">
      <c r="A345" s="568">
        <v>1</v>
      </c>
      <c r="B345" s="569">
        <v>2</v>
      </c>
      <c r="C345" s="569">
        <v>3</v>
      </c>
      <c r="D345" s="569">
        <v>4</v>
      </c>
      <c r="E345" s="569">
        <v>5</v>
      </c>
      <c r="F345" s="543">
        <v>6</v>
      </c>
      <c r="G345" s="543">
        <v>7</v>
      </c>
      <c r="H345" s="544">
        <v>8</v>
      </c>
      <c r="I345" s="638" t="s">
        <v>801</v>
      </c>
    </row>
    <row r="346" spans="1:20" ht="15.75" thickTop="1" x14ac:dyDescent="0.25">
      <c r="A346" s="1466">
        <v>1032</v>
      </c>
      <c r="B346" s="811">
        <v>3114</v>
      </c>
      <c r="C346" s="811">
        <v>5331</v>
      </c>
      <c r="D346" s="877"/>
      <c r="E346" s="898" t="s">
        <v>996</v>
      </c>
      <c r="F346" s="899">
        <f>SUM(F347:F348)</f>
        <v>1179</v>
      </c>
      <c r="G346" s="899">
        <f>SUM(G347:G348)</f>
        <v>1154</v>
      </c>
      <c r="H346" s="899">
        <f>SUM(H347:H348)</f>
        <v>1154</v>
      </c>
      <c r="I346" s="864">
        <f>(H346/G346)*100</f>
        <v>100</v>
      </c>
    </row>
    <row r="347" spans="1:20" ht="14.25" x14ac:dyDescent="0.2">
      <c r="A347" s="432"/>
      <c r="B347" s="681"/>
      <c r="C347" s="681"/>
      <c r="D347" s="719" t="s">
        <v>611</v>
      </c>
      <c r="E347" s="1569" t="s">
        <v>833</v>
      </c>
      <c r="F347" s="865">
        <v>261</v>
      </c>
      <c r="G347" s="865">
        <v>236</v>
      </c>
      <c r="H347" s="865">
        <v>236</v>
      </c>
      <c r="I347" s="861">
        <f>(H347/G347)*100</f>
        <v>100</v>
      </c>
    </row>
    <row r="348" spans="1:20" ht="14.25" x14ac:dyDescent="0.2">
      <c r="A348" s="432"/>
      <c r="B348" s="681"/>
      <c r="C348" s="681"/>
      <c r="D348" s="554" t="s">
        <v>606</v>
      </c>
      <c r="E348" s="456" t="s">
        <v>72</v>
      </c>
      <c r="F348" s="865">
        <v>918</v>
      </c>
      <c r="G348" s="865">
        <v>918</v>
      </c>
      <c r="H348" s="865">
        <v>918</v>
      </c>
      <c r="I348" s="861">
        <f>(H348/G348)*100</f>
        <v>100</v>
      </c>
    </row>
    <row r="349" spans="1:20" ht="15" x14ac:dyDescent="0.25">
      <c r="A349" s="435">
        <v>1032</v>
      </c>
      <c r="B349" s="681">
        <v>3114</v>
      </c>
      <c r="C349" s="1468">
        <v>5336</v>
      </c>
      <c r="D349" s="570"/>
      <c r="E349" s="680" t="s">
        <v>1523</v>
      </c>
      <c r="F349" s="884"/>
      <c r="G349" s="884">
        <v>7588</v>
      </c>
      <c r="H349" s="884">
        <v>7588</v>
      </c>
      <c r="I349" s="874">
        <f t="shared" ref="I349:I355" si="16">(H349/G349)*100</f>
        <v>100</v>
      </c>
    </row>
    <row r="350" spans="1:20" ht="15" x14ac:dyDescent="0.25">
      <c r="A350" s="435"/>
      <c r="B350" s="681"/>
      <c r="C350" s="1468"/>
      <c r="D350" s="554" t="s">
        <v>1182</v>
      </c>
      <c r="E350" s="456" t="s">
        <v>832</v>
      </c>
      <c r="F350" s="884"/>
      <c r="G350" s="875">
        <v>7588</v>
      </c>
      <c r="H350" s="875">
        <v>7588</v>
      </c>
      <c r="I350" s="866">
        <f t="shared" si="16"/>
        <v>100</v>
      </c>
    </row>
    <row r="351" spans="1:20" ht="15" x14ac:dyDescent="0.25">
      <c r="A351" s="432">
        <v>1032</v>
      </c>
      <c r="B351" s="783">
        <v>3141</v>
      </c>
      <c r="C351" s="1468">
        <v>5336</v>
      </c>
      <c r="D351" s="570"/>
      <c r="E351" s="680" t="s">
        <v>1523</v>
      </c>
      <c r="F351" s="873"/>
      <c r="G351" s="873">
        <v>4</v>
      </c>
      <c r="H351" s="873">
        <v>4</v>
      </c>
      <c r="I351" s="874">
        <f t="shared" si="16"/>
        <v>100</v>
      </c>
    </row>
    <row r="352" spans="1:20" ht="14.25" x14ac:dyDescent="0.2">
      <c r="A352" s="432"/>
      <c r="B352" s="783"/>
      <c r="C352" s="1468"/>
      <c r="D352" s="554" t="s">
        <v>1182</v>
      </c>
      <c r="E352" s="456" t="s">
        <v>832</v>
      </c>
      <c r="F352" s="871"/>
      <c r="G352" s="871">
        <v>4</v>
      </c>
      <c r="H352" s="871">
        <v>4</v>
      </c>
      <c r="I352" s="866">
        <v>4</v>
      </c>
    </row>
    <row r="353" spans="1:20" ht="15" x14ac:dyDescent="0.25">
      <c r="A353" s="432">
        <v>1032</v>
      </c>
      <c r="B353" s="783">
        <v>3143</v>
      </c>
      <c r="C353" s="1468">
        <v>5336</v>
      </c>
      <c r="D353" s="570"/>
      <c r="E353" s="680" t="s">
        <v>1523</v>
      </c>
      <c r="F353" s="873"/>
      <c r="G353" s="873">
        <v>259</v>
      </c>
      <c r="H353" s="873">
        <v>259</v>
      </c>
      <c r="I353" s="874">
        <f t="shared" si="16"/>
        <v>100</v>
      </c>
    </row>
    <row r="354" spans="1:20" ht="15" thickBot="1" x14ac:dyDescent="0.25">
      <c r="A354" s="432"/>
      <c r="B354" s="783"/>
      <c r="C354" s="1468"/>
      <c r="D354" s="554" t="s">
        <v>1182</v>
      </c>
      <c r="E354" s="456" t="s">
        <v>832</v>
      </c>
      <c r="F354" s="871"/>
      <c r="G354" s="871">
        <v>259</v>
      </c>
      <c r="H354" s="871">
        <v>259</v>
      </c>
      <c r="I354" s="866">
        <f t="shared" si="16"/>
        <v>100</v>
      </c>
    </row>
    <row r="355" spans="1:20" s="1574" customFormat="1" ht="16.5" thickTop="1" thickBot="1" x14ac:dyDescent="0.25">
      <c r="A355" s="2696" t="s">
        <v>1162</v>
      </c>
      <c r="B355" s="2697"/>
      <c r="C355" s="2697"/>
      <c r="D355" s="2697"/>
      <c r="E355" s="2697"/>
      <c r="F355" s="1585">
        <f>SUM(F346+F351)</f>
        <v>1179</v>
      </c>
      <c r="G355" s="1585">
        <f>SUM(G346+G351+G353+G349)</f>
        <v>9005</v>
      </c>
      <c r="H355" s="1585">
        <f>SUM(H346+H351+H353+H349)</f>
        <v>9005</v>
      </c>
      <c r="I355" s="1586">
        <f t="shared" si="16"/>
        <v>100</v>
      </c>
      <c r="R355" s="1587">
        <f>F355</f>
        <v>1179</v>
      </c>
      <c r="S355" s="1587">
        <f>G355</f>
        <v>9005</v>
      </c>
      <c r="T355" s="1587">
        <f>H355</f>
        <v>9005</v>
      </c>
    </row>
    <row r="356" spans="1:20" ht="13.5" thickTop="1" x14ac:dyDescent="0.2"/>
    <row r="359" spans="1:20" ht="13.5" thickBot="1" x14ac:dyDescent="0.25">
      <c r="A359" s="433" t="s">
        <v>332</v>
      </c>
      <c r="I359" s="1465" t="s">
        <v>173</v>
      </c>
    </row>
    <row r="360" spans="1:20" s="107" customFormat="1" ht="20.25" customHeight="1" thickTop="1" thickBot="1" x14ac:dyDescent="0.25">
      <c r="A360" s="633" t="s">
        <v>661</v>
      </c>
      <c r="B360" s="810" t="s">
        <v>174</v>
      </c>
      <c r="C360" s="634" t="s">
        <v>175</v>
      </c>
      <c r="D360" s="636" t="s">
        <v>744</v>
      </c>
      <c r="E360" s="636" t="s">
        <v>176</v>
      </c>
      <c r="F360" s="636" t="s">
        <v>177</v>
      </c>
      <c r="G360" s="636" t="s">
        <v>922</v>
      </c>
      <c r="H360" s="636" t="s">
        <v>923</v>
      </c>
      <c r="I360" s="856" t="s">
        <v>924</v>
      </c>
    </row>
    <row r="361" spans="1:20" s="384" customFormat="1" ht="13.5" thickTop="1" thickBot="1" x14ac:dyDescent="0.25">
      <c r="A361" s="568">
        <v>1</v>
      </c>
      <c r="B361" s="569">
        <v>2</v>
      </c>
      <c r="C361" s="569">
        <v>3</v>
      </c>
      <c r="D361" s="569">
        <v>4</v>
      </c>
      <c r="E361" s="569">
        <v>5</v>
      </c>
      <c r="F361" s="543">
        <v>6</v>
      </c>
      <c r="G361" s="543">
        <v>7</v>
      </c>
      <c r="H361" s="544">
        <v>8</v>
      </c>
      <c r="I361" s="638" t="s">
        <v>801</v>
      </c>
    </row>
    <row r="362" spans="1:20" ht="15.75" thickTop="1" x14ac:dyDescent="0.25">
      <c r="A362" s="1466">
        <v>1033</v>
      </c>
      <c r="B362" s="811">
        <v>3114</v>
      </c>
      <c r="C362" s="811">
        <v>5331</v>
      </c>
      <c r="D362" s="877"/>
      <c r="E362" s="898" t="s">
        <v>996</v>
      </c>
      <c r="F362" s="899">
        <f>F363+F364</f>
        <v>1018</v>
      </c>
      <c r="G362" s="899">
        <f>SUM(G363:G364)</f>
        <v>1128</v>
      </c>
      <c r="H362" s="899">
        <f>SUM(H363:H364)</f>
        <v>1128</v>
      </c>
      <c r="I362" s="864">
        <f t="shared" ref="I362:I373" si="17">(H362/G362)*100</f>
        <v>100</v>
      </c>
    </row>
    <row r="363" spans="1:20" ht="14.25" x14ac:dyDescent="0.2">
      <c r="A363" s="432"/>
      <c r="B363" s="681"/>
      <c r="C363" s="681"/>
      <c r="D363" s="719" t="s">
        <v>611</v>
      </c>
      <c r="E363" s="1569" t="s">
        <v>833</v>
      </c>
      <c r="F363" s="865">
        <v>55</v>
      </c>
      <c r="G363" s="865">
        <v>45</v>
      </c>
      <c r="H363" s="865">
        <v>45</v>
      </c>
      <c r="I363" s="861">
        <f t="shared" si="17"/>
        <v>100</v>
      </c>
    </row>
    <row r="364" spans="1:20" ht="14.25" x14ac:dyDescent="0.2">
      <c r="A364" s="432"/>
      <c r="B364" s="681"/>
      <c r="C364" s="681"/>
      <c r="D364" s="554" t="s">
        <v>606</v>
      </c>
      <c r="E364" s="456" t="s">
        <v>72</v>
      </c>
      <c r="F364" s="865">
        <v>963</v>
      </c>
      <c r="G364" s="865">
        <v>1083</v>
      </c>
      <c r="H364" s="865">
        <v>1083</v>
      </c>
      <c r="I364" s="861">
        <f t="shared" si="17"/>
        <v>100</v>
      </c>
    </row>
    <row r="365" spans="1:20" ht="15" x14ac:dyDescent="0.25">
      <c r="A365" s="435">
        <v>1033</v>
      </c>
      <c r="B365" s="681">
        <v>3114</v>
      </c>
      <c r="C365" s="1468">
        <v>5336</v>
      </c>
      <c r="D365" s="570"/>
      <c r="E365" s="680" t="s">
        <v>1523</v>
      </c>
      <c r="F365" s="865"/>
      <c r="G365" s="889">
        <f>G366+G367+G368</f>
        <v>4603</v>
      </c>
      <c r="H365" s="889">
        <f>H366+H367+H368</f>
        <v>4603</v>
      </c>
      <c r="I365" s="891">
        <f t="shared" si="17"/>
        <v>100</v>
      </c>
    </row>
    <row r="366" spans="1:20" ht="14.25" x14ac:dyDescent="0.2">
      <c r="A366" s="432"/>
      <c r="B366" s="681"/>
      <c r="C366" s="681"/>
      <c r="D366" s="554" t="s">
        <v>1182</v>
      </c>
      <c r="E366" s="456" t="s">
        <v>832</v>
      </c>
      <c r="F366" s="865"/>
      <c r="G366" s="865">
        <v>4312</v>
      </c>
      <c r="H366" s="865">
        <v>4312</v>
      </c>
      <c r="I366" s="861">
        <f t="shared" si="17"/>
        <v>100</v>
      </c>
    </row>
    <row r="367" spans="1:20" ht="14.25" x14ac:dyDescent="0.2">
      <c r="A367" s="432"/>
      <c r="B367" s="783"/>
      <c r="C367" s="783"/>
      <c r="D367" s="570" t="s">
        <v>976</v>
      </c>
      <c r="E367" s="906" t="s">
        <v>1524</v>
      </c>
      <c r="F367" s="871"/>
      <c r="G367" s="871">
        <v>44</v>
      </c>
      <c r="H367" s="871">
        <v>44</v>
      </c>
      <c r="I367" s="866">
        <f t="shared" si="17"/>
        <v>100</v>
      </c>
    </row>
    <row r="368" spans="1:20" ht="14.25" x14ac:dyDescent="0.2">
      <c r="A368" s="432"/>
      <c r="B368" s="783"/>
      <c r="C368" s="783"/>
      <c r="D368" s="570" t="s">
        <v>978</v>
      </c>
      <c r="E368" s="906" t="s">
        <v>1525</v>
      </c>
      <c r="F368" s="871"/>
      <c r="G368" s="871">
        <v>247</v>
      </c>
      <c r="H368" s="871">
        <v>247</v>
      </c>
      <c r="I368" s="866">
        <f t="shared" si="17"/>
        <v>100</v>
      </c>
    </row>
    <row r="369" spans="1:20" ht="15" x14ac:dyDescent="0.25">
      <c r="A369" s="432">
        <v>1033</v>
      </c>
      <c r="B369" s="783">
        <v>3141</v>
      </c>
      <c r="C369" s="1468">
        <v>5336</v>
      </c>
      <c r="D369" s="570"/>
      <c r="E369" s="680" t="s">
        <v>1523</v>
      </c>
      <c r="F369" s="873"/>
      <c r="G369" s="873">
        <v>12</v>
      </c>
      <c r="H369" s="873">
        <v>12</v>
      </c>
      <c r="I369" s="874">
        <f t="shared" si="17"/>
        <v>100</v>
      </c>
    </row>
    <row r="370" spans="1:20" ht="14.25" x14ac:dyDescent="0.2">
      <c r="A370" s="432"/>
      <c r="B370" s="783"/>
      <c r="C370" s="783"/>
      <c r="D370" s="554" t="s">
        <v>1182</v>
      </c>
      <c r="E370" s="456" t="s">
        <v>832</v>
      </c>
      <c r="F370" s="871"/>
      <c r="G370" s="871">
        <v>12</v>
      </c>
      <c r="H370" s="871">
        <v>12</v>
      </c>
      <c r="I370" s="866">
        <f t="shared" si="17"/>
        <v>100</v>
      </c>
    </row>
    <row r="371" spans="1:20" ht="15" x14ac:dyDescent="0.25">
      <c r="A371" s="432">
        <v>1033</v>
      </c>
      <c r="B371" s="783">
        <v>3143</v>
      </c>
      <c r="C371" s="1468">
        <v>5336</v>
      </c>
      <c r="D371" s="570"/>
      <c r="E371" s="680" t="s">
        <v>1523</v>
      </c>
      <c r="F371" s="873"/>
      <c r="G371" s="873">
        <v>306</v>
      </c>
      <c r="H371" s="873">
        <v>306</v>
      </c>
      <c r="I371" s="874">
        <f t="shared" si="17"/>
        <v>100</v>
      </c>
    </row>
    <row r="372" spans="1:20" ht="15" thickBot="1" x14ac:dyDescent="0.25">
      <c r="A372" s="432"/>
      <c r="B372" s="783"/>
      <c r="C372" s="1468"/>
      <c r="D372" s="554" t="s">
        <v>1182</v>
      </c>
      <c r="E372" s="456" t="s">
        <v>832</v>
      </c>
      <c r="F372" s="871"/>
      <c r="G372" s="871">
        <v>306</v>
      </c>
      <c r="H372" s="871">
        <v>306</v>
      </c>
      <c r="I372" s="866">
        <f t="shared" si="17"/>
        <v>100</v>
      </c>
    </row>
    <row r="373" spans="1:20" s="1574" customFormat="1" ht="16.5" thickTop="1" thickBot="1" x14ac:dyDescent="0.25">
      <c r="A373" s="2696" t="s">
        <v>1162</v>
      </c>
      <c r="B373" s="2697"/>
      <c r="C373" s="2697"/>
      <c r="D373" s="2697"/>
      <c r="E373" s="2697"/>
      <c r="F373" s="1585">
        <f>SUM(F362+F371+F369)</f>
        <v>1018</v>
      </c>
      <c r="G373" s="1585">
        <f>G362+G365+G369+G371</f>
        <v>6049</v>
      </c>
      <c r="H373" s="1585">
        <f>H362+H365+H369+H371</f>
        <v>6049</v>
      </c>
      <c r="I373" s="1586">
        <f t="shared" si="17"/>
        <v>100</v>
      </c>
      <c r="R373" s="1587">
        <f>F373</f>
        <v>1018</v>
      </c>
      <c r="S373" s="1587">
        <f>G373</f>
        <v>6049</v>
      </c>
      <c r="T373" s="1587">
        <f>H373</f>
        <v>6049</v>
      </c>
    </row>
    <row r="374" spans="1:20" ht="13.5" thickTop="1" x14ac:dyDescent="0.2"/>
    <row r="377" spans="1:20" ht="13.5" thickBot="1" x14ac:dyDescent="0.25">
      <c r="A377" s="433" t="s">
        <v>546</v>
      </c>
      <c r="I377" s="1465" t="s">
        <v>173</v>
      </c>
    </row>
    <row r="378" spans="1:20" s="107" customFormat="1" thickTop="1" thickBot="1" x14ac:dyDescent="0.25">
      <c r="A378" s="633" t="s">
        <v>661</v>
      </c>
      <c r="B378" s="810" t="s">
        <v>174</v>
      </c>
      <c r="C378" s="634" t="s">
        <v>175</v>
      </c>
      <c r="D378" s="636" t="s">
        <v>744</v>
      </c>
      <c r="E378" s="636" t="s">
        <v>176</v>
      </c>
      <c r="F378" s="636" t="s">
        <v>177</v>
      </c>
      <c r="G378" s="636" t="s">
        <v>922</v>
      </c>
      <c r="H378" s="636" t="s">
        <v>923</v>
      </c>
      <c r="I378" s="856" t="s">
        <v>924</v>
      </c>
    </row>
    <row r="379" spans="1:20" s="384" customFormat="1" ht="20.25" customHeight="1" thickTop="1" thickBot="1" x14ac:dyDescent="0.25">
      <c r="A379" s="568">
        <v>1</v>
      </c>
      <c r="B379" s="569">
        <v>2</v>
      </c>
      <c r="C379" s="569">
        <v>3</v>
      </c>
      <c r="D379" s="569">
        <v>4</v>
      </c>
      <c r="E379" s="569">
        <v>5</v>
      </c>
      <c r="F379" s="543">
        <v>6</v>
      </c>
      <c r="G379" s="543">
        <v>7</v>
      </c>
      <c r="H379" s="544">
        <v>8</v>
      </c>
      <c r="I379" s="638" t="s">
        <v>801</v>
      </c>
    </row>
    <row r="380" spans="1:20" ht="15.75" thickTop="1" x14ac:dyDescent="0.25">
      <c r="A380" s="1466">
        <v>1034</v>
      </c>
      <c r="B380" s="811">
        <v>3114</v>
      </c>
      <c r="C380" s="811">
        <v>5331</v>
      </c>
      <c r="D380" s="877"/>
      <c r="E380" s="898" t="s">
        <v>996</v>
      </c>
      <c r="F380" s="899">
        <v>680</v>
      </c>
      <c r="G380" s="899">
        <v>680</v>
      </c>
      <c r="H380" s="899">
        <v>680</v>
      </c>
      <c r="I380" s="864">
        <f>(H380/G380)*100</f>
        <v>100</v>
      </c>
    </row>
    <row r="381" spans="1:20" ht="14.25" x14ac:dyDescent="0.2">
      <c r="A381" s="432"/>
      <c r="B381" s="681"/>
      <c r="C381" s="681"/>
      <c r="D381" s="554" t="s">
        <v>606</v>
      </c>
      <c r="E381" s="456" t="s">
        <v>72</v>
      </c>
      <c r="F381" s="865">
        <v>680</v>
      </c>
      <c r="G381" s="865">
        <v>680</v>
      </c>
      <c r="H381" s="865">
        <v>680</v>
      </c>
      <c r="I381" s="861">
        <f>(H381/G381)*100</f>
        <v>100</v>
      </c>
    </row>
    <row r="382" spans="1:20" ht="15" x14ac:dyDescent="0.25">
      <c r="A382" s="432">
        <v>1034</v>
      </c>
      <c r="B382" s="783">
        <v>3114</v>
      </c>
      <c r="C382" s="1468">
        <v>5336</v>
      </c>
      <c r="D382" s="570"/>
      <c r="E382" s="680" t="s">
        <v>1523</v>
      </c>
      <c r="F382" s="865"/>
      <c r="G382" s="889">
        <v>4186</v>
      </c>
      <c r="H382" s="889">
        <v>4186</v>
      </c>
      <c r="I382" s="874">
        <f t="shared" ref="I382:I393" si="18">(H382/G382)*100</f>
        <v>100</v>
      </c>
    </row>
    <row r="383" spans="1:20" ht="14.25" x14ac:dyDescent="0.2">
      <c r="A383" s="432"/>
      <c r="B383" s="681"/>
      <c r="C383" s="681"/>
      <c r="D383" s="554" t="s">
        <v>1182</v>
      </c>
      <c r="E383" s="456" t="s">
        <v>832</v>
      </c>
      <c r="F383" s="865"/>
      <c r="G383" s="865">
        <v>4186</v>
      </c>
      <c r="H383" s="865">
        <v>4186</v>
      </c>
      <c r="I383" s="861">
        <f>(H383/G383)*100</f>
        <v>100</v>
      </c>
    </row>
    <row r="384" spans="1:20" ht="15" x14ac:dyDescent="0.25">
      <c r="A384" s="432">
        <v>1034</v>
      </c>
      <c r="B384" s="783">
        <v>3141</v>
      </c>
      <c r="C384" s="1468">
        <v>5331</v>
      </c>
      <c r="D384" s="880"/>
      <c r="E384" s="680" t="s">
        <v>996</v>
      </c>
      <c r="F384" s="873">
        <v>40</v>
      </c>
      <c r="G384" s="873">
        <v>40</v>
      </c>
      <c r="H384" s="873">
        <v>40</v>
      </c>
      <c r="I384" s="874">
        <f t="shared" si="18"/>
        <v>100</v>
      </c>
    </row>
    <row r="385" spans="1:20" ht="14.25" x14ac:dyDescent="0.2">
      <c r="A385" s="432"/>
      <c r="B385" s="783"/>
      <c r="C385" s="1468"/>
      <c r="D385" s="554" t="s">
        <v>606</v>
      </c>
      <c r="E385" s="456" t="s">
        <v>72</v>
      </c>
      <c r="F385" s="871">
        <v>40</v>
      </c>
      <c r="G385" s="871">
        <v>40</v>
      </c>
      <c r="H385" s="871">
        <v>40</v>
      </c>
      <c r="I385" s="866">
        <f t="shared" si="18"/>
        <v>100</v>
      </c>
    </row>
    <row r="386" spans="1:20" ht="15" x14ac:dyDescent="0.25">
      <c r="A386" s="432">
        <v>1034</v>
      </c>
      <c r="B386" s="783">
        <v>3141</v>
      </c>
      <c r="C386" s="1468">
        <v>5336</v>
      </c>
      <c r="D386" s="570"/>
      <c r="E386" s="680" t="s">
        <v>1523</v>
      </c>
      <c r="F386" s="871"/>
      <c r="G386" s="884">
        <v>102</v>
      </c>
      <c r="H386" s="884">
        <v>102</v>
      </c>
      <c r="I386" s="876">
        <f t="shared" si="18"/>
        <v>100</v>
      </c>
    </row>
    <row r="387" spans="1:20" ht="14.25" x14ac:dyDescent="0.2">
      <c r="A387" s="432"/>
      <c r="B387" s="783"/>
      <c r="C387" s="1468"/>
      <c r="D387" s="554" t="s">
        <v>1182</v>
      </c>
      <c r="E387" s="456" t="s">
        <v>832</v>
      </c>
      <c r="F387" s="871"/>
      <c r="G387" s="871">
        <v>102</v>
      </c>
      <c r="H387" s="871">
        <v>102</v>
      </c>
      <c r="I387" s="866">
        <f t="shared" si="18"/>
        <v>100</v>
      </c>
    </row>
    <row r="388" spans="1:20" ht="15" x14ac:dyDescent="0.25">
      <c r="A388" s="432">
        <v>1034</v>
      </c>
      <c r="B388" s="783">
        <v>4322</v>
      </c>
      <c r="C388" s="1467">
        <v>5331</v>
      </c>
      <c r="D388" s="867"/>
      <c r="E388" s="829" t="s">
        <v>996</v>
      </c>
      <c r="F388" s="858">
        <f>SUM(F389:F390)</f>
        <v>1409</v>
      </c>
      <c r="G388" s="858">
        <f>SUM(G389:G390)</f>
        <v>1409</v>
      </c>
      <c r="H388" s="858">
        <f>SUM(H389:H390)</f>
        <v>1409</v>
      </c>
      <c r="I388" s="874">
        <f t="shared" si="18"/>
        <v>100</v>
      </c>
    </row>
    <row r="389" spans="1:20" ht="14.25" x14ac:dyDescent="0.2">
      <c r="A389" s="432"/>
      <c r="B389" s="681"/>
      <c r="C389" s="1467"/>
      <c r="D389" s="719" t="s">
        <v>611</v>
      </c>
      <c r="E389" s="1569" t="s">
        <v>833</v>
      </c>
      <c r="F389" s="865">
        <v>281</v>
      </c>
      <c r="G389" s="865">
        <v>281</v>
      </c>
      <c r="H389" s="865">
        <v>281</v>
      </c>
      <c r="I389" s="861">
        <f t="shared" si="18"/>
        <v>100</v>
      </c>
    </row>
    <row r="390" spans="1:20" ht="14.25" x14ac:dyDescent="0.2">
      <c r="A390" s="432"/>
      <c r="B390" s="681"/>
      <c r="C390" s="1467"/>
      <c r="D390" s="554" t="s">
        <v>606</v>
      </c>
      <c r="E390" s="456" t="s">
        <v>72</v>
      </c>
      <c r="F390" s="865">
        <v>1128</v>
      </c>
      <c r="G390" s="865">
        <v>1128</v>
      </c>
      <c r="H390" s="865">
        <v>1128</v>
      </c>
      <c r="I390" s="861">
        <f t="shared" si="18"/>
        <v>100</v>
      </c>
    </row>
    <row r="391" spans="1:20" ht="15" x14ac:dyDescent="0.25">
      <c r="A391" s="432">
        <v>1034</v>
      </c>
      <c r="B391" s="783">
        <v>4322</v>
      </c>
      <c r="C391" s="1468">
        <v>5336</v>
      </c>
      <c r="D391" s="570"/>
      <c r="E391" s="680" t="s">
        <v>1523</v>
      </c>
      <c r="F391" s="865"/>
      <c r="G391" s="889">
        <v>6459</v>
      </c>
      <c r="H391" s="889">
        <v>6459</v>
      </c>
      <c r="I391" s="891">
        <f t="shared" si="18"/>
        <v>100</v>
      </c>
    </row>
    <row r="392" spans="1:20" ht="15" thickBot="1" x14ac:dyDescent="0.25">
      <c r="A392" s="432"/>
      <c r="B392" s="681"/>
      <c r="C392" s="1467"/>
      <c r="D392" s="554" t="s">
        <v>1182</v>
      </c>
      <c r="E392" s="456" t="s">
        <v>832</v>
      </c>
      <c r="F392" s="865"/>
      <c r="G392" s="865">
        <v>6459</v>
      </c>
      <c r="H392" s="865">
        <v>6459</v>
      </c>
      <c r="I392" s="861">
        <f t="shared" si="18"/>
        <v>100</v>
      </c>
    </row>
    <row r="393" spans="1:20" s="1574" customFormat="1" ht="16.5" thickTop="1" thickBot="1" x14ac:dyDescent="0.25">
      <c r="A393" s="2696" t="s">
        <v>1162</v>
      </c>
      <c r="B393" s="2697"/>
      <c r="C393" s="2697"/>
      <c r="D393" s="2697"/>
      <c r="E393" s="2697"/>
      <c r="F393" s="1585">
        <f>SUM(F380,F384,F388)</f>
        <v>2129</v>
      </c>
      <c r="G393" s="1585">
        <f>SUM(G380,G384,G388,G382,G386,G391)</f>
        <v>12876</v>
      </c>
      <c r="H393" s="1585">
        <f>SUM(H380,H384,H388,H382,H386,H391)</f>
        <v>12876</v>
      </c>
      <c r="I393" s="1586">
        <f t="shared" si="18"/>
        <v>100</v>
      </c>
      <c r="R393" s="1587">
        <f>F393</f>
        <v>2129</v>
      </c>
      <c r="S393" s="1587">
        <f>G393</f>
        <v>12876</v>
      </c>
      <c r="T393" s="1587">
        <f>H393</f>
        <v>12876</v>
      </c>
    </row>
    <row r="394" spans="1:20" ht="13.5" thickTop="1" x14ac:dyDescent="0.2"/>
    <row r="397" spans="1:20" ht="13.5" thickBot="1" x14ac:dyDescent="0.25">
      <c r="A397" s="433" t="s">
        <v>1178</v>
      </c>
      <c r="I397" s="1465" t="s">
        <v>173</v>
      </c>
    </row>
    <row r="398" spans="1:20" s="107" customFormat="1" thickTop="1" thickBot="1" x14ac:dyDescent="0.25">
      <c r="A398" s="633" t="s">
        <v>661</v>
      </c>
      <c r="B398" s="810" t="s">
        <v>174</v>
      </c>
      <c r="C398" s="634" t="s">
        <v>175</v>
      </c>
      <c r="D398" s="636" t="s">
        <v>744</v>
      </c>
      <c r="E398" s="636" t="s">
        <v>176</v>
      </c>
      <c r="F398" s="636" t="s">
        <v>177</v>
      </c>
      <c r="G398" s="636" t="s">
        <v>922</v>
      </c>
      <c r="H398" s="636" t="s">
        <v>923</v>
      </c>
      <c r="I398" s="856" t="s">
        <v>924</v>
      </c>
    </row>
    <row r="399" spans="1:20" s="384" customFormat="1" ht="14.25" customHeight="1" thickTop="1" thickBot="1" x14ac:dyDescent="0.25">
      <c r="A399" s="568">
        <v>1</v>
      </c>
      <c r="B399" s="569">
        <v>2</v>
      </c>
      <c r="C399" s="569">
        <v>3</v>
      </c>
      <c r="D399" s="569">
        <v>4</v>
      </c>
      <c r="E399" s="569">
        <v>5</v>
      </c>
      <c r="F399" s="543">
        <v>6</v>
      </c>
      <c r="G399" s="543">
        <v>7</v>
      </c>
      <c r="H399" s="544">
        <v>8</v>
      </c>
      <c r="I399" s="638" t="s">
        <v>801</v>
      </c>
    </row>
    <row r="400" spans="1:20" ht="15.75" thickTop="1" x14ac:dyDescent="0.25">
      <c r="A400" s="1466">
        <v>1035</v>
      </c>
      <c r="B400" s="811">
        <v>3114</v>
      </c>
      <c r="C400" s="811">
        <v>5331</v>
      </c>
      <c r="D400" s="877"/>
      <c r="E400" s="898" t="s">
        <v>996</v>
      </c>
      <c r="F400" s="899">
        <v>655</v>
      </c>
      <c r="G400" s="899">
        <v>655</v>
      </c>
      <c r="H400" s="899">
        <v>655</v>
      </c>
      <c r="I400" s="864">
        <f>(H400/G400)*100</f>
        <v>100</v>
      </c>
    </row>
    <row r="401" spans="1:20" ht="14.25" x14ac:dyDescent="0.2">
      <c r="A401" s="432"/>
      <c r="B401" s="681"/>
      <c r="C401" s="681"/>
      <c r="D401" s="554" t="s">
        <v>606</v>
      </c>
      <c r="E401" s="456" t="s">
        <v>72</v>
      </c>
      <c r="F401" s="865">
        <v>644</v>
      </c>
      <c r="G401" s="865">
        <v>655</v>
      </c>
      <c r="H401" s="865">
        <v>655</v>
      </c>
      <c r="I401" s="861">
        <f>(H401/G401)*100</f>
        <v>100</v>
      </c>
    </row>
    <row r="402" spans="1:20" ht="15" x14ac:dyDescent="0.25">
      <c r="A402" s="432">
        <v>1035</v>
      </c>
      <c r="B402" s="783">
        <v>3114</v>
      </c>
      <c r="C402" s="1468">
        <v>5336</v>
      </c>
      <c r="D402" s="1360"/>
      <c r="E402" s="680" t="s">
        <v>1523</v>
      </c>
      <c r="F402" s="871"/>
      <c r="G402" s="1364">
        <f>G403+G404+G405</f>
        <v>3297</v>
      </c>
      <c r="H402" s="1364">
        <f>H403+H404+H405</f>
        <v>3297</v>
      </c>
      <c r="I402" s="874">
        <f t="shared" ref="I402:I408" si="19">(H402/G402)*100</f>
        <v>100</v>
      </c>
    </row>
    <row r="403" spans="1:20" ht="14.25" x14ac:dyDescent="0.2">
      <c r="A403" s="432"/>
      <c r="B403" s="783"/>
      <c r="C403" s="1468"/>
      <c r="D403" s="554" t="s">
        <v>1182</v>
      </c>
      <c r="E403" s="456" t="s">
        <v>832</v>
      </c>
      <c r="F403" s="871"/>
      <c r="G403" s="1362">
        <v>3084</v>
      </c>
      <c r="H403" s="1362">
        <v>3084</v>
      </c>
      <c r="I403" s="377">
        <f t="shared" si="19"/>
        <v>100</v>
      </c>
    </row>
    <row r="404" spans="1:20" ht="14.25" x14ac:dyDescent="0.2">
      <c r="A404" s="432"/>
      <c r="B404" s="783"/>
      <c r="C404" s="1468"/>
      <c r="D404" s="570" t="s">
        <v>976</v>
      </c>
      <c r="E404" s="906" t="s">
        <v>1524</v>
      </c>
      <c r="F404" s="871"/>
      <c r="G404" s="1362">
        <v>32</v>
      </c>
      <c r="H404" s="1362">
        <v>32</v>
      </c>
      <c r="I404" s="377">
        <f t="shared" si="19"/>
        <v>100</v>
      </c>
    </row>
    <row r="405" spans="1:20" ht="14.25" x14ac:dyDescent="0.2">
      <c r="A405" s="432"/>
      <c r="B405" s="783"/>
      <c r="C405" s="1468"/>
      <c r="D405" s="570" t="s">
        <v>978</v>
      </c>
      <c r="E405" s="906" t="s">
        <v>1525</v>
      </c>
      <c r="F405" s="871"/>
      <c r="G405" s="1362">
        <v>181</v>
      </c>
      <c r="H405" s="1362">
        <v>181</v>
      </c>
      <c r="I405" s="377">
        <f t="shared" si="19"/>
        <v>100</v>
      </c>
    </row>
    <row r="406" spans="1:20" ht="15" x14ac:dyDescent="0.25">
      <c r="A406" s="432">
        <v>1035</v>
      </c>
      <c r="B406" s="783">
        <v>3143</v>
      </c>
      <c r="C406" s="783">
        <v>5336</v>
      </c>
      <c r="D406" s="897"/>
      <c r="E406" s="680" t="s">
        <v>1523</v>
      </c>
      <c r="F406" s="873"/>
      <c r="G406" s="873">
        <v>243</v>
      </c>
      <c r="H406" s="873">
        <v>243</v>
      </c>
      <c r="I406" s="874">
        <f t="shared" si="19"/>
        <v>100</v>
      </c>
    </row>
    <row r="407" spans="1:20" ht="15.75" thickBot="1" x14ac:dyDescent="0.3">
      <c r="A407" s="432"/>
      <c r="B407" s="783"/>
      <c r="C407" s="783"/>
      <c r="D407" s="554" t="s">
        <v>1182</v>
      </c>
      <c r="E407" s="456" t="s">
        <v>832</v>
      </c>
      <c r="F407" s="873"/>
      <c r="G407" s="871">
        <v>243</v>
      </c>
      <c r="H407" s="871">
        <v>243</v>
      </c>
      <c r="I407" s="866">
        <f t="shared" si="19"/>
        <v>100</v>
      </c>
    </row>
    <row r="408" spans="1:20" s="1574" customFormat="1" ht="16.5" thickTop="1" thickBot="1" x14ac:dyDescent="0.25">
      <c r="A408" s="2606" t="s">
        <v>1162</v>
      </c>
      <c r="B408" s="2607"/>
      <c r="C408" s="2607"/>
      <c r="D408" s="2607"/>
      <c r="E408" s="2607"/>
      <c r="F408" s="1585">
        <f>SUM(F400,F406)</f>
        <v>655</v>
      </c>
      <c r="G408" s="1585">
        <f>SUM(G400,G406,G402)</f>
        <v>4195</v>
      </c>
      <c r="H408" s="1585">
        <f>SUM(H400,H406,H402)</f>
        <v>4195</v>
      </c>
      <c r="I408" s="1586">
        <f t="shared" si="19"/>
        <v>100</v>
      </c>
      <c r="K408" s="1587" t="e">
        <f>SUM(F408,F393,F373,F355,#REF!,#REF!,F341,#REF!,F312,#REF!,F285,F272,#REF!,F256,F227,F184,F160,F123,F90,#REF!,F53,#REF!,#REF!,F40,F28)</f>
        <v>#REF!</v>
      </c>
      <c r="L408" s="1587" t="e">
        <f>SUM(G408,G393,G373,G355,#REF!,#REF!,G341,#REF!,G312,#REF!,G285,G272,#REF!,G256,G227,G184,G160,G123,G90,#REF!,G53,#REF!,#REF!,G40,G28)</f>
        <v>#REF!</v>
      </c>
      <c r="M408" s="1587" t="e">
        <f>SUM(H408,H393,H373,H355,#REF!,#REF!,H341,#REF!,H312,#REF!,H285,H272,#REF!,H256,H227,H184,H160,H123,H90,#REF!,H53,#REF!,#REF!,H40,H28)</f>
        <v>#REF!</v>
      </c>
      <c r="R408" s="1587">
        <f>F408</f>
        <v>655</v>
      </c>
      <c r="S408" s="1587">
        <f>G408</f>
        <v>4195</v>
      </c>
      <c r="T408" s="1587">
        <f>H408</f>
        <v>4195</v>
      </c>
    </row>
    <row r="409" spans="1:20" ht="13.5" thickTop="1" x14ac:dyDescent="0.2"/>
    <row r="414" spans="1:20" ht="13.5" thickBot="1" x14ac:dyDescent="0.25">
      <c r="A414" s="433" t="s">
        <v>1526</v>
      </c>
      <c r="I414" s="1465" t="s">
        <v>173</v>
      </c>
    </row>
    <row r="415" spans="1:20" s="107" customFormat="1" ht="20.25" customHeight="1" thickTop="1" thickBot="1" x14ac:dyDescent="0.25">
      <c r="A415" s="633" t="s">
        <v>661</v>
      </c>
      <c r="B415" s="810" t="s">
        <v>174</v>
      </c>
      <c r="C415" s="634" t="s">
        <v>175</v>
      </c>
      <c r="D415" s="636" t="s">
        <v>744</v>
      </c>
      <c r="E415" s="636" t="s">
        <v>176</v>
      </c>
      <c r="F415" s="636" t="s">
        <v>177</v>
      </c>
      <c r="G415" s="636" t="s">
        <v>922</v>
      </c>
      <c r="H415" s="636" t="s">
        <v>923</v>
      </c>
      <c r="I415" s="856" t="s">
        <v>924</v>
      </c>
    </row>
    <row r="416" spans="1:20" s="384" customFormat="1" ht="13.5" thickTop="1" thickBot="1" x14ac:dyDescent="0.25">
      <c r="A416" s="568">
        <v>1</v>
      </c>
      <c r="B416" s="569">
        <v>2</v>
      </c>
      <c r="C416" s="569">
        <v>3</v>
      </c>
      <c r="D416" s="569">
        <v>4</v>
      </c>
      <c r="E416" s="569">
        <v>5</v>
      </c>
      <c r="F416" s="543">
        <v>6</v>
      </c>
      <c r="G416" s="543">
        <v>7</v>
      </c>
      <c r="H416" s="544">
        <v>8</v>
      </c>
      <c r="I416" s="638" t="s">
        <v>801</v>
      </c>
    </row>
    <row r="417" spans="1:9" ht="15.75" thickTop="1" x14ac:dyDescent="0.25">
      <c r="A417" s="1466">
        <v>1036</v>
      </c>
      <c r="B417" s="811">
        <v>3112</v>
      </c>
      <c r="C417" s="811">
        <v>5331</v>
      </c>
      <c r="E417" s="829" t="s">
        <v>996</v>
      </c>
      <c r="F417" s="899">
        <v>43</v>
      </c>
      <c r="G417" s="899">
        <v>43</v>
      </c>
      <c r="H417" s="899">
        <v>43</v>
      </c>
      <c r="I417" s="864">
        <f t="shared" ref="I417:I437" si="20">(H417/G417)*100</f>
        <v>100</v>
      </c>
    </row>
    <row r="418" spans="1:9" ht="14.25" x14ac:dyDescent="0.2">
      <c r="A418" s="432"/>
      <c r="B418" s="681"/>
      <c r="C418" s="681"/>
      <c r="D418" s="554" t="s">
        <v>606</v>
      </c>
      <c r="E418" s="456" t="s">
        <v>72</v>
      </c>
      <c r="F418" s="865">
        <v>43</v>
      </c>
      <c r="G418" s="865">
        <v>43</v>
      </c>
      <c r="H418" s="865">
        <v>43</v>
      </c>
      <c r="I418" s="861">
        <f t="shared" si="20"/>
        <v>100</v>
      </c>
    </row>
    <row r="419" spans="1:9" ht="15" x14ac:dyDescent="0.25">
      <c r="A419" s="432">
        <v>1036</v>
      </c>
      <c r="B419" s="681">
        <v>3112</v>
      </c>
      <c r="C419" s="681">
        <v>5336</v>
      </c>
      <c r="D419" s="554"/>
      <c r="E419" s="680" t="s">
        <v>1523</v>
      </c>
      <c r="F419" s="871"/>
      <c r="G419" s="884">
        <v>1098</v>
      </c>
      <c r="H419" s="884">
        <v>1098</v>
      </c>
      <c r="I419" s="859">
        <f t="shared" si="20"/>
        <v>100</v>
      </c>
    </row>
    <row r="420" spans="1:9" ht="14.25" x14ac:dyDescent="0.2">
      <c r="A420" s="432"/>
      <c r="B420" s="681"/>
      <c r="C420" s="681"/>
      <c r="D420" s="554" t="s">
        <v>1182</v>
      </c>
      <c r="E420" s="456" t="s">
        <v>832</v>
      </c>
      <c r="F420" s="871"/>
      <c r="G420" s="871">
        <v>1098</v>
      </c>
      <c r="H420" s="871">
        <v>1098</v>
      </c>
      <c r="I420" s="866">
        <f t="shared" si="20"/>
        <v>100</v>
      </c>
    </row>
    <row r="421" spans="1:9" ht="15" x14ac:dyDescent="0.25">
      <c r="A421" s="432">
        <v>1036</v>
      </c>
      <c r="B421" s="681">
        <v>3114</v>
      </c>
      <c r="C421" s="681">
        <v>5331</v>
      </c>
      <c r="D421" s="857"/>
      <c r="E421" s="829" t="s">
        <v>996</v>
      </c>
      <c r="F421" s="858">
        <f>SUM(F422:F424)</f>
        <v>2622</v>
      </c>
      <c r="G421" s="858">
        <f>SUM(G422:G424)</f>
        <v>2763</v>
      </c>
      <c r="H421" s="858">
        <f>SUM(H422:H424)</f>
        <v>2763</v>
      </c>
      <c r="I421" s="859">
        <f t="shared" si="20"/>
        <v>100</v>
      </c>
    </row>
    <row r="422" spans="1:9" ht="14.25" x14ac:dyDescent="0.2">
      <c r="A422" s="432"/>
      <c r="B422" s="681"/>
      <c r="C422" s="681"/>
      <c r="D422" s="719" t="s">
        <v>611</v>
      </c>
      <c r="E422" s="1569" t="s">
        <v>833</v>
      </c>
      <c r="F422" s="865">
        <v>392</v>
      </c>
      <c r="G422" s="865">
        <v>392</v>
      </c>
      <c r="H422" s="865">
        <v>392</v>
      </c>
      <c r="I422" s="861">
        <f t="shared" si="20"/>
        <v>100</v>
      </c>
    </row>
    <row r="423" spans="1:9" ht="14.25" x14ac:dyDescent="0.2">
      <c r="A423" s="432"/>
      <c r="B423" s="681"/>
      <c r="C423" s="681"/>
      <c r="D423" s="554" t="s">
        <v>606</v>
      </c>
      <c r="E423" s="456" t="s">
        <v>72</v>
      </c>
      <c r="F423" s="865">
        <v>2230</v>
      </c>
      <c r="G423" s="865">
        <v>2230</v>
      </c>
      <c r="H423" s="865">
        <v>2230</v>
      </c>
      <c r="I423" s="861">
        <f t="shared" si="20"/>
        <v>100</v>
      </c>
    </row>
    <row r="424" spans="1:9" ht="28.5" x14ac:dyDescent="0.2">
      <c r="A424" s="432"/>
      <c r="B424" s="783"/>
      <c r="C424" s="783"/>
      <c r="D424" s="781" t="s">
        <v>839</v>
      </c>
      <c r="E424" s="457" t="s">
        <v>1010</v>
      </c>
      <c r="F424" s="871"/>
      <c r="G424" s="1362">
        <v>141</v>
      </c>
      <c r="H424" s="1362">
        <v>141</v>
      </c>
      <c r="I424" s="1366">
        <f t="shared" si="20"/>
        <v>100</v>
      </c>
    </row>
    <row r="425" spans="1:9" ht="15" x14ac:dyDescent="0.25">
      <c r="A425" s="780">
        <v>1036</v>
      </c>
      <c r="B425" s="681">
        <v>3114</v>
      </c>
      <c r="C425" s="1468">
        <v>5336</v>
      </c>
      <c r="D425" s="570"/>
      <c r="E425" s="680" t="s">
        <v>1523</v>
      </c>
      <c r="F425" s="884"/>
      <c r="G425" s="884">
        <f>G426+G427+G428</f>
        <v>7994</v>
      </c>
      <c r="H425" s="884">
        <f>H426+H427+H428</f>
        <v>7994</v>
      </c>
      <c r="I425" s="874">
        <f t="shared" si="20"/>
        <v>100</v>
      </c>
    </row>
    <row r="426" spans="1:9" ht="15" x14ac:dyDescent="0.25">
      <c r="A426" s="780"/>
      <c r="B426" s="681"/>
      <c r="C426" s="1468"/>
      <c r="D426" s="554" t="s">
        <v>1182</v>
      </c>
      <c r="E426" s="456" t="s">
        <v>832</v>
      </c>
      <c r="F426" s="884"/>
      <c r="G426" s="875">
        <v>7713</v>
      </c>
      <c r="H426" s="875">
        <v>7713</v>
      </c>
      <c r="I426" s="861">
        <f t="shared" si="20"/>
        <v>100</v>
      </c>
    </row>
    <row r="427" spans="1:9" ht="15" x14ac:dyDescent="0.25">
      <c r="A427" s="780"/>
      <c r="B427" s="783"/>
      <c r="C427" s="1468"/>
      <c r="D427" s="570" t="s">
        <v>976</v>
      </c>
      <c r="E427" s="906" t="s">
        <v>1524</v>
      </c>
      <c r="F427" s="884"/>
      <c r="G427" s="875">
        <v>42</v>
      </c>
      <c r="H427" s="875">
        <v>42</v>
      </c>
      <c r="I427" s="866">
        <f t="shared" si="20"/>
        <v>100</v>
      </c>
    </row>
    <row r="428" spans="1:9" ht="15" x14ac:dyDescent="0.25">
      <c r="A428" s="780"/>
      <c r="B428" s="783"/>
      <c r="C428" s="1468"/>
      <c r="D428" s="570" t="s">
        <v>978</v>
      </c>
      <c r="E428" s="906" t="s">
        <v>1525</v>
      </c>
      <c r="F428" s="884"/>
      <c r="G428" s="875">
        <v>239</v>
      </c>
      <c r="H428" s="875">
        <v>239</v>
      </c>
      <c r="I428" s="866">
        <f t="shared" si="20"/>
        <v>100</v>
      </c>
    </row>
    <row r="429" spans="1:9" ht="15.75" customHeight="1" x14ac:dyDescent="0.25">
      <c r="A429" s="432">
        <v>1036</v>
      </c>
      <c r="B429" s="783">
        <v>3141</v>
      </c>
      <c r="C429" s="1468">
        <v>5331</v>
      </c>
      <c r="D429" s="880"/>
      <c r="E429" s="680" t="s">
        <v>996</v>
      </c>
      <c r="F429" s="873">
        <v>38</v>
      </c>
      <c r="G429" s="873">
        <v>38</v>
      </c>
      <c r="H429" s="873">
        <v>38</v>
      </c>
      <c r="I429" s="874">
        <f t="shared" si="20"/>
        <v>100</v>
      </c>
    </row>
    <row r="430" spans="1:9" ht="15" customHeight="1" x14ac:dyDescent="0.2">
      <c r="A430" s="432"/>
      <c r="B430" s="783"/>
      <c r="C430" s="1468"/>
      <c r="D430" s="554" t="s">
        <v>606</v>
      </c>
      <c r="E430" s="456" t="s">
        <v>72</v>
      </c>
      <c r="F430" s="871">
        <v>38</v>
      </c>
      <c r="G430" s="871">
        <v>38</v>
      </c>
      <c r="H430" s="871">
        <v>38</v>
      </c>
      <c r="I430" s="866">
        <f t="shared" si="20"/>
        <v>100</v>
      </c>
    </row>
    <row r="431" spans="1:9" ht="16.5" customHeight="1" x14ac:dyDescent="0.25">
      <c r="A431" s="432">
        <v>1036</v>
      </c>
      <c r="B431" s="783">
        <v>3141</v>
      </c>
      <c r="C431" s="1468">
        <v>5336</v>
      </c>
      <c r="D431" s="554"/>
      <c r="E431" s="680" t="s">
        <v>1523</v>
      </c>
      <c r="F431" s="871"/>
      <c r="G431" s="884">
        <v>28</v>
      </c>
      <c r="H431" s="884">
        <v>28</v>
      </c>
      <c r="I431" s="874">
        <f t="shared" si="20"/>
        <v>100</v>
      </c>
    </row>
    <row r="432" spans="1:9" ht="15" customHeight="1" x14ac:dyDescent="0.2">
      <c r="A432" s="432"/>
      <c r="B432" s="783"/>
      <c r="C432" s="1468"/>
      <c r="D432" s="554" t="s">
        <v>1182</v>
      </c>
      <c r="E432" s="456" t="s">
        <v>832</v>
      </c>
      <c r="F432" s="871"/>
      <c r="G432" s="871">
        <v>28</v>
      </c>
      <c r="H432" s="871">
        <v>28</v>
      </c>
      <c r="I432" s="866">
        <f t="shared" si="20"/>
        <v>100</v>
      </c>
    </row>
    <row r="433" spans="1:20" ht="15" x14ac:dyDescent="0.25">
      <c r="A433" s="432">
        <v>1036</v>
      </c>
      <c r="B433" s="783">
        <v>3143</v>
      </c>
      <c r="C433" s="783">
        <v>5331</v>
      </c>
      <c r="D433" s="897"/>
      <c r="E433" s="680" t="s">
        <v>996</v>
      </c>
      <c r="F433" s="873">
        <v>2</v>
      </c>
      <c r="G433" s="873">
        <v>2</v>
      </c>
      <c r="H433" s="873">
        <v>2</v>
      </c>
      <c r="I433" s="874">
        <f t="shared" si="20"/>
        <v>100</v>
      </c>
    </row>
    <row r="434" spans="1:20" ht="14.25" x14ac:dyDescent="0.2">
      <c r="A434" s="432"/>
      <c r="B434" s="783"/>
      <c r="C434" s="783"/>
      <c r="D434" s="554" t="s">
        <v>606</v>
      </c>
      <c r="E434" s="456" t="s">
        <v>72</v>
      </c>
      <c r="F434" s="871">
        <v>2</v>
      </c>
      <c r="G434" s="871">
        <v>2</v>
      </c>
      <c r="H434" s="871">
        <v>2</v>
      </c>
      <c r="I434" s="866">
        <f t="shared" si="20"/>
        <v>100</v>
      </c>
    </row>
    <row r="435" spans="1:20" ht="15" x14ac:dyDescent="0.25">
      <c r="A435" s="432">
        <v>1036</v>
      </c>
      <c r="B435" s="783">
        <v>3143</v>
      </c>
      <c r="C435" s="783">
        <v>5336</v>
      </c>
      <c r="D435" s="554"/>
      <c r="E435" s="680" t="s">
        <v>1523</v>
      </c>
      <c r="F435" s="871"/>
      <c r="G435" s="884">
        <v>608</v>
      </c>
      <c r="H435" s="884">
        <v>608</v>
      </c>
      <c r="I435" s="876">
        <f t="shared" si="20"/>
        <v>100</v>
      </c>
    </row>
    <row r="436" spans="1:20" ht="15" thickBot="1" x14ac:dyDescent="0.25">
      <c r="A436" s="432"/>
      <c r="B436" s="783"/>
      <c r="C436" s="1468"/>
      <c r="D436" s="554" t="s">
        <v>1182</v>
      </c>
      <c r="E436" s="456" t="s">
        <v>832</v>
      </c>
      <c r="F436" s="871"/>
      <c r="G436" s="871">
        <v>608</v>
      </c>
      <c r="H436" s="871">
        <v>608</v>
      </c>
      <c r="I436" s="866">
        <f t="shared" si="20"/>
        <v>100</v>
      </c>
    </row>
    <row r="437" spans="1:20" ht="16.5" thickTop="1" thickBot="1" x14ac:dyDescent="0.3">
      <c r="A437" s="2685" t="s">
        <v>1162</v>
      </c>
      <c r="B437" s="2686"/>
      <c r="C437" s="2686"/>
      <c r="D437" s="2686"/>
      <c r="E437" s="2686"/>
      <c r="F437" s="862">
        <f>SUM(F433,F421,F429,F417)</f>
        <v>2705</v>
      </c>
      <c r="G437" s="862">
        <f>SUM(G433,G421,G429,G417,G425,G419,G431,G435)</f>
        <v>12574</v>
      </c>
      <c r="H437" s="862">
        <f>SUM(H433,H421,H429,H417,H425,H419,H431,H435)</f>
        <v>12574</v>
      </c>
      <c r="I437" s="863">
        <f t="shared" si="20"/>
        <v>100</v>
      </c>
      <c r="R437" s="383">
        <f>F437</f>
        <v>2705</v>
      </c>
      <c r="S437" s="383">
        <f>G437</f>
        <v>12574</v>
      </c>
      <c r="T437" s="383">
        <f>H437</f>
        <v>12574</v>
      </c>
    </row>
    <row r="438" spans="1:20" ht="15.75" thickTop="1" x14ac:dyDescent="0.25">
      <c r="A438" s="369"/>
      <c r="B438" s="369"/>
      <c r="C438" s="369"/>
      <c r="D438" s="369"/>
      <c r="E438" s="369"/>
      <c r="F438" s="181"/>
      <c r="G438" s="181"/>
      <c r="H438" s="181"/>
      <c r="I438" s="210"/>
      <c r="R438" s="383"/>
      <c r="S438" s="383"/>
      <c r="T438" s="383"/>
    </row>
    <row r="439" spans="1:20" ht="13.5" thickBot="1" x14ac:dyDescent="0.25">
      <c r="A439" s="433" t="s">
        <v>94</v>
      </c>
      <c r="I439" s="1465" t="s">
        <v>173</v>
      </c>
    </row>
    <row r="440" spans="1:20" s="107" customFormat="1" ht="20.25" customHeight="1" thickTop="1" thickBot="1" x14ac:dyDescent="0.25">
      <c r="A440" s="633" t="s">
        <v>661</v>
      </c>
      <c r="B440" s="810" t="s">
        <v>174</v>
      </c>
      <c r="C440" s="634" t="s">
        <v>175</v>
      </c>
      <c r="D440" s="636" t="s">
        <v>744</v>
      </c>
      <c r="E440" s="636" t="s">
        <v>176</v>
      </c>
      <c r="F440" s="636" t="s">
        <v>177</v>
      </c>
      <c r="G440" s="636" t="s">
        <v>922</v>
      </c>
      <c r="H440" s="636" t="s">
        <v>923</v>
      </c>
      <c r="I440" s="856" t="s">
        <v>924</v>
      </c>
    </row>
    <row r="441" spans="1:20" s="384" customFormat="1" ht="13.5" thickTop="1" thickBot="1" x14ac:dyDescent="0.25">
      <c r="A441" s="568">
        <v>1</v>
      </c>
      <c r="B441" s="569">
        <v>2</v>
      </c>
      <c r="C441" s="569">
        <v>3</v>
      </c>
      <c r="D441" s="569">
        <v>4</v>
      </c>
      <c r="E441" s="569">
        <v>5</v>
      </c>
      <c r="F441" s="543">
        <v>6</v>
      </c>
      <c r="G441" s="543">
        <v>7</v>
      </c>
      <c r="H441" s="544">
        <v>8</v>
      </c>
      <c r="I441" s="638" t="s">
        <v>801</v>
      </c>
    </row>
    <row r="442" spans="1:20" ht="15.75" thickTop="1" x14ac:dyDescent="0.25">
      <c r="A442" s="1466">
        <v>1037</v>
      </c>
      <c r="B442" s="811">
        <v>3112</v>
      </c>
      <c r="C442" s="811">
        <v>5336</v>
      </c>
      <c r="D442" s="877"/>
      <c r="E442" s="680" t="s">
        <v>1523</v>
      </c>
      <c r="F442" s="899"/>
      <c r="G442" s="899">
        <v>395</v>
      </c>
      <c r="H442" s="899">
        <v>395</v>
      </c>
      <c r="I442" s="864">
        <f t="shared" ref="I442:I452" si="21">(H442/G442)*100</f>
        <v>100</v>
      </c>
    </row>
    <row r="443" spans="1:20" ht="14.25" x14ac:dyDescent="0.2">
      <c r="A443" s="432"/>
      <c r="B443" s="681"/>
      <c r="C443" s="681"/>
      <c r="D443" s="554" t="s">
        <v>1182</v>
      </c>
      <c r="E443" s="456" t="s">
        <v>832</v>
      </c>
      <c r="F443" s="865"/>
      <c r="G443" s="865">
        <v>395</v>
      </c>
      <c r="H443" s="865">
        <v>395</v>
      </c>
      <c r="I443" s="861">
        <f t="shared" si="21"/>
        <v>100</v>
      </c>
    </row>
    <row r="444" spans="1:20" ht="15" x14ac:dyDescent="0.25">
      <c r="A444" s="432">
        <v>1037</v>
      </c>
      <c r="B444" s="783">
        <v>3114</v>
      </c>
      <c r="C444" s="783">
        <v>5331</v>
      </c>
      <c r="D444" s="897"/>
      <c r="E444" s="680" t="s">
        <v>996</v>
      </c>
      <c r="F444" s="873">
        <f>SUM(F445)</f>
        <v>2127</v>
      </c>
      <c r="G444" s="873">
        <v>2127</v>
      </c>
      <c r="H444" s="873">
        <v>2127</v>
      </c>
      <c r="I444" s="874">
        <f t="shared" si="21"/>
        <v>100</v>
      </c>
    </row>
    <row r="445" spans="1:20" ht="14.25" x14ac:dyDescent="0.2">
      <c r="A445" s="432"/>
      <c r="B445" s="783"/>
      <c r="C445" s="783"/>
      <c r="D445" s="554" t="s">
        <v>606</v>
      </c>
      <c r="E445" s="456" t="s">
        <v>72</v>
      </c>
      <c r="F445" s="871">
        <v>2127</v>
      </c>
      <c r="G445" s="871">
        <v>2127</v>
      </c>
      <c r="H445" s="871">
        <v>2127</v>
      </c>
      <c r="I445" s="866">
        <f t="shared" si="21"/>
        <v>100</v>
      </c>
    </row>
    <row r="446" spans="1:20" s="1870" customFormat="1" ht="15" x14ac:dyDescent="0.25">
      <c r="A446" s="2272">
        <v>1037</v>
      </c>
      <c r="B446" s="783">
        <v>3114</v>
      </c>
      <c r="C446" s="783">
        <v>5336</v>
      </c>
      <c r="D446" s="1360"/>
      <c r="E446" s="680" t="s">
        <v>1523</v>
      </c>
      <c r="F446" s="1362"/>
      <c r="G446" s="1364">
        <v>11442</v>
      </c>
      <c r="H446" s="1364">
        <v>11442</v>
      </c>
      <c r="I446" s="874">
        <f t="shared" si="21"/>
        <v>100</v>
      </c>
    </row>
    <row r="447" spans="1:20" s="1870" customFormat="1" ht="14.25" x14ac:dyDescent="0.2">
      <c r="A447" s="2272"/>
      <c r="B447" s="783"/>
      <c r="C447" s="783"/>
      <c r="D447" s="554" t="s">
        <v>1182</v>
      </c>
      <c r="E447" s="456" t="s">
        <v>832</v>
      </c>
      <c r="F447" s="1362"/>
      <c r="G447" s="1362">
        <v>11442</v>
      </c>
      <c r="H447" s="1362">
        <v>11442</v>
      </c>
      <c r="I447" s="866">
        <f t="shared" si="21"/>
        <v>100</v>
      </c>
    </row>
    <row r="448" spans="1:20" ht="15" x14ac:dyDescent="0.25">
      <c r="A448" s="432">
        <v>1037</v>
      </c>
      <c r="B448" s="783">
        <v>3141</v>
      </c>
      <c r="C448" s="783">
        <v>5331</v>
      </c>
      <c r="D448" s="897"/>
      <c r="E448" s="680" t="s">
        <v>996</v>
      </c>
      <c r="F448" s="873">
        <v>14</v>
      </c>
      <c r="G448" s="873">
        <v>14</v>
      </c>
      <c r="H448" s="873">
        <v>14</v>
      </c>
      <c r="I448" s="874">
        <f t="shared" si="21"/>
        <v>100</v>
      </c>
    </row>
    <row r="449" spans="1:20" ht="14.25" x14ac:dyDescent="0.2">
      <c r="A449" s="432"/>
      <c r="B449" s="783"/>
      <c r="C449" s="783"/>
      <c r="D449" s="554" t="s">
        <v>606</v>
      </c>
      <c r="E449" s="456" t="s">
        <v>72</v>
      </c>
      <c r="F449" s="871">
        <v>14</v>
      </c>
      <c r="G449" s="871">
        <v>14</v>
      </c>
      <c r="H449" s="871">
        <v>14</v>
      </c>
      <c r="I449" s="866">
        <f t="shared" si="21"/>
        <v>100</v>
      </c>
    </row>
    <row r="450" spans="1:20" ht="15" x14ac:dyDescent="0.25">
      <c r="A450" s="432">
        <v>1037</v>
      </c>
      <c r="B450" s="783">
        <v>3143</v>
      </c>
      <c r="C450" s="783">
        <v>5336</v>
      </c>
      <c r="D450" s="897"/>
      <c r="E450" s="680" t="s">
        <v>996</v>
      </c>
      <c r="F450" s="873"/>
      <c r="G450" s="873">
        <v>494</v>
      </c>
      <c r="H450" s="873">
        <v>494</v>
      </c>
      <c r="I450" s="874">
        <f t="shared" si="21"/>
        <v>100</v>
      </c>
    </row>
    <row r="451" spans="1:20" ht="18" customHeight="1" thickBot="1" x14ac:dyDescent="0.25">
      <c r="A451" s="432"/>
      <c r="B451" s="783"/>
      <c r="C451" s="1468"/>
      <c r="D451" s="554" t="s">
        <v>1182</v>
      </c>
      <c r="E451" s="456" t="s">
        <v>832</v>
      </c>
      <c r="F451" s="871"/>
      <c r="G451" s="871">
        <v>494</v>
      </c>
      <c r="H451" s="871">
        <v>494</v>
      </c>
      <c r="I451" s="866">
        <f t="shared" si="21"/>
        <v>100</v>
      </c>
    </row>
    <row r="452" spans="1:20" ht="18" customHeight="1" thickTop="1" thickBot="1" x14ac:dyDescent="0.3">
      <c r="A452" s="2685" t="s">
        <v>1162</v>
      </c>
      <c r="B452" s="2686"/>
      <c r="C452" s="2686"/>
      <c r="D452" s="2686"/>
      <c r="E452" s="2686"/>
      <c r="F452" s="862">
        <f>SUM(F442,F444,F448,F450)</f>
        <v>2141</v>
      </c>
      <c r="G452" s="862">
        <f>SUM(G442,G444,G448,G450,G446)</f>
        <v>14472</v>
      </c>
      <c r="H452" s="862">
        <f>SUM(H442,H444,H448,H450,H446)</f>
        <v>14472</v>
      </c>
      <c r="I452" s="863">
        <f t="shared" si="21"/>
        <v>100</v>
      </c>
      <c r="R452" s="383">
        <f>F452</f>
        <v>2141</v>
      </c>
      <c r="S452" s="383">
        <f>G452</f>
        <v>14472</v>
      </c>
      <c r="T452" s="383">
        <f>H452</f>
        <v>14472</v>
      </c>
    </row>
    <row r="453" spans="1:20" ht="18" customHeight="1" thickTop="1" x14ac:dyDescent="0.25">
      <c r="A453" s="369"/>
      <c r="B453" s="369"/>
      <c r="C453" s="369"/>
      <c r="D453" s="369"/>
      <c r="E453" s="369"/>
      <c r="F453" s="181"/>
      <c r="G453" s="181"/>
      <c r="H453" s="181"/>
      <c r="I453" s="210"/>
      <c r="R453" s="383"/>
      <c r="S453" s="383"/>
      <c r="T453" s="383"/>
    </row>
    <row r="454" spans="1:20" ht="20.25" customHeight="1" thickBot="1" x14ac:dyDescent="0.25">
      <c r="A454" s="433" t="s">
        <v>1527</v>
      </c>
      <c r="I454" s="1465" t="s">
        <v>173</v>
      </c>
    </row>
    <row r="455" spans="1:20" s="107" customFormat="1" thickTop="1" thickBot="1" x14ac:dyDescent="0.25">
      <c r="A455" s="633" t="s">
        <v>661</v>
      </c>
      <c r="B455" s="810" t="s">
        <v>174</v>
      </c>
      <c r="C455" s="634" t="s">
        <v>175</v>
      </c>
      <c r="D455" s="636" t="s">
        <v>744</v>
      </c>
      <c r="E455" s="636" t="s">
        <v>176</v>
      </c>
      <c r="F455" s="636" t="s">
        <v>177</v>
      </c>
      <c r="G455" s="636" t="s">
        <v>922</v>
      </c>
      <c r="H455" s="636" t="s">
        <v>923</v>
      </c>
      <c r="I455" s="856" t="s">
        <v>924</v>
      </c>
    </row>
    <row r="456" spans="1:20" s="1598" customFormat="1" ht="13.5" thickTop="1" thickBot="1" x14ac:dyDescent="0.25">
      <c r="A456" s="1593">
        <v>1</v>
      </c>
      <c r="B456" s="1594">
        <v>2</v>
      </c>
      <c r="C456" s="1594">
        <v>3</v>
      </c>
      <c r="D456" s="1594">
        <v>4</v>
      </c>
      <c r="E456" s="1594">
        <v>5</v>
      </c>
      <c r="F456" s="1595">
        <v>6</v>
      </c>
      <c r="G456" s="1595">
        <v>7</v>
      </c>
      <c r="H456" s="1596">
        <v>8</v>
      </c>
      <c r="I456" s="1597" t="s">
        <v>801</v>
      </c>
    </row>
    <row r="457" spans="1:20" s="1574" customFormat="1" ht="15.75" thickTop="1" x14ac:dyDescent="0.2">
      <c r="A457" s="1575">
        <v>1038</v>
      </c>
      <c r="B457" s="1576">
        <v>3114</v>
      </c>
      <c r="C457" s="1576">
        <v>5331</v>
      </c>
      <c r="D457" s="1577"/>
      <c r="E457" s="1578" t="s">
        <v>996</v>
      </c>
      <c r="F457" s="1579">
        <f>SUM(F458:F465)</f>
        <v>1161</v>
      </c>
      <c r="G457" s="1579">
        <f>SUM(G458:G465)</f>
        <v>1505</v>
      </c>
      <c r="H457" s="1579">
        <f>SUM(H458:H465)</f>
        <v>1505</v>
      </c>
      <c r="I457" s="1580">
        <f t="shared" ref="I457:I479" si="22">(H457/G457)*100</f>
        <v>100</v>
      </c>
    </row>
    <row r="458" spans="1:20" s="1574" customFormat="1" ht="14.25" x14ac:dyDescent="0.2">
      <c r="A458" s="1599"/>
      <c r="B458" s="1600"/>
      <c r="C458" s="1600"/>
      <c r="D458" s="895" t="s">
        <v>611</v>
      </c>
      <c r="E458" s="1601" t="s">
        <v>833</v>
      </c>
      <c r="F458" s="1367">
        <v>557</v>
      </c>
      <c r="G458" s="1367">
        <v>562</v>
      </c>
      <c r="H458" s="1367">
        <v>562</v>
      </c>
      <c r="I458" s="1363">
        <f t="shared" si="22"/>
        <v>100</v>
      </c>
    </row>
    <row r="459" spans="1:20" ht="14.25" x14ac:dyDescent="0.2">
      <c r="A459" s="432"/>
      <c r="B459" s="681"/>
      <c r="C459" s="878"/>
      <c r="D459" s="554" t="s">
        <v>606</v>
      </c>
      <c r="E459" s="456" t="s">
        <v>72</v>
      </c>
      <c r="F459" s="865">
        <v>604</v>
      </c>
      <c r="G459" s="865">
        <v>604</v>
      </c>
      <c r="H459" s="865">
        <v>604</v>
      </c>
      <c r="I459" s="861">
        <f t="shared" si="22"/>
        <v>100</v>
      </c>
    </row>
    <row r="460" spans="1:20" ht="14.25" x14ac:dyDescent="0.2">
      <c r="A460" s="432"/>
      <c r="B460" s="681"/>
      <c r="C460" s="681"/>
      <c r="D460" s="1110" t="s">
        <v>1183</v>
      </c>
      <c r="E460" s="1334" t="s">
        <v>1192</v>
      </c>
      <c r="F460" s="865"/>
      <c r="G460" s="865">
        <v>16</v>
      </c>
      <c r="H460" s="865">
        <v>16</v>
      </c>
      <c r="I460" s="861">
        <f t="shared" si="22"/>
        <v>100</v>
      </c>
    </row>
    <row r="461" spans="1:20" ht="14.25" customHeight="1" x14ac:dyDescent="0.2">
      <c r="A461" s="432"/>
      <c r="B461" s="681"/>
      <c r="C461" s="681"/>
      <c r="D461" s="1391" t="s">
        <v>1228</v>
      </c>
      <c r="E461" s="2681" t="s">
        <v>1980</v>
      </c>
      <c r="F461" s="865"/>
      <c r="G461" s="865">
        <v>11</v>
      </c>
      <c r="H461" s="865">
        <v>11</v>
      </c>
      <c r="I461" s="861">
        <f t="shared" si="22"/>
        <v>100</v>
      </c>
    </row>
    <row r="462" spans="1:20" ht="14.25" x14ac:dyDescent="0.2">
      <c r="A462" s="432"/>
      <c r="B462" s="681"/>
      <c r="C462" s="681"/>
      <c r="D462" s="1391"/>
      <c r="E462" s="2681"/>
      <c r="F462" s="865"/>
      <c r="G462" s="865"/>
      <c r="H462" s="865"/>
      <c r="I462" s="861"/>
    </row>
    <row r="463" spans="1:20" ht="14.25" customHeight="1" x14ac:dyDescent="0.2">
      <c r="A463" s="432"/>
      <c r="B463" s="681"/>
      <c r="C463" s="681"/>
      <c r="D463" s="1391" t="s">
        <v>1805</v>
      </c>
      <c r="E463" s="2701" t="s">
        <v>1981</v>
      </c>
      <c r="F463" s="865"/>
      <c r="G463" s="865">
        <v>70</v>
      </c>
      <c r="H463" s="865">
        <v>70</v>
      </c>
      <c r="I463" s="861">
        <f t="shared" si="22"/>
        <v>100</v>
      </c>
    </row>
    <row r="464" spans="1:20" ht="14.25" x14ac:dyDescent="0.2">
      <c r="A464" s="432"/>
      <c r="B464" s="681"/>
      <c r="C464" s="681"/>
      <c r="D464" s="1391"/>
      <c r="E464" s="2701"/>
      <c r="F464" s="865"/>
      <c r="G464" s="865"/>
      <c r="H464" s="865"/>
      <c r="I464" s="861"/>
    </row>
    <row r="465" spans="1:20" ht="28.5" x14ac:dyDescent="0.2">
      <c r="A465" s="432"/>
      <c r="B465" s="681"/>
      <c r="C465" s="1467"/>
      <c r="D465" s="781" t="s">
        <v>839</v>
      </c>
      <c r="E465" s="1361" t="s">
        <v>1010</v>
      </c>
      <c r="F465" s="1367"/>
      <c r="G465" s="1367">
        <v>242</v>
      </c>
      <c r="H465" s="1367">
        <v>242</v>
      </c>
      <c r="I465" s="1363">
        <f t="shared" si="22"/>
        <v>100</v>
      </c>
    </row>
    <row r="466" spans="1:20" ht="15" x14ac:dyDescent="0.25">
      <c r="A466" s="432">
        <v>1038</v>
      </c>
      <c r="B466" s="783">
        <v>3114</v>
      </c>
      <c r="C466" s="1468">
        <v>5336</v>
      </c>
      <c r="D466" s="1360"/>
      <c r="E466" s="1479" t="s">
        <v>1269</v>
      </c>
      <c r="F466" s="1362"/>
      <c r="G466" s="1364">
        <v>8490</v>
      </c>
      <c r="H466" s="1364">
        <v>8490</v>
      </c>
      <c r="I466" s="874">
        <f t="shared" si="22"/>
        <v>100</v>
      </c>
    </row>
    <row r="467" spans="1:20" ht="14.25" x14ac:dyDescent="0.2">
      <c r="A467" s="432"/>
      <c r="B467" s="783"/>
      <c r="C467" s="1468"/>
      <c r="D467" s="554" t="s">
        <v>1182</v>
      </c>
      <c r="E467" s="456" t="s">
        <v>832</v>
      </c>
      <c r="F467" s="1362"/>
      <c r="G467" s="1362">
        <v>8490</v>
      </c>
      <c r="H467" s="1362">
        <v>8490</v>
      </c>
      <c r="I467" s="861">
        <f t="shared" si="22"/>
        <v>100</v>
      </c>
    </row>
    <row r="468" spans="1:20" ht="15" x14ac:dyDescent="0.25">
      <c r="A468" s="432">
        <v>1038</v>
      </c>
      <c r="B468" s="783">
        <v>3124</v>
      </c>
      <c r="C468" s="783">
        <v>5336</v>
      </c>
      <c r="D468" s="1360"/>
      <c r="E468" s="1479" t="s">
        <v>1269</v>
      </c>
      <c r="F468" s="1364"/>
      <c r="G468" s="1364">
        <f>G469+G470+G471</f>
        <v>2475</v>
      </c>
      <c r="H468" s="1364">
        <f>H469+H470+H471</f>
        <v>2475</v>
      </c>
      <c r="I468" s="874">
        <f t="shared" si="22"/>
        <v>100</v>
      </c>
    </row>
    <row r="469" spans="1:20" ht="15" x14ac:dyDescent="0.2">
      <c r="A469" s="432"/>
      <c r="B469" s="681"/>
      <c r="C469" s="681"/>
      <c r="D469" s="554" t="s">
        <v>1182</v>
      </c>
      <c r="E469" s="456" t="s">
        <v>832</v>
      </c>
      <c r="F469" s="1654"/>
      <c r="G469" s="1449">
        <v>2345</v>
      </c>
      <c r="H469" s="1449">
        <v>2345</v>
      </c>
      <c r="I469" s="861">
        <f t="shared" si="22"/>
        <v>100</v>
      </c>
    </row>
    <row r="470" spans="1:20" ht="15" x14ac:dyDescent="0.2">
      <c r="A470" s="432"/>
      <c r="B470" s="681"/>
      <c r="C470" s="681"/>
      <c r="D470" s="1481" t="s">
        <v>1608</v>
      </c>
      <c r="E470" s="1922" t="s">
        <v>1717</v>
      </c>
      <c r="F470" s="1654"/>
      <c r="G470" s="1449">
        <v>20</v>
      </c>
      <c r="H470" s="1449">
        <v>20</v>
      </c>
      <c r="I470" s="861">
        <f t="shared" si="22"/>
        <v>100</v>
      </c>
    </row>
    <row r="471" spans="1:20" ht="15" x14ac:dyDescent="0.2">
      <c r="A471" s="432"/>
      <c r="B471" s="681"/>
      <c r="C471" s="681"/>
      <c r="D471" s="1481" t="s">
        <v>1610</v>
      </c>
      <c r="E471" s="1922" t="s">
        <v>1717</v>
      </c>
      <c r="F471" s="1654"/>
      <c r="G471" s="1449">
        <v>110</v>
      </c>
      <c r="H471" s="1449">
        <v>110</v>
      </c>
      <c r="I471" s="861">
        <f t="shared" si="22"/>
        <v>100</v>
      </c>
    </row>
    <row r="472" spans="1:20" ht="15" x14ac:dyDescent="0.25">
      <c r="A472" s="432">
        <v>1038</v>
      </c>
      <c r="B472" s="681">
        <v>3141</v>
      </c>
      <c r="C472" s="681">
        <v>5336</v>
      </c>
      <c r="D472" s="554"/>
      <c r="E472" s="2392" t="s">
        <v>1269</v>
      </c>
      <c r="F472" s="1654"/>
      <c r="G472" s="1654">
        <v>36</v>
      </c>
      <c r="H472" s="1654">
        <v>36</v>
      </c>
      <c r="I472" s="891">
        <f t="shared" si="22"/>
        <v>100</v>
      </c>
    </row>
    <row r="473" spans="1:20" ht="15" x14ac:dyDescent="0.2">
      <c r="A473" s="432"/>
      <c r="B473" s="681"/>
      <c r="C473" s="681"/>
      <c r="D473" s="554" t="s">
        <v>1182</v>
      </c>
      <c r="E473" s="456" t="s">
        <v>832</v>
      </c>
      <c r="F473" s="1654"/>
      <c r="G473" s="1449">
        <v>36</v>
      </c>
      <c r="H473" s="1449">
        <v>36</v>
      </c>
      <c r="I473" s="861">
        <f t="shared" si="22"/>
        <v>100</v>
      </c>
    </row>
    <row r="474" spans="1:20" ht="15" x14ac:dyDescent="0.25">
      <c r="A474" s="432">
        <v>1038</v>
      </c>
      <c r="B474" s="681">
        <v>3142</v>
      </c>
      <c r="C474" s="1467">
        <v>5336</v>
      </c>
      <c r="D474" s="554"/>
      <c r="E474" s="2392" t="s">
        <v>1269</v>
      </c>
      <c r="F474" s="865"/>
      <c r="G474" s="889">
        <v>19</v>
      </c>
      <c r="H474" s="889">
        <v>19</v>
      </c>
      <c r="I474" s="891">
        <f t="shared" si="22"/>
        <v>100</v>
      </c>
    </row>
    <row r="475" spans="1:20" ht="14.25" x14ac:dyDescent="0.2">
      <c r="A475" s="432"/>
      <c r="B475" s="681"/>
      <c r="C475" s="1467"/>
      <c r="D475" s="554" t="s">
        <v>1182</v>
      </c>
      <c r="E475" s="456" t="s">
        <v>832</v>
      </c>
      <c r="F475" s="865"/>
      <c r="G475" s="865">
        <v>19</v>
      </c>
      <c r="H475" s="865">
        <v>19</v>
      </c>
      <c r="I475" s="861">
        <f t="shared" si="22"/>
        <v>100</v>
      </c>
    </row>
    <row r="476" spans="1:20" ht="15" x14ac:dyDescent="0.25">
      <c r="A476" s="432">
        <v>1038</v>
      </c>
      <c r="B476" s="783">
        <v>3143</v>
      </c>
      <c r="C476" s="783">
        <v>5336</v>
      </c>
      <c r="D476" s="897"/>
      <c r="E476" s="1479" t="s">
        <v>1269</v>
      </c>
      <c r="F476" s="873"/>
      <c r="G476" s="873">
        <v>433</v>
      </c>
      <c r="H476" s="873">
        <v>433</v>
      </c>
      <c r="I476" s="874">
        <f t="shared" si="22"/>
        <v>100</v>
      </c>
    </row>
    <row r="477" spans="1:20" ht="14.25" x14ac:dyDescent="0.2">
      <c r="A477" s="432"/>
      <c r="B477" s="783"/>
      <c r="C477" s="783"/>
      <c r="D477" s="554" t="s">
        <v>1182</v>
      </c>
      <c r="E477" s="456" t="s">
        <v>832</v>
      </c>
      <c r="F477" s="871"/>
      <c r="G477" s="871">
        <v>433</v>
      </c>
      <c r="H477" s="871">
        <v>433</v>
      </c>
      <c r="I477" s="866">
        <f t="shared" si="22"/>
        <v>100</v>
      </c>
    </row>
    <row r="478" spans="1:20" ht="15" x14ac:dyDescent="0.25">
      <c r="A478" s="432">
        <v>1038</v>
      </c>
      <c r="B478" s="783">
        <v>3293</v>
      </c>
      <c r="C478" s="783">
        <v>5331</v>
      </c>
      <c r="D478" s="554"/>
      <c r="E478" s="680" t="s">
        <v>996</v>
      </c>
      <c r="F478" s="884"/>
      <c r="G478" s="884">
        <v>71</v>
      </c>
      <c r="H478" s="884">
        <v>71</v>
      </c>
      <c r="I478" s="874">
        <f t="shared" si="22"/>
        <v>100</v>
      </c>
    </row>
    <row r="479" spans="1:20" ht="15" thickBot="1" x14ac:dyDescent="0.25">
      <c r="A479" s="432"/>
      <c r="B479" s="783"/>
      <c r="C479" s="783"/>
      <c r="D479" s="1119" t="s">
        <v>1185</v>
      </c>
      <c r="E479" s="2258" t="s">
        <v>1270</v>
      </c>
      <c r="F479" s="871"/>
      <c r="G479" s="871">
        <v>71</v>
      </c>
      <c r="H479" s="871">
        <v>71</v>
      </c>
      <c r="I479" s="866">
        <f t="shared" si="22"/>
        <v>100</v>
      </c>
    </row>
    <row r="480" spans="1:20" ht="16.5" thickTop="1" thickBot="1" x14ac:dyDescent="0.3">
      <c r="A480" s="2685" t="s">
        <v>1162</v>
      </c>
      <c r="B480" s="2686"/>
      <c r="C480" s="2686"/>
      <c r="D480" s="2686"/>
      <c r="E480" s="2686"/>
      <c r="F480" s="862">
        <f>SUM(F457,F476,F468,F478)</f>
        <v>1161</v>
      </c>
      <c r="G480" s="862">
        <f>SUM(G457,G476,G468,G478,G472,G474,G466)</f>
        <v>13029</v>
      </c>
      <c r="H480" s="862">
        <f>SUM(H457,H476,H468,H478,H472,H474,H466)</f>
        <v>13029</v>
      </c>
      <c r="I480" s="863">
        <f>(H480/G480)*100</f>
        <v>100</v>
      </c>
      <c r="R480" s="383">
        <f>F480</f>
        <v>1161</v>
      </c>
      <c r="S480" s="383">
        <f>G480</f>
        <v>13029</v>
      </c>
      <c r="T480" s="383">
        <f>H480</f>
        <v>13029</v>
      </c>
    </row>
    <row r="481" spans="1:9" s="1574" customFormat="1" ht="13.5" thickTop="1" x14ac:dyDescent="0.2">
      <c r="B481" s="1588"/>
      <c r="D481" s="1589"/>
      <c r="F481" s="1587"/>
      <c r="G481" s="1587"/>
      <c r="H481" s="1587"/>
      <c r="I481" s="1590"/>
    </row>
    <row r="482" spans="1:9" ht="13.5" thickBot="1" x14ac:dyDescent="0.25">
      <c r="A482" s="433" t="s">
        <v>54</v>
      </c>
      <c r="I482" s="1465" t="s">
        <v>173</v>
      </c>
    </row>
    <row r="483" spans="1:9" s="107" customFormat="1" thickTop="1" thickBot="1" x14ac:dyDescent="0.25">
      <c r="A483" s="633" t="s">
        <v>661</v>
      </c>
      <c r="B483" s="810" t="s">
        <v>174</v>
      </c>
      <c r="C483" s="634" t="s">
        <v>175</v>
      </c>
      <c r="D483" s="636" t="s">
        <v>744</v>
      </c>
      <c r="E483" s="636" t="s">
        <v>176</v>
      </c>
      <c r="F483" s="636" t="s">
        <v>177</v>
      </c>
      <c r="G483" s="636" t="s">
        <v>922</v>
      </c>
      <c r="H483" s="636" t="s">
        <v>923</v>
      </c>
      <c r="I483" s="856" t="s">
        <v>924</v>
      </c>
    </row>
    <row r="484" spans="1:9" s="384" customFormat="1" ht="13.5" thickTop="1" thickBot="1" x14ac:dyDescent="0.25">
      <c r="A484" s="568">
        <v>1</v>
      </c>
      <c r="B484" s="569">
        <v>2</v>
      </c>
      <c r="C484" s="569">
        <v>3</v>
      </c>
      <c r="D484" s="569">
        <v>4</v>
      </c>
      <c r="E484" s="569">
        <v>5</v>
      </c>
      <c r="F484" s="543">
        <v>6</v>
      </c>
      <c r="G484" s="543">
        <v>7</v>
      </c>
      <c r="H484" s="544">
        <v>8</v>
      </c>
      <c r="I484" s="638" t="s">
        <v>801</v>
      </c>
    </row>
    <row r="485" spans="1:9" ht="15.75" thickTop="1" x14ac:dyDescent="0.25">
      <c r="A485" s="1466">
        <v>1040</v>
      </c>
      <c r="B485" s="811">
        <v>3112</v>
      </c>
      <c r="C485" s="811">
        <v>5331</v>
      </c>
      <c r="D485" s="877"/>
      <c r="E485" s="898" t="s">
        <v>996</v>
      </c>
      <c r="F485" s="899">
        <v>597</v>
      </c>
      <c r="G485" s="899">
        <v>597</v>
      </c>
      <c r="H485" s="899">
        <v>597</v>
      </c>
      <c r="I485" s="864">
        <f t="shared" ref="I485:I517" si="23">(H485/G485)*100</f>
        <v>100</v>
      </c>
    </row>
    <row r="486" spans="1:9" ht="14.25" x14ac:dyDescent="0.2">
      <c r="A486" s="432"/>
      <c r="B486" s="681"/>
      <c r="C486" s="681"/>
      <c r="D486" s="554" t="s">
        <v>606</v>
      </c>
      <c r="E486" s="456" t="s">
        <v>72</v>
      </c>
      <c r="F486" s="357">
        <v>597</v>
      </c>
      <c r="G486" s="357">
        <v>597</v>
      </c>
      <c r="H486" s="357">
        <v>597</v>
      </c>
      <c r="I486" s="861">
        <f t="shared" si="23"/>
        <v>100</v>
      </c>
    </row>
    <row r="487" spans="1:9" ht="15" x14ac:dyDescent="0.25">
      <c r="A487" s="432">
        <v>1040</v>
      </c>
      <c r="B487" s="783">
        <v>3112</v>
      </c>
      <c r="C487" s="783">
        <v>5336</v>
      </c>
      <c r="D487" s="897"/>
      <c r="E487" s="1479" t="s">
        <v>1269</v>
      </c>
      <c r="F487" s="875"/>
      <c r="G487" s="884">
        <v>6629</v>
      </c>
      <c r="H487" s="884">
        <v>6629</v>
      </c>
      <c r="I487" s="859">
        <f t="shared" si="23"/>
        <v>100</v>
      </c>
    </row>
    <row r="488" spans="1:9" ht="15" x14ac:dyDescent="0.25">
      <c r="A488" s="432"/>
      <c r="B488" s="783"/>
      <c r="C488" s="783"/>
      <c r="D488" s="570" t="s">
        <v>1182</v>
      </c>
      <c r="E488" s="906" t="s">
        <v>832</v>
      </c>
      <c r="F488" s="873"/>
      <c r="G488" s="875">
        <v>6629</v>
      </c>
      <c r="H488" s="875">
        <v>6629</v>
      </c>
      <c r="I488" s="861">
        <f t="shared" si="23"/>
        <v>100</v>
      </c>
    </row>
    <row r="489" spans="1:9" ht="15" x14ac:dyDescent="0.25">
      <c r="A489" s="432">
        <v>1040</v>
      </c>
      <c r="B489" s="681">
        <v>3114</v>
      </c>
      <c r="C489" s="681">
        <v>5331</v>
      </c>
      <c r="D489" s="857"/>
      <c r="E489" s="829" t="s">
        <v>996</v>
      </c>
      <c r="F489" s="858">
        <f>SUM(F490:F491)</f>
        <v>830</v>
      </c>
      <c r="G489" s="858">
        <f>SUM(G490:G491)</f>
        <v>831</v>
      </c>
      <c r="H489" s="858">
        <f>SUM(H490:H491)</f>
        <v>831</v>
      </c>
      <c r="I489" s="859">
        <f t="shared" si="23"/>
        <v>100</v>
      </c>
    </row>
    <row r="490" spans="1:9" ht="14.25" x14ac:dyDescent="0.2">
      <c r="A490" s="432"/>
      <c r="B490" s="681"/>
      <c r="C490" s="681"/>
      <c r="D490" s="719" t="s">
        <v>611</v>
      </c>
      <c r="E490" s="1569" t="s">
        <v>833</v>
      </c>
      <c r="F490" s="865">
        <v>30</v>
      </c>
      <c r="G490" s="865">
        <v>31</v>
      </c>
      <c r="H490" s="865">
        <v>31</v>
      </c>
      <c r="I490" s="861">
        <f t="shared" si="23"/>
        <v>100</v>
      </c>
    </row>
    <row r="491" spans="1:9" ht="14.25" x14ac:dyDescent="0.2">
      <c r="A491" s="432"/>
      <c r="B491" s="681"/>
      <c r="C491" s="681"/>
      <c r="D491" s="554" t="s">
        <v>606</v>
      </c>
      <c r="E491" s="456" t="s">
        <v>72</v>
      </c>
      <c r="F491" s="865">
        <v>800</v>
      </c>
      <c r="G491" s="865">
        <v>800</v>
      </c>
      <c r="H491" s="865">
        <v>800</v>
      </c>
      <c r="I491" s="861">
        <f t="shared" si="23"/>
        <v>100</v>
      </c>
    </row>
    <row r="492" spans="1:9" s="1870" customFormat="1" ht="15" x14ac:dyDescent="0.25">
      <c r="A492" s="2272">
        <v>1040</v>
      </c>
      <c r="B492" s="783">
        <v>3114</v>
      </c>
      <c r="C492" s="783">
        <v>5336</v>
      </c>
      <c r="D492" s="1360"/>
      <c r="E492" s="1479" t="s">
        <v>1269</v>
      </c>
      <c r="F492" s="1362"/>
      <c r="G492" s="1364">
        <v>18803</v>
      </c>
      <c r="H492" s="1364">
        <v>18803</v>
      </c>
      <c r="I492" s="859">
        <f t="shared" si="23"/>
        <v>100</v>
      </c>
    </row>
    <row r="493" spans="1:9" s="1870" customFormat="1" ht="14.25" x14ac:dyDescent="0.2">
      <c r="A493" s="2272"/>
      <c r="B493" s="783"/>
      <c r="C493" s="783"/>
      <c r="D493" s="554" t="s">
        <v>1182</v>
      </c>
      <c r="E493" s="456" t="s">
        <v>832</v>
      </c>
      <c r="F493" s="1362"/>
      <c r="G493" s="1362">
        <v>18803</v>
      </c>
      <c r="H493" s="1362">
        <v>18803</v>
      </c>
      <c r="I493" s="861">
        <f t="shared" si="23"/>
        <v>100</v>
      </c>
    </row>
    <row r="494" spans="1:9" ht="15" x14ac:dyDescent="0.25">
      <c r="A494" s="432">
        <v>1040</v>
      </c>
      <c r="B494" s="783">
        <v>3124</v>
      </c>
      <c r="C494" s="783">
        <v>5331</v>
      </c>
      <c r="D494" s="880"/>
      <c r="E494" s="829" t="s">
        <v>996</v>
      </c>
      <c r="F494" s="873">
        <v>95</v>
      </c>
      <c r="G494" s="873">
        <v>95</v>
      </c>
      <c r="H494" s="873">
        <v>95</v>
      </c>
      <c r="I494" s="859">
        <f t="shared" si="23"/>
        <v>100</v>
      </c>
    </row>
    <row r="495" spans="1:9" ht="14.25" x14ac:dyDescent="0.2">
      <c r="A495" s="432"/>
      <c r="B495" s="783"/>
      <c r="C495" s="783"/>
      <c r="D495" s="554" t="s">
        <v>606</v>
      </c>
      <c r="E495" s="456" t="s">
        <v>72</v>
      </c>
      <c r="F495" s="875">
        <v>95</v>
      </c>
      <c r="G495" s="875">
        <v>95</v>
      </c>
      <c r="H495" s="875">
        <v>95</v>
      </c>
      <c r="I495" s="866">
        <f t="shared" si="23"/>
        <v>100</v>
      </c>
    </row>
    <row r="496" spans="1:9" ht="15" x14ac:dyDescent="0.25">
      <c r="A496" s="432">
        <v>1040</v>
      </c>
      <c r="B496" s="783">
        <v>3124</v>
      </c>
      <c r="C496" s="783">
        <v>5336</v>
      </c>
      <c r="D496" s="554"/>
      <c r="E496" s="1479" t="s">
        <v>1269</v>
      </c>
      <c r="F496" s="875"/>
      <c r="G496" s="884">
        <f>G497+G498+G499</f>
        <v>1161</v>
      </c>
      <c r="H496" s="884">
        <f>H497+H498+H499</f>
        <v>1161</v>
      </c>
      <c r="I496" s="859">
        <f t="shared" si="23"/>
        <v>100</v>
      </c>
    </row>
    <row r="497" spans="1:9" ht="14.25" x14ac:dyDescent="0.2">
      <c r="A497" s="432"/>
      <c r="B497" s="783"/>
      <c r="C497" s="783"/>
      <c r="D497" s="554" t="s">
        <v>1182</v>
      </c>
      <c r="E497" s="456" t="s">
        <v>832</v>
      </c>
      <c r="F497" s="871"/>
      <c r="G497" s="871">
        <v>1033</v>
      </c>
      <c r="H497" s="871">
        <v>1033</v>
      </c>
      <c r="I497" s="866">
        <f t="shared" si="23"/>
        <v>100</v>
      </c>
    </row>
    <row r="498" spans="1:9" ht="14.25" x14ac:dyDescent="0.2">
      <c r="A498" s="432"/>
      <c r="B498" s="783"/>
      <c r="C498" s="783"/>
      <c r="D498" s="1481" t="s">
        <v>1608</v>
      </c>
      <c r="E498" s="1476" t="s">
        <v>1717</v>
      </c>
      <c r="F498" s="871"/>
      <c r="G498" s="871">
        <v>19</v>
      </c>
      <c r="H498" s="871">
        <v>19</v>
      </c>
      <c r="I498" s="866">
        <f t="shared" si="23"/>
        <v>100</v>
      </c>
    </row>
    <row r="499" spans="1:9" ht="14.25" x14ac:dyDescent="0.2">
      <c r="A499" s="432"/>
      <c r="B499" s="783"/>
      <c r="C499" s="783"/>
      <c r="D499" s="1481" t="s">
        <v>1610</v>
      </c>
      <c r="E499" s="1476" t="s">
        <v>1717</v>
      </c>
      <c r="F499" s="871"/>
      <c r="G499" s="871">
        <v>109</v>
      </c>
      <c r="H499" s="871">
        <v>109</v>
      </c>
      <c r="I499" s="866">
        <f t="shared" si="23"/>
        <v>100</v>
      </c>
    </row>
    <row r="500" spans="1:9" ht="15" x14ac:dyDescent="0.25">
      <c r="A500" s="432">
        <v>1040</v>
      </c>
      <c r="B500" s="783">
        <v>3141</v>
      </c>
      <c r="C500" s="783">
        <v>5336</v>
      </c>
      <c r="D500" s="554"/>
      <c r="E500" s="1479" t="s">
        <v>1269</v>
      </c>
      <c r="F500" s="884"/>
      <c r="G500" s="884">
        <v>176</v>
      </c>
      <c r="H500" s="884">
        <v>176</v>
      </c>
      <c r="I500" s="876">
        <f t="shared" si="23"/>
        <v>100</v>
      </c>
    </row>
    <row r="501" spans="1:9" ht="14.25" x14ac:dyDescent="0.2">
      <c r="A501" s="432"/>
      <c r="B501" s="783"/>
      <c r="C501" s="783"/>
      <c r="D501" s="554" t="s">
        <v>1182</v>
      </c>
      <c r="E501" s="456" t="s">
        <v>832</v>
      </c>
      <c r="F501" s="871"/>
      <c r="G501" s="871">
        <v>176</v>
      </c>
      <c r="H501" s="871">
        <v>176</v>
      </c>
      <c r="I501" s="866">
        <f t="shared" si="23"/>
        <v>100</v>
      </c>
    </row>
    <row r="502" spans="1:9" ht="15" x14ac:dyDescent="0.25">
      <c r="A502" s="432">
        <v>1040</v>
      </c>
      <c r="B502" s="783">
        <v>3142</v>
      </c>
      <c r="C502" s="783">
        <v>5331</v>
      </c>
      <c r="D502" s="880"/>
      <c r="E502" s="680" t="s">
        <v>996</v>
      </c>
      <c r="F502" s="873">
        <f>F503+F505</f>
        <v>210</v>
      </c>
      <c r="G502" s="873">
        <v>210</v>
      </c>
      <c r="H502" s="873">
        <v>210</v>
      </c>
      <c r="I502" s="874">
        <f t="shared" si="23"/>
        <v>100</v>
      </c>
    </row>
    <row r="503" spans="1:9" ht="14.25" x14ac:dyDescent="0.2">
      <c r="A503" s="432"/>
      <c r="B503" s="783"/>
      <c r="C503" s="783"/>
      <c r="D503" s="554" t="s">
        <v>606</v>
      </c>
      <c r="E503" s="456" t="s">
        <v>72</v>
      </c>
      <c r="F503" s="871">
        <v>210</v>
      </c>
      <c r="G503" s="871">
        <v>210</v>
      </c>
      <c r="H503" s="871">
        <v>210</v>
      </c>
      <c r="I503" s="866">
        <f t="shared" si="23"/>
        <v>100</v>
      </c>
    </row>
    <row r="504" spans="1:9" ht="15" x14ac:dyDescent="0.25">
      <c r="A504" s="432">
        <v>1040</v>
      </c>
      <c r="B504" s="783">
        <v>3142</v>
      </c>
      <c r="C504" s="783">
        <v>5336</v>
      </c>
      <c r="D504" s="554"/>
      <c r="E504" s="1479" t="s">
        <v>1269</v>
      </c>
      <c r="F504" s="871"/>
      <c r="G504" s="884">
        <v>49</v>
      </c>
      <c r="H504" s="884">
        <v>49</v>
      </c>
      <c r="I504" s="876">
        <f t="shared" si="23"/>
        <v>100</v>
      </c>
    </row>
    <row r="505" spans="1:9" ht="14.25" x14ac:dyDescent="0.2">
      <c r="A505" s="432"/>
      <c r="B505" s="783"/>
      <c r="C505" s="783"/>
      <c r="D505" s="554" t="s">
        <v>1182</v>
      </c>
      <c r="E505" s="456" t="s">
        <v>832</v>
      </c>
      <c r="F505" s="871"/>
      <c r="G505" s="871">
        <v>49</v>
      </c>
      <c r="H505" s="871">
        <v>49</v>
      </c>
      <c r="I505" s="866">
        <f t="shared" si="23"/>
        <v>100</v>
      </c>
    </row>
    <row r="506" spans="1:9" ht="15" x14ac:dyDescent="0.25">
      <c r="A506" s="432">
        <v>1040</v>
      </c>
      <c r="B506" s="783">
        <v>3143</v>
      </c>
      <c r="C506" s="783">
        <v>5331</v>
      </c>
      <c r="D506" s="897"/>
      <c r="E506" s="680" t="s">
        <v>996</v>
      </c>
      <c r="F506" s="873">
        <f>F507</f>
        <v>105</v>
      </c>
      <c r="G506" s="873">
        <v>105</v>
      </c>
      <c r="H506" s="873">
        <v>105</v>
      </c>
      <c r="I506" s="874">
        <f t="shared" si="23"/>
        <v>100</v>
      </c>
    </row>
    <row r="507" spans="1:9" ht="14.25" x14ac:dyDescent="0.2">
      <c r="A507" s="432"/>
      <c r="B507" s="783"/>
      <c r="C507" s="783"/>
      <c r="D507" s="554" t="s">
        <v>606</v>
      </c>
      <c r="E507" s="456" t="s">
        <v>72</v>
      </c>
      <c r="F507" s="871">
        <v>105</v>
      </c>
      <c r="G507" s="871">
        <v>105</v>
      </c>
      <c r="H507" s="871">
        <v>105</v>
      </c>
      <c r="I507" s="866">
        <f t="shared" si="23"/>
        <v>100</v>
      </c>
    </row>
    <row r="508" spans="1:9" ht="15" x14ac:dyDescent="0.25">
      <c r="A508" s="432">
        <v>1040</v>
      </c>
      <c r="B508" s="783">
        <v>3143</v>
      </c>
      <c r="C508" s="783">
        <v>5336</v>
      </c>
      <c r="D508" s="554"/>
      <c r="E508" s="1479" t="s">
        <v>1269</v>
      </c>
      <c r="F508" s="871"/>
      <c r="G508" s="884">
        <v>769</v>
      </c>
      <c r="H508" s="884">
        <v>769</v>
      </c>
      <c r="I508" s="876">
        <f t="shared" si="23"/>
        <v>100</v>
      </c>
    </row>
    <row r="509" spans="1:9" ht="14.25" x14ac:dyDescent="0.2">
      <c r="A509" s="432"/>
      <c r="B509" s="783"/>
      <c r="C509" s="1468"/>
      <c r="D509" s="554" t="s">
        <v>1182</v>
      </c>
      <c r="E509" s="456" t="s">
        <v>832</v>
      </c>
      <c r="F509" s="871"/>
      <c r="G509" s="871">
        <v>769</v>
      </c>
      <c r="H509" s="871">
        <v>769</v>
      </c>
      <c r="I509" s="866">
        <f t="shared" si="23"/>
        <v>100</v>
      </c>
    </row>
    <row r="510" spans="1:9" ht="15" x14ac:dyDescent="0.25">
      <c r="A510" s="432">
        <v>1040</v>
      </c>
      <c r="B510" s="783">
        <v>3145</v>
      </c>
      <c r="C510" s="783">
        <v>5331</v>
      </c>
      <c r="D510" s="897"/>
      <c r="E510" s="680" t="s">
        <v>996</v>
      </c>
      <c r="F510" s="884">
        <v>210</v>
      </c>
      <c r="G510" s="884">
        <v>210</v>
      </c>
      <c r="H510" s="884">
        <v>210</v>
      </c>
      <c r="I510" s="874">
        <f t="shared" si="23"/>
        <v>100</v>
      </c>
    </row>
    <row r="511" spans="1:9" ht="14.25" x14ac:dyDescent="0.2">
      <c r="A511" s="432"/>
      <c r="B511" s="783"/>
      <c r="C511" s="783"/>
      <c r="D511" s="554" t="s">
        <v>606</v>
      </c>
      <c r="E511" s="456" t="s">
        <v>72</v>
      </c>
      <c r="F511" s="871">
        <v>210</v>
      </c>
      <c r="G511" s="871">
        <v>210</v>
      </c>
      <c r="H511" s="871">
        <v>210</v>
      </c>
      <c r="I511" s="866">
        <f t="shared" si="23"/>
        <v>100</v>
      </c>
    </row>
    <row r="512" spans="1:9" ht="15" x14ac:dyDescent="0.25">
      <c r="A512" s="432">
        <v>1040</v>
      </c>
      <c r="B512" s="783">
        <v>3145</v>
      </c>
      <c r="C512" s="783">
        <v>5336</v>
      </c>
      <c r="D512" s="554"/>
      <c r="E512" s="1479" t="s">
        <v>1269</v>
      </c>
      <c r="F512" s="871"/>
      <c r="G512" s="884">
        <v>1076</v>
      </c>
      <c r="H512" s="884">
        <v>1076</v>
      </c>
      <c r="I512" s="876">
        <f t="shared" si="23"/>
        <v>100</v>
      </c>
    </row>
    <row r="513" spans="1:20" ht="14.25" x14ac:dyDescent="0.2">
      <c r="A513" s="432"/>
      <c r="B513" s="783"/>
      <c r="C513" s="1468"/>
      <c r="D513" s="554" t="s">
        <v>1182</v>
      </c>
      <c r="E513" s="456" t="s">
        <v>832</v>
      </c>
      <c r="F513" s="871"/>
      <c r="G513" s="871">
        <v>1076</v>
      </c>
      <c r="H513" s="871">
        <v>1076</v>
      </c>
      <c r="I513" s="866">
        <f t="shared" si="23"/>
        <v>100</v>
      </c>
    </row>
    <row r="514" spans="1:20" ht="15" x14ac:dyDescent="0.25">
      <c r="A514" s="432">
        <v>1040</v>
      </c>
      <c r="B514" s="783">
        <v>3792</v>
      </c>
      <c r="C514" s="1468">
        <v>5331</v>
      </c>
      <c r="D514" s="554"/>
      <c r="E514" s="680" t="s">
        <v>996</v>
      </c>
      <c r="F514" s="884"/>
      <c r="G514" s="884">
        <v>5</v>
      </c>
      <c r="H514" s="884">
        <v>5</v>
      </c>
      <c r="I514" s="876">
        <f t="shared" si="23"/>
        <v>100</v>
      </c>
    </row>
    <row r="515" spans="1:20" ht="18" customHeight="1" x14ac:dyDescent="0.2">
      <c r="A515" s="432"/>
      <c r="B515" s="783"/>
      <c r="C515" s="1468"/>
      <c r="D515" s="1110" t="s">
        <v>1382</v>
      </c>
      <c r="E515" s="1215" t="s">
        <v>389</v>
      </c>
      <c r="F515" s="871"/>
      <c r="G515" s="871">
        <v>5</v>
      </c>
      <c r="H515" s="871">
        <v>5</v>
      </c>
      <c r="I515" s="866">
        <f t="shared" si="23"/>
        <v>100</v>
      </c>
    </row>
    <row r="516" spans="1:20" ht="18" customHeight="1" x14ac:dyDescent="0.25">
      <c r="A516" s="432">
        <v>1040</v>
      </c>
      <c r="B516" s="783">
        <v>5399</v>
      </c>
      <c r="C516" s="1468">
        <v>5331</v>
      </c>
      <c r="D516" s="1120"/>
      <c r="E516" s="680" t="s">
        <v>996</v>
      </c>
      <c r="F516" s="871"/>
      <c r="G516" s="884">
        <v>66</v>
      </c>
      <c r="H516" s="884">
        <v>66</v>
      </c>
      <c r="I516" s="876">
        <f t="shared" si="23"/>
        <v>100</v>
      </c>
    </row>
    <row r="517" spans="1:20" ht="18" customHeight="1" thickBot="1" x14ac:dyDescent="0.25">
      <c r="A517" s="432"/>
      <c r="B517" s="783"/>
      <c r="C517" s="1468"/>
      <c r="D517" s="1391" t="s">
        <v>910</v>
      </c>
      <c r="E517" s="1354" t="s">
        <v>518</v>
      </c>
      <c r="F517" s="871"/>
      <c r="G517" s="871">
        <v>66</v>
      </c>
      <c r="H517" s="871">
        <v>66</v>
      </c>
      <c r="I517" s="866">
        <f t="shared" si="23"/>
        <v>100</v>
      </c>
    </row>
    <row r="518" spans="1:20" ht="16.5" thickTop="1" thickBot="1" x14ac:dyDescent="0.3">
      <c r="A518" s="2685" t="s">
        <v>1162</v>
      </c>
      <c r="B518" s="2686"/>
      <c r="C518" s="2686"/>
      <c r="D518" s="2686"/>
      <c r="E518" s="2686"/>
      <c r="F518" s="862">
        <f>F485+F506+F489+F510+F500+F502+F494</f>
        <v>2047</v>
      </c>
      <c r="G518" s="862">
        <f>G485+G506+G489+G510+G500+G502+G494+G514+G487+G492+G512+G508+G504+G496+G516</f>
        <v>30782</v>
      </c>
      <c r="H518" s="862">
        <f>H485+H506+H489+H510+H500+H502+H494+H514+H487+H492+H512+H508+H504+H496+H516</f>
        <v>30782</v>
      </c>
      <c r="I518" s="863">
        <f>(H518/G518)*100</f>
        <v>100</v>
      </c>
      <c r="R518" s="383">
        <f>F518</f>
        <v>2047</v>
      </c>
      <c r="S518" s="383">
        <f>G518</f>
        <v>30782</v>
      </c>
      <c r="T518" s="383">
        <f>H518</f>
        <v>30782</v>
      </c>
    </row>
    <row r="519" spans="1:20" ht="13.5" thickTop="1" x14ac:dyDescent="0.2"/>
    <row r="521" spans="1:20" ht="20.25" customHeight="1" thickBot="1" x14ac:dyDescent="0.25">
      <c r="A521" s="433" t="s">
        <v>63</v>
      </c>
      <c r="I521" s="1465" t="s">
        <v>173</v>
      </c>
    </row>
    <row r="522" spans="1:20" s="107" customFormat="1" thickTop="1" thickBot="1" x14ac:dyDescent="0.25">
      <c r="A522" s="633" t="s">
        <v>661</v>
      </c>
      <c r="B522" s="810" t="s">
        <v>174</v>
      </c>
      <c r="C522" s="634" t="s">
        <v>175</v>
      </c>
      <c r="D522" s="636" t="s">
        <v>744</v>
      </c>
      <c r="E522" s="636" t="s">
        <v>176</v>
      </c>
      <c r="F522" s="636" t="s">
        <v>177</v>
      </c>
      <c r="G522" s="636" t="s">
        <v>922</v>
      </c>
      <c r="H522" s="636" t="s">
        <v>923</v>
      </c>
      <c r="I522" s="856" t="s">
        <v>924</v>
      </c>
    </row>
    <row r="523" spans="1:20" s="384" customFormat="1" ht="13.5" thickTop="1" thickBot="1" x14ac:dyDescent="0.25">
      <c r="A523" s="568">
        <v>1</v>
      </c>
      <c r="B523" s="569">
        <v>2</v>
      </c>
      <c r="C523" s="569">
        <v>3</v>
      </c>
      <c r="D523" s="569">
        <v>4</v>
      </c>
      <c r="E523" s="569">
        <v>5</v>
      </c>
      <c r="F523" s="543">
        <v>6</v>
      </c>
      <c r="G523" s="543">
        <v>7</v>
      </c>
      <c r="H523" s="544">
        <v>8</v>
      </c>
      <c r="I523" s="638" t="s">
        <v>801</v>
      </c>
    </row>
    <row r="524" spans="1:20" s="384" customFormat="1" ht="15.75" thickTop="1" x14ac:dyDescent="0.25">
      <c r="A524" s="432">
        <v>1041</v>
      </c>
      <c r="B524" s="783">
        <v>3112</v>
      </c>
      <c r="C524" s="783">
        <v>5336</v>
      </c>
      <c r="D524" s="554"/>
      <c r="E524" s="1479" t="s">
        <v>1269</v>
      </c>
      <c r="F524" s="357"/>
      <c r="G524" s="889">
        <v>1515</v>
      </c>
      <c r="H524" s="889">
        <v>1515</v>
      </c>
      <c r="I524" s="891">
        <f t="shared" ref="I524:I525" si="24">(H524/G524)*100</f>
        <v>100</v>
      </c>
    </row>
    <row r="525" spans="1:20" s="384" customFormat="1" ht="15" x14ac:dyDescent="0.25">
      <c r="A525" s="432"/>
      <c r="B525" s="681"/>
      <c r="C525" s="681"/>
      <c r="D525" s="554" t="s">
        <v>1182</v>
      </c>
      <c r="E525" s="456" t="s">
        <v>832</v>
      </c>
      <c r="F525" s="858"/>
      <c r="G525" s="865">
        <v>1515</v>
      </c>
      <c r="H525" s="865">
        <v>1515</v>
      </c>
      <c r="I525" s="861">
        <f t="shared" si="24"/>
        <v>100</v>
      </c>
    </row>
    <row r="526" spans="1:20" ht="15" x14ac:dyDescent="0.25">
      <c r="A526" s="432">
        <v>1041</v>
      </c>
      <c r="B526" s="681">
        <v>3114</v>
      </c>
      <c r="C526" s="681">
        <v>5331</v>
      </c>
      <c r="D526" s="857"/>
      <c r="E526" s="829" t="s">
        <v>996</v>
      </c>
      <c r="F526" s="858">
        <f>SUM(F527:F530)</f>
        <v>2775</v>
      </c>
      <c r="G526" s="858">
        <f>SUM(G527:G528)</f>
        <v>3010</v>
      </c>
      <c r="H526" s="858">
        <f>SUM(H527:H528)</f>
        <v>3010</v>
      </c>
      <c r="I526" s="859">
        <f t="shared" ref="I526:I542" si="25">(H526/G526)*100</f>
        <v>100</v>
      </c>
    </row>
    <row r="527" spans="1:20" ht="14.25" x14ac:dyDescent="0.2">
      <c r="A527" s="432"/>
      <c r="B527" s="681"/>
      <c r="C527" s="681"/>
      <c r="D527" s="719" t="s">
        <v>611</v>
      </c>
      <c r="E527" s="1569" t="s">
        <v>833</v>
      </c>
      <c r="F527" s="357">
        <v>1175</v>
      </c>
      <c r="G527" s="865">
        <v>1410</v>
      </c>
      <c r="H527" s="865">
        <v>1410</v>
      </c>
      <c r="I527" s="861">
        <f t="shared" si="25"/>
        <v>100</v>
      </c>
    </row>
    <row r="528" spans="1:20" ht="14.25" x14ac:dyDescent="0.2">
      <c r="A528" s="432"/>
      <c r="B528" s="681"/>
      <c r="C528" s="681"/>
      <c r="D528" s="554" t="s">
        <v>606</v>
      </c>
      <c r="E528" s="456" t="s">
        <v>72</v>
      </c>
      <c r="F528" s="357">
        <v>1600</v>
      </c>
      <c r="G528" s="865">
        <v>1600</v>
      </c>
      <c r="H528" s="865">
        <v>1600</v>
      </c>
      <c r="I528" s="861">
        <f t="shared" si="25"/>
        <v>100</v>
      </c>
    </row>
    <row r="529" spans="1:9" ht="15" x14ac:dyDescent="0.25">
      <c r="A529" s="432">
        <v>1041</v>
      </c>
      <c r="B529" s="783">
        <v>3114</v>
      </c>
      <c r="C529" s="783">
        <v>5336</v>
      </c>
      <c r="D529" s="554"/>
      <c r="E529" s="1479" t="s">
        <v>1269</v>
      </c>
      <c r="F529" s="357"/>
      <c r="G529" s="889">
        <v>7498</v>
      </c>
      <c r="H529" s="889">
        <v>7498</v>
      </c>
      <c r="I529" s="891">
        <f t="shared" si="25"/>
        <v>100</v>
      </c>
    </row>
    <row r="530" spans="1:9" ht="15" x14ac:dyDescent="0.25">
      <c r="A530" s="432"/>
      <c r="B530" s="681"/>
      <c r="C530" s="681"/>
      <c r="D530" s="554" t="s">
        <v>1182</v>
      </c>
      <c r="E530" s="456" t="s">
        <v>832</v>
      </c>
      <c r="F530" s="858"/>
      <c r="G530" s="865">
        <v>7498</v>
      </c>
      <c r="H530" s="865">
        <v>7498</v>
      </c>
      <c r="I530" s="861">
        <f t="shared" si="25"/>
        <v>100</v>
      </c>
    </row>
    <row r="531" spans="1:9" ht="15" x14ac:dyDescent="0.25">
      <c r="A531" s="432">
        <v>1041</v>
      </c>
      <c r="B531" s="783">
        <v>3141</v>
      </c>
      <c r="C531" s="1468">
        <v>5331</v>
      </c>
      <c r="D531" s="880"/>
      <c r="E531" s="680" t="s">
        <v>996</v>
      </c>
      <c r="F531" s="873">
        <v>1000</v>
      </c>
      <c r="G531" s="873">
        <v>1000</v>
      </c>
      <c r="H531" s="873">
        <v>1000</v>
      </c>
      <c r="I531" s="874">
        <f t="shared" si="25"/>
        <v>100</v>
      </c>
    </row>
    <row r="532" spans="1:9" ht="14.25" x14ac:dyDescent="0.2">
      <c r="A532" s="432"/>
      <c r="B532" s="783"/>
      <c r="C532" s="1468"/>
      <c r="D532" s="554" t="s">
        <v>606</v>
      </c>
      <c r="E532" s="456" t="s">
        <v>72</v>
      </c>
      <c r="F532" s="875">
        <v>1000</v>
      </c>
      <c r="G532" s="871">
        <v>1000</v>
      </c>
      <c r="H532" s="871">
        <v>1000</v>
      </c>
      <c r="I532" s="866">
        <f t="shared" si="25"/>
        <v>100</v>
      </c>
    </row>
    <row r="533" spans="1:9" ht="15" x14ac:dyDescent="0.25">
      <c r="A533" s="432">
        <v>1041</v>
      </c>
      <c r="B533" s="783">
        <v>3141</v>
      </c>
      <c r="C533" s="783">
        <v>5336</v>
      </c>
      <c r="D533" s="554"/>
      <c r="E533" s="1479" t="s">
        <v>1269</v>
      </c>
      <c r="F533" s="875"/>
      <c r="G533" s="884">
        <v>152</v>
      </c>
      <c r="H533" s="884">
        <v>152</v>
      </c>
      <c r="I533" s="876">
        <f t="shared" si="25"/>
        <v>100</v>
      </c>
    </row>
    <row r="534" spans="1:9" ht="15" x14ac:dyDescent="0.25">
      <c r="A534" s="432"/>
      <c r="B534" s="783"/>
      <c r="C534" s="1468"/>
      <c r="D534" s="554" t="s">
        <v>1182</v>
      </c>
      <c r="E534" s="456" t="s">
        <v>832</v>
      </c>
      <c r="F534" s="873"/>
      <c r="G534" s="871">
        <v>152</v>
      </c>
      <c r="H534" s="871">
        <v>152</v>
      </c>
      <c r="I534" s="866">
        <f t="shared" si="25"/>
        <v>100</v>
      </c>
    </row>
    <row r="535" spans="1:9" ht="15" x14ac:dyDescent="0.25">
      <c r="A535" s="432">
        <v>1041</v>
      </c>
      <c r="B535" s="783">
        <v>3142</v>
      </c>
      <c r="C535" s="1468">
        <v>5336</v>
      </c>
      <c r="D535" s="570"/>
      <c r="E535" s="1479" t="s">
        <v>1269</v>
      </c>
      <c r="F535" s="873"/>
      <c r="G535" s="884">
        <v>428</v>
      </c>
      <c r="H535" s="884">
        <v>428</v>
      </c>
      <c r="I535" s="876">
        <f t="shared" si="25"/>
        <v>100</v>
      </c>
    </row>
    <row r="536" spans="1:9" ht="15" x14ac:dyDescent="0.25">
      <c r="A536" s="432"/>
      <c r="B536" s="783"/>
      <c r="C536" s="1468"/>
      <c r="D536" s="554" t="s">
        <v>1182</v>
      </c>
      <c r="E536" s="456" t="s">
        <v>832</v>
      </c>
      <c r="F536" s="873"/>
      <c r="G536" s="871">
        <v>428</v>
      </c>
      <c r="H536" s="871">
        <v>428</v>
      </c>
      <c r="I536" s="866">
        <f t="shared" si="25"/>
        <v>100</v>
      </c>
    </row>
    <row r="537" spans="1:9" ht="15" x14ac:dyDescent="0.25">
      <c r="A537" s="432">
        <v>1041</v>
      </c>
      <c r="B537" s="783">
        <v>3143</v>
      </c>
      <c r="C537" s="1468">
        <v>5331</v>
      </c>
      <c r="D537" s="880"/>
      <c r="E537" s="680" t="s">
        <v>996</v>
      </c>
      <c r="F537" s="873">
        <v>70</v>
      </c>
      <c r="G537" s="873">
        <v>70</v>
      </c>
      <c r="H537" s="873">
        <v>70</v>
      </c>
      <c r="I537" s="874">
        <f t="shared" si="25"/>
        <v>100</v>
      </c>
    </row>
    <row r="538" spans="1:9" ht="14.25" x14ac:dyDescent="0.2">
      <c r="A538" s="432"/>
      <c r="B538" s="783"/>
      <c r="C538" s="1468"/>
      <c r="D538" s="554" t="s">
        <v>606</v>
      </c>
      <c r="E538" s="456" t="s">
        <v>72</v>
      </c>
      <c r="F538" s="875">
        <v>70</v>
      </c>
      <c r="G538" s="871">
        <v>70</v>
      </c>
      <c r="H538" s="871">
        <v>70</v>
      </c>
      <c r="I538" s="866">
        <f t="shared" si="25"/>
        <v>100</v>
      </c>
    </row>
    <row r="539" spans="1:9" ht="15" customHeight="1" x14ac:dyDescent="0.25">
      <c r="A539" s="432">
        <v>1041</v>
      </c>
      <c r="B539" s="783">
        <v>3143</v>
      </c>
      <c r="C539" s="1468">
        <v>5336</v>
      </c>
      <c r="D539" s="570"/>
      <c r="E539" s="1479" t="s">
        <v>1269</v>
      </c>
      <c r="F539" s="875"/>
      <c r="G539" s="884">
        <v>488</v>
      </c>
      <c r="H539" s="884">
        <v>488</v>
      </c>
      <c r="I539" s="876">
        <f t="shared" si="25"/>
        <v>100</v>
      </c>
    </row>
    <row r="540" spans="1:9" ht="15" customHeight="1" x14ac:dyDescent="0.2">
      <c r="A540" s="432"/>
      <c r="B540" s="783"/>
      <c r="C540" s="1468"/>
      <c r="D540" s="554" t="s">
        <v>1182</v>
      </c>
      <c r="E540" s="456" t="s">
        <v>832</v>
      </c>
      <c r="F540" s="871"/>
      <c r="G540" s="871">
        <v>488</v>
      </c>
      <c r="H540" s="871">
        <v>488</v>
      </c>
      <c r="I540" s="866">
        <f t="shared" si="25"/>
        <v>100</v>
      </c>
    </row>
    <row r="541" spans="1:9" ht="15" x14ac:dyDescent="0.25">
      <c r="A541" s="432">
        <v>1041</v>
      </c>
      <c r="B541" s="783">
        <v>4322</v>
      </c>
      <c r="C541" s="783">
        <v>5331</v>
      </c>
      <c r="D541" s="897"/>
      <c r="E541" s="680" t="s">
        <v>996</v>
      </c>
      <c r="F541" s="873">
        <v>3500</v>
      </c>
      <c r="G541" s="873">
        <v>3500</v>
      </c>
      <c r="H541" s="873">
        <v>3500</v>
      </c>
      <c r="I541" s="874">
        <f t="shared" si="25"/>
        <v>100</v>
      </c>
    </row>
    <row r="542" spans="1:9" ht="14.25" x14ac:dyDescent="0.2">
      <c r="A542" s="432"/>
      <c r="B542" s="783"/>
      <c r="C542" s="783"/>
      <c r="D542" s="554" t="s">
        <v>606</v>
      </c>
      <c r="E542" s="456" t="s">
        <v>72</v>
      </c>
      <c r="F542" s="871">
        <v>3500</v>
      </c>
      <c r="G542" s="871">
        <v>3500</v>
      </c>
      <c r="H542" s="871">
        <v>3500</v>
      </c>
      <c r="I542" s="866">
        <f t="shared" si="25"/>
        <v>100</v>
      </c>
    </row>
    <row r="543" spans="1:9" ht="15.75" customHeight="1" x14ac:dyDescent="0.25">
      <c r="A543" s="432">
        <v>1041</v>
      </c>
      <c r="B543" s="681">
        <v>4322</v>
      </c>
      <c r="C543" s="681">
        <v>5336</v>
      </c>
      <c r="D543" s="781"/>
      <c r="E543" s="1479" t="s">
        <v>1269</v>
      </c>
      <c r="F543" s="1367"/>
      <c r="G543" s="1654">
        <v>19374</v>
      </c>
      <c r="H543" s="1654">
        <v>19374</v>
      </c>
      <c r="I543" s="874">
        <f>(H543/G543)*100</f>
        <v>100</v>
      </c>
    </row>
    <row r="544" spans="1:9" ht="12" customHeight="1" x14ac:dyDescent="0.2">
      <c r="A544" s="432"/>
      <c r="B544" s="681"/>
      <c r="C544" s="681"/>
      <c r="D544" s="554" t="s">
        <v>1182</v>
      </c>
      <c r="E544" s="456" t="s">
        <v>832</v>
      </c>
      <c r="F544" s="1367"/>
      <c r="G544" s="1367">
        <v>19374</v>
      </c>
      <c r="H544" s="1367">
        <v>19374</v>
      </c>
      <c r="I544" s="377">
        <f>(H544/G544)*100</f>
        <v>100</v>
      </c>
    </row>
    <row r="545" spans="1:20" ht="15" x14ac:dyDescent="0.25">
      <c r="A545" s="432">
        <v>1041</v>
      </c>
      <c r="B545" s="681">
        <v>4324</v>
      </c>
      <c r="C545" s="681">
        <v>5336</v>
      </c>
      <c r="D545" s="554"/>
      <c r="E545" s="1479" t="s">
        <v>1269</v>
      </c>
      <c r="F545" s="1367"/>
      <c r="G545" s="1654">
        <v>63</v>
      </c>
      <c r="H545" s="1654">
        <v>63</v>
      </c>
      <c r="I545" s="874">
        <f>(H545/G545)*100</f>
        <v>100</v>
      </c>
    </row>
    <row r="546" spans="1:20" ht="14.25" customHeight="1" x14ac:dyDescent="0.2">
      <c r="A546" s="432"/>
      <c r="B546" s="681"/>
      <c r="C546" s="681"/>
      <c r="D546" s="554" t="s">
        <v>612</v>
      </c>
      <c r="E546" s="2690" t="s">
        <v>1982</v>
      </c>
      <c r="F546" s="1367"/>
      <c r="G546" s="1367">
        <v>63</v>
      </c>
      <c r="H546" s="1367">
        <v>63</v>
      </c>
      <c r="I546" s="377">
        <f>(H546/G546)*100</f>
        <v>100</v>
      </c>
    </row>
    <row r="547" spans="1:20" ht="12" customHeight="1" thickBot="1" x14ac:dyDescent="0.25">
      <c r="A547" s="432"/>
      <c r="B547" s="681"/>
      <c r="C547" s="681"/>
      <c r="D547" s="554"/>
      <c r="E547" s="2690"/>
      <c r="F547" s="1367"/>
      <c r="G547" s="1367"/>
      <c r="H547" s="1367"/>
      <c r="I547" s="377"/>
    </row>
    <row r="548" spans="1:20" ht="16.5" thickTop="1" thickBot="1" x14ac:dyDescent="0.3">
      <c r="A548" s="2685" t="s">
        <v>1162</v>
      </c>
      <c r="B548" s="2686"/>
      <c r="C548" s="2686"/>
      <c r="D548" s="2686"/>
      <c r="E548" s="2686"/>
      <c r="F548" s="862">
        <f>F526+F531+F537+F535+F541</f>
        <v>7345</v>
      </c>
      <c r="G548" s="862">
        <f>G526+G531+G537+G535+G543+G541+G539+G533+G529+G524+G545</f>
        <v>37098</v>
      </c>
      <c r="H548" s="862">
        <f>H526+H531+H537+H535+H543+H541+H539+H533+H529+H524+H545</f>
        <v>37098</v>
      </c>
      <c r="I548" s="863">
        <f>(H548/G548)*100</f>
        <v>100</v>
      </c>
      <c r="R548" s="383">
        <f>F548</f>
        <v>7345</v>
      </c>
      <c r="S548" s="383">
        <f>G548</f>
        <v>37098</v>
      </c>
      <c r="T548" s="383">
        <f>H548</f>
        <v>37098</v>
      </c>
    </row>
    <row r="549" spans="1:20" s="1574" customFormat="1" ht="13.5" thickTop="1" x14ac:dyDescent="0.2">
      <c r="B549" s="1588"/>
      <c r="D549" s="1589"/>
      <c r="F549" s="1587"/>
      <c r="G549" s="1587"/>
      <c r="H549" s="1587"/>
      <c r="I549" s="1590"/>
    </row>
    <row r="550" spans="1:20" s="1574" customFormat="1" x14ac:dyDescent="0.2">
      <c r="B550" s="1588"/>
      <c r="D550" s="1589"/>
      <c r="F550" s="1587"/>
      <c r="G550" s="1587"/>
      <c r="H550" s="1587"/>
      <c r="I550" s="1590"/>
    </row>
    <row r="551" spans="1:20" s="1574" customFormat="1" x14ac:dyDescent="0.2">
      <c r="B551" s="1588"/>
      <c r="D551" s="1589"/>
      <c r="F551" s="1587"/>
      <c r="G551" s="1587"/>
      <c r="H551" s="1587"/>
      <c r="I551" s="1590"/>
    </row>
    <row r="552" spans="1:20" s="1574" customFormat="1" x14ac:dyDescent="0.2">
      <c r="B552" s="1588"/>
      <c r="D552" s="1589"/>
      <c r="F552" s="1587"/>
      <c r="G552" s="1587"/>
      <c r="H552" s="1587"/>
      <c r="I552" s="1590"/>
    </row>
    <row r="553" spans="1:20" ht="13.5" thickBot="1" x14ac:dyDescent="0.25">
      <c r="A553" s="433" t="s">
        <v>89</v>
      </c>
      <c r="I553" s="1465" t="s">
        <v>173</v>
      </c>
    </row>
    <row r="554" spans="1:20" s="107" customFormat="1" thickTop="1" thickBot="1" x14ac:dyDescent="0.25">
      <c r="A554" s="633" t="s">
        <v>661</v>
      </c>
      <c r="B554" s="810" t="s">
        <v>174</v>
      </c>
      <c r="C554" s="634" t="s">
        <v>175</v>
      </c>
      <c r="D554" s="636" t="s">
        <v>744</v>
      </c>
      <c r="E554" s="636" t="s">
        <v>176</v>
      </c>
      <c r="F554" s="636" t="s">
        <v>177</v>
      </c>
      <c r="G554" s="636" t="s">
        <v>922</v>
      </c>
      <c r="H554" s="636" t="s">
        <v>923</v>
      </c>
      <c r="I554" s="856" t="s">
        <v>924</v>
      </c>
    </row>
    <row r="555" spans="1:20" s="384" customFormat="1" ht="20.25" customHeight="1" thickTop="1" thickBot="1" x14ac:dyDescent="0.25">
      <c r="A555" s="568">
        <v>1</v>
      </c>
      <c r="B555" s="569">
        <v>2</v>
      </c>
      <c r="C555" s="569">
        <v>3</v>
      </c>
      <c r="D555" s="569">
        <v>4</v>
      </c>
      <c r="E555" s="569">
        <v>5</v>
      </c>
      <c r="F555" s="543">
        <v>6</v>
      </c>
      <c r="G555" s="543">
        <v>7</v>
      </c>
      <c r="H555" s="544">
        <v>8</v>
      </c>
      <c r="I555" s="638" t="s">
        <v>801</v>
      </c>
    </row>
    <row r="556" spans="1:20" ht="15.75" thickTop="1" x14ac:dyDescent="0.25">
      <c r="A556" s="1466">
        <v>1043</v>
      </c>
      <c r="B556" s="811">
        <v>3114</v>
      </c>
      <c r="C556" s="811">
        <v>5331</v>
      </c>
      <c r="D556" s="877"/>
      <c r="E556" s="898" t="s">
        <v>996</v>
      </c>
      <c r="F556" s="899">
        <f>SUM(F557,F558)</f>
        <v>2342</v>
      </c>
      <c r="G556" s="899">
        <f>G557+G558+G559</f>
        <v>2832</v>
      </c>
      <c r="H556" s="899">
        <f>H557+H558+H559</f>
        <v>2832</v>
      </c>
      <c r="I556" s="864">
        <f t="shared" ref="I556:I565" si="26">(H556/G556)*100</f>
        <v>100</v>
      </c>
    </row>
    <row r="557" spans="1:20" ht="14.25" x14ac:dyDescent="0.2">
      <c r="A557" s="432"/>
      <c r="B557" s="681"/>
      <c r="C557" s="681"/>
      <c r="D557" s="719" t="s">
        <v>611</v>
      </c>
      <c r="E557" s="1569" t="s">
        <v>833</v>
      </c>
      <c r="F557" s="865">
        <v>352</v>
      </c>
      <c r="G557" s="865">
        <v>380</v>
      </c>
      <c r="H557" s="865">
        <v>380</v>
      </c>
      <c r="I557" s="861">
        <f t="shared" si="26"/>
        <v>100</v>
      </c>
    </row>
    <row r="558" spans="1:20" ht="14.25" x14ac:dyDescent="0.2">
      <c r="A558" s="432"/>
      <c r="B558" s="681"/>
      <c r="C558" s="681"/>
      <c r="D558" s="554" t="s">
        <v>606</v>
      </c>
      <c r="E558" s="456" t="s">
        <v>72</v>
      </c>
      <c r="F558" s="865">
        <v>1990</v>
      </c>
      <c r="G558" s="865">
        <v>1990</v>
      </c>
      <c r="H558" s="865">
        <v>1990</v>
      </c>
      <c r="I558" s="861">
        <f t="shared" si="26"/>
        <v>100</v>
      </c>
    </row>
    <row r="559" spans="1:20" ht="28.5" x14ac:dyDescent="0.2">
      <c r="A559" s="432"/>
      <c r="B559" s="783"/>
      <c r="C559" s="783"/>
      <c r="D559" s="781" t="s">
        <v>839</v>
      </c>
      <c r="E559" s="1361" t="s">
        <v>1010</v>
      </c>
      <c r="F559" s="1362"/>
      <c r="G559" s="1362">
        <v>462</v>
      </c>
      <c r="H559" s="1362">
        <v>462</v>
      </c>
      <c r="I559" s="1363">
        <f t="shared" si="26"/>
        <v>100</v>
      </c>
    </row>
    <row r="560" spans="1:20" ht="15" x14ac:dyDescent="0.25">
      <c r="A560" s="432">
        <v>1043</v>
      </c>
      <c r="B560" s="783">
        <v>3114</v>
      </c>
      <c r="C560" s="783">
        <v>5336</v>
      </c>
      <c r="D560" s="1360"/>
      <c r="E560" s="1479" t="s">
        <v>1269</v>
      </c>
      <c r="F560" s="1364"/>
      <c r="G560" s="1364">
        <f>G561</f>
        <v>16956</v>
      </c>
      <c r="H560" s="1364">
        <f>H561</f>
        <v>16956</v>
      </c>
      <c r="I560" s="874">
        <f t="shared" si="26"/>
        <v>100</v>
      </c>
    </row>
    <row r="561" spans="1:23" ht="15" x14ac:dyDescent="0.2">
      <c r="A561" s="432"/>
      <c r="B561" s="783"/>
      <c r="C561" s="783"/>
      <c r="D561" s="554" t="s">
        <v>1182</v>
      </c>
      <c r="E561" s="456" t="s">
        <v>832</v>
      </c>
      <c r="F561" s="1364"/>
      <c r="G561" s="1643">
        <v>16956</v>
      </c>
      <c r="H561" s="1643">
        <v>16956</v>
      </c>
      <c r="I561" s="866">
        <f t="shared" si="26"/>
        <v>100</v>
      </c>
    </row>
    <row r="562" spans="1:23" ht="15" x14ac:dyDescent="0.25">
      <c r="A562" s="432">
        <v>1043</v>
      </c>
      <c r="B562" s="783">
        <v>3141</v>
      </c>
      <c r="C562" s="1468">
        <v>5336</v>
      </c>
      <c r="D562" s="880"/>
      <c r="E562" s="1479" t="s">
        <v>1269</v>
      </c>
      <c r="F562" s="873"/>
      <c r="G562" s="873">
        <v>31</v>
      </c>
      <c r="H562" s="873">
        <v>31</v>
      </c>
      <c r="I562" s="874">
        <f t="shared" si="26"/>
        <v>100</v>
      </c>
    </row>
    <row r="563" spans="1:23" ht="14.25" x14ac:dyDescent="0.2">
      <c r="A563" s="432"/>
      <c r="B563" s="783"/>
      <c r="C563" s="1468"/>
      <c r="D563" s="554" t="s">
        <v>1182</v>
      </c>
      <c r="E563" s="456" t="s">
        <v>832</v>
      </c>
      <c r="F563" s="871"/>
      <c r="G563" s="871">
        <v>31</v>
      </c>
      <c r="H563" s="871">
        <v>31</v>
      </c>
      <c r="I563" s="866">
        <f t="shared" si="26"/>
        <v>100</v>
      </c>
    </row>
    <row r="564" spans="1:23" ht="15" x14ac:dyDescent="0.25">
      <c r="A564" s="432">
        <v>1043</v>
      </c>
      <c r="B564" s="783">
        <v>3143</v>
      </c>
      <c r="C564" s="1468">
        <v>5336</v>
      </c>
      <c r="D564" s="880"/>
      <c r="E564" s="1479" t="s">
        <v>1269</v>
      </c>
      <c r="F564" s="873"/>
      <c r="G564" s="873">
        <v>884</v>
      </c>
      <c r="H564" s="873">
        <v>884</v>
      </c>
      <c r="I564" s="874">
        <f t="shared" si="26"/>
        <v>100</v>
      </c>
    </row>
    <row r="565" spans="1:23" ht="15" thickBot="1" x14ac:dyDescent="0.25">
      <c r="A565" s="432"/>
      <c r="B565" s="783"/>
      <c r="C565" s="1468"/>
      <c r="D565" s="554" t="s">
        <v>1182</v>
      </c>
      <c r="E565" s="456" t="s">
        <v>832</v>
      </c>
      <c r="F565" s="871"/>
      <c r="G565" s="871">
        <v>884</v>
      </c>
      <c r="H565" s="871">
        <v>884</v>
      </c>
      <c r="I565" s="866">
        <f t="shared" si="26"/>
        <v>100</v>
      </c>
    </row>
    <row r="566" spans="1:23" ht="16.5" thickTop="1" thickBot="1" x14ac:dyDescent="0.3">
      <c r="A566" s="2685" t="s">
        <v>1162</v>
      </c>
      <c r="B566" s="2686"/>
      <c r="C566" s="2686"/>
      <c r="D566" s="2686"/>
      <c r="E566" s="2686"/>
      <c r="F566" s="862">
        <f>F556+F562+F564</f>
        <v>2342</v>
      </c>
      <c r="G566" s="862">
        <f>G556+G562+G564+G560</f>
        <v>20703</v>
      </c>
      <c r="H566" s="862">
        <f>H556+H562+H564+H560</f>
        <v>20703</v>
      </c>
      <c r="I566" s="863">
        <f>(H566/G566)*100</f>
        <v>100</v>
      </c>
      <c r="R566" s="383">
        <f>F566</f>
        <v>2342</v>
      </c>
      <c r="S566" s="383">
        <f>G566</f>
        <v>20703</v>
      </c>
      <c r="T566" s="383">
        <f>H566</f>
        <v>20703</v>
      </c>
    </row>
    <row r="567" spans="1:23" ht="15.75" thickTop="1" x14ac:dyDescent="0.25">
      <c r="A567" s="432">
        <v>1043</v>
      </c>
      <c r="B567" s="681">
        <v>3114</v>
      </c>
      <c r="C567" s="681">
        <v>6351</v>
      </c>
      <c r="D567" s="857"/>
      <c r="E567" s="626" t="s">
        <v>1231</v>
      </c>
      <c r="F567" s="858">
        <v>0</v>
      </c>
      <c r="G567" s="858">
        <f>G568+G569</f>
        <v>618</v>
      </c>
      <c r="H567" s="858">
        <f>H568+H569</f>
        <v>618</v>
      </c>
      <c r="I567" s="859">
        <f>(H567/G567)*100</f>
        <v>100</v>
      </c>
    </row>
    <row r="568" spans="1:23" ht="15" x14ac:dyDescent="0.25">
      <c r="A568" s="432"/>
      <c r="B568" s="681"/>
      <c r="C568" s="681"/>
      <c r="D568" s="1110" t="s">
        <v>196</v>
      </c>
      <c r="E568" s="1215" t="s">
        <v>751</v>
      </c>
      <c r="F568" s="858"/>
      <c r="G568" s="357">
        <v>63</v>
      </c>
      <c r="H568" s="357">
        <v>63</v>
      </c>
      <c r="I568" s="892">
        <f>(H568/G568)*100</f>
        <v>100</v>
      </c>
    </row>
    <row r="569" spans="1:23" ht="15.75" thickBot="1" x14ac:dyDescent="0.3">
      <c r="A569" s="432"/>
      <c r="B569" s="681"/>
      <c r="C569" s="681"/>
      <c r="D569" s="1369" t="s">
        <v>1243</v>
      </c>
      <c r="E569" s="1371" t="s">
        <v>1528</v>
      </c>
      <c r="F569" s="858"/>
      <c r="G569" s="357">
        <v>555</v>
      </c>
      <c r="H569" s="357">
        <v>555</v>
      </c>
      <c r="I569" s="1370">
        <v>100</v>
      </c>
    </row>
    <row r="570" spans="1:23" ht="16.5" thickTop="1" thickBot="1" x14ac:dyDescent="0.3">
      <c r="A570" s="2685" t="s">
        <v>1163</v>
      </c>
      <c r="B570" s="2686"/>
      <c r="C570" s="2686"/>
      <c r="D570" s="2686"/>
      <c r="E570" s="2686"/>
      <c r="F570" s="862">
        <f>F567</f>
        <v>0</v>
      </c>
      <c r="G570" s="862">
        <f>G567</f>
        <v>618</v>
      </c>
      <c r="H570" s="862">
        <f>H567</f>
        <v>618</v>
      </c>
      <c r="I570" s="863">
        <f>(H570/G570)*100</f>
        <v>100</v>
      </c>
      <c r="R570" s="383"/>
      <c r="S570" s="383"/>
      <c r="T570" s="383"/>
      <c r="U570" s="383">
        <f>F570</f>
        <v>0</v>
      </c>
      <c r="V570" s="383">
        <f>G570</f>
        <v>618</v>
      </c>
      <c r="W570" s="383">
        <f>H570</f>
        <v>618</v>
      </c>
    </row>
    <row r="571" spans="1:23" ht="15.75" thickTop="1" x14ac:dyDescent="0.25">
      <c r="A571" s="369"/>
      <c r="B571" s="369"/>
      <c r="C571" s="369"/>
      <c r="D571" s="369"/>
      <c r="E571" s="369"/>
      <c r="F571" s="181"/>
      <c r="G571" s="181"/>
      <c r="H571" s="181"/>
      <c r="I571" s="210"/>
      <c r="R571" s="383"/>
      <c r="S571" s="383"/>
      <c r="T571" s="383"/>
    </row>
    <row r="572" spans="1:23" ht="15.75" thickBot="1" x14ac:dyDescent="0.3">
      <c r="A572" s="369"/>
      <c r="B572" s="369"/>
      <c r="C572" s="369"/>
      <c r="D572" s="369"/>
      <c r="E572" s="369"/>
      <c r="F572" s="181"/>
      <c r="G572" s="181"/>
      <c r="H572" s="181"/>
      <c r="I572" s="210"/>
      <c r="R572" s="383"/>
      <c r="S572" s="383"/>
      <c r="T572" s="383"/>
    </row>
    <row r="573" spans="1:23" ht="20.25" customHeight="1" thickBot="1" x14ac:dyDescent="0.25">
      <c r="A573" s="433" t="s">
        <v>1366</v>
      </c>
      <c r="I573" s="1465" t="s">
        <v>173</v>
      </c>
    </row>
    <row r="574" spans="1:23" s="107" customFormat="1" thickTop="1" thickBot="1" x14ac:dyDescent="0.25">
      <c r="A574" s="633" t="s">
        <v>661</v>
      </c>
      <c r="B574" s="810" t="s">
        <v>174</v>
      </c>
      <c r="C574" s="634" t="s">
        <v>175</v>
      </c>
      <c r="D574" s="636" t="s">
        <v>744</v>
      </c>
      <c r="E574" s="636" t="s">
        <v>176</v>
      </c>
      <c r="F574" s="636" t="s">
        <v>177</v>
      </c>
      <c r="G574" s="636" t="s">
        <v>922</v>
      </c>
      <c r="H574" s="636" t="s">
        <v>923</v>
      </c>
      <c r="I574" s="856" t="s">
        <v>924</v>
      </c>
    </row>
    <row r="575" spans="1:23" s="384" customFormat="1" ht="13.5" thickTop="1" thickBot="1" x14ac:dyDescent="0.25">
      <c r="A575" s="568">
        <v>1</v>
      </c>
      <c r="B575" s="569">
        <v>2</v>
      </c>
      <c r="C575" s="569">
        <v>3</v>
      </c>
      <c r="D575" s="569">
        <v>4</v>
      </c>
      <c r="E575" s="569">
        <v>5</v>
      </c>
      <c r="F575" s="543">
        <v>6</v>
      </c>
      <c r="G575" s="543">
        <v>7</v>
      </c>
      <c r="H575" s="544">
        <v>8</v>
      </c>
      <c r="I575" s="638" t="s">
        <v>801</v>
      </c>
    </row>
    <row r="576" spans="1:23" ht="15.75" thickTop="1" x14ac:dyDescent="0.25">
      <c r="A576" s="1466">
        <v>1100</v>
      </c>
      <c r="B576" s="811">
        <v>3121</v>
      </c>
      <c r="C576" s="811">
        <v>5331</v>
      </c>
      <c r="D576" s="877"/>
      <c r="E576" s="898" t="s">
        <v>996</v>
      </c>
      <c r="F576" s="899">
        <f>SUM(F577:F579)</f>
        <v>2865</v>
      </c>
      <c r="G576" s="899">
        <f>SUM(G577:G580)</f>
        <v>2913</v>
      </c>
      <c r="H576" s="899">
        <f>SUM(H577:H580)</f>
        <v>2913</v>
      </c>
      <c r="I576" s="864">
        <f t="shared" ref="I576:I584" si="27">(H576/G576)*100</f>
        <v>100</v>
      </c>
    </row>
    <row r="577" spans="1:20" ht="14.25" x14ac:dyDescent="0.2">
      <c r="A577" s="432"/>
      <c r="B577" s="681"/>
      <c r="C577" s="681"/>
      <c r="D577" s="719" t="s">
        <v>611</v>
      </c>
      <c r="E577" s="1569" t="s">
        <v>833</v>
      </c>
      <c r="F577" s="865">
        <v>49</v>
      </c>
      <c r="G577" s="865">
        <v>27</v>
      </c>
      <c r="H577" s="865">
        <v>27</v>
      </c>
      <c r="I577" s="861">
        <f t="shared" si="27"/>
        <v>100</v>
      </c>
    </row>
    <row r="578" spans="1:20" ht="14.25" x14ac:dyDescent="0.2">
      <c r="A578" s="432"/>
      <c r="B578" s="681"/>
      <c r="C578" s="681"/>
      <c r="D578" s="781" t="s">
        <v>369</v>
      </c>
      <c r="E578" s="456" t="s">
        <v>873</v>
      </c>
      <c r="F578" s="871"/>
      <c r="G578" s="865">
        <v>15</v>
      </c>
      <c r="H578" s="865">
        <v>15</v>
      </c>
      <c r="I578" s="861">
        <f t="shared" si="27"/>
        <v>100</v>
      </c>
    </row>
    <row r="579" spans="1:20" ht="14.25" x14ac:dyDescent="0.2">
      <c r="A579" s="432"/>
      <c r="B579" s="681"/>
      <c r="C579" s="681"/>
      <c r="D579" s="554" t="s">
        <v>606</v>
      </c>
      <c r="E579" s="456" t="s">
        <v>72</v>
      </c>
      <c r="F579" s="871">
        <v>2816</v>
      </c>
      <c r="G579" s="865">
        <v>2846</v>
      </c>
      <c r="H579" s="865">
        <v>2846</v>
      </c>
      <c r="I579" s="861">
        <f t="shared" si="27"/>
        <v>100</v>
      </c>
    </row>
    <row r="580" spans="1:20" ht="14.25" x14ac:dyDescent="0.2">
      <c r="A580" s="432"/>
      <c r="B580" s="783"/>
      <c r="C580" s="681"/>
      <c r="D580" s="554" t="s">
        <v>1305</v>
      </c>
      <c r="E580" s="1375" t="s">
        <v>745</v>
      </c>
      <c r="F580" s="871"/>
      <c r="G580" s="871">
        <v>25</v>
      </c>
      <c r="H580" s="865">
        <v>25</v>
      </c>
      <c r="I580" s="861">
        <f t="shared" si="27"/>
        <v>100</v>
      </c>
    </row>
    <row r="581" spans="1:20" ht="15" x14ac:dyDescent="0.25">
      <c r="A581" s="432">
        <v>1100</v>
      </c>
      <c r="B581" s="783">
        <v>3121</v>
      </c>
      <c r="C581" s="681">
        <v>5336</v>
      </c>
      <c r="D581" s="554"/>
      <c r="E581" s="1479" t="s">
        <v>1269</v>
      </c>
      <c r="F581" s="871"/>
      <c r="G581" s="884">
        <f>G582+G583+G584</f>
        <v>13298</v>
      </c>
      <c r="H581" s="884">
        <f>H582+H583+H584</f>
        <v>13298</v>
      </c>
      <c r="I581" s="891">
        <f t="shared" si="27"/>
        <v>100</v>
      </c>
    </row>
    <row r="582" spans="1:20" ht="14.25" x14ac:dyDescent="0.2">
      <c r="A582" s="432"/>
      <c r="B582" s="783"/>
      <c r="C582" s="681"/>
      <c r="D582" s="554" t="s">
        <v>1182</v>
      </c>
      <c r="E582" s="456" t="s">
        <v>832</v>
      </c>
      <c r="F582" s="871"/>
      <c r="G582" s="871">
        <v>12811</v>
      </c>
      <c r="H582" s="865">
        <v>12811</v>
      </c>
      <c r="I582" s="861">
        <f t="shared" si="27"/>
        <v>100</v>
      </c>
    </row>
    <row r="583" spans="1:20" ht="14.25" x14ac:dyDescent="0.2">
      <c r="A583" s="432"/>
      <c r="B583" s="783"/>
      <c r="C583" s="783"/>
      <c r="D583" s="1481" t="s">
        <v>1608</v>
      </c>
      <c r="E583" s="1476" t="s">
        <v>1717</v>
      </c>
      <c r="F583" s="871"/>
      <c r="G583" s="871">
        <v>73</v>
      </c>
      <c r="H583" s="871">
        <v>73</v>
      </c>
      <c r="I583" s="866">
        <f t="shared" si="27"/>
        <v>100</v>
      </c>
    </row>
    <row r="584" spans="1:20" ht="14.25" x14ac:dyDescent="0.2">
      <c r="A584" s="432"/>
      <c r="B584" s="783"/>
      <c r="C584" s="783"/>
      <c r="D584" s="1481" t="s">
        <v>1610</v>
      </c>
      <c r="E584" s="1476" t="s">
        <v>1717</v>
      </c>
      <c r="F584" s="871"/>
      <c r="G584" s="871">
        <v>414</v>
      </c>
      <c r="H584" s="871">
        <v>414</v>
      </c>
      <c r="I584" s="866">
        <f t="shared" si="27"/>
        <v>100</v>
      </c>
    </row>
    <row r="585" spans="1:20" ht="15" x14ac:dyDescent="0.25">
      <c r="A585" s="432">
        <v>1100</v>
      </c>
      <c r="B585" s="783">
        <v>3142</v>
      </c>
      <c r="C585" s="1468">
        <v>5331</v>
      </c>
      <c r="D585" s="880"/>
      <c r="E585" s="680" t="s">
        <v>996</v>
      </c>
      <c r="F585" s="873">
        <f>F586</f>
        <v>450</v>
      </c>
      <c r="G585" s="873">
        <f>G586</f>
        <v>450</v>
      </c>
      <c r="H585" s="873">
        <f>H586</f>
        <v>450</v>
      </c>
      <c r="I585" s="874">
        <f>(H585/G585)*100</f>
        <v>100</v>
      </c>
    </row>
    <row r="586" spans="1:20" ht="14.25" x14ac:dyDescent="0.2">
      <c r="A586" s="432"/>
      <c r="B586" s="783"/>
      <c r="C586" s="1468"/>
      <c r="D586" s="554" t="s">
        <v>606</v>
      </c>
      <c r="E586" s="456" t="s">
        <v>72</v>
      </c>
      <c r="F586" s="871">
        <v>450</v>
      </c>
      <c r="G586" s="871">
        <v>450</v>
      </c>
      <c r="H586" s="871">
        <v>450</v>
      </c>
      <c r="I586" s="866">
        <v>100</v>
      </c>
    </row>
    <row r="587" spans="1:20" ht="15" x14ac:dyDescent="0.25">
      <c r="A587" s="432">
        <v>1100</v>
      </c>
      <c r="B587" s="783">
        <v>3792</v>
      </c>
      <c r="C587" s="1468">
        <v>5331</v>
      </c>
      <c r="D587" s="554"/>
      <c r="E587" s="680" t="s">
        <v>996</v>
      </c>
      <c r="F587" s="871"/>
      <c r="G587" s="884">
        <v>17</v>
      </c>
      <c r="H587" s="884">
        <v>17</v>
      </c>
      <c r="I587" s="874">
        <f>(H587/G587)*100</f>
        <v>100</v>
      </c>
    </row>
    <row r="588" spans="1:20" ht="15" thickBot="1" x14ac:dyDescent="0.25">
      <c r="A588" s="432"/>
      <c r="B588" s="783"/>
      <c r="C588" s="1468"/>
      <c r="D588" s="1110" t="s">
        <v>1382</v>
      </c>
      <c r="E588" s="1215" t="s">
        <v>389</v>
      </c>
      <c r="F588" s="871"/>
      <c r="G588" s="871">
        <v>17</v>
      </c>
      <c r="H588" s="871">
        <v>17</v>
      </c>
      <c r="I588" s="866">
        <v>100</v>
      </c>
    </row>
    <row r="589" spans="1:20" ht="16.5" thickTop="1" thickBot="1" x14ac:dyDescent="0.3">
      <c r="A589" s="2685" t="s">
        <v>1162</v>
      </c>
      <c r="B589" s="2686"/>
      <c r="C589" s="2686"/>
      <c r="D589" s="2686"/>
      <c r="E589" s="2686"/>
      <c r="F589" s="862">
        <f>F576+F585+F581</f>
        <v>3315</v>
      </c>
      <c r="G589" s="862">
        <f>G576+G585+G581+G587</f>
        <v>16678</v>
      </c>
      <c r="H589" s="862">
        <f>H576+H585+H581+H587</f>
        <v>16678</v>
      </c>
      <c r="I589" s="863">
        <f>(H589/G589)*100</f>
        <v>100</v>
      </c>
      <c r="R589" s="383">
        <f>F589</f>
        <v>3315</v>
      </c>
      <c r="S589" s="383">
        <f>G589</f>
        <v>16678</v>
      </c>
      <c r="T589" s="383">
        <f>H589</f>
        <v>16678</v>
      </c>
    </row>
    <row r="590" spans="1:20" ht="18" customHeight="1" thickTop="1" x14ac:dyDescent="0.2"/>
    <row r="591" spans="1:20" ht="18" customHeight="1" x14ac:dyDescent="0.2"/>
    <row r="592" spans="1:20" ht="20.25" customHeight="1" thickBot="1" x14ac:dyDescent="0.25">
      <c r="A592" s="433" t="s">
        <v>1367</v>
      </c>
      <c r="I592" s="1465" t="s">
        <v>173</v>
      </c>
    </row>
    <row r="593" spans="1:9" s="107" customFormat="1" thickTop="1" thickBot="1" x14ac:dyDescent="0.25">
      <c r="A593" s="633" t="s">
        <v>661</v>
      </c>
      <c r="B593" s="810" t="s">
        <v>174</v>
      </c>
      <c r="C593" s="634" t="s">
        <v>175</v>
      </c>
      <c r="D593" s="636" t="s">
        <v>744</v>
      </c>
      <c r="E593" s="636" t="s">
        <v>176</v>
      </c>
      <c r="F593" s="636" t="s">
        <v>177</v>
      </c>
      <c r="G593" s="636" t="s">
        <v>922</v>
      </c>
      <c r="H593" s="636" t="s">
        <v>923</v>
      </c>
      <c r="I593" s="856" t="s">
        <v>924</v>
      </c>
    </row>
    <row r="594" spans="1:9" s="384" customFormat="1" ht="13.5" thickTop="1" thickBot="1" x14ac:dyDescent="0.25">
      <c r="A594" s="568">
        <v>1</v>
      </c>
      <c r="B594" s="569">
        <v>2</v>
      </c>
      <c r="C594" s="569">
        <v>3</v>
      </c>
      <c r="D594" s="569">
        <v>4</v>
      </c>
      <c r="E594" s="569">
        <v>5</v>
      </c>
      <c r="F594" s="543">
        <v>6</v>
      </c>
      <c r="G594" s="543">
        <v>7</v>
      </c>
      <c r="H594" s="544">
        <v>8</v>
      </c>
      <c r="I594" s="638" t="s">
        <v>801</v>
      </c>
    </row>
    <row r="595" spans="1:9" ht="15.75" thickTop="1" x14ac:dyDescent="0.25">
      <c r="A595" s="1466">
        <v>1101</v>
      </c>
      <c r="B595" s="811">
        <v>3121</v>
      </c>
      <c r="C595" s="811">
        <v>5331</v>
      </c>
      <c r="D595" s="877"/>
      <c r="E595" s="898" t="s">
        <v>996</v>
      </c>
      <c r="F595" s="899">
        <f>SUM(F596:F600)</f>
        <v>4491</v>
      </c>
      <c r="G595" s="899">
        <f>SUM(G596:G600)</f>
        <v>4420</v>
      </c>
      <c r="H595" s="899">
        <f>SUM(H596:H600)</f>
        <v>4420</v>
      </c>
      <c r="I595" s="864">
        <f t="shared" ref="I595:I614" si="28">(H595/G595)*100</f>
        <v>100</v>
      </c>
    </row>
    <row r="596" spans="1:9" ht="14.25" x14ac:dyDescent="0.2">
      <c r="A596" s="432"/>
      <c r="B596" s="681"/>
      <c r="C596" s="681"/>
      <c r="D596" s="719" t="s">
        <v>611</v>
      </c>
      <c r="E596" s="1569" t="s">
        <v>833</v>
      </c>
      <c r="F596" s="865">
        <v>1362</v>
      </c>
      <c r="G596" s="865">
        <v>982</v>
      </c>
      <c r="H596" s="865">
        <v>982</v>
      </c>
      <c r="I596" s="861">
        <f t="shared" si="28"/>
        <v>100</v>
      </c>
    </row>
    <row r="597" spans="1:9" ht="14.25" x14ac:dyDescent="0.2">
      <c r="A597" s="432"/>
      <c r="B597" s="681"/>
      <c r="C597" s="681"/>
      <c r="D597" s="554" t="s">
        <v>606</v>
      </c>
      <c r="E597" s="456" t="s">
        <v>72</v>
      </c>
      <c r="F597" s="865">
        <v>3129</v>
      </c>
      <c r="G597" s="865">
        <v>3245</v>
      </c>
      <c r="H597" s="865">
        <v>3245</v>
      </c>
      <c r="I597" s="861">
        <f t="shared" si="28"/>
        <v>100</v>
      </c>
    </row>
    <row r="598" spans="1:9" ht="14.25" x14ac:dyDescent="0.2">
      <c r="A598" s="432"/>
      <c r="B598" s="681"/>
      <c r="C598" s="681"/>
      <c r="D598" s="1110" t="s">
        <v>703</v>
      </c>
      <c r="E598" s="1334" t="s">
        <v>1357</v>
      </c>
      <c r="F598" s="865"/>
      <c r="G598" s="865">
        <v>50</v>
      </c>
      <c r="H598" s="865">
        <v>50</v>
      </c>
      <c r="I598" s="861">
        <f t="shared" si="28"/>
        <v>100</v>
      </c>
    </row>
    <row r="599" spans="1:9" ht="14.25" x14ac:dyDescent="0.2">
      <c r="A599" s="432"/>
      <c r="B599" s="681"/>
      <c r="C599" s="681"/>
      <c r="D599" s="1119" t="s">
        <v>1604</v>
      </c>
      <c r="E599" s="2273" t="s">
        <v>1719</v>
      </c>
      <c r="F599" s="865"/>
      <c r="G599" s="865">
        <v>59</v>
      </c>
      <c r="H599" s="865">
        <v>59</v>
      </c>
      <c r="I599" s="861">
        <f t="shared" si="28"/>
        <v>100</v>
      </c>
    </row>
    <row r="600" spans="1:9" ht="14.25" x14ac:dyDescent="0.2">
      <c r="A600" s="432"/>
      <c r="B600" s="681"/>
      <c r="C600" s="681"/>
      <c r="D600" s="895" t="s">
        <v>1188</v>
      </c>
      <c r="E600" s="460" t="s">
        <v>928</v>
      </c>
      <c r="F600" s="865"/>
      <c r="G600" s="865">
        <v>84</v>
      </c>
      <c r="H600" s="865">
        <v>84</v>
      </c>
      <c r="I600" s="861">
        <f t="shared" si="28"/>
        <v>100</v>
      </c>
    </row>
    <row r="601" spans="1:9" ht="15" x14ac:dyDescent="0.25">
      <c r="A601" s="432">
        <v>1101</v>
      </c>
      <c r="B601" s="783">
        <v>3121</v>
      </c>
      <c r="C601" s="783">
        <v>5336</v>
      </c>
      <c r="D601" s="781"/>
      <c r="E601" s="1479" t="s">
        <v>1269</v>
      </c>
      <c r="F601" s="865"/>
      <c r="G601" s="889">
        <f>G602+G603+G604</f>
        <v>24802</v>
      </c>
      <c r="H601" s="889">
        <f>H602+H603+H604</f>
        <v>24802</v>
      </c>
      <c r="I601" s="891">
        <f t="shared" si="28"/>
        <v>100</v>
      </c>
    </row>
    <row r="602" spans="1:9" ht="14.25" x14ac:dyDescent="0.2">
      <c r="A602" s="432"/>
      <c r="B602" s="783"/>
      <c r="C602" s="783"/>
      <c r="D602" s="554" t="s">
        <v>1182</v>
      </c>
      <c r="E602" s="456" t="s">
        <v>832</v>
      </c>
      <c r="F602" s="865"/>
      <c r="G602" s="865">
        <v>24132</v>
      </c>
      <c r="H602" s="865">
        <v>24132</v>
      </c>
      <c r="I602" s="861">
        <f t="shared" si="28"/>
        <v>100</v>
      </c>
    </row>
    <row r="603" spans="1:9" ht="14.25" x14ac:dyDescent="0.2">
      <c r="A603" s="432"/>
      <c r="B603" s="783"/>
      <c r="C603" s="783"/>
      <c r="D603" s="1481" t="s">
        <v>1608</v>
      </c>
      <c r="E603" s="1476" t="s">
        <v>1717</v>
      </c>
      <c r="F603" s="871"/>
      <c r="G603" s="871">
        <v>101</v>
      </c>
      <c r="H603" s="871">
        <v>101</v>
      </c>
      <c r="I603" s="866">
        <f t="shared" si="28"/>
        <v>100</v>
      </c>
    </row>
    <row r="604" spans="1:9" ht="14.25" x14ac:dyDescent="0.2">
      <c r="A604" s="432"/>
      <c r="B604" s="783"/>
      <c r="C604" s="783"/>
      <c r="D604" s="1481" t="s">
        <v>1610</v>
      </c>
      <c r="E604" s="1476" t="s">
        <v>1717</v>
      </c>
      <c r="F604" s="871"/>
      <c r="G604" s="871">
        <v>569</v>
      </c>
      <c r="H604" s="871">
        <v>569</v>
      </c>
      <c r="I604" s="866">
        <f t="shared" si="28"/>
        <v>100</v>
      </c>
    </row>
    <row r="605" spans="1:9" ht="15" x14ac:dyDescent="0.25">
      <c r="A605" s="432">
        <v>1101</v>
      </c>
      <c r="B605" s="783">
        <v>3141</v>
      </c>
      <c r="C605" s="783">
        <v>5336</v>
      </c>
      <c r="D605" s="570"/>
      <c r="E605" s="1479" t="s">
        <v>1269</v>
      </c>
      <c r="F605" s="884"/>
      <c r="G605" s="884">
        <v>161</v>
      </c>
      <c r="H605" s="884">
        <v>161</v>
      </c>
      <c r="I605" s="876">
        <f t="shared" si="28"/>
        <v>100</v>
      </c>
    </row>
    <row r="606" spans="1:9" ht="14.25" x14ac:dyDescent="0.2">
      <c r="A606" s="432"/>
      <c r="B606" s="783"/>
      <c r="C606" s="783"/>
      <c r="D606" s="554" t="s">
        <v>1182</v>
      </c>
      <c r="E606" s="456" t="s">
        <v>832</v>
      </c>
      <c r="F606" s="871"/>
      <c r="G606" s="871">
        <v>161</v>
      </c>
      <c r="H606" s="871">
        <v>161</v>
      </c>
      <c r="I606" s="866">
        <f t="shared" si="28"/>
        <v>100</v>
      </c>
    </row>
    <row r="607" spans="1:9" ht="15" x14ac:dyDescent="0.25">
      <c r="A607" s="432">
        <v>1101</v>
      </c>
      <c r="B607" s="783">
        <v>3142</v>
      </c>
      <c r="C607" s="1468">
        <v>5331</v>
      </c>
      <c r="D607" s="880"/>
      <c r="E607" s="680" t="s">
        <v>996</v>
      </c>
      <c r="F607" s="873">
        <f>SUM(F608:F611)</f>
        <v>514</v>
      </c>
      <c r="G607" s="873">
        <f>SUM(G608:G609)</f>
        <v>514</v>
      </c>
      <c r="H607" s="873">
        <f>SUM(H608:H609)</f>
        <v>514</v>
      </c>
      <c r="I607" s="874">
        <f t="shared" si="28"/>
        <v>100</v>
      </c>
    </row>
    <row r="608" spans="1:9" ht="13.5" customHeight="1" x14ac:dyDescent="0.2">
      <c r="A608" s="432"/>
      <c r="B608" s="783"/>
      <c r="C608" s="1468"/>
      <c r="D608" s="719" t="s">
        <v>611</v>
      </c>
      <c r="E608" s="1569" t="s">
        <v>833</v>
      </c>
      <c r="F608" s="871">
        <v>24</v>
      </c>
      <c r="G608" s="871">
        <v>24</v>
      </c>
      <c r="H608" s="871">
        <v>24</v>
      </c>
      <c r="I608" s="866">
        <f t="shared" si="28"/>
        <v>100</v>
      </c>
    </row>
    <row r="609" spans="1:23" ht="14.25" x14ac:dyDescent="0.2">
      <c r="A609" s="432"/>
      <c r="B609" s="783"/>
      <c r="C609" s="1468"/>
      <c r="D609" s="554" t="s">
        <v>606</v>
      </c>
      <c r="E609" s="456" t="s">
        <v>72</v>
      </c>
      <c r="F609" s="871">
        <v>490</v>
      </c>
      <c r="G609" s="871">
        <v>490</v>
      </c>
      <c r="H609" s="871">
        <v>490</v>
      </c>
      <c r="I609" s="866">
        <f t="shared" si="28"/>
        <v>100</v>
      </c>
    </row>
    <row r="610" spans="1:23" ht="15" x14ac:dyDescent="0.25">
      <c r="A610" s="432">
        <v>1101</v>
      </c>
      <c r="B610" s="783">
        <v>3142</v>
      </c>
      <c r="C610" s="1468">
        <v>5336</v>
      </c>
      <c r="D610" s="554"/>
      <c r="E610" s="1479" t="s">
        <v>1269</v>
      </c>
      <c r="F610" s="871"/>
      <c r="G610" s="884">
        <v>224</v>
      </c>
      <c r="H610" s="884">
        <v>224</v>
      </c>
      <c r="I610" s="876">
        <f t="shared" si="28"/>
        <v>100</v>
      </c>
    </row>
    <row r="611" spans="1:23" ht="12.75" customHeight="1" x14ac:dyDescent="0.2">
      <c r="A611" s="432"/>
      <c r="B611" s="783"/>
      <c r="C611" s="1468"/>
      <c r="D611" s="554" t="s">
        <v>1182</v>
      </c>
      <c r="E611" s="456" t="s">
        <v>832</v>
      </c>
      <c r="F611" s="871"/>
      <c r="G611" s="871">
        <v>224</v>
      </c>
      <c r="H611" s="871">
        <v>224</v>
      </c>
      <c r="I611" s="866">
        <v>100</v>
      </c>
    </row>
    <row r="612" spans="1:23" ht="15" x14ac:dyDescent="0.25">
      <c r="A612" s="432">
        <v>1101</v>
      </c>
      <c r="B612" s="783">
        <v>3299</v>
      </c>
      <c r="C612" s="1468">
        <v>5331</v>
      </c>
      <c r="D612" s="554"/>
      <c r="E612" s="680" t="s">
        <v>996</v>
      </c>
      <c r="F612" s="871"/>
      <c r="G612" s="884">
        <f>G613+G614</f>
        <v>24</v>
      </c>
      <c r="H612" s="884">
        <f>H613+H614</f>
        <v>24</v>
      </c>
      <c r="I612" s="876">
        <f t="shared" si="28"/>
        <v>100</v>
      </c>
    </row>
    <row r="613" spans="1:23" ht="14.25" x14ac:dyDescent="0.2">
      <c r="A613" s="432"/>
      <c r="B613" s="783"/>
      <c r="C613" s="1468"/>
      <c r="D613" s="1110" t="s">
        <v>1180</v>
      </c>
      <c r="E613" s="117" t="s">
        <v>24</v>
      </c>
      <c r="F613" s="871"/>
      <c r="G613" s="875">
        <v>9</v>
      </c>
      <c r="H613" s="875">
        <v>9</v>
      </c>
      <c r="I613" s="377">
        <f t="shared" si="28"/>
        <v>100</v>
      </c>
    </row>
    <row r="614" spans="1:23" ht="15" thickBot="1" x14ac:dyDescent="0.25">
      <c r="A614" s="432"/>
      <c r="B614" s="783"/>
      <c r="C614" s="1468"/>
      <c r="D614" s="1447" t="s">
        <v>390</v>
      </c>
      <c r="E614" s="2274" t="s">
        <v>1402</v>
      </c>
      <c r="F614" s="871"/>
      <c r="G614" s="871">
        <v>15</v>
      </c>
      <c r="H614" s="871">
        <v>15</v>
      </c>
      <c r="I614" s="866">
        <f t="shared" si="28"/>
        <v>100</v>
      </c>
    </row>
    <row r="615" spans="1:23" ht="16.5" thickTop="1" thickBot="1" x14ac:dyDescent="0.3">
      <c r="A615" s="2685" t="s">
        <v>1162</v>
      </c>
      <c r="B615" s="2686"/>
      <c r="C615" s="2686"/>
      <c r="D615" s="2686"/>
      <c r="E615" s="2686"/>
      <c r="F615" s="862">
        <f>F595+F607</f>
        <v>5005</v>
      </c>
      <c r="G615" s="862">
        <f>G595+G607+G605+G601+G610+G612</f>
        <v>30145</v>
      </c>
      <c r="H615" s="862">
        <f>H595+H607+H605+H601+H610+H612</f>
        <v>30145</v>
      </c>
      <c r="I615" s="863">
        <f>(H615/G615)*100</f>
        <v>100</v>
      </c>
      <c r="R615" s="383">
        <f>F615</f>
        <v>5005</v>
      </c>
      <c r="S615" s="383">
        <f>G615</f>
        <v>30145</v>
      </c>
      <c r="T615" s="383">
        <f>H615</f>
        <v>30145</v>
      </c>
    </row>
    <row r="616" spans="1:23" ht="15.75" thickTop="1" x14ac:dyDescent="0.25">
      <c r="A616" s="432">
        <v>1101</v>
      </c>
      <c r="B616" s="681">
        <v>3121</v>
      </c>
      <c r="C616" s="681">
        <v>6351</v>
      </c>
      <c r="D616" s="857"/>
      <c r="E616" s="626" t="s">
        <v>1231</v>
      </c>
      <c r="F616" s="858">
        <v>0</v>
      </c>
      <c r="G616" s="858">
        <v>35</v>
      </c>
      <c r="H616" s="858">
        <v>35</v>
      </c>
      <c r="I616" s="859">
        <f>(H616/G616)*100</f>
        <v>100</v>
      </c>
    </row>
    <row r="617" spans="1:23" ht="15.75" thickBot="1" x14ac:dyDescent="0.3">
      <c r="A617" s="432"/>
      <c r="B617" s="681"/>
      <c r="C617" s="681"/>
      <c r="D617" s="1110" t="s">
        <v>196</v>
      </c>
      <c r="E617" s="1215" t="s">
        <v>751</v>
      </c>
      <c r="F617" s="858"/>
      <c r="G617" s="357">
        <v>35</v>
      </c>
      <c r="H617" s="357">
        <v>35</v>
      </c>
      <c r="I617" s="892">
        <f>(H617/G617)*100</f>
        <v>100</v>
      </c>
    </row>
    <row r="618" spans="1:23" ht="16.5" thickTop="1" thickBot="1" x14ac:dyDescent="0.3">
      <c r="A618" s="2685" t="s">
        <v>1163</v>
      </c>
      <c r="B618" s="2686"/>
      <c r="C618" s="2686"/>
      <c r="D618" s="2686"/>
      <c r="E618" s="2686"/>
      <c r="F618" s="862">
        <f>F616</f>
        <v>0</v>
      </c>
      <c r="G618" s="862">
        <f>G616</f>
        <v>35</v>
      </c>
      <c r="H618" s="862">
        <f>H616</f>
        <v>35</v>
      </c>
      <c r="I618" s="863">
        <f>(H618/G618)*100</f>
        <v>100</v>
      </c>
      <c r="R618" s="383"/>
      <c r="S618" s="383"/>
      <c r="T618" s="383"/>
      <c r="U618" s="383">
        <f>F618</f>
        <v>0</v>
      </c>
      <c r="V618" s="383">
        <f>G618</f>
        <v>35</v>
      </c>
      <c r="W618" s="383">
        <f>H618</f>
        <v>35</v>
      </c>
    </row>
    <row r="619" spans="1:23" ht="13.5" thickTop="1" x14ac:dyDescent="0.2"/>
    <row r="622" spans="1:23" ht="13.5" thickBot="1" x14ac:dyDescent="0.25">
      <c r="A622" s="433" t="s">
        <v>417</v>
      </c>
      <c r="I622" s="1465" t="s">
        <v>173</v>
      </c>
    </row>
    <row r="623" spans="1:23" s="107" customFormat="1" thickTop="1" thickBot="1" x14ac:dyDescent="0.25">
      <c r="A623" s="633" t="s">
        <v>661</v>
      </c>
      <c r="B623" s="810" t="s">
        <v>174</v>
      </c>
      <c r="C623" s="634" t="s">
        <v>175</v>
      </c>
      <c r="D623" s="636" t="s">
        <v>744</v>
      </c>
      <c r="E623" s="636" t="s">
        <v>176</v>
      </c>
      <c r="F623" s="636" t="s">
        <v>177</v>
      </c>
      <c r="G623" s="636" t="s">
        <v>922</v>
      </c>
      <c r="H623" s="636" t="s">
        <v>923</v>
      </c>
      <c r="I623" s="856" t="s">
        <v>924</v>
      </c>
    </row>
    <row r="624" spans="1:23" s="384" customFormat="1" ht="13.5" thickTop="1" thickBot="1" x14ac:dyDescent="0.25">
      <c r="A624" s="568">
        <v>1</v>
      </c>
      <c r="B624" s="569">
        <v>2</v>
      </c>
      <c r="C624" s="569">
        <v>3</v>
      </c>
      <c r="D624" s="569">
        <v>4</v>
      </c>
      <c r="E624" s="569">
        <v>5</v>
      </c>
      <c r="F624" s="543">
        <v>6</v>
      </c>
      <c r="G624" s="543">
        <v>7</v>
      </c>
      <c r="H624" s="544">
        <v>8</v>
      </c>
      <c r="I624" s="638" t="s">
        <v>801</v>
      </c>
    </row>
    <row r="625" spans="1:19" ht="15.75" thickTop="1" x14ac:dyDescent="0.25">
      <c r="A625" s="1466">
        <v>1102</v>
      </c>
      <c r="B625" s="811">
        <v>3121</v>
      </c>
      <c r="C625" s="811">
        <v>5331</v>
      </c>
      <c r="D625" s="877"/>
      <c r="E625" s="898" t="s">
        <v>996</v>
      </c>
      <c r="F625" s="899">
        <f>F626+F627+F628+F629</f>
        <v>7066</v>
      </c>
      <c r="G625" s="899">
        <f>G626+G627+G628+G629</f>
        <v>7014</v>
      </c>
      <c r="H625" s="899">
        <f>H626+H627+H628+H629</f>
        <v>7014</v>
      </c>
      <c r="I625" s="864">
        <f t="shared" ref="I625:I636" si="29">(H625/G625)*100</f>
        <v>100</v>
      </c>
    </row>
    <row r="626" spans="1:19" ht="14.25" x14ac:dyDescent="0.2">
      <c r="A626" s="432"/>
      <c r="B626" s="681"/>
      <c r="C626" s="681"/>
      <c r="D626" s="719" t="s">
        <v>611</v>
      </c>
      <c r="E626" s="1569" t="s">
        <v>833</v>
      </c>
      <c r="F626" s="865">
        <v>2621</v>
      </c>
      <c r="G626" s="865">
        <v>1937</v>
      </c>
      <c r="H626" s="865">
        <v>1937</v>
      </c>
      <c r="I626" s="861">
        <f t="shared" si="29"/>
        <v>100</v>
      </c>
    </row>
    <row r="627" spans="1:19" ht="14.25" x14ac:dyDescent="0.2">
      <c r="A627" s="432"/>
      <c r="B627" s="681"/>
      <c r="C627" s="681"/>
      <c r="D627" s="554" t="s">
        <v>606</v>
      </c>
      <c r="E627" s="456" t="s">
        <v>72</v>
      </c>
      <c r="F627" s="865">
        <v>4445</v>
      </c>
      <c r="G627" s="865">
        <v>4752</v>
      </c>
      <c r="H627" s="865">
        <v>4752</v>
      </c>
      <c r="I627" s="861">
        <f t="shared" si="29"/>
        <v>100</v>
      </c>
    </row>
    <row r="628" spans="1:19" ht="14.25" x14ac:dyDescent="0.2">
      <c r="A628" s="432"/>
      <c r="B628" s="783"/>
      <c r="C628" s="681"/>
      <c r="D628" s="1119" t="s">
        <v>1512</v>
      </c>
      <c r="E628" s="1476" t="s">
        <v>1529</v>
      </c>
      <c r="F628" s="865"/>
      <c r="G628" s="865">
        <v>96</v>
      </c>
      <c r="H628" s="865">
        <v>96</v>
      </c>
      <c r="I628" s="861">
        <f t="shared" si="29"/>
        <v>100</v>
      </c>
    </row>
    <row r="629" spans="1:19" ht="14.25" x14ac:dyDescent="0.2">
      <c r="A629" s="432"/>
      <c r="B629" s="783"/>
      <c r="C629" s="681"/>
      <c r="D629" s="1119" t="s">
        <v>1604</v>
      </c>
      <c r="E629" s="2273" t="s">
        <v>1719</v>
      </c>
      <c r="F629" s="865"/>
      <c r="G629" s="865">
        <v>229</v>
      </c>
      <c r="H629" s="865">
        <v>229</v>
      </c>
      <c r="I629" s="861">
        <f t="shared" si="29"/>
        <v>100</v>
      </c>
    </row>
    <row r="630" spans="1:19" ht="15" x14ac:dyDescent="0.25">
      <c r="A630" s="432">
        <v>1102</v>
      </c>
      <c r="B630" s="783">
        <v>3121</v>
      </c>
      <c r="C630" s="783">
        <v>5336</v>
      </c>
      <c r="D630" s="781"/>
      <c r="E630" s="1479" t="s">
        <v>1269</v>
      </c>
      <c r="F630" s="865"/>
      <c r="G630" s="889">
        <f>G631+G632+G633</f>
        <v>40740</v>
      </c>
      <c r="H630" s="889">
        <f>H631+H632+H633</f>
        <v>40740</v>
      </c>
      <c r="I630" s="891">
        <f t="shared" si="29"/>
        <v>100</v>
      </c>
    </row>
    <row r="631" spans="1:19" ht="14.25" x14ac:dyDescent="0.2">
      <c r="A631" s="432"/>
      <c r="B631" s="783"/>
      <c r="C631" s="681"/>
      <c r="D631" s="554" t="s">
        <v>1182</v>
      </c>
      <c r="E631" s="456" t="s">
        <v>832</v>
      </c>
      <c r="F631" s="865"/>
      <c r="G631" s="865">
        <v>39704</v>
      </c>
      <c r="H631" s="865">
        <v>39704</v>
      </c>
      <c r="I631" s="861">
        <f t="shared" si="29"/>
        <v>100</v>
      </c>
    </row>
    <row r="632" spans="1:19" ht="14.25" x14ac:dyDescent="0.2">
      <c r="A632" s="432"/>
      <c r="B632" s="783"/>
      <c r="C632" s="783"/>
      <c r="D632" s="1481" t="s">
        <v>1608</v>
      </c>
      <c r="E632" s="1476" t="s">
        <v>1717</v>
      </c>
      <c r="F632" s="871"/>
      <c r="G632" s="871">
        <v>155</v>
      </c>
      <c r="H632" s="871">
        <v>155</v>
      </c>
      <c r="I632" s="866">
        <f t="shared" si="29"/>
        <v>100</v>
      </c>
    </row>
    <row r="633" spans="1:19" ht="14.25" x14ac:dyDescent="0.2">
      <c r="A633" s="432"/>
      <c r="B633" s="783"/>
      <c r="C633" s="783"/>
      <c r="D633" s="1481" t="s">
        <v>1610</v>
      </c>
      <c r="E633" s="1476" t="s">
        <v>1717</v>
      </c>
      <c r="F633" s="871"/>
      <c r="G633" s="871">
        <v>881</v>
      </c>
      <c r="H633" s="871">
        <v>881</v>
      </c>
      <c r="I633" s="866">
        <f t="shared" si="29"/>
        <v>100</v>
      </c>
    </row>
    <row r="634" spans="1:19" ht="15" x14ac:dyDescent="0.25">
      <c r="A634" s="432">
        <v>1102</v>
      </c>
      <c r="B634" s="783">
        <v>3141</v>
      </c>
      <c r="C634" s="783">
        <v>5336</v>
      </c>
      <c r="D634" s="570"/>
      <c r="E634" s="1479" t="s">
        <v>1269</v>
      </c>
      <c r="F634" s="884"/>
      <c r="G634" s="884">
        <v>216</v>
      </c>
      <c r="H634" s="884">
        <v>216</v>
      </c>
      <c r="I634" s="876">
        <f t="shared" si="29"/>
        <v>100</v>
      </c>
    </row>
    <row r="635" spans="1:19" ht="14.25" x14ac:dyDescent="0.2">
      <c r="A635" s="432"/>
      <c r="B635" s="783"/>
      <c r="C635" s="783"/>
      <c r="D635" s="554" t="s">
        <v>1182</v>
      </c>
      <c r="E635" s="456" t="s">
        <v>832</v>
      </c>
      <c r="F635" s="871"/>
      <c r="G635" s="871">
        <v>216</v>
      </c>
      <c r="H635" s="871">
        <v>216</v>
      </c>
      <c r="I635" s="866">
        <f t="shared" si="29"/>
        <v>100</v>
      </c>
    </row>
    <row r="636" spans="1:19" ht="15" x14ac:dyDescent="0.25">
      <c r="A636" s="432">
        <v>1102</v>
      </c>
      <c r="B636" s="783">
        <v>3142</v>
      </c>
      <c r="C636" s="783">
        <v>5331</v>
      </c>
      <c r="D636" s="897"/>
      <c r="E636" s="680" t="s">
        <v>996</v>
      </c>
      <c r="F636" s="873">
        <v>1100</v>
      </c>
      <c r="G636" s="873">
        <v>1100</v>
      </c>
      <c r="H636" s="873">
        <v>1100</v>
      </c>
      <c r="I636" s="876">
        <f t="shared" si="29"/>
        <v>100</v>
      </c>
      <c r="R636" s="933"/>
      <c r="S636" s="2695"/>
    </row>
    <row r="637" spans="1:19" ht="14.25" x14ac:dyDescent="0.2">
      <c r="A637" s="432"/>
      <c r="B637" s="783"/>
      <c r="C637" s="783"/>
      <c r="D637" s="554" t="s">
        <v>606</v>
      </c>
      <c r="E637" s="456" t="s">
        <v>72</v>
      </c>
      <c r="F637" s="871">
        <v>1100</v>
      </c>
      <c r="G637" s="871">
        <v>1100</v>
      </c>
      <c r="H637" s="871">
        <v>1100</v>
      </c>
      <c r="I637" s="866">
        <f>(H637/G637)*100</f>
        <v>100</v>
      </c>
      <c r="R637" s="934"/>
      <c r="S637" s="2695"/>
    </row>
    <row r="638" spans="1:19" ht="18" customHeight="1" x14ac:dyDescent="0.25">
      <c r="A638" s="432">
        <v>1102</v>
      </c>
      <c r="B638" s="783">
        <v>3142</v>
      </c>
      <c r="C638" s="783">
        <v>5336</v>
      </c>
      <c r="D638" s="570"/>
      <c r="E638" s="1479" t="s">
        <v>1269</v>
      </c>
      <c r="F638" s="871"/>
      <c r="G638" s="884">
        <v>457</v>
      </c>
      <c r="H638" s="884">
        <v>457</v>
      </c>
      <c r="I638" s="876">
        <f>(H638/G638)*100</f>
        <v>100</v>
      </c>
      <c r="R638" s="934"/>
      <c r="S638" s="2259"/>
    </row>
    <row r="639" spans="1:19" ht="14.25" x14ac:dyDescent="0.2">
      <c r="A639" s="432"/>
      <c r="B639" s="783"/>
      <c r="C639" s="1468"/>
      <c r="D639" s="554" t="s">
        <v>1182</v>
      </c>
      <c r="E639" s="456" t="s">
        <v>832</v>
      </c>
      <c r="F639" s="871"/>
      <c r="G639" s="871">
        <v>457</v>
      </c>
      <c r="H639" s="871">
        <v>457</v>
      </c>
      <c r="I639" s="866">
        <f>(H639/G639)*100</f>
        <v>100</v>
      </c>
      <c r="R639" s="935"/>
      <c r="S639" s="2695"/>
    </row>
    <row r="640" spans="1:19" ht="15" x14ac:dyDescent="0.25">
      <c r="A640" s="432">
        <v>1102</v>
      </c>
      <c r="B640" s="681">
        <v>3299</v>
      </c>
      <c r="C640" s="1467">
        <v>5331</v>
      </c>
      <c r="D640" s="867"/>
      <c r="E640" s="829" t="s">
        <v>996</v>
      </c>
      <c r="F640" s="873"/>
      <c r="G640" s="873">
        <f>SUM(G641:G643)</f>
        <v>40</v>
      </c>
      <c r="H640" s="873">
        <f>SUM(H641:H643)</f>
        <v>40</v>
      </c>
      <c r="I640" s="859">
        <v>100</v>
      </c>
      <c r="R640" s="934"/>
      <c r="S640" s="2695"/>
    </row>
    <row r="641" spans="1:20" ht="15" x14ac:dyDescent="0.25">
      <c r="A641" s="432"/>
      <c r="B641" s="681"/>
      <c r="C641" s="1467"/>
      <c r="D641" s="1110" t="s">
        <v>1180</v>
      </c>
      <c r="E641" s="1215" t="s">
        <v>24</v>
      </c>
      <c r="F641" s="873"/>
      <c r="G641" s="875">
        <v>15</v>
      </c>
      <c r="H641" s="875">
        <v>15</v>
      </c>
      <c r="I641" s="861">
        <f t="shared" ref="I641:I646" si="30">(H641/G641)*100</f>
        <v>100</v>
      </c>
      <c r="R641" s="934"/>
      <c r="S641" s="2391"/>
    </row>
    <row r="642" spans="1:20" ht="13.5" customHeight="1" x14ac:dyDescent="0.25">
      <c r="A642" s="432"/>
      <c r="B642" s="681"/>
      <c r="C642" s="1467"/>
      <c r="D642" s="1110" t="s">
        <v>513</v>
      </c>
      <c r="E642" s="1215" t="s">
        <v>1303</v>
      </c>
      <c r="F642" s="873"/>
      <c r="G642" s="875">
        <v>10</v>
      </c>
      <c r="H642" s="875">
        <v>10</v>
      </c>
      <c r="I642" s="861">
        <f t="shared" si="30"/>
        <v>100</v>
      </c>
      <c r="R642" s="934"/>
      <c r="S642" s="2391"/>
    </row>
    <row r="643" spans="1:20" ht="14.25" customHeight="1" x14ac:dyDescent="0.25">
      <c r="A643" s="432"/>
      <c r="B643" s="681"/>
      <c r="C643" s="1467"/>
      <c r="D643" s="1368" t="s">
        <v>390</v>
      </c>
      <c r="E643" s="461" t="s">
        <v>1175</v>
      </c>
      <c r="F643" s="858"/>
      <c r="G643" s="865">
        <v>15</v>
      </c>
      <c r="H643" s="865">
        <v>15</v>
      </c>
      <c r="I643" s="861">
        <f t="shared" si="30"/>
        <v>100</v>
      </c>
    </row>
    <row r="644" spans="1:20" ht="15" x14ac:dyDescent="0.25">
      <c r="A644" s="432">
        <v>1102</v>
      </c>
      <c r="B644" s="681">
        <v>3792</v>
      </c>
      <c r="C644" s="1467">
        <v>5331</v>
      </c>
      <c r="D644" s="1368"/>
      <c r="E644" s="680" t="s">
        <v>996</v>
      </c>
      <c r="F644" s="858"/>
      <c r="G644" s="889">
        <v>5</v>
      </c>
      <c r="H644" s="889">
        <v>5</v>
      </c>
      <c r="I644" s="891">
        <f t="shared" si="30"/>
        <v>100</v>
      </c>
    </row>
    <row r="645" spans="1:20" ht="15.75" thickBot="1" x14ac:dyDescent="0.3">
      <c r="A645" s="432"/>
      <c r="B645" s="681"/>
      <c r="C645" s="1467"/>
      <c r="D645" s="1368" t="s">
        <v>1382</v>
      </c>
      <c r="E645" s="461" t="s">
        <v>1174</v>
      </c>
      <c r="F645" s="858"/>
      <c r="G645" s="865">
        <v>5</v>
      </c>
      <c r="H645" s="865">
        <v>5</v>
      </c>
      <c r="I645" s="861">
        <f t="shared" si="30"/>
        <v>100</v>
      </c>
    </row>
    <row r="646" spans="1:20" ht="16.5" thickTop="1" thickBot="1" x14ac:dyDescent="0.3">
      <c r="A646" s="2685" t="s">
        <v>1162</v>
      </c>
      <c r="B646" s="2686"/>
      <c r="C646" s="2686"/>
      <c r="D646" s="2686"/>
      <c r="E646" s="2686"/>
      <c r="F646" s="862">
        <f>F625+F636+F640</f>
        <v>8166</v>
      </c>
      <c r="G646" s="862">
        <f>G625+G636+G640+G644+G630+G634+G638</f>
        <v>49572</v>
      </c>
      <c r="H646" s="862">
        <f>H625+H636+H640+H644+H630+H634+H638</f>
        <v>49572</v>
      </c>
      <c r="I646" s="863">
        <f t="shared" si="30"/>
        <v>100</v>
      </c>
      <c r="R646" s="383">
        <f>F646</f>
        <v>8166</v>
      </c>
      <c r="S646" s="383">
        <f>G646</f>
        <v>49572</v>
      </c>
      <c r="T646" s="383">
        <f>H646</f>
        <v>49572</v>
      </c>
    </row>
    <row r="647" spans="1:20" ht="13.5" thickTop="1" x14ac:dyDescent="0.2"/>
    <row r="650" spans="1:20" ht="13.5" thickBot="1" x14ac:dyDescent="0.25">
      <c r="A650" s="433" t="s">
        <v>1368</v>
      </c>
      <c r="I650" s="1465" t="s">
        <v>173</v>
      </c>
    </row>
    <row r="651" spans="1:20" s="107" customFormat="1" thickTop="1" thickBot="1" x14ac:dyDescent="0.25">
      <c r="A651" s="633" t="s">
        <v>661</v>
      </c>
      <c r="B651" s="810" t="s">
        <v>174</v>
      </c>
      <c r="C651" s="634" t="s">
        <v>175</v>
      </c>
      <c r="D651" s="636" t="s">
        <v>744</v>
      </c>
      <c r="E651" s="636" t="s">
        <v>176</v>
      </c>
      <c r="F651" s="636" t="s">
        <v>177</v>
      </c>
      <c r="G651" s="636" t="s">
        <v>922</v>
      </c>
      <c r="H651" s="636" t="s">
        <v>923</v>
      </c>
      <c r="I651" s="856" t="s">
        <v>924</v>
      </c>
    </row>
    <row r="652" spans="1:20" s="384" customFormat="1" ht="13.5" thickTop="1" thickBot="1" x14ac:dyDescent="0.25">
      <c r="A652" s="568">
        <v>1</v>
      </c>
      <c r="B652" s="569">
        <v>2</v>
      </c>
      <c r="C652" s="569">
        <v>3</v>
      </c>
      <c r="D652" s="569">
        <v>4</v>
      </c>
      <c r="E652" s="569">
        <v>5</v>
      </c>
      <c r="F652" s="543">
        <v>6</v>
      </c>
      <c r="G652" s="543">
        <v>7</v>
      </c>
      <c r="H652" s="544">
        <v>8</v>
      </c>
      <c r="I652" s="638" t="s">
        <v>801</v>
      </c>
    </row>
    <row r="653" spans="1:20" ht="15.75" thickTop="1" x14ac:dyDescent="0.25">
      <c r="A653" s="1466">
        <v>1103</v>
      </c>
      <c r="B653" s="811">
        <v>3121</v>
      </c>
      <c r="C653" s="811">
        <v>5331</v>
      </c>
      <c r="D653" s="877"/>
      <c r="E653" s="898" t="s">
        <v>996</v>
      </c>
      <c r="F653" s="899">
        <f>F654+F655+F656+F657</f>
        <v>7710</v>
      </c>
      <c r="G653" s="899">
        <f>G654+G655+G656+G657</f>
        <v>7875</v>
      </c>
      <c r="H653" s="899">
        <f>H654+H655+H656+H657</f>
        <v>7875</v>
      </c>
      <c r="I653" s="864">
        <f t="shared" ref="I653:I661" si="31">(H653/G653)*100</f>
        <v>100</v>
      </c>
    </row>
    <row r="654" spans="1:20" ht="14.25" x14ac:dyDescent="0.2">
      <c r="A654" s="432"/>
      <c r="B654" s="681"/>
      <c r="C654" s="681"/>
      <c r="D654" s="719" t="s">
        <v>611</v>
      </c>
      <c r="E654" s="1569" t="s">
        <v>833</v>
      </c>
      <c r="F654" s="865">
        <v>2384</v>
      </c>
      <c r="G654" s="865">
        <v>2384</v>
      </c>
      <c r="H654" s="865">
        <v>2384</v>
      </c>
      <c r="I654" s="861">
        <f t="shared" si="31"/>
        <v>100</v>
      </c>
    </row>
    <row r="655" spans="1:20" ht="14.25" x14ac:dyDescent="0.2">
      <c r="A655" s="432"/>
      <c r="B655" s="681"/>
      <c r="C655" s="681"/>
      <c r="D655" s="554" t="s">
        <v>606</v>
      </c>
      <c r="E655" s="456" t="s">
        <v>72</v>
      </c>
      <c r="F655" s="865">
        <v>5326</v>
      </c>
      <c r="G655" s="865">
        <v>5317</v>
      </c>
      <c r="H655" s="865">
        <v>5317</v>
      </c>
      <c r="I655" s="861">
        <f t="shared" si="31"/>
        <v>100</v>
      </c>
    </row>
    <row r="656" spans="1:20" ht="14.25" x14ac:dyDescent="0.2">
      <c r="A656" s="432"/>
      <c r="B656" s="681"/>
      <c r="C656" s="681"/>
      <c r="D656" s="554" t="s">
        <v>703</v>
      </c>
      <c r="E656" s="456" t="s">
        <v>75</v>
      </c>
      <c r="F656" s="865"/>
      <c r="G656" s="865">
        <v>9</v>
      </c>
      <c r="H656" s="865">
        <v>9</v>
      </c>
      <c r="I656" s="861">
        <f t="shared" si="31"/>
        <v>100</v>
      </c>
    </row>
    <row r="657" spans="1:20" ht="14.25" x14ac:dyDescent="0.2">
      <c r="A657" s="432"/>
      <c r="B657" s="681"/>
      <c r="C657" s="681"/>
      <c r="D657" s="1119" t="s">
        <v>1604</v>
      </c>
      <c r="E657" s="2273" t="s">
        <v>1719</v>
      </c>
      <c r="F657" s="865"/>
      <c r="G657" s="865">
        <v>165</v>
      </c>
      <c r="H657" s="865">
        <v>165</v>
      </c>
      <c r="I657" s="861">
        <f t="shared" si="31"/>
        <v>100</v>
      </c>
    </row>
    <row r="658" spans="1:20" ht="15" x14ac:dyDescent="0.25">
      <c r="A658" s="432">
        <v>1103</v>
      </c>
      <c r="B658" s="783">
        <v>3121</v>
      </c>
      <c r="C658" s="783">
        <v>5336</v>
      </c>
      <c r="D658" s="570"/>
      <c r="E658" s="1479" t="s">
        <v>1269</v>
      </c>
      <c r="F658" s="884"/>
      <c r="G658" s="884">
        <f>G659+G660+G661</f>
        <v>47670</v>
      </c>
      <c r="H658" s="884">
        <f>H659+H660+H661</f>
        <v>47670</v>
      </c>
      <c r="I658" s="876">
        <f t="shared" si="31"/>
        <v>100</v>
      </c>
    </row>
    <row r="659" spans="1:20" ht="14.25" x14ac:dyDescent="0.2">
      <c r="A659" s="432"/>
      <c r="B659" s="681"/>
      <c r="C659" s="681"/>
      <c r="D659" s="554" t="s">
        <v>1182</v>
      </c>
      <c r="E659" s="456" t="s">
        <v>832</v>
      </c>
      <c r="F659" s="865"/>
      <c r="G659" s="865">
        <v>46490</v>
      </c>
      <c r="H659" s="865">
        <v>46490</v>
      </c>
      <c r="I659" s="861">
        <f t="shared" si="31"/>
        <v>100</v>
      </c>
    </row>
    <row r="660" spans="1:20" ht="14.25" x14ac:dyDescent="0.2">
      <c r="A660" s="432"/>
      <c r="B660" s="783"/>
      <c r="C660" s="783"/>
      <c r="D660" s="1481" t="s">
        <v>1608</v>
      </c>
      <c r="E660" s="1476" t="s">
        <v>1717</v>
      </c>
      <c r="F660" s="871"/>
      <c r="G660" s="871">
        <v>177</v>
      </c>
      <c r="H660" s="871">
        <v>177</v>
      </c>
      <c r="I660" s="866">
        <f t="shared" si="31"/>
        <v>100</v>
      </c>
    </row>
    <row r="661" spans="1:20" ht="18" customHeight="1" x14ac:dyDescent="0.2">
      <c r="A661" s="432"/>
      <c r="B661" s="783"/>
      <c r="C661" s="783"/>
      <c r="D661" s="1481" t="s">
        <v>1610</v>
      </c>
      <c r="E661" s="1476" t="s">
        <v>1717</v>
      </c>
      <c r="F661" s="871"/>
      <c r="G661" s="871">
        <v>1003</v>
      </c>
      <c r="H661" s="871">
        <v>1003</v>
      </c>
      <c r="I661" s="866">
        <f t="shared" si="31"/>
        <v>100</v>
      </c>
    </row>
    <row r="662" spans="1:20" ht="18" customHeight="1" x14ac:dyDescent="0.25">
      <c r="A662" s="432">
        <v>1103</v>
      </c>
      <c r="B662" s="681">
        <v>3299</v>
      </c>
      <c r="C662" s="1467">
        <v>5331</v>
      </c>
      <c r="D662" s="867"/>
      <c r="E662" s="829" t="s">
        <v>996</v>
      </c>
      <c r="F662" s="873"/>
      <c r="G662" s="873">
        <v>43</v>
      </c>
      <c r="H662" s="873">
        <v>43</v>
      </c>
      <c r="I662" s="874">
        <v>100</v>
      </c>
    </row>
    <row r="663" spans="1:20" ht="18" customHeight="1" x14ac:dyDescent="0.25">
      <c r="A663" s="432"/>
      <c r="B663" s="681"/>
      <c r="C663" s="1467"/>
      <c r="D663" s="554" t="s">
        <v>1180</v>
      </c>
      <c r="E663" s="461" t="s">
        <v>1173</v>
      </c>
      <c r="F663" s="873"/>
      <c r="G663" s="875">
        <v>15</v>
      </c>
      <c r="H663" s="875">
        <v>15</v>
      </c>
      <c r="I663" s="866">
        <f>(H663/G663)*100</f>
        <v>100</v>
      </c>
    </row>
    <row r="664" spans="1:20" ht="15.75" thickBot="1" x14ac:dyDescent="0.3">
      <c r="A664" s="432"/>
      <c r="B664" s="681"/>
      <c r="C664" s="1467"/>
      <c r="D664" s="1368" t="s">
        <v>390</v>
      </c>
      <c r="E664" s="461" t="s">
        <v>1175</v>
      </c>
      <c r="F664" s="858"/>
      <c r="G664" s="865">
        <v>28</v>
      </c>
      <c r="H664" s="865">
        <v>28</v>
      </c>
      <c r="I664" s="861">
        <f>(H664/G664)*100</f>
        <v>100</v>
      </c>
    </row>
    <row r="665" spans="1:20" ht="20.25" customHeight="1" thickTop="1" thickBot="1" x14ac:dyDescent="0.3">
      <c r="A665" s="2685" t="s">
        <v>1162</v>
      </c>
      <c r="B665" s="2686"/>
      <c r="C665" s="2686"/>
      <c r="D665" s="2686"/>
      <c r="E665" s="2686"/>
      <c r="F665" s="862">
        <f>F653+F662</f>
        <v>7710</v>
      </c>
      <c r="G665" s="862">
        <f>G653+G658+G662</f>
        <v>55588</v>
      </c>
      <c r="H665" s="862">
        <f>H653+H658+H662</f>
        <v>55588</v>
      </c>
      <c r="I665" s="863">
        <f>(H665/G665)*100</f>
        <v>100</v>
      </c>
      <c r="R665" s="383">
        <f>F665</f>
        <v>7710</v>
      </c>
      <c r="S665" s="383">
        <f>G665</f>
        <v>55588</v>
      </c>
      <c r="T665" s="383">
        <f>H665</f>
        <v>55588</v>
      </c>
    </row>
    <row r="666" spans="1:20" ht="15" customHeight="1" thickTop="1" x14ac:dyDescent="0.25">
      <c r="A666" s="369"/>
      <c r="B666" s="369"/>
      <c r="C666" s="369"/>
      <c r="D666" s="369"/>
      <c r="E666" s="369"/>
      <c r="F666" s="181"/>
      <c r="G666" s="181"/>
      <c r="H666" s="181"/>
      <c r="I666" s="210"/>
      <c r="R666" s="383"/>
      <c r="S666" s="383"/>
      <c r="T666" s="383"/>
    </row>
    <row r="667" spans="1:20" ht="15" customHeight="1" x14ac:dyDescent="0.25">
      <c r="A667" s="369"/>
      <c r="B667" s="369"/>
      <c r="C667" s="369"/>
      <c r="D667" s="369"/>
      <c r="E667" s="369"/>
      <c r="F667" s="181"/>
      <c r="G667" s="181"/>
      <c r="H667" s="181"/>
      <c r="I667" s="210"/>
      <c r="R667" s="383"/>
      <c r="S667" s="383"/>
      <c r="T667" s="383"/>
    </row>
    <row r="668" spans="1:20" ht="15" customHeight="1" x14ac:dyDescent="0.25">
      <c r="A668" s="369"/>
      <c r="B668" s="369"/>
      <c r="C668" s="369"/>
      <c r="D668" s="369"/>
      <c r="E668" s="369"/>
      <c r="F668" s="181"/>
      <c r="G668" s="181"/>
      <c r="H668" s="181"/>
      <c r="I668" s="210"/>
      <c r="R668" s="383"/>
      <c r="S668" s="383"/>
      <c r="T668" s="383"/>
    </row>
    <row r="669" spans="1:20" ht="13.5" thickBot="1" x14ac:dyDescent="0.25">
      <c r="A669" s="433" t="s">
        <v>348</v>
      </c>
      <c r="I669" s="1465" t="s">
        <v>173</v>
      </c>
    </row>
    <row r="670" spans="1:20" s="107" customFormat="1" thickTop="1" thickBot="1" x14ac:dyDescent="0.25">
      <c r="A670" s="633" t="s">
        <v>661</v>
      </c>
      <c r="B670" s="810" t="s">
        <v>174</v>
      </c>
      <c r="C670" s="634" t="s">
        <v>175</v>
      </c>
      <c r="D670" s="636" t="s">
        <v>744</v>
      </c>
      <c r="E670" s="636" t="s">
        <v>176</v>
      </c>
      <c r="F670" s="636" t="s">
        <v>177</v>
      </c>
      <c r="G670" s="636" t="s">
        <v>922</v>
      </c>
      <c r="H670" s="636" t="s">
        <v>923</v>
      </c>
      <c r="I670" s="856" t="s">
        <v>924</v>
      </c>
    </row>
    <row r="671" spans="1:20" s="384" customFormat="1" ht="13.5" thickTop="1" thickBot="1" x14ac:dyDescent="0.25">
      <c r="A671" s="568">
        <v>1</v>
      </c>
      <c r="B671" s="569">
        <v>2</v>
      </c>
      <c r="C671" s="569">
        <v>3</v>
      </c>
      <c r="D671" s="569">
        <v>4</v>
      </c>
      <c r="E671" s="569">
        <v>5</v>
      </c>
      <c r="F671" s="543">
        <v>6</v>
      </c>
      <c r="G671" s="543">
        <v>7</v>
      </c>
      <c r="H671" s="544">
        <v>8</v>
      </c>
      <c r="I671" s="638" t="s">
        <v>801</v>
      </c>
    </row>
    <row r="672" spans="1:20" ht="15.75" thickTop="1" x14ac:dyDescent="0.25">
      <c r="A672" s="1466">
        <v>1104</v>
      </c>
      <c r="B672" s="811">
        <v>3121</v>
      </c>
      <c r="C672" s="811">
        <v>5331</v>
      </c>
      <c r="D672" s="877"/>
      <c r="E672" s="898" t="s">
        <v>996</v>
      </c>
      <c r="F672" s="899">
        <f>F673+F674+F675</f>
        <v>4481</v>
      </c>
      <c r="G672" s="899">
        <f>G673+G674+G675</f>
        <v>4541</v>
      </c>
      <c r="H672" s="899">
        <f>H673+H674+H675</f>
        <v>4541</v>
      </c>
      <c r="I672" s="864">
        <f t="shared" ref="I672:I682" si="32">(H672/G672)*100</f>
        <v>100</v>
      </c>
    </row>
    <row r="673" spans="1:20" ht="14.25" x14ac:dyDescent="0.2">
      <c r="A673" s="432"/>
      <c r="B673" s="681"/>
      <c r="C673" s="681"/>
      <c r="D673" s="719" t="s">
        <v>611</v>
      </c>
      <c r="E673" s="1569" t="s">
        <v>833</v>
      </c>
      <c r="F673" s="865">
        <v>1472</v>
      </c>
      <c r="G673" s="865">
        <v>1492</v>
      </c>
      <c r="H673" s="865">
        <v>1492</v>
      </c>
      <c r="I673" s="861">
        <f t="shared" si="32"/>
        <v>100</v>
      </c>
    </row>
    <row r="674" spans="1:20" ht="14.25" x14ac:dyDescent="0.2">
      <c r="A674" s="432"/>
      <c r="B674" s="681"/>
      <c r="C674" s="681"/>
      <c r="D674" s="554" t="s">
        <v>606</v>
      </c>
      <c r="E674" s="456" t="s">
        <v>72</v>
      </c>
      <c r="F674" s="865">
        <v>3009</v>
      </c>
      <c r="G674" s="865">
        <v>3009</v>
      </c>
      <c r="H674" s="865">
        <v>3009</v>
      </c>
      <c r="I674" s="861">
        <f t="shared" si="32"/>
        <v>100</v>
      </c>
    </row>
    <row r="675" spans="1:20" ht="14.25" x14ac:dyDescent="0.2">
      <c r="A675" s="432"/>
      <c r="B675" s="681"/>
      <c r="C675" s="681"/>
      <c r="D675" s="1119" t="s">
        <v>1604</v>
      </c>
      <c r="E675" s="2273" t="s">
        <v>1719</v>
      </c>
      <c r="F675" s="865"/>
      <c r="G675" s="865">
        <v>40</v>
      </c>
      <c r="H675" s="865">
        <v>40</v>
      </c>
      <c r="I675" s="861">
        <f t="shared" si="32"/>
        <v>100</v>
      </c>
    </row>
    <row r="676" spans="1:20" ht="15" x14ac:dyDescent="0.25">
      <c r="A676" s="432">
        <v>1104</v>
      </c>
      <c r="B676" s="783">
        <v>3121</v>
      </c>
      <c r="C676" s="783">
        <v>5336</v>
      </c>
      <c r="D676" s="570"/>
      <c r="E676" s="1479" t="s">
        <v>1269</v>
      </c>
      <c r="F676" s="884"/>
      <c r="G676" s="884">
        <f>G677+G678+G679</f>
        <v>18254</v>
      </c>
      <c r="H676" s="884">
        <f>H677+H678+H679</f>
        <v>18254</v>
      </c>
      <c r="I676" s="876">
        <f t="shared" si="32"/>
        <v>100</v>
      </c>
    </row>
    <row r="677" spans="1:20" ht="14.25" x14ac:dyDescent="0.2">
      <c r="A677" s="432"/>
      <c r="B677" s="681"/>
      <c r="C677" s="681"/>
      <c r="D677" s="554" t="s">
        <v>1182</v>
      </c>
      <c r="E677" s="456" t="s">
        <v>832</v>
      </c>
      <c r="F677" s="865"/>
      <c r="G677" s="865">
        <v>17633</v>
      </c>
      <c r="H677" s="865">
        <v>17633</v>
      </c>
      <c r="I677" s="861">
        <f t="shared" si="32"/>
        <v>100</v>
      </c>
    </row>
    <row r="678" spans="1:20" ht="14.25" x14ac:dyDescent="0.2">
      <c r="A678" s="432"/>
      <c r="B678" s="783"/>
      <c r="C678" s="783"/>
      <c r="D678" s="1481" t="s">
        <v>1608</v>
      </c>
      <c r="E678" s="1476" t="s">
        <v>1717</v>
      </c>
      <c r="F678" s="871"/>
      <c r="G678" s="871">
        <v>93</v>
      </c>
      <c r="H678" s="871">
        <v>93</v>
      </c>
      <c r="I678" s="866">
        <f t="shared" si="32"/>
        <v>100</v>
      </c>
    </row>
    <row r="679" spans="1:20" ht="14.25" x14ac:dyDescent="0.2">
      <c r="A679" s="432"/>
      <c r="B679" s="783"/>
      <c r="C679" s="783"/>
      <c r="D679" s="1481" t="s">
        <v>1610</v>
      </c>
      <c r="E679" s="1476" t="s">
        <v>1717</v>
      </c>
      <c r="F679" s="871"/>
      <c r="G679" s="871">
        <v>528</v>
      </c>
      <c r="H679" s="871">
        <v>528</v>
      </c>
      <c r="I679" s="866">
        <f t="shared" si="32"/>
        <v>100</v>
      </c>
    </row>
    <row r="680" spans="1:20" ht="15" x14ac:dyDescent="0.25">
      <c r="A680" s="432">
        <v>1104</v>
      </c>
      <c r="B680" s="783">
        <v>3299</v>
      </c>
      <c r="C680" s="783">
        <v>5331</v>
      </c>
      <c r="D680" s="1481"/>
      <c r="E680" s="829" t="s">
        <v>996</v>
      </c>
      <c r="F680" s="871"/>
      <c r="G680" s="884">
        <v>10</v>
      </c>
      <c r="H680" s="884">
        <v>10</v>
      </c>
      <c r="I680" s="876">
        <f t="shared" si="32"/>
        <v>100</v>
      </c>
    </row>
    <row r="681" spans="1:20" ht="15" thickBot="1" x14ac:dyDescent="0.25">
      <c r="A681" s="432"/>
      <c r="B681" s="783"/>
      <c r="C681" s="783"/>
      <c r="D681" s="1368" t="s">
        <v>390</v>
      </c>
      <c r="E681" s="461" t="s">
        <v>1175</v>
      </c>
      <c r="F681" s="871"/>
      <c r="G681" s="871">
        <v>10</v>
      </c>
      <c r="H681" s="871">
        <v>10</v>
      </c>
      <c r="I681" s="866">
        <f t="shared" si="32"/>
        <v>100</v>
      </c>
    </row>
    <row r="682" spans="1:20" ht="16.5" thickTop="1" thickBot="1" x14ac:dyDescent="0.3">
      <c r="A682" s="2685" t="s">
        <v>1162</v>
      </c>
      <c r="B682" s="2686"/>
      <c r="C682" s="2686"/>
      <c r="D682" s="2686"/>
      <c r="E682" s="2686"/>
      <c r="F682" s="862">
        <f>F672</f>
        <v>4481</v>
      </c>
      <c r="G682" s="862">
        <f>G672+G676+G680</f>
        <v>22805</v>
      </c>
      <c r="H682" s="862">
        <f>H672+H676+H680</f>
        <v>22805</v>
      </c>
      <c r="I682" s="863">
        <f t="shared" si="32"/>
        <v>100</v>
      </c>
      <c r="R682" s="383">
        <f>F682</f>
        <v>4481</v>
      </c>
      <c r="S682" s="383">
        <f>G682</f>
        <v>22805</v>
      </c>
      <c r="T682" s="383">
        <f>H682</f>
        <v>22805</v>
      </c>
    </row>
    <row r="683" spans="1:20" ht="15" customHeight="1" thickTop="1" x14ac:dyDescent="0.25">
      <c r="A683" s="369"/>
      <c r="B683" s="369"/>
      <c r="C683" s="369"/>
      <c r="D683" s="369"/>
      <c r="E683" s="369"/>
      <c r="F683" s="181"/>
      <c r="G683" s="181"/>
      <c r="H683" s="181"/>
      <c r="I683" s="210"/>
      <c r="R683" s="383"/>
      <c r="S683" s="383"/>
      <c r="T683" s="383"/>
    </row>
    <row r="684" spans="1:20" ht="15" customHeight="1" x14ac:dyDescent="0.25">
      <c r="A684" s="369"/>
      <c r="B684" s="369"/>
      <c r="C684" s="369"/>
      <c r="D684" s="369"/>
      <c r="E684" s="369"/>
      <c r="F684" s="181"/>
      <c r="G684" s="181"/>
      <c r="H684" s="181"/>
      <c r="I684" s="210"/>
      <c r="R684" s="383"/>
      <c r="S684" s="383"/>
      <c r="T684" s="383"/>
    </row>
    <row r="685" spans="1:20" ht="15" customHeight="1" x14ac:dyDescent="0.25">
      <c r="A685" s="369"/>
      <c r="B685" s="369"/>
      <c r="C685" s="369"/>
      <c r="D685" s="369"/>
      <c r="E685" s="369"/>
      <c r="F685" s="181"/>
      <c r="G685" s="181"/>
      <c r="H685" s="181"/>
      <c r="I685" s="210"/>
      <c r="R685" s="383"/>
      <c r="S685" s="383"/>
      <c r="T685" s="383"/>
    </row>
    <row r="686" spans="1:20" ht="15" customHeight="1" x14ac:dyDescent="0.25">
      <c r="A686" s="369"/>
      <c r="B686" s="369"/>
      <c r="C686" s="369"/>
      <c r="D686" s="369"/>
      <c r="E686" s="369"/>
      <c r="F686" s="181"/>
      <c r="G686" s="181"/>
      <c r="H686" s="181"/>
      <c r="I686" s="210"/>
      <c r="R686" s="383"/>
      <c r="S686" s="383"/>
      <c r="T686" s="383"/>
    </row>
    <row r="687" spans="1:20" ht="15" customHeight="1" x14ac:dyDescent="0.25">
      <c r="A687" s="369"/>
      <c r="B687" s="369"/>
      <c r="C687" s="369"/>
      <c r="D687" s="369"/>
      <c r="E687" s="369"/>
      <c r="F687" s="181"/>
      <c r="G687" s="181"/>
      <c r="H687" s="181"/>
      <c r="I687" s="210"/>
      <c r="R687" s="383"/>
      <c r="S687" s="383"/>
      <c r="T687" s="383"/>
    </row>
    <row r="688" spans="1:20" ht="15" customHeight="1" x14ac:dyDescent="0.25">
      <c r="A688" s="369"/>
      <c r="B688" s="369"/>
      <c r="C688" s="369"/>
      <c r="D688" s="369"/>
      <c r="E688" s="369"/>
      <c r="F688" s="181"/>
      <c r="G688" s="181"/>
      <c r="H688" s="181"/>
      <c r="I688" s="210"/>
      <c r="R688" s="383"/>
      <c r="S688" s="383"/>
      <c r="T688" s="383"/>
    </row>
    <row r="689" spans="1:20" ht="15" customHeight="1" x14ac:dyDescent="0.25">
      <c r="A689" s="369"/>
      <c r="B689" s="369"/>
      <c r="C689" s="369"/>
      <c r="D689" s="369"/>
      <c r="E689" s="369"/>
      <c r="F689" s="181"/>
      <c r="G689" s="181"/>
      <c r="H689" s="181"/>
      <c r="I689" s="210"/>
      <c r="R689" s="383"/>
      <c r="S689" s="383"/>
      <c r="T689" s="383"/>
    </row>
    <row r="690" spans="1:20" ht="15" customHeight="1" x14ac:dyDescent="0.25">
      <c r="A690" s="369"/>
      <c r="B690" s="369"/>
      <c r="C690" s="369"/>
      <c r="D690" s="369"/>
      <c r="E690" s="369"/>
      <c r="F690" s="181"/>
      <c r="G690" s="181"/>
      <c r="H690" s="181"/>
      <c r="I690" s="210"/>
      <c r="R690" s="383"/>
      <c r="S690" s="383"/>
      <c r="T690" s="383"/>
    </row>
    <row r="691" spans="1:20" ht="15" customHeight="1" x14ac:dyDescent="0.25">
      <c r="A691" s="369"/>
      <c r="B691" s="369"/>
      <c r="C691" s="369"/>
      <c r="D691" s="369"/>
      <c r="E691" s="369"/>
      <c r="F691" s="181"/>
      <c r="G691" s="181"/>
      <c r="H691" s="181"/>
      <c r="I691" s="210"/>
      <c r="R691" s="383"/>
      <c r="S691" s="383"/>
      <c r="T691" s="383"/>
    </row>
    <row r="692" spans="1:20" ht="13.5" thickBot="1" x14ac:dyDescent="0.25">
      <c r="A692" s="433" t="s">
        <v>349</v>
      </c>
      <c r="I692" s="1465" t="s">
        <v>173</v>
      </c>
    </row>
    <row r="693" spans="1:20" s="107" customFormat="1" thickTop="1" thickBot="1" x14ac:dyDescent="0.25">
      <c r="A693" s="633" t="s">
        <v>661</v>
      </c>
      <c r="B693" s="810" t="s">
        <v>174</v>
      </c>
      <c r="C693" s="634" t="s">
        <v>175</v>
      </c>
      <c r="D693" s="636" t="s">
        <v>744</v>
      </c>
      <c r="E693" s="636" t="s">
        <v>176</v>
      </c>
      <c r="F693" s="636" t="s">
        <v>177</v>
      </c>
      <c r="G693" s="636" t="s">
        <v>922</v>
      </c>
      <c r="H693" s="636" t="s">
        <v>923</v>
      </c>
      <c r="I693" s="856" t="s">
        <v>924</v>
      </c>
    </row>
    <row r="694" spans="1:20" s="384" customFormat="1" ht="13.5" customHeight="1" thickTop="1" thickBot="1" x14ac:dyDescent="0.25">
      <c r="A694" s="568">
        <v>1</v>
      </c>
      <c r="B694" s="569">
        <v>2</v>
      </c>
      <c r="C694" s="569">
        <v>3</v>
      </c>
      <c r="D694" s="569">
        <v>4</v>
      </c>
      <c r="E694" s="569">
        <v>5</v>
      </c>
      <c r="F694" s="543">
        <v>6</v>
      </c>
      <c r="G694" s="543">
        <v>7</v>
      </c>
      <c r="H694" s="544">
        <v>8</v>
      </c>
      <c r="I694" s="638" t="s">
        <v>801</v>
      </c>
    </row>
    <row r="695" spans="1:20" ht="13.5" customHeight="1" thickTop="1" x14ac:dyDescent="0.25">
      <c r="A695" s="1466">
        <v>1105</v>
      </c>
      <c r="B695" s="811">
        <v>3121</v>
      </c>
      <c r="C695" s="811">
        <v>5331</v>
      </c>
      <c r="D695" s="877"/>
      <c r="E695" s="898" t="s">
        <v>996</v>
      </c>
      <c r="F695" s="899">
        <f>F696+F697+F698</f>
        <v>2508</v>
      </c>
      <c r="G695" s="899">
        <f>G696+G697+G698</f>
        <v>2577</v>
      </c>
      <c r="H695" s="899">
        <f>H696+H697+H698</f>
        <v>2577</v>
      </c>
      <c r="I695" s="864">
        <f t="shared" ref="I695:I703" si="33">(H695/G695)*100</f>
        <v>100</v>
      </c>
    </row>
    <row r="696" spans="1:20" ht="13.5" customHeight="1" x14ac:dyDescent="0.2">
      <c r="A696" s="432"/>
      <c r="B696" s="681"/>
      <c r="C696" s="681"/>
      <c r="D696" s="719" t="s">
        <v>611</v>
      </c>
      <c r="E696" s="1569" t="s">
        <v>833</v>
      </c>
      <c r="F696" s="865">
        <v>801</v>
      </c>
      <c r="G696" s="865">
        <v>780</v>
      </c>
      <c r="H696" s="865">
        <v>780</v>
      </c>
      <c r="I696" s="861">
        <f t="shared" si="33"/>
        <v>100</v>
      </c>
    </row>
    <row r="697" spans="1:20" ht="13.5" customHeight="1" x14ac:dyDescent="0.2">
      <c r="A697" s="432"/>
      <c r="B697" s="681"/>
      <c r="C697" s="681"/>
      <c r="D697" s="554" t="s">
        <v>606</v>
      </c>
      <c r="E697" s="456" t="s">
        <v>72</v>
      </c>
      <c r="F697" s="865">
        <v>1707</v>
      </c>
      <c r="G697" s="865">
        <v>1707</v>
      </c>
      <c r="H697" s="865">
        <v>1707</v>
      </c>
      <c r="I697" s="861">
        <f t="shared" si="33"/>
        <v>100</v>
      </c>
    </row>
    <row r="698" spans="1:20" ht="13.5" customHeight="1" x14ac:dyDescent="0.2">
      <c r="A698" s="432"/>
      <c r="B698" s="681"/>
      <c r="C698" s="681"/>
      <c r="D698" s="1119" t="s">
        <v>1604</v>
      </c>
      <c r="E698" s="2273" t="s">
        <v>1719</v>
      </c>
      <c r="F698" s="865"/>
      <c r="G698" s="865">
        <v>90</v>
      </c>
      <c r="H698" s="865">
        <v>90</v>
      </c>
      <c r="I698" s="861">
        <f t="shared" si="33"/>
        <v>100</v>
      </c>
    </row>
    <row r="699" spans="1:20" ht="15" x14ac:dyDescent="0.25">
      <c r="A699" s="432">
        <v>1105</v>
      </c>
      <c r="B699" s="783">
        <v>3121</v>
      </c>
      <c r="C699" s="783">
        <v>5336</v>
      </c>
      <c r="D699" s="570"/>
      <c r="E699" s="1479" t="s">
        <v>1269</v>
      </c>
      <c r="F699" s="884"/>
      <c r="G699" s="884">
        <f>G700+G701+G702</f>
        <v>13581</v>
      </c>
      <c r="H699" s="884">
        <f>H700+H701+H702</f>
        <v>13581</v>
      </c>
      <c r="I699" s="876">
        <f t="shared" si="33"/>
        <v>100</v>
      </c>
    </row>
    <row r="700" spans="1:20" ht="20.25" customHeight="1" x14ac:dyDescent="0.2">
      <c r="A700" s="432"/>
      <c r="B700" s="681"/>
      <c r="C700" s="681"/>
      <c r="D700" s="554" t="s">
        <v>1182</v>
      </c>
      <c r="E700" s="456" t="s">
        <v>832</v>
      </c>
      <c r="F700" s="865"/>
      <c r="G700" s="865">
        <v>13086</v>
      </c>
      <c r="H700" s="865">
        <v>13086</v>
      </c>
      <c r="I700" s="861">
        <f t="shared" si="33"/>
        <v>100</v>
      </c>
    </row>
    <row r="701" spans="1:20" ht="14.25" x14ac:dyDescent="0.2">
      <c r="A701" s="432"/>
      <c r="B701" s="783"/>
      <c r="C701" s="783"/>
      <c r="D701" s="1481" t="s">
        <v>1608</v>
      </c>
      <c r="E701" s="1476" t="s">
        <v>1717</v>
      </c>
      <c r="F701" s="871"/>
      <c r="G701" s="871">
        <v>74</v>
      </c>
      <c r="H701" s="871">
        <v>74</v>
      </c>
      <c r="I701" s="866">
        <f t="shared" si="33"/>
        <v>100</v>
      </c>
    </row>
    <row r="702" spans="1:20" ht="15" thickBot="1" x14ac:dyDescent="0.25">
      <c r="A702" s="432"/>
      <c r="B702" s="783"/>
      <c r="C702" s="783"/>
      <c r="D702" s="1481" t="s">
        <v>1610</v>
      </c>
      <c r="E702" s="1476" t="s">
        <v>1717</v>
      </c>
      <c r="F702" s="871"/>
      <c r="G702" s="871">
        <v>421</v>
      </c>
      <c r="H702" s="871">
        <v>421</v>
      </c>
      <c r="I702" s="866">
        <f t="shared" si="33"/>
        <v>100</v>
      </c>
    </row>
    <row r="703" spans="1:20" ht="16.5" thickTop="1" thickBot="1" x14ac:dyDescent="0.3">
      <c r="A703" s="2685" t="s">
        <v>1162</v>
      </c>
      <c r="B703" s="2686"/>
      <c r="C703" s="2686"/>
      <c r="D703" s="2686"/>
      <c r="E703" s="2686"/>
      <c r="F703" s="862">
        <f>F695</f>
        <v>2508</v>
      </c>
      <c r="G703" s="862">
        <f>G695+G699</f>
        <v>16158</v>
      </c>
      <c r="H703" s="862">
        <f>H695+H699</f>
        <v>16158</v>
      </c>
      <c r="I703" s="863">
        <f t="shared" si="33"/>
        <v>100</v>
      </c>
      <c r="R703" s="383">
        <f>F703</f>
        <v>2508</v>
      </c>
      <c r="S703" s="383">
        <f>G703</f>
        <v>16158</v>
      </c>
      <c r="T703" s="383">
        <f>H703</f>
        <v>16158</v>
      </c>
    </row>
    <row r="704" spans="1:20" ht="13.5" thickTop="1" x14ac:dyDescent="0.2"/>
    <row r="705" spans="1:22" ht="13.5" thickBot="1" x14ac:dyDescent="0.25">
      <c r="A705" s="433" t="s">
        <v>350</v>
      </c>
      <c r="I705" s="1465" t="s">
        <v>173</v>
      </c>
    </row>
    <row r="706" spans="1:22" s="107" customFormat="1" ht="18" customHeight="1" thickTop="1" thickBot="1" x14ac:dyDescent="0.25">
      <c r="A706" s="633" t="s">
        <v>661</v>
      </c>
      <c r="B706" s="810" t="s">
        <v>174</v>
      </c>
      <c r="C706" s="634" t="s">
        <v>175</v>
      </c>
      <c r="D706" s="636" t="s">
        <v>744</v>
      </c>
      <c r="E706" s="636" t="s">
        <v>176</v>
      </c>
      <c r="F706" s="636" t="s">
        <v>177</v>
      </c>
      <c r="G706" s="636" t="s">
        <v>922</v>
      </c>
      <c r="H706" s="636" t="s">
        <v>923</v>
      </c>
      <c r="I706" s="856" t="s">
        <v>924</v>
      </c>
    </row>
    <row r="707" spans="1:22" s="384" customFormat="1" ht="13.5" thickTop="1" thickBot="1" x14ac:dyDescent="0.25">
      <c r="A707" s="568">
        <v>1</v>
      </c>
      <c r="B707" s="569">
        <v>2</v>
      </c>
      <c r="C707" s="569">
        <v>3</v>
      </c>
      <c r="D707" s="569">
        <v>4</v>
      </c>
      <c r="E707" s="569">
        <v>5</v>
      </c>
      <c r="F707" s="543">
        <v>6</v>
      </c>
      <c r="G707" s="543">
        <v>7</v>
      </c>
      <c r="H707" s="544">
        <v>8</v>
      </c>
      <c r="I707" s="638" t="s">
        <v>801</v>
      </c>
    </row>
    <row r="708" spans="1:22" ht="15.75" thickTop="1" x14ac:dyDescent="0.25">
      <c r="A708" s="1466">
        <v>1106</v>
      </c>
      <c r="B708" s="811">
        <v>3121</v>
      </c>
      <c r="C708" s="811">
        <v>5331</v>
      </c>
      <c r="D708" s="877"/>
      <c r="E708" s="898" t="s">
        <v>996</v>
      </c>
      <c r="F708" s="899">
        <f>SUM(F709:F713)</f>
        <v>4282</v>
      </c>
      <c r="G708" s="899">
        <f>G709+G710+G711</f>
        <v>4399</v>
      </c>
      <c r="H708" s="899">
        <f>H709+H710+H711</f>
        <v>4399</v>
      </c>
      <c r="I708" s="864">
        <f t="shared" ref="I708:I718" si="34">(H708/G708)*100</f>
        <v>100</v>
      </c>
    </row>
    <row r="709" spans="1:22" ht="14.25" x14ac:dyDescent="0.2">
      <c r="A709" s="432"/>
      <c r="B709" s="681"/>
      <c r="C709" s="681"/>
      <c r="D709" s="719" t="s">
        <v>611</v>
      </c>
      <c r="E709" s="1569" t="s">
        <v>833</v>
      </c>
      <c r="F709" s="865">
        <v>902</v>
      </c>
      <c r="G709" s="865">
        <v>948</v>
      </c>
      <c r="H709" s="865">
        <v>948</v>
      </c>
      <c r="I709" s="861">
        <f t="shared" si="34"/>
        <v>100</v>
      </c>
    </row>
    <row r="710" spans="1:22" ht="14.25" x14ac:dyDescent="0.2">
      <c r="A710" s="432"/>
      <c r="B710" s="681"/>
      <c r="C710" s="681"/>
      <c r="D710" s="554" t="s">
        <v>606</v>
      </c>
      <c r="E710" s="456" t="s">
        <v>72</v>
      </c>
      <c r="F710" s="865">
        <v>3380</v>
      </c>
      <c r="G710" s="865">
        <v>3380</v>
      </c>
      <c r="H710" s="865">
        <v>3380</v>
      </c>
      <c r="I710" s="861">
        <f t="shared" si="34"/>
        <v>100</v>
      </c>
    </row>
    <row r="711" spans="1:22" ht="14.25" x14ac:dyDescent="0.2">
      <c r="A711" s="432"/>
      <c r="B711" s="681"/>
      <c r="C711" s="681"/>
      <c r="D711" s="1119" t="s">
        <v>1604</v>
      </c>
      <c r="E711" s="2273" t="s">
        <v>1719</v>
      </c>
      <c r="F711" s="865"/>
      <c r="G711" s="865">
        <v>71</v>
      </c>
      <c r="H711" s="865">
        <v>71</v>
      </c>
      <c r="I711" s="861">
        <f t="shared" si="34"/>
        <v>100</v>
      </c>
    </row>
    <row r="712" spans="1:22" ht="20.25" customHeight="1" x14ac:dyDescent="0.25">
      <c r="A712" s="432">
        <v>1106</v>
      </c>
      <c r="B712" s="783">
        <v>3121</v>
      </c>
      <c r="C712" s="783">
        <v>5336</v>
      </c>
      <c r="D712" s="570"/>
      <c r="E712" s="1479" t="s">
        <v>1269</v>
      </c>
      <c r="F712" s="884"/>
      <c r="G712" s="884">
        <f>G713+G714+G715</f>
        <v>30433</v>
      </c>
      <c r="H712" s="884">
        <f>H713+H714+H715</f>
        <v>30433</v>
      </c>
      <c r="I712" s="876">
        <f t="shared" si="34"/>
        <v>100</v>
      </c>
    </row>
    <row r="713" spans="1:22" ht="14.25" x14ac:dyDescent="0.2">
      <c r="A713" s="432"/>
      <c r="B713" s="681"/>
      <c r="C713" s="681"/>
      <c r="D713" s="554" t="s">
        <v>1182</v>
      </c>
      <c r="E713" s="456" t="s">
        <v>832</v>
      </c>
      <c r="F713" s="865"/>
      <c r="G713" s="865">
        <v>29624</v>
      </c>
      <c r="H713" s="865">
        <v>29624</v>
      </c>
      <c r="I713" s="861">
        <f t="shared" si="34"/>
        <v>100</v>
      </c>
    </row>
    <row r="714" spans="1:22" ht="14.25" x14ac:dyDescent="0.2">
      <c r="A714" s="432"/>
      <c r="B714" s="783"/>
      <c r="C714" s="783"/>
      <c r="D714" s="1481" t="s">
        <v>1608</v>
      </c>
      <c r="E714" s="1476" t="s">
        <v>1717</v>
      </c>
      <c r="F714" s="871"/>
      <c r="G714" s="871">
        <v>121</v>
      </c>
      <c r="H714" s="871">
        <v>121</v>
      </c>
      <c r="I714" s="866">
        <f t="shared" si="34"/>
        <v>100</v>
      </c>
    </row>
    <row r="715" spans="1:22" ht="14.25" x14ac:dyDescent="0.2">
      <c r="A715" s="432"/>
      <c r="B715" s="783"/>
      <c r="C715" s="783"/>
      <c r="D715" s="1481" t="s">
        <v>1610</v>
      </c>
      <c r="E715" s="1476" t="s">
        <v>1717</v>
      </c>
      <c r="F715" s="871"/>
      <c r="G715" s="871">
        <v>688</v>
      </c>
      <c r="H715" s="871">
        <v>688</v>
      </c>
      <c r="I715" s="866">
        <f t="shared" si="34"/>
        <v>100</v>
      </c>
    </row>
    <row r="716" spans="1:22" ht="15" x14ac:dyDescent="0.25">
      <c r="A716" s="432">
        <v>1106</v>
      </c>
      <c r="B716" s="783">
        <v>3143</v>
      </c>
      <c r="C716" s="783">
        <v>5336</v>
      </c>
      <c r="D716" s="880"/>
      <c r="E716" s="1479" t="s">
        <v>1269</v>
      </c>
      <c r="F716" s="873"/>
      <c r="G716" s="873">
        <v>330</v>
      </c>
      <c r="H716" s="873">
        <v>330</v>
      </c>
      <c r="I716" s="874">
        <f t="shared" si="34"/>
        <v>100</v>
      </c>
    </row>
    <row r="717" spans="1:22" ht="15" thickBot="1" x14ac:dyDescent="0.25">
      <c r="A717" s="432"/>
      <c r="B717" s="783"/>
      <c r="C717" s="783"/>
      <c r="D717" s="554" t="s">
        <v>1182</v>
      </c>
      <c r="E717" s="456" t="s">
        <v>832</v>
      </c>
      <c r="F717" s="871"/>
      <c r="G717" s="871">
        <v>330</v>
      </c>
      <c r="H717" s="871">
        <v>330</v>
      </c>
      <c r="I717" s="866">
        <f t="shared" si="34"/>
        <v>100</v>
      </c>
    </row>
    <row r="718" spans="1:22" ht="16.5" thickTop="1" thickBot="1" x14ac:dyDescent="0.3">
      <c r="A718" s="2685" t="s">
        <v>1162</v>
      </c>
      <c r="B718" s="2686"/>
      <c r="C718" s="2686"/>
      <c r="D718" s="2686"/>
      <c r="E718" s="2686"/>
      <c r="F718" s="862">
        <f>SUM(F708,F716)</f>
        <v>4282</v>
      </c>
      <c r="G718" s="862">
        <f>SUM(G708,G716,G712)</f>
        <v>35162</v>
      </c>
      <c r="H718" s="862">
        <f>SUM(H708,H716,H712)</f>
        <v>35162</v>
      </c>
      <c r="I718" s="863">
        <f t="shared" si="34"/>
        <v>100</v>
      </c>
      <c r="Q718" s="1472"/>
      <c r="R718" s="936">
        <f>F718</f>
        <v>4282</v>
      </c>
      <c r="S718" s="936">
        <f>G718</f>
        <v>35162</v>
      </c>
      <c r="T718" s="936">
        <f>H718</f>
        <v>35162</v>
      </c>
      <c r="U718" s="1472"/>
      <c r="V718" s="1472"/>
    </row>
    <row r="719" spans="1:22" ht="15.75" thickTop="1" x14ac:dyDescent="0.25">
      <c r="A719" s="432">
        <v>1106</v>
      </c>
      <c r="B719" s="681">
        <v>3121</v>
      </c>
      <c r="C719" s="681">
        <v>6351</v>
      </c>
      <c r="D719" s="857"/>
      <c r="E719" s="626" t="s">
        <v>1231</v>
      </c>
      <c r="F719" s="858">
        <v>0</v>
      </c>
      <c r="G719" s="858">
        <v>680</v>
      </c>
      <c r="H719" s="858">
        <v>680</v>
      </c>
      <c r="I719" s="859">
        <f>(H719/G719)*100</f>
        <v>100</v>
      </c>
    </row>
    <row r="720" spans="1:22" ht="15.75" thickBot="1" x14ac:dyDescent="0.3">
      <c r="A720" s="432"/>
      <c r="B720" s="681"/>
      <c r="C720" s="681"/>
      <c r="D720" s="1369" t="s">
        <v>1243</v>
      </c>
      <c r="E720" s="1371" t="s">
        <v>1528</v>
      </c>
      <c r="F720" s="858"/>
      <c r="G720" s="357">
        <v>680</v>
      </c>
      <c r="H720" s="357">
        <v>680</v>
      </c>
      <c r="I720" s="1370">
        <v>100</v>
      </c>
    </row>
    <row r="721" spans="1:23" ht="16.5" thickTop="1" thickBot="1" x14ac:dyDescent="0.3">
      <c r="A721" s="2685" t="s">
        <v>1163</v>
      </c>
      <c r="B721" s="2686"/>
      <c r="C721" s="2686"/>
      <c r="D721" s="2686"/>
      <c r="E721" s="2686"/>
      <c r="F721" s="862">
        <f>F719</f>
        <v>0</v>
      </c>
      <c r="G721" s="862">
        <f>G719</f>
        <v>680</v>
      </c>
      <c r="H721" s="862">
        <f>H719</f>
        <v>680</v>
      </c>
      <c r="I721" s="863">
        <f>(H721/G721)*100</f>
        <v>100</v>
      </c>
      <c r="R721" s="383"/>
      <c r="S721" s="383"/>
      <c r="T721" s="383"/>
      <c r="U721" s="383">
        <f>F721</f>
        <v>0</v>
      </c>
      <c r="V721" s="383">
        <f>G721</f>
        <v>680</v>
      </c>
      <c r="W721" s="383">
        <f>H721</f>
        <v>680</v>
      </c>
    </row>
    <row r="722" spans="1:23" ht="18" customHeight="1" thickTop="1" x14ac:dyDescent="0.25">
      <c r="A722" s="369"/>
      <c r="B722" s="369"/>
      <c r="C722" s="369"/>
      <c r="D722" s="369"/>
      <c r="E722" s="369"/>
      <c r="F722" s="181"/>
      <c r="G722" s="181"/>
      <c r="H722" s="181"/>
      <c r="I722" s="210"/>
      <c r="Q722" s="1472"/>
      <c r="R722" s="936"/>
      <c r="S722" s="936"/>
      <c r="T722" s="936"/>
      <c r="U722" s="1472"/>
      <c r="V722" s="1472"/>
    </row>
    <row r="723" spans="1:23" ht="18" customHeight="1" x14ac:dyDescent="0.25">
      <c r="A723" s="369"/>
      <c r="B723" s="369"/>
      <c r="C723" s="369"/>
      <c r="D723" s="369"/>
      <c r="E723" s="369"/>
      <c r="F723" s="181"/>
      <c r="G723" s="181"/>
      <c r="H723" s="181"/>
      <c r="I723" s="210"/>
      <c r="Q723" s="1472"/>
      <c r="R723" s="936"/>
      <c r="S723" s="936"/>
      <c r="T723" s="936"/>
      <c r="U723" s="1472"/>
      <c r="V723" s="1472"/>
    </row>
    <row r="724" spans="1:23" ht="18" customHeight="1" x14ac:dyDescent="0.25">
      <c r="A724" s="369"/>
      <c r="B724" s="369"/>
      <c r="C724" s="369"/>
      <c r="D724" s="369"/>
      <c r="E724" s="369"/>
      <c r="F724" s="181"/>
      <c r="G724" s="181"/>
      <c r="H724" s="181"/>
      <c r="I724" s="210"/>
      <c r="Q724" s="1472"/>
      <c r="R724" s="936"/>
      <c r="S724" s="936"/>
      <c r="T724" s="936"/>
      <c r="U724" s="1472"/>
      <c r="V724" s="1472"/>
    </row>
    <row r="725" spans="1:23" ht="13.5" thickBot="1" x14ac:dyDescent="0.25">
      <c r="A725" s="433" t="s">
        <v>351</v>
      </c>
      <c r="I725" s="1465" t="s">
        <v>173</v>
      </c>
    </row>
    <row r="726" spans="1:23" s="107" customFormat="1" thickTop="1" thickBot="1" x14ac:dyDescent="0.25">
      <c r="A726" s="633" t="s">
        <v>661</v>
      </c>
      <c r="B726" s="810" t="s">
        <v>174</v>
      </c>
      <c r="C726" s="634" t="s">
        <v>175</v>
      </c>
      <c r="D726" s="636" t="s">
        <v>744</v>
      </c>
      <c r="E726" s="636" t="s">
        <v>176</v>
      </c>
      <c r="F726" s="636" t="s">
        <v>177</v>
      </c>
      <c r="G726" s="636" t="s">
        <v>922</v>
      </c>
      <c r="H726" s="636" t="s">
        <v>923</v>
      </c>
      <c r="I726" s="856" t="s">
        <v>924</v>
      </c>
    </row>
    <row r="727" spans="1:23" s="107" customFormat="1" thickTop="1" thickBot="1" x14ac:dyDescent="0.25">
      <c r="A727" s="690"/>
      <c r="B727" s="693"/>
      <c r="C727" s="691"/>
      <c r="D727" s="694"/>
      <c r="E727" s="694"/>
      <c r="F727" s="694"/>
      <c r="G727" s="694"/>
      <c r="H727" s="694"/>
      <c r="I727" s="695"/>
    </row>
    <row r="728" spans="1:23" ht="15.75" thickTop="1" x14ac:dyDescent="0.25">
      <c r="A728" s="1466">
        <v>1108</v>
      </c>
      <c r="B728" s="811">
        <v>3121</v>
      </c>
      <c r="C728" s="811">
        <v>5331</v>
      </c>
      <c r="D728" s="877"/>
      <c r="E728" s="898" t="s">
        <v>996</v>
      </c>
      <c r="F728" s="899">
        <f>SUM(F729:F731)</f>
        <v>4816</v>
      </c>
      <c r="G728" s="899">
        <f>G729+G730+G731</f>
        <v>5040</v>
      </c>
      <c r="H728" s="899">
        <f>SUM(H729:H731)</f>
        <v>5040</v>
      </c>
      <c r="I728" s="864">
        <f t="shared" ref="I728:I737" si="35">(H728/G728)*100</f>
        <v>100</v>
      </c>
    </row>
    <row r="729" spans="1:23" ht="14.25" x14ac:dyDescent="0.2">
      <c r="A729" s="432"/>
      <c r="B729" s="681"/>
      <c r="C729" s="681"/>
      <c r="D729" s="719" t="s">
        <v>611</v>
      </c>
      <c r="E729" s="1569" t="s">
        <v>833</v>
      </c>
      <c r="F729" s="865">
        <v>460</v>
      </c>
      <c r="G729" s="865">
        <v>517</v>
      </c>
      <c r="H729" s="865">
        <v>517</v>
      </c>
      <c r="I729" s="861">
        <f t="shared" si="35"/>
        <v>100</v>
      </c>
    </row>
    <row r="730" spans="1:23" ht="14.25" x14ac:dyDescent="0.2">
      <c r="A730" s="432"/>
      <c r="B730" s="681"/>
      <c r="C730" s="681"/>
      <c r="D730" s="554" t="s">
        <v>606</v>
      </c>
      <c r="E730" s="456" t="s">
        <v>72</v>
      </c>
      <c r="F730" s="865">
        <v>4356</v>
      </c>
      <c r="G730" s="865">
        <v>4356</v>
      </c>
      <c r="H730" s="865">
        <v>4356</v>
      </c>
      <c r="I730" s="861">
        <f t="shared" si="35"/>
        <v>100</v>
      </c>
    </row>
    <row r="731" spans="1:23" ht="14.25" x14ac:dyDescent="0.2">
      <c r="A731" s="432"/>
      <c r="B731" s="681"/>
      <c r="C731" s="681"/>
      <c r="D731" s="1119" t="s">
        <v>1604</v>
      </c>
      <c r="E731" s="2273" t="s">
        <v>1719</v>
      </c>
      <c r="F731" s="865"/>
      <c r="G731" s="865">
        <v>167</v>
      </c>
      <c r="H731" s="865">
        <v>167</v>
      </c>
      <c r="I731" s="861">
        <f t="shared" si="35"/>
        <v>100</v>
      </c>
    </row>
    <row r="732" spans="1:23" ht="15" x14ac:dyDescent="0.25">
      <c r="A732" s="432">
        <v>1108</v>
      </c>
      <c r="B732" s="783">
        <v>3121</v>
      </c>
      <c r="C732" s="783">
        <v>5336</v>
      </c>
      <c r="D732" s="1360"/>
      <c r="E732" s="1479" t="s">
        <v>1269</v>
      </c>
      <c r="F732" s="884"/>
      <c r="G732" s="884">
        <f>G733+G734+G735+G736+G737</f>
        <v>33276</v>
      </c>
      <c r="H732" s="884">
        <f>H733+H734+H735+H736+H737</f>
        <v>33276</v>
      </c>
      <c r="I732" s="874">
        <f t="shared" si="35"/>
        <v>100</v>
      </c>
    </row>
    <row r="733" spans="1:23" ht="14.25" x14ac:dyDescent="0.2">
      <c r="A733" s="432"/>
      <c r="B733" s="681"/>
      <c r="C733" s="681"/>
      <c r="D733" s="554" t="s">
        <v>1182</v>
      </c>
      <c r="E733" s="456" t="s">
        <v>832</v>
      </c>
      <c r="F733" s="865"/>
      <c r="G733" s="865">
        <v>29931</v>
      </c>
      <c r="H733" s="865">
        <v>29931</v>
      </c>
      <c r="I733" s="861">
        <f t="shared" si="35"/>
        <v>100</v>
      </c>
    </row>
    <row r="734" spans="1:23" ht="14.25" x14ac:dyDescent="0.2">
      <c r="A734" s="432"/>
      <c r="B734" s="783"/>
      <c r="C734" s="783"/>
      <c r="D734" s="1481" t="s">
        <v>733</v>
      </c>
      <c r="E734" s="1482" t="s">
        <v>1271</v>
      </c>
      <c r="F734" s="871"/>
      <c r="G734" s="871">
        <v>379</v>
      </c>
      <c r="H734" s="871">
        <v>379</v>
      </c>
      <c r="I734" s="866">
        <f t="shared" si="35"/>
        <v>100</v>
      </c>
    </row>
    <row r="735" spans="1:23" ht="14.25" x14ac:dyDescent="0.2">
      <c r="A735" s="432"/>
      <c r="B735" s="783"/>
      <c r="C735" s="783"/>
      <c r="D735" s="1481" t="s">
        <v>734</v>
      </c>
      <c r="E735" s="1482" t="s">
        <v>1271</v>
      </c>
      <c r="F735" s="871"/>
      <c r="G735" s="871">
        <v>2146</v>
      </c>
      <c r="H735" s="871">
        <v>2146</v>
      </c>
      <c r="I735" s="866">
        <f t="shared" si="35"/>
        <v>100</v>
      </c>
    </row>
    <row r="736" spans="1:23" ht="14.25" x14ac:dyDescent="0.2">
      <c r="A736" s="432"/>
      <c r="B736" s="783"/>
      <c r="C736" s="783"/>
      <c r="D736" s="1481" t="s">
        <v>1608</v>
      </c>
      <c r="E736" s="1476" t="s">
        <v>1717</v>
      </c>
      <c r="F736" s="871"/>
      <c r="G736" s="871">
        <v>123</v>
      </c>
      <c r="H736" s="871">
        <v>123</v>
      </c>
      <c r="I736" s="866">
        <f t="shared" si="35"/>
        <v>100</v>
      </c>
    </row>
    <row r="737" spans="1:20" ht="14.25" x14ac:dyDescent="0.2">
      <c r="A737" s="432"/>
      <c r="B737" s="783"/>
      <c r="C737" s="783"/>
      <c r="D737" s="1481" t="s">
        <v>1610</v>
      </c>
      <c r="E737" s="1476" t="s">
        <v>1717</v>
      </c>
      <c r="F737" s="871"/>
      <c r="G737" s="871">
        <v>697</v>
      </c>
      <c r="H737" s="871">
        <v>697</v>
      </c>
      <c r="I737" s="866">
        <f t="shared" si="35"/>
        <v>100</v>
      </c>
    </row>
    <row r="738" spans="1:20" ht="15" x14ac:dyDescent="0.25">
      <c r="A738" s="432">
        <v>1108</v>
      </c>
      <c r="B738" s="783">
        <v>3142</v>
      </c>
      <c r="C738" s="1468">
        <v>5331</v>
      </c>
      <c r="D738" s="880"/>
      <c r="E738" s="680" t="s">
        <v>996</v>
      </c>
      <c r="F738" s="873">
        <f>F739</f>
        <v>975</v>
      </c>
      <c r="G738" s="873">
        <f>G739</f>
        <v>975</v>
      </c>
      <c r="H738" s="873">
        <f>H739</f>
        <v>975</v>
      </c>
      <c r="I738" s="874">
        <v>100</v>
      </c>
    </row>
    <row r="739" spans="1:20" ht="14.25" x14ac:dyDescent="0.2">
      <c r="A739" s="432"/>
      <c r="B739" s="783"/>
      <c r="C739" s="1468"/>
      <c r="D739" s="554" t="s">
        <v>606</v>
      </c>
      <c r="E739" s="456" t="s">
        <v>72</v>
      </c>
      <c r="F739" s="871">
        <v>975</v>
      </c>
      <c r="G739" s="871">
        <v>975</v>
      </c>
      <c r="H739" s="871">
        <v>975</v>
      </c>
      <c r="I739" s="866">
        <v>100</v>
      </c>
    </row>
    <row r="740" spans="1:20" ht="15" x14ac:dyDescent="0.25">
      <c r="A740" s="432">
        <v>1108</v>
      </c>
      <c r="B740" s="783">
        <v>3299</v>
      </c>
      <c r="C740" s="783">
        <v>5331</v>
      </c>
      <c r="D740" s="897"/>
      <c r="E740" s="680" t="s">
        <v>996</v>
      </c>
      <c r="F740" s="873"/>
      <c r="G740" s="873">
        <v>20</v>
      </c>
      <c r="H740" s="873">
        <v>20</v>
      </c>
      <c r="I740" s="874">
        <f>(H740/G740)*100</f>
        <v>100</v>
      </c>
    </row>
    <row r="741" spans="1:20" ht="15.75" thickBot="1" x14ac:dyDescent="0.3">
      <c r="A741" s="432"/>
      <c r="B741" s="783"/>
      <c r="C741" s="783"/>
      <c r="D741" s="1368" t="s">
        <v>390</v>
      </c>
      <c r="E741" s="461" t="s">
        <v>1175</v>
      </c>
      <c r="F741" s="873"/>
      <c r="G741" s="871">
        <v>20</v>
      </c>
      <c r="H741" s="871">
        <v>20</v>
      </c>
      <c r="I741" s="866">
        <f>(H741/G741)*100</f>
        <v>100</v>
      </c>
    </row>
    <row r="742" spans="1:20" ht="16.5" thickTop="1" thickBot="1" x14ac:dyDescent="0.3">
      <c r="A742" s="2685" t="s">
        <v>1162</v>
      </c>
      <c r="B742" s="2686"/>
      <c r="C742" s="2686"/>
      <c r="D742" s="2686"/>
      <c r="E742" s="2686"/>
      <c r="F742" s="862">
        <f>F728+F738</f>
        <v>5791</v>
      </c>
      <c r="G742" s="862">
        <f>G728+G732+G738+G740</f>
        <v>39311</v>
      </c>
      <c r="H742" s="862">
        <f>H728+H738+H740+H732</f>
        <v>39311</v>
      </c>
      <c r="I742" s="863">
        <f>(H742/G742)*100</f>
        <v>100</v>
      </c>
      <c r="R742" s="383">
        <f>F742</f>
        <v>5791</v>
      </c>
      <c r="S742" s="383">
        <f>G742</f>
        <v>39311</v>
      </c>
      <c r="T742" s="383">
        <f>H742</f>
        <v>39311</v>
      </c>
    </row>
    <row r="743" spans="1:20" ht="15.75" thickTop="1" x14ac:dyDescent="0.25">
      <c r="A743" s="369"/>
      <c r="B743" s="369"/>
      <c r="C743" s="369"/>
      <c r="D743" s="369"/>
      <c r="E743" s="369"/>
      <c r="F743" s="181"/>
      <c r="G743" s="181"/>
      <c r="H743" s="181"/>
      <c r="I743" s="210"/>
      <c r="R743" s="383"/>
      <c r="S743" s="383"/>
      <c r="T743" s="383"/>
    </row>
    <row r="744" spans="1:20" ht="13.5" thickBot="1" x14ac:dyDescent="0.25">
      <c r="A744" s="433" t="s">
        <v>1720</v>
      </c>
      <c r="I744" s="1465" t="s">
        <v>173</v>
      </c>
    </row>
    <row r="745" spans="1:20" s="107" customFormat="1" thickTop="1" thickBot="1" x14ac:dyDescent="0.25">
      <c r="A745" s="633" t="s">
        <v>661</v>
      </c>
      <c r="B745" s="810" t="s">
        <v>174</v>
      </c>
      <c r="C745" s="634" t="s">
        <v>175</v>
      </c>
      <c r="D745" s="636" t="s">
        <v>744</v>
      </c>
      <c r="E745" s="636" t="s">
        <v>176</v>
      </c>
      <c r="F745" s="636" t="s">
        <v>177</v>
      </c>
      <c r="G745" s="636" t="s">
        <v>922</v>
      </c>
      <c r="H745" s="636" t="s">
        <v>923</v>
      </c>
      <c r="I745" s="856" t="s">
        <v>924</v>
      </c>
    </row>
    <row r="746" spans="1:20" s="384" customFormat="1" ht="13.5" thickTop="1" thickBot="1" x14ac:dyDescent="0.25">
      <c r="A746" s="568">
        <v>1</v>
      </c>
      <c r="B746" s="569">
        <v>2</v>
      </c>
      <c r="C746" s="569">
        <v>3</v>
      </c>
      <c r="D746" s="569">
        <v>4</v>
      </c>
      <c r="E746" s="569">
        <v>5</v>
      </c>
      <c r="F746" s="543">
        <v>6</v>
      </c>
      <c r="G746" s="543">
        <v>7</v>
      </c>
      <c r="H746" s="544">
        <v>8</v>
      </c>
      <c r="I746" s="638" t="s">
        <v>801</v>
      </c>
    </row>
    <row r="747" spans="1:20" ht="15.75" thickTop="1" x14ac:dyDescent="0.25">
      <c r="A747" s="1466">
        <v>1109</v>
      </c>
      <c r="B747" s="811">
        <v>3121</v>
      </c>
      <c r="C747" s="811">
        <v>5331</v>
      </c>
      <c r="D747" s="877"/>
      <c r="E747" s="898" t="s">
        <v>996</v>
      </c>
      <c r="F747" s="899">
        <f>SUM(F748:F752)</f>
        <v>2547</v>
      </c>
      <c r="G747" s="899">
        <f>G748+G749+G750</f>
        <v>2604</v>
      </c>
      <c r="H747" s="899">
        <f>H748+H749+H750</f>
        <v>2604</v>
      </c>
      <c r="I747" s="864">
        <f t="shared" ref="I747:I757" si="36">(H747/G747)*100</f>
        <v>100</v>
      </c>
    </row>
    <row r="748" spans="1:20" ht="14.25" x14ac:dyDescent="0.2">
      <c r="A748" s="432"/>
      <c r="B748" s="681"/>
      <c r="C748" s="681"/>
      <c r="D748" s="719" t="s">
        <v>611</v>
      </c>
      <c r="E748" s="1569" t="s">
        <v>833</v>
      </c>
      <c r="F748" s="865">
        <v>802</v>
      </c>
      <c r="G748" s="865">
        <v>792</v>
      </c>
      <c r="H748" s="865">
        <v>792</v>
      </c>
      <c r="I748" s="861">
        <f t="shared" si="36"/>
        <v>100</v>
      </c>
    </row>
    <row r="749" spans="1:20" ht="14.25" x14ac:dyDescent="0.2">
      <c r="A749" s="432"/>
      <c r="B749" s="681"/>
      <c r="C749" s="681"/>
      <c r="D749" s="554" t="s">
        <v>606</v>
      </c>
      <c r="E749" s="456" t="s">
        <v>72</v>
      </c>
      <c r="F749" s="865">
        <v>1745</v>
      </c>
      <c r="G749" s="865">
        <v>1745</v>
      </c>
      <c r="H749" s="865">
        <v>1745</v>
      </c>
      <c r="I749" s="861">
        <f t="shared" si="36"/>
        <v>100</v>
      </c>
    </row>
    <row r="750" spans="1:20" ht="14.25" x14ac:dyDescent="0.2">
      <c r="A750" s="432"/>
      <c r="B750" s="681"/>
      <c r="C750" s="681"/>
      <c r="D750" s="1119" t="s">
        <v>1604</v>
      </c>
      <c r="E750" s="2273" t="s">
        <v>1719</v>
      </c>
      <c r="F750" s="865"/>
      <c r="G750" s="865">
        <v>67</v>
      </c>
      <c r="H750" s="865">
        <v>67</v>
      </c>
      <c r="I750" s="861">
        <f t="shared" si="36"/>
        <v>100</v>
      </c>
    </row>
    <row r="751" spans="1:20" ht="18" customHeight="1" x14ac:dyDescent="0.25">
      <c r="A751" s="432">
        <v>1109</v>
      </c>
      <c r="B751" s="783">
        <v>3121</v>
      </c>
      <c r="C751" s="783">
        <v>5336</v>
      </c>
      <c r="D751" s="1360"/>
      <c r="E751" s="1479" t="s">
        <v>1269</v>
      </c>
      <c r="F751" s="884"/>
      <c r="G751" s="884">
        <f>G752+G753+G754</f>
        <v>15321</v>
      </c>
      <c r="H751" s="884">
        <f>H752+H753+H754</f>
        <v>15321</v>
      </c>
      <c r="I751" s="874">
        <f>(H751/G751)*100</f>
        <v>100</v>
      </c>
    </row>
    <row r="752" spans="1:20" ht="18" customHeight="1" x14ac:dyDescent="0.2">
      <c r="A752" s="432"/>
      <c r="B752" s="681"/>
      <c r="C752" s="681"/>
      <c r="D752" s="554" t="s">
        <v>1182</v>
      </c>
      <c r="E752" s="456" t="s">
        <v>832</v>
      </c>
      <c r="F752" s="865"/>
      <c r="G752" s="865">
        <v>14784</v>
      </c>
      <c r="H752" s="865">
        <v>14784</v>
      </c>
      <c r="I752" s="861">
        <f t="shared" si="36"/>
        <v>100</v>
      </c>
    </row>
    <row r="753" spans="1:20" ht="18" customHeight="1" x14ac:dyDescent="0.2">
      <c r="A753" s="432"/>
      <c r="B753" s="783"/>
      <c r="C753" s="783"/>
      <c r="D753" s="1481" t="s">
        <v>1608</v>
      </c>
      <c r="E753" s="1476" t="s">
        <v>1717</v>
      </c>
      <c r="F753" s="871"/>
      <c r="G753" s="871">
        <v>81</v>
      </c>
      <c r="H753" s="871">
        <v>81</v>
      </c>
      <c r="I753" s="866">
        <f t="shared" si="36"/>
        <v>100</v>
      </c>
    </row>
    <row r="754" spans="1:20" ht="14.25" x14ac:dyDescent="0.2">
      <c r="A754" s="432"/>
      <c r="B754" s="783"/>
      <c r="C754" s="783"/>
      <c r="D754" s="1481" t="s">
        <v>1610</v>
      </c>
      <c r="E754" s="1476" t="s">
        <v>1717</v>
      </c>
      <c r="F754" s="871"/>
      <c r="G754" s="871">
        <v>456</v>
      </c>
      <c r="H754" s="871">
        <v>456</v>
      </c>
      <c r="I754" s="866">
        <f t="shared" si="36"/>
        <v>100</v>
      </c>
    </row>
    <row r="755" spans="1:20" ht="20.25" customHeight="1" x14ac:dyDescent="0.25">
      <c r="A755" s="432">
        <v>1109</v>
      </c>
      <c r="B755" s="783">
        <v>3142</v>
      </c>
      <c r="C755" s="783">
        <v>5331</v>
      </c>
      <c r="D755" s="897"/>
      <c r="E755" s="680" t="s">
        <v>996</v>
      </c>
      <c r="F755" s="873">
        <v>368</v>
      </c>
      <c r="G755" s="873">
        <v>368</v>
      </c>
      <c r="H755" s="873">
        <v>368</v>
      </c>
      <c r="I755" s="874">
        <f t="shared" si="36"/>
        <v>100</v>
      </c>
    </row>
    <row r="756" spans="1:20" ht="14.25" x14ac:dyDescent="0.2">
      <c r="A756" s="432"/>
      <c r="B756" s="783"/>
      <c r="C756" s="783"/>
      <c r="D756" s="554" t="s">
        <v>606</v>
      </c>
      <c r="E756" s="456" t="s">
        <v>72</v>
      </c>
      <c r="F756" s="871">
        <v>368</v>
      </c>
      <c r="G756" s="871">
        <v>368</v>
      </c>
      <c r="H756" s="871">
        <v>368</v>
      </c>
      <c r="I756" s="866">
        <f t="shared" si="36"/>
        <v>100</v>
      </c>
    </row>
    <row r="757" spans="1:20" ht="15" x14ac:dyDescent="0.25">
      <c r="A757" s="432">
        <v>1109</v>
      </c>
      <c r="B757" s="681">
        <v>3299</v>
      </c>
      <c r="C757" s="681">
        <v>5331</v>
      </c>
      <c r="D757" s="867"/>
      <c r="E757" s="829" t="s">
        <v>996</v>
      </c>
      <c r="F757" s="858"/>
      <c r="G757" s="858">
        <f>SUM(G758:G758)</f>
        <v>15</v>
      </c>
      <c r="H757" s="858">
        <f>SUM(H758:H758)</f>
        <v>15</v>
      </c>
      <c r="I757" s="859">
        <f t="shared" si="36"/>
        <v>100</v>
      </c>
    </row>
    <row r="758" spans="1:20" ht="15" thickBot="1" x14ac:dyDescent="0.25">
      <c r="A758" s="432"/>
      <c r="B758" s="681"/>
      <c r="C758" s="681"/>
      <c r="D758" s="554" t="s">
        <v>1180</v>
      </c>
      <c r="E758" s="460" t="s">
        <v>422</v>
      </c>
      <c r="F758" s="865"/>
      <c r="G758" s="865">
        <v>15</v>
      </c>
      <c r="H758" s="865">
        <v>15</v>
      </c>
      <c r="I758" s="861">
        <v>100</v>
      </c>
    </row>
    <row r="759" spans="1:20" s="1574" customFormat="1" ht="16.5" thickTop="1" thickBot="1" x14ac:dyDescent="0.25">
      <c r="A759" s="2696" t="s">
        <v>1162</v>
      </c>
      <c r="B759" s="2697"/>
      <c r="C759" s="2697"/>
      <c r="D759" s="2697"/>
      <c r="E759" s="2697"/>
      <c r="F759" s="1585">
        <f>F747+F755</f>
        <v>2915</v>
      </c>
      <c r="G759" s="1585">
        <f>G747+G751+G755+G757</f>
        <v>18308</v>
      </c>
      <c r="H759" s="1585">
        <f>H747+H751+H755+H757</f>
        <v>18308</v>
      </c>
      <c r="I759" s="1586">
        <f>(H759/G759)*100</f>
        <v>100</v>
      </c>
      <c r="R759" s="1587">
        <f>F759</f>
        <v>2915</v>
      </c>
      <c r="S759" s="1587">
        <f>G759</f>
        <v>18308</v>
      </c>
      <c r="T759" s="1587">
        <f>H759</f>
        <v>18308</v>
      </c>
    </row>
    <row r="760" spans="1:20" s="1574" customFormat="1" ht="13.5" thickTop="1" x14ac:dyDescent="0.2">
      <c r="B760" s="1588"/>
      <c r="D760" s="1589"/>
      <c r="F760" s="1587"/>
      <c r="G760" s="1587"/>
      <c r="H760" s="1587"/>
      <c r="I760" s="1590"/>
    </row>
    <row r="761" spans="1:20" s="1574" customFormat="1" x14ac:dyDescent="0.2">
      <c r="B761" s="1588"/>
      <c r="D761" s="1589"/>
      <c r="F761" s="1587"/>
      <c r="G761" s="1587"/>
      <c r="H761" s="1587"/>
      <c r="I761" s="1590"/>
    </row>
    <row r="762" spans="1:20" ht="13.5" thickBot="1" x14ac:dyDescent="0.25">
      <c r="A762" s="433" t="s">
        <v>760</v>
      </c>
      <c r="I762" s="1465" t="s">
        <v>173</v>
      </c>
    </row>
    <row r="763" spans="1:20" s="107" customFormat="1" thickTop="1" thickBot="1" x14ac:dyDescent="0.25">
      <c r="A763" s="633" t="s">
        <v>661</v>
      </c>
      <c r="B763" s="810" t="s">
        <v>174</v>
      </c>
      <c r="C763" s="634" t="s">
        <v>175</v>
      </c>
      <c r="D763" s="636" t="s">
        <v>744</v>
      </c>
      <c r="E763" s="636" t="s">
        <v>176</v>
      </c>
      <c r="F763" s="636" t="s">
        <v>177</v>
      </c>
      <c r="G763" s="636" t="s">
        <v>922</v>
      </c>
      <c r="H763" s="636" t="s">
        <v>923</v>
      </c>
      <c r="I763" s="856" t="s">
        <v>924</v>
      </c>
    </row>
    <row r="764" spans="1:20" s="384" customFormat="1" ht="13.5" thickTop="1" thickBot="1" x14ac:dyDescent="0.25">
      <c r="A764" s="568">
        <v>1</v>
      </c>
      <c r="B764" s="569">
        <v>2</v>
      </c>
      <c r="C764" s="569">
        <v>3</v>
      </c>
      <c r="D764" s="569">
        <v>4</v>
      </c>
      <c r="E764" s="569">
        <v>5</v>
      </c>
      <c r="F764" s="543">
        <v>6</v>
      </c>
      <c r="G764" s="543">
        <v>7</v>
      </c>
      <c r="H764" s="544">
        <v>8</v>
      </c>
      <c r="I764" s="638" t="s">
        <v>801</v>
      </c>
    </row>
    <row r="765" spans="1:20" ht="15.75" thickTop="1" x14ac:dyDescent="0.25">
      <c r="A765" s="1466">
        <v>1110</v>
      </c>
      <c r="B765" s="811">
        <v>3121</v>
      </c>
      <c r="C765" s="811">
        <v>5331</v>
      </c>
      <c r="D765" s="877"/>
      <c r="E765" s="898" t="s">
        <v>996</v>
      </c>
      <c r="F765" s="899">
        <f>SUM(F766:F770)</f>
        <v>2795</v>
      </c>
      <c r="G765" s="899">
        <f>G766+G767+G768</f>
        <v>2820</v>
      </c>
      <c r="H765" s="899">
        <f>H766+H767+H768</f>
        <v>2820</v>
      </c>
      <c r="I765" s="864">
        <f t="shared" ref="I765:I774" si="37">(H765/G765)*100</f>
        <v>100</v>
      </c>
    </row>
    <row r="766" spans="1:20" ht="14.25" x14ac:dyDescent="0.2">
      <c r="A766" s="432"/>
      <c r="B766" s="681"/>
      <c r="C766" s="681"/>
      <c r="D766" s="719" t="s">
        <v>611</v>
      </c>
      <c r="E766" s="1569" t="s">
        <v>833</v>
      </c>
      <c r="F766" s="865">
        <v>1224</v>
      </c>
      <c r="G766" s="865">
        <v>1220</v>
      </c>
      <c r="H766" s="865">
        <v>1220</v>
      </c>
      <c r="I766" s="861">
        <f t="shared" si="37"/>
        <v>100</v>
      </c>
    </row>
    <row r="767" spans="1:20" ht="14.25" x14ac:dyDescent="0.2">
      <c r="A767" s="432"/>
      <c r="B767" s="681"/>
      <c r="C767" s="681"/>
      <c r="D767" s="554" t="s">
        <v>606</v>
      </c>
      <c r="E767" s="456" t="s">
        <v>72</v>
      </c>
      <c r="F767" s="865">
        <v>1571</v>
      </c>
      <c r="G767" s="865">
        <v>1571</v>
      </c>
      <c r="H767" s="865">
        <v>1571</v>
      </c>
      <c r="I767" s="861">
        <f t="shared" si="37"/>
        <v>100</v>
      </c>
    </row>
    <row r="768" spans="1:20" ht="14.25" x14ac:dyDescent="0.2">
      <c r="A768" s="432"/>
      <c r="B768" s="681"/>
      <c r="C768" s="681"/>
      <c r="D768" s="1119" t="s">
        <v>1604</v>
      </c>
      <c r="E768" s="2273" t="s">
        <v>1719</v>
      </c>
      <c r="F768" s="865"/>
      <c r="G768" s="865">
        <v>29</v>
      </c>
      <c r="H768" s="865">
        <v>29</v>
      </c>
      <c r="I768" s="861">
        <f t="shared" si="37"/>
        <v>100</v>
      </c>
    </row>
    <row r="769" spans="1:20" ht="15" x14ac:dyDescent="0.25">
      <c r="A769" s="432">
        <v>1110</v>
      </c>
      <c r="B769" s="783">
        <v>3121</v>
      </c>
      <c r="C769" s="783">
        <v>5336</v>
      </c>
      <c r="D769" s="1360"/>
      <c r="E769" s="1479" t="s">
        <v>1269</v>
      </c>
      <c r="F769" s="884"/>
      <c r="G769" s="884">
        <f>G770+G771+G772</f>
        <v>12856</v>
      </c>
      <c r="H769" s="884">
        <f>H770+H771+H772</f>
        <v>12856</v>
      </c>
      <c r="I769" s="874">
        <f>(H769/G769)*100</f>
        <v>100</v>
      </c>
    </row>
    <row r="770" spans="1:20" ht="14.25" x14ac:dyDescent="0.2">
      <c r="A770" s="432"/>
      <c r="B770" s="681"/>
      <c r="C770" s="1467"/>
      <c r="D770" s="554" t="s">
        <v>1182</v>
      </c>
      <c r="E770" s="456" t="s">
        <v>832</v>
      </c>
      <c r="F770" s="865"/>
      <c r="G770" s="865">
        <v>12419</v>
      </c>
      <c r="H770" s="865">
        <v>12419</v>
      </c>
      <c r="I770" s="861">
        <f t="shared" si="37"/>
        <v>100</v>
      </c>
    </row>
    <row r="771" spans="1:20" ht="14.25" x14ac:dyDescent="0.2">
      <c r="A771" s="432"/>
      <c r="B771" s="783"/>
      <c r="C771" s="1468"/>
      <c r="D771" s="1481" t="s">
        <v>1608</v>
      </c>
      <c r="E771" s="1476" t="s">
        <v>1717</v>
      </c>
      <c r="F771" s="871"/>
      <c r="G771" s="871">
        <v>66</v>
      </c>
      <c r="H771" s="871">
        <v>66</v>
      </c>
      <c r="I771" s="866">
        <f t="shared" si="37"/>
        <v>100</v>
      </c>
    </row>
    <row r="772" spans="1:20" ht="14.25" x14ac:dyDescent="0.2">
      <c r="A772" s="432"/>
      <c r="B772" s="783"/>
      <c r="C772" s="1468"/>
      <c r="D772" s="1481" t="s">
        <v>1610</v>
      </c>
      <c r="E772" s="1476" t="s">
        <v>1717</v>
      </c>
      <c r="F772" s="871"/>
      <c r="G772" s="871">
        <v>371</v>
      </c>
      <c r="H772" s="871">
        <v>371</v>
      </c>
      <c r="I772" s="866">
        <f t="shared" si="37"/>
        <v>100</v>
      </c>
    </row>
    <row r="773" spans="1:20" ht="15" x14ac:dyDescent="0.25">
      <c r="A773" s="432">
        <v>1110</v>
      </c>
      <c r="B773" s="783">
        <v>3142</v>
      </c>
      <c r="C773" s="783">
        <v>5331</v>
      </c>
      <c r="D773" s="897"/>
      <c r="E773" s="680" t="s">
        <v>996</v>
      </c>
      <c r="F773" s="873">
        <v>446</v>
      </c>
      <c r="G773" s="873">
        <v>446</v>
      </c>
      <c r="H773" s="873">
        <v>446</v>
      </c>
      <c r="I773" s="874">
        <f t="shared" si="37"/>
        <v>100</v>
      </c>
    </row>
    <row r="774" spans="1:20" ht="15" thickBot="1" x14ac:dyDescent="0.25">
      <c r="A774" s="432"/>
      <c r="B774" s="681"/>
      <c r="C774" s="681"/>
      <c r="D774" s="554" t="s">
        <v>606</v>
      </c>
      <c r="E774" s="456" t="s">
        <v>72</v>
      </c>
      <c r="F774" s="865">
        <v>446</v>
      </c>
      <c r="G774" s="865">
        <v>446</v>
      </c>
      <c r="H774" s="865">
        <v>446</v>
      </c>
      <c r="I774" s="861">
        <f t="shared" si="37"/>
        <v>100</v>
      </c>
    </row>
    <row r="775" spans="1:20" ht="16.5" thickTop="1" thickBot="1" x14ac:dyDescent="0.3">
      <c r="A775" s="2685" t="s">
        <v>1162</v>
      </c>
      <c r="B775" s="2686"/>
      <c r="C775" s="2686"/>
      <c r="D775" s="2686"/>
      <c r="E775" s="2686"/>
      <c r="F775" s="862">
        <f>F765+F773</f>
        <v>3241</v>
      </c>
      <c r="G775" s="862">
        <f>G765+G769+G773</f>
        <v>16122</v>
      </c>
      <c r="H775" s="862">
        <f>H765+H769+H773</f>
        <v>16122</v>
      </c>
      <c r="I775" s="863">
        <f>(H775/G775)*100</f>
        <v>100</v>
      </c>
      <c r="K775" s="383" t="e">
        <f>SUM(F775,#REF!,#REF!,#REF!,#REF!,F703,#REF!,#REF!,F646,F615,F589,#REF!,F566,#REF!,F548,F518,F480,F452,F437)</f>
        <v>#REF!</v>
      </c>
      <c r="L775" s="383" t="e">
        <f>SUM(G775,#REF!,#REF!,#REF!,#REF!,G703,#REF!,#REF!,G646,G615,G589,#REF!,G566,#REF!,G548,G518,G480,G452,G437)</f>
        <v>#REF!</v>
      </c>
      <c r="M775" s="383" t="e">
        <f>SUM(H775,#REF!,#REF!,#REF!,#REF!,H703,#REF!,#REF!,H646,H615,H589,#REF!,H566,#REF!,H548,H518,H480,H452,H437)</f>
        <v>#REF!</v>
      </c>
      <c r="R775" s="383">
        <f>F775</f>
        <v>3241</v>
      </c>
      <c r="S775" s="383">
        <f>G775</f>
        <v>16122</v>
      </c>
      <c r="T775" s="383">
        <f>H775</f>
        <v>16122</v>
      </c>
    </row>
    <row r="776" spans="1:20" ht="15.75" thickTop="1" x14ac:dyDescent="0.25">
      <c r="A776" s="369"/>
      <c r="B776" s="369"/>
      <c r="C776" s="369"/>
      <c r="D776" s="369"/>
      <c r="E776" s="369"/>
      <c r="F776" s="181"/>
      <c r="G776" s="181"/>
      <c r="H776" s="181"/>
      <c r="I776" s="210"/>
      <c r="K776" s="383"/>
      <c r="L776" s="383"/>
      <c r="M776" s="383"/>
      <c r="R776" s="383"/>
      <c r="S776" s="383"/>
      <c r="T776" s="383"/>
    </row>
    <row r="777" spans="1:20" ht="15" x14ac:dyDescent="0.25">
      <c r="A777" s="369"/>
      <c r="B777" s="369"/>
      <c r="C777" s="369"/>
      <c r="D777" s="369"/>
      <c r="E777" s="369"/>
      <c r="F777" s="181"/>
      <c r="G777" s="181"/>
      <c r="H777" s="181"/>
      <c r="I777" s="210"/>
      <c r="K777" s="383"/>
      <c r="L777" s="383"/>
      <c r="M777" s="383"/>
      <c r="R777" s="383"/>
      <c r="S777" s="383"/>
      <c r="T777" s="383"/>
    </row>
    <row r="778" spans="1:20" ht="15" x14ac:dyDescent="0.25">
      <c r="A778" s="369"/>
      <c r="B778" s="369"/>
      <c r="C778" s="369"/>
      <c r="D778" s="369"/>
      <c r="E778" s="369"/>
      <c r="F778" s="181"/>
      <c r="G778" s="181"/>
      <c r="H778" s="181"/>
      <c r="I778" s="210"/>
      <c r="K778" s="383"/>
      <c r="L778" s="383"/>
      <c r="M778" s="383"/>
      <c r="R778" s="383"/>
      <c r="S778" s="383"/>
      <c r="T778" s="383"/>
    </row>
    <row r="779" spans="1:20" ht="13.5" thickBot="1" x14ac:dyDescent="0.25">
      <c r="A779" s="433" t="s">
        <v>679</v>
      </c>
      <c r="I779" s="1465" t="s">
        <v>173</v>
      </c>
    </row>
    <row r="780" spans="1:20" s="107" customFormat="1" ht="18" customHeight="1" thickTop="1" thickBot="1" x14ac:dyDescent="0.25">
      <c r="A780" s="633" t="s">
        <v>661</v>
      </c>
      <c r="B780" s="810" t="s">
        <v>174</v>
      </c>
      <c r="C780" s="634" t="s">
        <v>175</v>
      </c>
      <c r="D780" s="636" t="s">
        <v>744</v>
      </c>
      <c r="E780" s="636" t="s">
        <v>176</v>
      </c>
      <c r="F780" s="636" t="s">
        <v>177</v>
      </c>
      <c r="G780" s="636" t="s">
        <v>922</v>
      </c>
      <c r="H780" s="636" t="s">
        <v>923</v>
      </c>
      <c r="I780" s="856" t="s">
        <v>924</v>
      </c>
    </row>
    <row r="781" spans="1:20" s="384" customFormat="1" ht="13.5" thickTop="1" thickBot="1" x14ac:dyDescent="0.25">
      <c r="A781" s="568">
        <v>1</v>
      </c>
      <c r="B781" s="569">
        <v>2</v>
      </c>
      <c r="C781" s="569">
        <v>3</v>
      </c>
      <c r="D781" s="569">
        <v>4</v>
      </c>
      <c r="E781" s="569">
        <v>5</v>
      </c>
      <c r="F781" s="543">
        <v>6</v>
      </c>
      <c r="G781" s="543">
        <v>7</v>
      </c>
      <c r="H781" s="544">
        <v>8</v>
      </c>
      <c r="I781" s="638" t="s">
        <v>801</v>
      </c>
    </row>
    <row r="782" spans="1:20" ht="15.75" thickTop="1" x14ac:dyDescent="0.25">
      <c r="A782" s="1466">
        <v>1111</v>
      </c>
      <c r="B782" s="811">
        <v>3121</v>
      </c>
      <c r="C782" s="811">
        <v>5331</v>
      </c>
      <c r="D782" s="877"/>
      <c r="E782" s="898" t="s">
        <v>996</v>
      </c>
      <c r="F782" s="899">
        <f>F783+F784+F785</f>
        <v>4568</v>
      </c>
      <c r="G782" s="899">
        <f>G783+G784+G785</f>
        <v>4607</v>
      </c>
      <c r="H782" s="899">
        <f>H783+H784+H785</f>
        <v>4607</v>
      </c>
      <c r="I782" s="864">
        <f t="shared" ref="I782:I801" si="38">(H782/G782)*100</f>
        <v>100</v>
      </c>
    </row>
    <row r="783" spans="1:20" ht="14.25" x14ac:dyDescent="0.2">
      <c r="A783" s="432"/>
      <c r="B783" s="681"/>
      <c r="C783" s="681"/>
      <c r="D783" s="719" t="s">
        <v>611</v>
      </c>
      <c r="E783" s="1569" t="s">
        <v>833</v>
      </c>
      <c r="F783" s="865">
        <v>1395</v>
      </c>
      <c r="G783" s="865">
        <v>1398</v>
      </c>
      <c r="H783" s="865">
        <v>1398</v>
      </c>
      <c r="I783" s="861">
        <f t="shared" si="38"/>
        <v>100</v>
      </c>
    </row>
    <row r="784" spans="1:20" ht="14.25" x14ac:dyDescent="0.2">
      <c r="A784" s="432"/>
      <c r="B784" s="681"/>
      <c r="C784" s="681"/>
      <c r="D784" s="554" t="s">
        <v>606</v>
      </c>
      <c r="E784" s="456" t="s">
        <v>72</v>
      </c>
      <c r="F784" s="865">
        <v>3173</v>
      </c>
      <c r="G784" s="865">
        <v>3173</v>
      </c>
      <c r="H784" s="865">
        <v>3173</v>
      </c>
      <c r="I784" s="861">
        <f t="shared" si="38"/>
        <v>100</v>
      </c>
    </row>
    <row r="785" spans="1:9" ht="14.25" x14ac:dyDescent="0.2">
      <c r="A785" s="432"/>
      <c r="B785" s="681"/>
      <c r="C785" s="681"/>
      <c r="D785" s="1119" t="s">
        <v>1604</v>
      </c>
      <c r="E785" s="2273" t="s">
        <v>1719</v>
      </c>
      <c r="F785" s="865"/>
      <c r="G785" s="865">
        <v>36</v>
      </c>
      <c r="H785" s="865">
        <v>36</v>
      </c>
      <c r="I785" s="861">
        <f t="shared" si="38"/>
        <v>100</v>
      </c>
    </row>
    <row r="786" spans="1:9" ht="15" x14ac:dyDescent="0.25">
      <c r="A786" s="432">
        <v>1111</v>
      </c>
      <c r="B786" s="783">
        <v>3121</v>
      </c>
      <c r="C786" s="783">
        <v>5336</v>
      </c>
      <c r="D786" s="1360"/>
      <c r="E786" s="1479" t="s">
        <v>1269</v>
      </c>
      <c r="F786" s="884"/>
      <c r="G786" s="884">
        <f>G787+G788+G789</f>
        <v>24757</v>
      </c>
      <c r="H786" s="884">
        <f>H787+H788+H789</f>
        <v>24757</v>
      </c>
      <c r="I786" s="874">
        <f>(H786/G786)*100</f>
        <v>100</v>
      </c>
    </row>
    <row r="787" spans="1:9" ht="14.25" x14ac:dyDescent="0.2">
      <c r="A787" s="432"/>
      <c r="B787" s="681"/>
      <c r="C787" s="1467"/>
      <c r="D787" s="554" t="s">
        <v>1182</v>
      </c>
      <c r="E787" s="456" t="s">
        <v>832</v>
      </c>
      <c r="F787" s="865"/>
      <c r="G787" s="865">
        <v>23992</v>
      </c>
      <c r="H787" s="865">
        <v>23992</v>
      </c>
      <c r="I787" s="861">
        <f t="shared" si="38"/>
        <v>100</v>
      </c>
    </row>
    <row r="788" spans="1:9" ht="14.25" x14ac:dyDescent="0.2">
      <c r="A788" s="432"/>
      <c r="B788" s="783"/>
      <c r="C788" s="1468"/>
      <c r="D788" s="1481" t="s">
        <v>1608</v>
      </c>
      <c r="E788" s="1476" t="s">
        <v>1717</v>
      </c>
      <c r="F788" s="871"/>
      <c r="G788" s="871">
        <v>115</v>
      </c>
      <c r="H788" s="871">
        <v>115</v>
      </c>
      <c r="I788" s="861">
        <f t="shared" si="38"/>
        <v>100</v>
      </c>
    </row>
    <row r="789" spans="1:9" ht="14.25" x14ac:dyDescent="0.2">
      <c r="A789" s="432"/>
      <c r="B789" s="783"/>
      <c r="C789" s="1468"/>
      <c r="D789" s="1481" t="s">
        <v>1610</v>
      </c>
      <c r="E789" s="1476" t="s">
        <v>1717</v>
      </c>
      <c r="F789" s="871"/>
      <c r="G789" s="871">
        <v>650</v>
      </c>
      <c r="H789" s="871">
        <v>650</v>
      </c>
      <c r="I789" s="861">
        <f t="shared" si="38"/>
        <v>100</v>
      </c>
    </row>
    <row r="790" spans="1:9" ht="15" x14ac:dyDescent="0.25">
      <c r="A790" s="432">
        <v>1111</v>
      </c>
      <c r="B790" s="783">
        <v>3141</v>
      </c>
      <c r="C790" s="1468">
        <v>5336</v>
      </c>
      <c r="D790" s="570"/>
      <c r="E790" s="1479" t="s">
        <v>1269</v>
      </c>
      <c r="F790" s="884"/>
      <c r="G790" s="884">
        <f>G791</f>
        <v>345</v>
      </c>
      <c r="H790" s="884">
        <f>H791</f>
        <v>345</v>
      </c>
      <c r="I790" s="891">
        <f t="shared" si="38"/>
        <v>100</v>
      </c>
    </row>
    <row r="791" spans="1:9" ht="14.25" x14ac:dyDescent="0.2">
      <c r="A791" s="432"/>
      <c r="B791" s="783"/>
      <c r="C791" s="1468"/>
      <c r="D791" s="554" t="s">
        <v>1182</v>
      </c>
      <c r="E791" s="456" t="s">
        <v>832</v>
      </c>
      <c r="F791" s="871"/>
      <c r="G791" s="871">
        <v>345</v>
      </c>
      <c r="H791" s="871">
        <v>345</v>
      </c>
      <c r="I791" s="861">
        <f t="shared" si="38"/>
        <v>100</v>
      </c>
    </row>
    <row r="792" spans="1:9" ht="15" x14ac:dyDescent="0.25">
      <c r="A792" s="432">
        <v>1111</v>
      </c>
      <c r="B792" s="783">
        <v>3142</v>
      </c>
      <c r="C792" s="783">
        <v>5331</v>
      </c>
      <c r="D792" s="897"/>
      <c r="E792" s="680" t="s">
        <v>996</v>
      </c>
      <c r="F792" s="873">
        <f>SUM(F793:F796)</f>
        <v>615</v>
      </c>
      <c r="G792" s="873">
        <f>G793+G794</f>
        <v>654</v>
      </c>
      <c r="H792" s="873">
        <f>H793+H794</f>
        <v>654</v>
      </c>
      <c r="I792" s="874">
        <f t="shared" si="38"/>
        <v>100</v>
      </c>
    </row>
    <row r="793" spans="1:9" ht="14.25" x14ac:dyDescent="0.2">
      <c r="A793" s="432"/>
      <c r="B793" s="783"/>
      <c r="C793" s="783"/>
      <c r="D793" s="719" t="s">
        <v>611</v>
      </c>
      <c r="E793" s="1569" t="s">
        <v>833</v>
      </c>
      <c r="F793" s="871">
        <v>66</v>
      </c>
      <c r="G793" s="871">
        <v>105</v>
      </c>
      <c r="H793" s="871">
        <v>105</v>
      </c>
      <c r="I793" s="866">
        <f t="shared" si="38"/>
        <v>100</v>
      </c>
    </row>
    <row r="794" spans="1:9" ht="14.25" x14ac:dyDescent="0.2">
      <c r="A794" s="432"/>
      <c r="B794" s="783"/>
      <c r="C794" s="783"/>
      <c r="D794" s="554" t="s">
        <v>606</v>
      </c>
      <c r="E794" s="456" t="s">
        <v>72</v>
      </c>
      <c r="F794" s="871">
        <v>549</v>
      </c>
      <c r="G794" s="871">
        <v>549</v>
      </c>
      <c r="H794" s="871">
        <v>549</v>
      </c>
      <c r="I794" s="866">
        <f t="shared" si="38"/>
        <v>100</v>
      </c>
    </row>
    <row r="795" spans="1:9" ht="15" x14ac:dyDescent="0.25">
      <c r="A795" s="432">
        <v>1111</v>
      </c>
      <c r="B795" s="783">
        <v>3142</v>
      </c>
      <c r="C795" s="783">
        <v>5336</v>
      </c>
      <c r="D795" s="554"/>
      <c r="E795" s="1479" t="s">
        <v>1269</v>
      </c>
      <c r="F795" s="871"/>
      <c r="G795" s="884">
        <v>983</v>
      </c>
      <c r="H795" s="884">
        <v>983</v>
      </c>
      <c r="I795" s="876">
        <f t="shared" si="38"/>
        <v>100</v>
      </c>
    </row>
    <row r="796" spans="1:9" ht="14.25" x14ac:dyDescent="0.2">
      <c r="A796" s="432"/>
      <c r="B796" s="783"/>
      <c r="C796" s="1468"/>
      <c r="D796" s="554" t="s">
        <v>1182</v>
      </c>
      <c r="E796" s="456" t="s">
        <v>832</v>
      </c>
      <c r="F796" s="871"/>
      <c r="G796" s="871">
        <v>983</v>
      </c>
      <c r="H796" s="871">
        <v>983</v>
      </c>
      <c r="I796" s="866">
        <f t="shared" si="38"/>
        <v>100</v>
      </c>
    </row>
    <row r="797" spans="1:9" ht="15" x14ac:dyDescent="0.25">
      <c r="A797" s="432">
        <v>1111</v>
      </c>
      <c r="B797" s="783">
        <v>3299</v>
      </c>
      <c r="C797" s="1468">
        <v>5331</v>
      </c>
      <c r="D797" s="554"/>
      <c r="E797" s="680" t="s">
        <v>996</v>
      </c>
      <c r="F797" s="871"/>
      <c r="G797" s="884">
        <v>28</v>
      </c>
      <c r="H797" s="884">
        <v>28</v>
      </c>
      <c r="I797" s="876">
        <f t="shared" si="38"/>
        <v>100</v>
      </c>
    </row>
    <row r="798" spans="1:9" ht="14.25" x14ac:dyDescent="0.2">
      <c r="A798" s="432"/>
      <c r="B798" s="783"/>
      <c r="C798" s="1468"/>
      <c r="D798" s="554" t="s">
        <v>1180</v>
      </c>
      <c r="E798" s="460" t="s">
        <v>422</v>
      </c>
      <c r="F798" s="871"/>
      <c r="G798" s="871">
        <v>10</v>
      </c>
      <c r="H798" s="871">
        <v>10</v>
      </c>
      <c r="I798" s="866">
        <f t="shared" si="38"/>
        <v>100</v>
      </c>
    </row>
    <row r="799" spans="1:9" ht="14.25" x14ac:dyDescent="0.2">
      <c r="A799" s="432"/>
      <c r="B799" s="783"/>
      <c r="C799" s="1468"/>
      <c r="D799" s="1368" t="s">
        <v>390</v>
      </c>
      <c r="E799" s="461" t="s">
        <v>1175</v>
      </c>
      <c r="F799" s="871"/>
      <c r="G799" s="871">
        <v>18</v>
      </c>
      <c r="H799" s="871">
        <v>18</v>
      </c>
      <c r="I799" s="866">
        <f t="shared" si="38"/>
        <v>100</v>
      </c>
    </row>
    <row r="800" spans="1:9" ht="15" x14ac:dyDescent="0.25">
      <c r="A800" s="432">
        <v>1111</v>
      </c>
      <c r="B800" s="783">
        <v>3792</v>
      </c>
      <c r="C800" s="1468">
        <v>5331</v>
      </c>
      <c r="D800" s="1368"/>
      <c r="E800" s="680" t="s">
        <v>996</v>
      </c>
      <c r="F800" s="871"/>
      <c r="G800" s="884">
        <v>20</v>
      </c>
      <c r="H800" s="884">
        <v>20</v>
      </c>
      <c r="I800" s="876">
        <f t="shared" si="38"/>
        <v>100</v>
      </c>
    </row>
    <row r="801" spans="1:20" ht="15" thickBot="1" x14ac:dyDescent="0.25">
      <c r="A801" s="432"/>
      <c r="B801" s="783"/>
      <c r="C801" s="1468"/>
      <c r="D801" s="1110" t="s">
        <v>1382</v>
      </c>
      <c r="E801" s="1215" t="s">
        <v>389</v>
      </c>
      <c r="F801" s="871"/>
      <c r="G801" s="871">
        <v>20</v>
      </c>
      <c r="H801" s="871">
        <v>20</v>
      </c>
      <c r="I801" s="866">
        <f t="shared" si="38"/>
        <v>100</v>
      </c>
    </row>
    <row r="802" spans="1:20" ht="16.5" thickTop="1" thickBot="1" x14ac:dyDescent="0.3">
      <c r="A802" s="2685" t="s">
        <v>1162</v>
      </c>
      <c r="B802" s="2686"/>
      <c r="C802" s="2686"/>
      <c r="D802" s="2686"/>
      <c r="E802" s="2686"/>
      <c r="F802" s="862">
        <f>SUM(F792,F782,F790)</f>
        <v>5183</v>
      </c>
      <c r="G802" s="862">
        <f>G782+G786+G790+G792+G795+G797+G800</f>
        <v>31394</v>
      </c>
      <c r="H802" s="862">
        <f>H782+H786+H790+H792+H795+H797+H800</f>
        <v>31394</v>
      </c>
      <c r="I802" s="863">
        <f>(H802/G802)*100</f>
        <v>100</v>
      </c>
      <c r="R802" s="383">
        <f>F802</f>
        <v>5183</v>
      </c>
      <c r="S802" s="383">
        <f>G802</f>
        <v>31394</v>
      </c>
      <c r="T802" s="383">
        <f>H802</f>
        <v>31394</v>
      </c>
    </row>
    <row r="803" spans="1:20" ht="15.75" thickTop="1" x14ac:dyDescent="0.25">
      <c r="A803" s="369"/>
      <c r="B803" s="369"/>
      <c r="C803" s="369"/>
      <c r="D803" s="369"/>
      <c r="E803" s="369"/>
      <c r="F803" s="181"/>
      <c r="G803" s="181"/>
      <c r="H803" s="181"/>
      <c r="I803" s="210"/>
      <c r="R803" s="383"/>
      <c r="S803" s="383"/>
      <c r="T803" s="383"/>
    </row>
    <row r="804" spans="1:20" ht="15" x14ac:dyDescent="0.25">
      <c r="A804" s="369"/>
      <c r="B804" s="369"/>
      <c r="C804" s="369"/>
      <c r="D804" s="369"/>
      <c r="E804" s="369"/>
      <c r="F804" s="181"/>
      <c r="G804" s="181"/>
      <c r="H804" s="181"/>
      <c r="I804" s="210"/>
      <c r="R804" s="383"/>
      <c r="S804" s="383"/>
      <c r="T804" s="383"/>
    </row>
    <row r="805" spans="1:20" ht="15" x14ac:dyDescent="0.25">
      <c r="A805" s="369"/>
      <c r="B805" s="369"/>
      <c r="C805" s="369"/>
      <c r="D805" s="369"/>
      <c r="E805" s="369"/>
      <c r="F805" s="181"/>
      <c r="G805" s="181"/>
      <c r="H805" s="181"/>
      <c r="I805" s="210"/>
      <c r="R805" s="383"/>
      <c r="S805" s="383"/>
      <c r="T805" s="383"/>
    </row>
    <row r="806" spans="1:20" ht="13.5" thickBot="1" x14ac:dyDescent="0.25">
      <c r="A806" s="433" t="s">
        <v>1530</v>
      </c>
      <c r="I806" s="1465" t="s">
        <v>173</v>
      </c>
    </row>
    <row r="807" spans="1:20" s="107" customFormat="1" thickTop="1" thickBot="1" x14ac:dyDescent="0.25">
      <c r="A807" s="633" t="s">
        <v>661</v>
      </c>
      <c r="B807" s="810" t="s">
        <v>174</v>
      </c>
      <c r="C807" s="634" t="s">
        <v>175</v>
      </c>
      <c r="D807" s="636" t="s">
        <v>744</v>
      </c>
      <c r="E807" s="636" t="s">
        <v>176</v>
      </c>
      <c r="F807" s="636" t="s">
        <v>177</v>
      </c>
      <c r="G807" s="636" t="s">
        <v>922</v>
      </c>
      <c r="H807" s="636" t="s">
        <v>923</v>
      </c>
      <c r="I807" s="856" t="s">
        <v>924</v>
      </c>
    </row>
    <row r="808" spans="1:20" s="384" customFormat="1" ht="13.5" thickTop="1" thickBot="1" x14ac:dyDescent="0.25">
      <c r="A808" s="568">
        <v>1</v>
      </c>
      <c r="B808" s="569">
        <v>2</v>
      </c>
      <c r="C808" s="569">
        <v>3</v>
      </c>
      <c r="D808" s="569">
        <v>4</v>
      </c>
      <c r="E808" s="569">
        <v>5</v>
      </c>
      <c r="F808" s="543">
        <v>6</v>
      </c>
      <c r="G808" s="543">
        <v>7</v>
      </c>
      <c r="H808" s="544">
        <v>8</v>
      </c>
      <c r="I808" s="638" t="s">
        <v>801</v>
      </c>
    </row>
    <row r="809" spans="1:20" ht="15.75" thickTop="1" x14ac:dyDescent="0.25">
      <c r="A809" s="1466">
        <v>1112</v>
      </c>
      <c r="B809" s="811">
        <v>3121</v>
      </c>
      <c r="C809" s="811">
        <v>5331</v>
      </c>
      <c r="D809" s="877"/>
      <c r="E809" s="898" t="s">
        <v>996</v>
      </c>
      <c r="F809" s="899">
        <f>F810+F811</f>
        <v>2661</v>
      </c>
      <c r="G809" s="899">
        <f>G810+G811+G812</f>
        <v>2737</v>
      </c>
      <c r="H809" s="899">
        <f>H810+H811+H812</f>
        <v>2737</v>
      </c>
      <c r="I809" s="864">
        <f>(H809/G809)*100</f>
        <v>100</v>
      </c>
    </row>
    <row r="810" spans="1:20" ht="14.25" x14ac:dyDescent="0.2">
      <c r="A810" s="432"/>
      <c r="B810" s="681"/>
      <c r="C810" s="681"/>
      <c r="D810" s="719" t="s">
        <v>611</v>
      </c>
      <c r="E810" s="1569" t="s">
        <v>833</v>
      </c>
      <c r="F810" s="865">
        <v>248</v>
      </c>
      <c r="G810" s="865">
        <v>251</v>
      </c>
      <c r="H810" s="865">
        <v>251</v>
      </c>
      <c r="I810" s="861">
        <f>(H810/G810)*100</f>
        <v>100</v>
      </c>
    </row>
    <row r="811" spans="1:20" ht="14.25" x14ac:dyDescent="0.2">
      <c r="A811" s="432"/>
      <c r="B811" s="681"/>
      <c r="C811" s="681"/>
      <c r="D811" s="554" t="s">
        <v>606</v>
      </c>
      <c r="E811" s="456" t="s">
        <v>72</v>
      </c>
      <c r="F811" s="865">
        <v>2413</v>
      </c>
      <c r="G811" s="865">
        <v>2413</v>
      </c>
      <c r="H811" s="865">
        <v>2413</v>
      </c>
      <c r="I811" s="861">
        <v>100</v>
      </c>
    </row>
    <row r="812" spans="1:20" ht="14.25" x14ac:dyDescent="0.2">
      <c r="A812" s="432"/>
      <c r="B812" s="681"/>
      <c r="C812" s="681"/>
      <c r="D812" s="1119" t="s">
        <v>1604</v>
      </c>
      <c r="E812" s="2273" t="s">
        <v>1719</v>
      </c>
      <c r="F812" s="865"/>
      <c r="G812" s="865">
        <v>73</v>
      </c>
      <c r="H812" s="865">
        <v>73</v>
      </c>
      <c r="I812" s="861">
        <v>100</v>
      </c>
    </row>
    <row r="813" spans="1:20" ht="16.5" customHeight="1" x14ac:dyDescent="0.25">
      <c r="A813" s="432">
        <v>1112</v>
      </c>
      <c r="B813" s="783">
        <v>3121</v>
      </c>
      <c r="C813" s="783">
        <v>5336</v>
      </c>
      <c r="D813" s="554"/>
      <c r="E813" s="1479" t="s">
        <v>1269</v>
      </c>
      <c r="F813" s="871"/>
      <c r="G813" s="884">
        <f>G814+G815+G816</f>
        <v>15000</v>
      </c>
      <c r="H813" s="884">
        <f>H814+H815+H816</f>
        <v>15000</v>
      </c>
      <c r="I813" s="876">
        <f>(H813/G813)*100</f>
        <v>100</v>
      </c>
    </row>
    <row r="814" spans="1:20" ht="14.25" x14ac:dyDescent="0.2">
      <c r="A814" s="432"/>
      <c r="B814" s="681"/>
      <c r="C814" s="1467"/>
      <c r="D814" s="554" t="s">
        <v>1182</v>
      </c>
      <c r="E814" s="456" t="s">
        <v>832</v>
      </c>
      <c r="F814" s="865"/>
      <c r="G814" s="865">
        <v>14502</v>
      </c>
      <c r="H814" s="865">
        <v>14502</v>
      </c>
      <c r="I814" s="866">
        <f t="shared" ref="I814:I823" si="39">(H814/G814)*100</f>
        <v>100</v>
      </c>
    </row>
    <row r="815" spans="1:20" ht="20.25" customHeight="1" x14ac:dyDescent="0.2">
      <c r="A815" s="432"/>
      <c r="B815" s="783"/>
      <c r="C815" s="1468"/>
      <c r="D815" s="1481" t="s">
        <v>1608</v>
      </c>
      <c r="E815" s="1476" t="s">
        <v>1717</v>
      </c>
      <c r="F815" s="871"/>
      <c r="G815" s="871">
        <v>75</v>
      </c>
      <c r="H815" s="871">
        <v>75</v>
      </c>
      <c r="I815" s="866">
        <f t="shared" si="39"/>
        <v>100</v>
      </c>
    </row>
    <row r="816" spans="1:20" ht="14.25" x14ac:dyDescent="0.2">
      <c r="A816" s="432"/>
      <c r="B816" s="783"/>
      <c r="C816" s="1468"/>
      <c r="D816" s="1481" t="s">
        <v>1610</v>
      </c>
      <c r="E816" s="1476" t="s">
        <v>1717</v>
      </c>
      <c r="F816" s="871"/>
      <c r="G816" s="871">
        <v>423</v>
      </c>
      <c r="H816" s="871">
        <v>423</v>
      </c>
      <c r="I816" s="866">
        <f t="shared" si="39"/>
        <v>100</v>
      </c>
    </row>
    <row r="817" spans="1:20" ht="15" x14ac:dyDescent="0.25">
      <c r="A817" s="432">
        <v>1112</v>
      </c>
      <c r="B817" s="783">
        <v>3141</v>
      </c>
      <c r="C817" s="1468">
        <v>5336</v>
      </c>
      <c r="D817" s="570"/>
      <c r="E817" s="1479" t="s">
        <v>1269</v>
      </c>
      <c r="F817" s="884"/>
      <c r="G817" s="884">
        <v>360</v>
      </c>
      <c r="H817" s="884">
        <v>360</v>
      </c>
      <c r="I817" s="876">
        <f t="shared" si="39"/>
        <v>100</v>
      </c>
    </row>
    <row r="818" spans="1:20" ht="14.25" x14ac:dyDescent="0.2">
      <c r="A818" s="432"/>
      <c r="B818" s="783"/>
      <c r="C818" s="1468"/>
      <c r="D818" s="554" t="s">
        <v>1182</v>
      </c>
      <c r="E818" s="456" t="s">
        <v>832</v>
      </c>
      <c r="F818" s="871"/>
      <c r="G818" s="871">
        <v>360</v>
      </c>
      <c r="H818" s="871">
        <v>360</v>
      </c>
      <c r="I818" s="866">
        <f t="shared" si="39"/>
        <v>100</v>
      </c>
    </row>
    <row r="819" spans="1:20" ht="15" x14ac:dyDescent="0.25">
      <c r="A819" s="432">
        <v>1112</v>
      </c>
      <c r="B819" s="783">
        <v>3142</v>
      </c>
      <c r="C819" s="783">
        <v>5331</v>
      </c>
      <c r="D819" s="897"/>
      <c r="E819" s="680" t="s">
        <v>996</v>
      </c>
      <c r="F819" s="873">
        <v>470</v>
      </c>
      <c r="G819" s="873">
        <v>470</v>
      </c>
      <c r="H819" s="873">
        <v>470</v>
      </c>
      <c r="I819" s="874">
        <f t="shared" si="39"/>
        <v>100</v>
      </c>
    </row>
    <row r="820" spans="1:20" ht="14.25" x14ac:dyDescent="0.2">
      <c r="A820" s="432"/>
      <c r="B820" s="783"/>
      <c r="C820" s="783"/>
      <c r="D820" s="554" t="s">
        <v>606</v>
      </c>
      <c r="E820" s="456" t="s">
        <v>72</v>
      </c>
      <c r="F820" s="871">
        <v>470</v>
      </c>
      <c r="G820" s="871">
        <v>470</v>
      </c>
      <c r="H820" s="871">
        <v>470</v>
      </c>
      <c r="I820" s="866">
        <f t="shared" si="39"/>
        <v>100</v>
      </c>
    </row>
    <row r="821" spans="1:20" ht="15" x14ac:dyDescent="0.25">
      <c r="A821" s="432">
        <v>1112</v>
      </c>
      <c r="B821" s="783">
        <v>3142</v>
      </c>
      <c r="C821" s="783">
        <v>5336</v>
      </c>
      <c r="D821" s="554"/>
      <c r="E821" s="1479" t="s">
        <v>1269</v>
      </c>
      <c r="F821" s="871"/>
      <c r="G821" s="884">
        <v>391</v>
      </c>
      <c r="H821" s="884">
        <v>391</v>
      </c>
      <c r="I821" s="876">
        <f t="shared" si="39"/>
        <v>100</v>
      </c>
    </row>
    <row r="822" spans="1:20" ht="15" thickBot="1" x14ac:dyDescent="0.25">
      <c r="A822" s="432"/>
      <c r="B822" s="783"/>
      <c r="C822" s="1468"/>
      <c r="D822" s="554" t="s">
        <v>1182</v>
      </c>
      <c r="E822" s="456" t="s">
        <v>832</v>
      </c>
      <c r="F822" s="871"/>
      <c r="G822" s="871">
        <v>391</v>
      </c>
      <c r="H822" s="871">
        <v>391</v>
      </c>
      <c r="I822" s="866">
        <f t="shared" si="39"/>
        <v>100</v>
      </c>
    </row>
    <row r="823" spans="1:20" ht="16.5" thickTop="1" thickBot="1" x14ac:dyDescent="0.3">
      <c r="A823" s="2685" t="s">
        <v>1162</v>
      </c>
      <c r="B823" s="2686"/>
      <c r="C823" s="2686"/>
      <c r="D823" s="2686"/>
      <c r="E823" s="2686"/>
      <c r="F823" s="862">
        <f>F809+F819</f>
        <v>3131</v>
      </c>
      <c r="G823" s="862">
        <f>G809+G813+G817+G819+G821</f>
        <v>18958</v>
      </c>
      <c r="H823" s="862">
        <f>H809+H813+H817+H819+H821</f>
        <v>18958</v>
      </c>
      <c r="I823" s="863">
        <f t="shared" si="39"/>
        <v>100</v>
      </c>
      <c r="R823" s="383">
        <f>F823</f>
        <v>3131</v>
      </c>
      <c r="S823" s="383">
        <f>G823</f>
        <v>18958</v>
      </c>
      <c r="T823" s="383">
        <f>H823</f>
        <v>18958</v>
      </c>
    </row>
    <row r="824" spans="1:20" ht="15.75" thickTop="1" x14ac:dyDescent="0.25">
      <c r="A824" s="369"/>
      <c r="B824" s="369"/>
      <c r="C824" s="369"/>
      <c r="D824" s="369"/>
      <c r="E824" s="369"/>
      <c r="F824" s="181"/>
      <c r="G824" s="181"/>
      <c r="H824" s="181"/>
      <c r="I824" s="210"/>
      <c r="R824" s="383"/>
      <c r="S824" s="383"/>
      <c r="T824" s="383"/>
    </row>
    <row r="825" spans="1:20" ht="15" x14ac:dyDescent="0.25">
      <c r="A825" s="369"/>
      <c r="B825" s="369"/>
      <c r="C825" s="369"/>
      <c r="D825" s="369"/>
      <c r="E825" s="369"/>
      <c r="F825" s="181"/>
      <c r="G825" s="181"/>
      <c r="H825" s="181"/>
      <c r="I825" s="210"/>
      <c r="R825" s="383"/>
      <c r="S825" s="383"/>
      <c r="T825" s="383"/>
    </row>
    <row r="826" spans="1:20" ht="15" x14ac:dyDescent="0.25">
      <c r="A826" s="369"/>
      <c r="B826" s="369"/>
      <c r="C826" s="369"/>
      <c r="D826" s="369"/>
      <c r="E826" s="369"/>
      <c r="F826" s="181"/>
      <c r="G826" s="181"/>
      <c r="H826" s="181"/>
      <c r="I826" s="210"/>
      <c r="R826" s="383"/>
      <c r="S826" s="383"/>
      <c r="T826" s="383"/>
    </row>
    <row r="827" spans="1:20" ht="15" x14ac:dyDescent="0.25">
      <c r="A827" s="369"/>
      <c r="B827" s="369"/>
      <c r="C827" s="369"/>
      <c r="D827" s="369"/>
      <c r="E827" s="369"/>
      <c r="F827" s="181"/>
      <c r="G827" s="181"/>
      <c r="H827" s="181"/>
      <c r="I827" s="210"/>
      <c r="R827" s="383"/>
      <c r="S827" s="383"/>
      <c r="T827" s="383"/>
    </row>
    <row r="828" spans="1:20" ht="15" x14ac:dyDescent="0.25">
      <c r="A828" s="369"/>
      <c r="B828" s="369"/>
      <c r="C828" s="369"/>
      <c r="D828" s="369"/>
      <c r="E828" s="369"/>
      <c r="F828" s="181"/>
      <c r="G828" s="181"/>
      <c r="H828" s="181"/>
      <c r="I828" s="210"/>
      <c r="R828" s="383"/>
      <c r="S828" s="383"/>
      <c r="T828" s="383"/>
    </row>
    <row r="829" spans="1:20" ht="15" x14ac:dyDescent="0.25">
      <c r="A829" s="369"/>
      <c r="B829" s="369"/>
      <c r="C829" s="369"/>
      <c r="D829" s="369"/>
      <c r="E829" s="369"/>
      <c r="F829" s="181"/>
      <c r="G829" s="181"/>
      <c r="H829" s="181"/>
      <c r="I829" s="210"/>
      <c r="R829" s="383"/>
      <c r="S829" s="383"/>
      <c r="T829" s="383"/>
    </row>
    <row r="830" spans="1:20" ht="15" x14ac:dyDescent="0.25">
      <c r="A830" s="369"/>
      <c r="B830" s="369"/>
      <c r="C830" s="369"/>
      <c r="D830" s="369"/>
      <c r="E830" s="369"/>
      <c r="F830" s="181"/>
      <c r="G830" s="181"/>
      <c r="H830" s="181"/>
      <c r="I830" s="210"/>
      <c r="R830" s="383"/>
      <c r="S830" s="383"/>
      <c r="T830" s="383"/>
    </row>
    <row r="831" spans="1:20" ht="15" x14ac:dyDescent="0.25">
      <c r="A831" s="369"/>
      <c r="B831" s="369"/>
      <c r="C831" s="369"/>
      <c r="D831" s="369"/>
      <c r="E831" s="369"/>
      <c r="F831" s="181"/>
      <c r="G831" s="181"/>
      <c r="H831" s="181"/>
      <c r="I831" s="210"/>
      <c r="R831" s="383"/>
      <c r="S831" s="383"/>
      <c r="T831" s="383"/>
    </row>
    <row r="832" spans="1:20" ht="15" x14ac:dyDescent="0.25">
      <c r="A832" s="369"/>
      <c r="B832" s="369"/>
      <c r="C832" s="369"/>
      <c r="D832" s="369"/>
      <c r="E832" s="369"/>
      <c r="F832" s="181"/>
      <c r="G832" s="181"/>
      <c r="H832" s="181"/>
      <c r="I832" s="210"/>
      <c r="R832" s="383"/>
      <c r="S832" s="383"/>
      <c r="T832" s="383"/>
    </row>
    <row r="833" spans="1:9" ht="13.5" thickBot="1" x14ac:dyDescent="0.25">
      <c r="A833" s="433" t="s">
        <v>1159</v>
      </c>
      <c r="I833" s="1465" t="s">
        <v>173</v>
      </c>
    </row>
    <row r="834" spans="1:9" s="107" customFormat="1" thickTop="1" thickBot="1" x14ac:dyDescent="0.25">
      <c r="A834" s="633" t="s">
        <v>661</v>
      </c>
      <c r="B834" s="810" t="s">
        <v>174</v>
      </c>
      <c r="C834" s="634" t="s">
        <v>175</v>
      </c>
      <c r="D834" s="636" t="s">
        <v>744</v>
      </c>
      <c r="E834" s="636" t="s">
        <v>176</v>
      </c>
      <c r="F834" s="636" t="s">
        <v>177</v>
      </c>
      <c r="G834" s="636" t="s">
        <v>922</v>
      </c>
      <c r="H834" s="636" t="s">
        <v>923</v>
      </c>
      <c r="I834" s="856" t="s">
        <v>924</v>
      </c>
    </row>
    <row r="835" spans="1:9" s="384" customFormat="1" ht="13.5" thickTop="1" thickBot="1" x14ac:dyDescent="0.25">
      <c r="A835" s="568">
        <v>1</v>
      </c>
      <c r="B835" s="569">
        <v>2</v>
      </c>
      <c r="C835" s="569">
        <v>3</v>
      </c>
      <c r="D835" s="569">
        <v>4</v>
      </c>
      <c r="E835" s="569">
        <v>5</v>
      </c>
      <c r="F835" s="543">
        <v>6</v>
      </c>
      <c r="G835" s="543">
        <v>7</v>
      </c>
      <c r="H835" s="544">
        <v>8</v>
      </c>
      <c r="I835" s="638" t="s">
        <v>801</v>
      </c>
    </row>
    <row r="836" spans="1:9" ht="20.25" customHeight="1" thickTop="1" x14ac:dyDescent="0.25">
      <c r="A836" s="1466">
        <v>1113</v>
      </c>
      <c r="B836" s="811">
        <v>3121</v>
      </c>
      <c r="C836" s="811">
        <v>5331</v>
      </c>
      <c r="D836" s="877"/>
      <c r="E836" s="898" t="s">
        <v>996</v>
      </c>
      <c r="F836" s="899">
        <f>SUM(F837:F841)</f>
        <v>3787</v>
      </c>
      <c r="G836" s="899">
        <f>SUM(G837:G841)</f>
        <v>4432</v>
      </c>
      <c r="H836" s="899">
        <f>SUM(H837:H841)</f>
        <v>4432</v>
      </c>
      <c r="I836" s="864">
        <f t="shared" ref="I836:I850" si="40">(H836/G836)*100</f>
        <v>100</v>
      </c>
    </row>
    <row r="837" spans="1:9" ht="14.25" x14ac:dyDescent="0.2">
      <c r="A837" s="432"/>
      <c r="B837" s="681"/>
      <c r="C837" s="681"/>
      <c r="D837" s="719" t="s">
        <v>611</v>
      </c>
      <c r="E837" s="1569" t="s">
        <v>833</v>
      </c>
      <c r="F837" s="865">
        <v>1018</v>
      </c>
      <c r="G837" s="865">
        <v>954</v>
      </c>
      <c r="H837" s="865">
        <v>954</v>
      </c>
      <c r="I837" s="861">
        <f t="shared" si="40"/>
        <v>100</v>
      </c>
    </row>
    <row r="838" spans="1:9" ht="14.25" x14ac:dyDescent="0.2">
      <c r="A838" s="432"/>
      <c r="B838" s="681"/>
      <c r="C838" s="681"/>
      <c r="D838" s="1110" t="s">
        <v>369</v>
      </c>
      <c r="E838" s="1215" t="s">
        <v>933</v>
      </c>
      <c r="F838" s="865"/>
      <c r="G838" s="865">
        <v>15</v>
      </c>
      <c r="H838" s="865">
        <v>15</v>
      </c>
      <c r="I838" s="861">
        <f t="shared" si="40"/>
        <v>100</v>
      </c>
    </row>
    <row r="839" spans="1:9" ht="14.25" x14ac:dyDescent="0.2">
      <c r="A839" s="432"/>
      <c r="B839" s="681"/>
      <c r="C839" s="681"/>
      <c r="D839" s="554" t="s">
        <v>606</v>
      </c>
      <c r="E839" s="456" t="s">
        <v>72</v>
      </c>
      <c r="F839" s="865">
        <v>2769</v>
      </c>
      <c r="G839" s="865">
        <v>2769</v>
      </c>
      <c r="H839" s="865">
        <v>2769</v>
      </c>
      <c r="I839" s="861">
        <f t="shared" si="40"/>
        <v>100</v>
      </c>
    </row>
    <row r="840" spans="1:9" ht="14.25" x14ac:dyDescent="0.2">
      <c r="A840" s="432"/>
      <c r="B840" s="681"/>
      <c r="C840" s="681"/>
      <c r="D840" s="1120" t="s">
        <v>1419</v>
      </c>
      <c r="E840" s="1591" t="s">
        <v>1420</v>
      </c>
      <c r="F840" s="865"/>
      <c r="G840" s="865">
        <v>650</v>
      </c>
      <c r="H840" s="871">
        <v>650</v>
      </c>
      <c r="I840" s="861">
        <f t="shared" si="40"/>
        <v>100</v>
      </c>
    </row>
    <row r="841" spans="1:9" ht="14.25" x14ac:dyDescent="0.2">
      <c r="A841" s="432"/>
      <c r="B841" s="681"/>
      <c r="C841" s="681"/>
      <c r="D841" s="1119" t="s">
        <v>1604</v>
      </c>
      <c r="E841" s="2273" t="s">
        <v>1719</v>
      </c>
      <c r="F841" s="865"/>
      <c r="G841" s="865">
        <v>44</v>
      </c>
      <c r="H841" s="871">
        <v>44</v>
      </c>
      <c r="I841" s="861">
        <f t="shared" si="40"/>
        <v>100</v>
      </c>
    </row>
    <row r="842" spans="1:9" ht="15" x14ac:dyDescent="0.25">
      <c r="A842" s="432">
        <v>1113</v>
      </c>
      <c r="B842" s="783">
        <v>3121</v>
      </c>
      <c r="C842" s="783">
        <v>5336</v>
      </c>
      <c r="D842" s="554"/>
      <c r="E842" s="1479" t="s">
        <v>1269</v>
      </c>
      <c r="F842" s="865"/>
      <c r="G842" s="889">
        <f>G843+G844+G845</f>
        <v>18819</v>
      </c>
      <c r="H842" s="889">
        <f>H843+H844+H845</f>
        <v>18819</v>
      </c>
      <c r="I842" s="891">
        <f t="shared" si="40"/>
        <v>100</v>
      </c>
    </row>
    <row r="843" spans="1:9" ht="14.25" x14ac:dyDescent="0.2">
      <c r="A843" s="432"/>
      <c r="B843" s="681"/>
      <c r="C843" s="681"/>
      <c r="D843" s="554" t="s">
        <v>1182</v>
      </c>
      <c r="E843" s="456" t="s">
        <v>832</v>
      </c>
      <c r="F843" s="865"/>
      <c r="G843" s="865">
        <v>18225</v>
      </c>
      <c r="H843" s="871">
        <v>18225</v>
      </c>
      <c r="I843" s="861">
        <f t="shared" si="40"/>
        <v>100</v>
      </c>
    </row>
    <row r="844" spans="1:9" ht="14.25" x14ac:dyDescent="0.2">
      <c r="A844" s="432"/>
      <c r="B844" s="681"/>
      <c r="C844" s="681"/>
      <c r="D844" s="1481" t="s">
        <v>1608</v>
      </c>
      <c r="E844" s="1476" t="s">
        <v>1717</v>
      </c>
      <c r="F844" s="865"/>
      <c r="G844" s="865">
        <v>89</v>
      </c>
      <c r="H844" s="871">
        <v>89</v>
      </c>
      <c r="I844" s="861">
        <f t="shared" si="40"/>
        <v>100</v>
      </c>
    </row>
    <row r="845" spans="1:9" ht="14.25" x14ac:dyDescent="0.2">
      <c r="A845" s="432"/>
      <c r="B845" s="681"/>
      <c r="C845" s="681"/>
      <c r="D845" s="1481" t="s">
        <v>1610</v>
      </c>
      <c r="E845" s="1476" t="s">
        <v>1717</v>
      </c>
      <c r="F845" s="865"/>
      <c r="G845" s="865">
        <v>505</v>
      </c>
      <c r="H845" s="871">
        <v>505</v>
      </c>
      <c r="I845" s="861">
        <f t="shared" si="40"/>
        <v>100</v>
      </c>
    </row>
    <row r="846" spans="1:9" ht="15" x14ac:dyDescent="0.25">
      <c r="A846" s="432">
        <v>1113</v>
      </c>
      <c r="B846" s="681">
        <v>3141</v>
      </c>
      <c r="C846" s="681">
        <v>5336</v>
      </c>
      <c r="D846" s="554"/>
      <c r="E846" s="1479" t="s">
        <v>1269</v>
      </c>
      <c r="F846" s="889"/>
      <c r="G846" s="889">
        <v>109</v>
      </c>
      <c r="H846" s="884">
        <v>109</v>
      </c>
      <c r="I846" s="891">
        <f t="shared" si="40"/>
        <v>100</v>
      </c>
    </row>
    <row r="847" spans="1:9" ht="14.25" x14ac:dyDescent="0.2">
      <c r="A847" s="432"/>
      <c r="B847" s="681"/>
      <c r="C847" s="681"/>
      <c r="D847" s="554" t="s">
        <v>1182</v>
      </c>
      <c r="E847" s="906" t="s">
        <v>832</v>
      </c>
      <c r="F847" s="865"/>
      <c r="G847" s="865">
        <v>109</v>
      </c>
      <c r="H847" s="871">
        <v>109</v>
      </c>
      <c r="I847" s="861">
        <f t="shared" si="40"/>
        <v>100</v>
      </c>
    </row>
    <row r="848" spans="1:9" ht="15" x14ac:dyDescent="0.25">
      <c r="A848" s="432">
        <v>1113</v>
      </c>
      <c r="B848" s="681">
        <v>3142</v>
      </c>
      <c r="C848" s="681">
        <v>5331</v>
      </c>
      <c r="D848" s="554"/>
      <c r="E848" s="680" t="s">
        <v>996</v>
      </c>
      <c r="F848" s="889"/>
      <c r="G848" s="889">
        <v>165</v>
      </c>
      <c r="H848" s="884">
        <v>165</v>
      </c>
      <c r="I848" s="891">
        <f t="shared" si="40"/>
        <v>100</v>
      </c>
    </row>
    <row r="849" spans="1:20" ht="15" thickBot="1" x14ac:dyDescent="0.25">
      <c r="A849" s="432"/>
      <c r="B849" s="681"/>
      <c r="C849" s="681"/>
      <c r="D849" s="554" t="s">
        <v>1182</v>
      </c>
      <c r="E849" s="906" t="s">
        <v>832</v>
      </c>
      <c r="F849" s="865"/>
      <c r="G849" s="865">
        <v>165</v>
      </c>
      <c r="H849" s="871">
        <v>165</v>
      </c>
      <c r="I849" s="861">
        <f t="shared" si="40"/>
        <v>100</v>
      </c>
    </row>
    <row r="850" spans="1:20" ht="18" customHeight="1" thickTop="1" thickBot="1" x14ac:dyDescent="0.3">
      <c r="A850" s="2682" t="s">
        <v>1162</v>
      </c>
      <c r="B850" s="2683"/>
      <c r="C850" s="2683"/>
      <c r="D850" s="2683"/>
      <c r="E850" s="2684"/>
      <c r="F850" s="862">
        <f>F836</f>
        <v>3787</v>
      </c>
      <c r="G850" s="862">
        <f>G836+G842+G846+G848</f>
        <v>23525</v>
      </c>
      <c r="H850" s="862">
        <f>H836+H842+H846+H848</f>
        <v>23525</v>
      </c>
      <c r="I850" s="863">
        <f t="shared" si="40"/>
        <v>100</v>
      </c>
      <c r="R850" s="383">
        <f>F850</f>
        <v>3787</v>
      </c>
      <c r="S850" s="383">
        <f>G850</f>
        <v>23525</v>
      </c>
      <c r="T850" s="383">
        <f>H850</f>
        <v>23525</v>
      </c>
    </row>
    <row r="851" spans="1:20" ht="20.25" customHeight="1" thickTop="1" x14ac:dyDescent="0.2"/>
    <row r="852" spans="1:20" ht="20.25" customHeight="1" x14ac:dyDescent="0.2"/>
    <row r="853" spans="1:20" ht="20.25" customHeight="1" x14ac:dyDescent="0.2"/>
    <row r="854" spans="1:20" ht="13.5" thickBot="1" x14ac:dyDescent="0.25">
      <c r="A854" s="433" t="s">
        <v>1160</v>
      </c>
      <c r="I854" s="1465" t="s">
        <v>173</v>
      </c>
    </row>
    <row r="855" spans="1:20" s="107" customFormat="1" thickTop="1" thickBot="1" x14ac:dyDescent="0.25">
      <c r="A855" s="633" t="s">
        <v>661</v>
      </c>
      <c r="B855" s="810" t="s">
        <v>174</v>
      </c>
      <c r="C855" s="634" t="s">
        <v>175</v>
      </c>
      <c r="D855" s="636" t="s">
        <v>744</v>
      </c>
      <c r="E855" s="636" t="s">
        <v>176</v>
      </c>
      <c r="F855" s="636" t="s">
        <v>177</v>
      </c>
      <c r="G855" s="636" t="s">
        <v>922</v>
      </c>
      <c r="H855" s="636" t="s">
        <v>923</v>
      </c>
      <c r="I855" s="856" t="s">
        <v>924</v>
      </c>
    </row>
    <row r="856" spans="1:20" s="384" customFormat="1" ht="13.5" thickTop="1" thickBot="1" x14ac:dyDescent="0.25">
      <c r="A856" s="568">
        <v>1</v>
      </c>
      <c r="B856" s="569">
        <v>2</v>
      </c>
      <c r="C856" s="569">
        <v>3</v>
      </c>
      <c r="D856" s="569">
        <v>4</v>
      </c>
      <c r="E856" s="569">
        <v>5</v>
      </c>
      <c r="F856" s="543">
        <v>6</v>
      </c>
      <c r="G856" s="543">
        <v>7</v>
      </c>
      <c r="H856" s="544">
        <v>8</v>
      </c>
      <c r="I856" s="638" t="s">
        <v>801</v>
      </c>
    </row>
    <row r="857" spans="1:20" ht="15.75" thickTop="1" x14ac:dyDescent="0.25">
      <c r="A857" s="1466">
        <v>1120</v>
      </c>
      <c r="B857" s="811">
        <v>3122</v>
      </c>
      <c r="C857" s="811">
        <v>5331</v>
      </c>
      <c r="D857" s="877"/>
      <c r="E857" s="898" t="s">
        <v>996</v>
      </c>
      <c r="F857" s="899">
        <f>SUM(F858:F862)</f>
        <v>1996</v>
      </c>
      <c r="G857" s="899">
        <f>G858+G859+G860</f>
        <v>2094</v>
      </c>
      <c r="H857" s="899">
        <f>H858+H859+H860</f>
        <v>2094</v>
      </c>
      <c r="I857" s="864">
        <f t="shared" ref="I857:I875" si="41">(H857/G857)*100</f>
        <v>100</v>
      </c>
    </row>
    <row r="858" spans="1:20" ht="14.25" x14ac:dyDescent="0.2">
      <c r="A858" s="432"/>
      <c r="B858" s="681"/>
      <c r="C858" s="681"/>
      <c r="D858" s="719" t="s">
        <v>611</v>
      </c>
      <c r="E858" s="1569" t="s">
        <v>833</v>
      </c>
      <c r="F858" s="865">
        <v>245</v>
      </c>
      <c r="G858" s="865">
        <v>247</v>
      </c>
      <c r="H858" s="865">
        <v>247</v>
      </c>
      <c r="I858" s="861">
        <f t="shared" si="41"/>
        <v>100</v>
      </c>
    </row>
    <row r="859" spans="1:20" ht="14.25" x14ac:dyDescent="0.2">
      <c r="A859" s="432"/>
      <c r="B859" s="681"/>
      <c r="C859" s="1467"/>
      <c r="D859" s="554" t="s">
        <v>606</v>
      </c>
      <c r="E859" s="456" t="s">
        <v>72</v>
      </c>
      <c r="F859" s="865">
        <v>1751</v>
      </c>
      <c r="G859" s="865">
        <v>1751</v>
      </c>
      <c r="H859" s="865">
        <v>1751</v>
      </c>
      <c r="I859" s="861">
        <f t="shared" si="41"/>
        <v>100</v>
      </c>
    </row>
    <row r="860" spans="1:20" ht="14.25" x14ac:dyDescent="0.2">
      <c r="A860" s="432"/>
      <c r="B860" s="783"/>
      <c r="C860" s="1468"/>
      <c r="D860" s="1119" t="s">
        <v>1604</v>
      </c>
      <c r="E860" s="2273" t="s">
        <v>1719</v>
      </c>
      <c r="F860" s="871"/>
      <c r="G860" s="871">
        <v>96</v>
      </c>
      <c r="H860" s="871">
        <v>96</v>
      </c>
      <c r="I860" s="861">
        <f t="shared" si="41"/>
        <v>100</v>
      </c>
    </row>
    <row r="861" spans="1:20" ht="15" x14ac:dyDescent="0.25">
      <c r="A861" s="432">
        <v>1120</v>
      </c>
      <c r="B861" s="681">
        <v>3122</v>
      </c>
      <c r="C861" s="681">
        <v>5336</v>
      </c>
      <c r="D861" s="554"/>
      <c r="E861" s="1479" t="s">
        <v>1269</v>
      </c>
      <c r="F861" s="889"/>
      <c r="G861" s="889">
        <f>G862+G863+G864</f>
        <v>16704</v>
      </c>
      <c r="H861" s="889">
        <f>H862+H863+H864</f>
        <v>16704</v>
      </c>
      <c r="I861" s="891">
        <f t="shared" si="41"/>
        <v>100</v>
      </c>
    </row>
    <row r="862" spans="1:20" ht="14.25" x14ac:dyDescent="0.2">
      <c r="A862" s="432"/>
      <c r="B862" s="783"/>
      <c r="C862" s="1468"/>
      <c r="D862" s="554" t="s">
        <v>1182</v>
      </c>
      <c r="E862" s="456" t="s">
        <v>832</v>
      </c>
      <c r="F862" s="871"/>
      <c r="G862" s="871">
        <v>16204</v>
      </c>
      <c r="H862" s="871">
        <v>16204</v>
      </c>
      <c r="I862" s="866">
        <f t="shared" si="41"/>
        <v>100</v>
      </c>
    </row>
    <row r="863" spans="1:20" ht="14.25" x14ac:dyDescent="0.2">
      <c r="A863" s="432"/>
      <c r="B863" s="783"/>
      <c r="C863" s="1468"/>
      <c r="D863" s="1481" t="s">
        <v>1608</v>
      </c>
      <c r="E863" s="1476" t="s">
        <v>1717</v>
      </c>
      <c r="F863" s="871"/>
      <c r="G863" s="871">
        <v>75</v>
      </c>
      <c r="H863" s="871">
        <v>75</v>
      </c>
      <c r="I863" s="866">
        <f t="shared" si="41"/>
        <v>100</v>
      </c>
    </row>
    <row r="864" spans="1:20" ht="14.25" x14ac:dyDescent="0.2">
      <c r="A864" s="432"/>
      <c r="B864" s="783"/>
      <c r="C864" s="1468"/>
      <c r="D864" s="1481" t="s">
        <v>1610</v>
      </c>
      <c r="E864" s="1476" t="s">
        <v>1717</v>
      </c>
      <c r="F864" s="871"/>
      <c r="G864" s="871">
        <v>425</v>
      </c>
      <c r="H864" s="871">
        <v>425</v>
      </c>
      <c r="I864" s="866">
        <f t="shared" si="41"/>
        <v>100</v>
      </c>
    </row>
    <row r="865" spans="1:20" ht="15" x14ac:dyDescent="0.25">
      <c r="A865" s="432">
        <v>1120</v>
      </c>
      <c r="B865" s="783">
        <v>3142</v>
      </c>
      <c r="C865" s="783">
        <v>5331</v>
      </c>
      <c r="D865" s="897"/>
      <c r="E865" s="680" t="s">
        <v>996</v>
      </c>
      <c r="F865" s="873">
        <v>616</v>
      </c>
      <c r="G865" s="873">
        <v>616</v>
      </c>
      <c r="H865" s="873">
        <v>616</v>
      </c>
      <c r="I865" s="874">
        <f t="shared" si="41"/>
        <v>100</v>
      </c>
    </row>
    <row r="866" spans="1:20" ht="14.25" x14ac:dyDescent="0.2">
      <c r="A866" s="432"/>
      <c r="B866" s="783"/>
      <c r="C866" s="783"/>
      <c r="D866" s="554" t="s">
        <v>606</v>
      </c>
      <c r="E866" s="456" t="s">
        <v>72</v>
      </c>
      <c r="F866" s="871">
        <v>619</v>
      </c>
      <c r="G866" s="871">
        <v>616</v>
      </c>
      <c r="H866" s="871">
        <v>616</v>
      </c>
      <c r="I866" s="866">
        <f t="shared" si="41"/>
        <v>100</v>
      </c>
    </row>
    <row r="867" spans="1:20" ht="15" x14ac:dyDescent="0.25">
      <c r="A867" s="432">
        <v>1120</v>
      </c>
      <c r="B867" s="681">
        <v>3142</v>
      </c>
      <c r="C867" s="681">
        <v>5336</v>
      </c>
      <c r="D867" s="554"/>
      <c r="E867" s="1479" t="s">
        <v>1269</v>
      </c>
      <c r="F867" s="889"/>
      <c r="G867" s="889">
        <v>213</v>
      </c>
      <c r="H867" s="889">
        <v>213</v>
      </c>
      <c r="I867" s="891">
        <f t="shared" si="41"/>
        <v>100</v>
      </c>
    </row>
    <row r="868" spans="1:20" ht="14.25" x14ac:dyDescent="0.2">
      <c r="A868" s="432"/>
      <c r="B868" s="783"/>
      <c r="C868" s="1468"/>
      <c r="D868" s="554" t="s">
        <v>1182</v>
      </c>
      <c r="E868" s="456" t="s">
        <v>832</v>
      </c>
      <c r="F868" s="871"/>
      <c r="G868" s="871">
        <v>213</v>
      </c>
      <c r="H868" s="871">
        <v>213</v>
      </c>
      <c r="I868" s="866">
        <f t="shared" si="41"/>
        <v>100</v>
      </c>
    </row>
    <row r="869" spans="1:20" ht="15" x14ac:dyDescent="0.25">
      <c r="A869" s="432">
        <v>1120</v>
      </c>
      <c r="B869" s="783">
        <v>3150</v>
      </c>
      <c r="C869" s="783">
        <v>5331</v>
      </c>
      <c r="D869" s="897"/>
      <c r="E869" s="680" t="s">
        <v>996</v>
      </c>
      <c r="F869" s="873">
        <v>410</v>
      </c>
      <c r="G869" s="873">
        <v>410</v>
      </c>
      <c r="H869" s="873">
        <v>410</v>
      </c>
      <c r="I869" s="874">
        <f t="shared" si="41"/>
        <v>100</v>
      </c>
    </row>
    <row r="870" spans="1:20" ht="14.25" x14ac:dyDescent="0.2">
      <c r="A870" s="432"/>
      <c r="B870" s="783"/>
      <c r="C870" s="783"/>
      <c r="D870" s="554" t="s">
        <v>606</v>
      </c>
      <c r="E870" s="456" t="s">
        <v>72</v>
      </c>
      <c r="F870" s="871">
        <v>410</v>
      </c>
      <c r="G870" s="871">
        <v>410</v>
      </c>
      <c r="H870" s="871">
        <v>410</v>
      </c>
      <c r="I870" s="866">
        <f t="shared" si="41"/>
        <v>100</v>
      </c>
    </row>
    <row r="871" spans="1:20" ht="15" x14ac:dyDescent="0.25">
      <c r="A871" s="432">
        <v>1120</v>
      </c>
      <c r="B871" s="681">
        <v>3150</v>
      </c>
      <c r="C871" s="681">
        <v>5336</v>
      </c>
      <c r="D871" s="554"/>
      <c r="E871" s="1479" t="s">
        <v>1269</v>
      </c>
      <c r="F871" s="889"/>
      <c r="G871" s="889">
        <f>G872+G873+G874</f>
        <v>9119</v>
      </c>
      <c r="H871" s="889">
        <f>H872+H873+H874</f>
        <v>9119</v>
      </c>
      <c r="I871" s="891">
        <f t="shared" si="41"/>
        <v>100</v>
      </c>
    </row>
    <row r="872" spans="1:20" ht="14.25" x14ac:dyDescent="0.2">
      <c r="A872" s="432"/>
      <c r="B872" s="783"/>
      <c r="C872" s="1468"/>
      <c r="D872" s="554" t="s">
        <v>1182</v>
      </c>
      <c r="E872" s="456" t="s">
        <v>832</v>
      </c>
      <c r="F872" s="871"/>
      <c r="G872" s="871">
        <v>6320</v>
      </c>
      <c r="H872" s="871">
        <v>6320</v>
      </c>
      <c r="I872" s="866">
        <f t="shared" si="41"/>
        <v>100</v>
      </c>
    </row>
    <row r="873" spans="1:20" ht="14.25" x14ac:dyDescent="0.2">
      <c r="A873" s="432"/>
      <c r="B873" s="783"/>
      <c r="C873" s="1468"/>
      <c r="D873" s="1452" t="s">
        <v>733</v>
      </c>
      <c r="E873" s="1482" t="s">
        <v>1271</v>
      </c>
      <c r="F873" s="871"/>
      <c r="G873" s="871">
        <v>420</v>
      </c>
      <c r="H873" s="871">
        <v>420</v>
      </c>
      <c r="I873" s="866">
        <f t="shared" si="41"/>
        <v>100</v>
      </c>
    </row>
    <row r="874" spans="1:20" ht="15" thickBot="1" x14ac:dyDescent="0.25">
      <c r="A874" s="432"/>
      <c r="B874" s="783"/>
      <c r="C874" s="1468"/>
      <c r="D874" s="1452" t="s">
        <v>734</v>
      </c>
      <c r="E874" s="1482" t="s">
        <v>1271</v>
      </c>
      <c r="F874" s="871"/>
      <c r="G874" s="871">
        <v>2379</v>
      </c>
      <c r="H874" s="871">
        <v>2379</v>
      </c>
      <c r="I874" s="866">
        <f t="shared" si="41"/>
        <v>100</v>
      </c>
    </row>
    <row r="875" spans="1:20" ht="16.5" thickTop="1" thickBot="1" x14ac:dyDescent="0.3">
      <c r="A875" s="2685" t="s">
        <v>1162</v>
      </c>
      <c r="B875" s="2686"/>
      <c r="C875" s="2686"/>
      <c r="D875" s="2686"/>
      <c r="E875" s="2686"/>
      <c r="F875" s="862">
        <f>F857+F865+F869</f>
        <v>3022</v>
      </c>
      <c r="G875" s="862">
        <f>G857+G865+G869+G861+G871+G867</f>
        <v>29156</v>
      </c>
      <c r="H875" s="862">
        <f>H857+H865+H869+H861+H871+H867</f>
        <v>29156</v>
      </c>
      <c r="I875" s="863">
        <f t="shared" si="41"/>
        <v>100</v>
      </c>
      <c r="R875" s="383">
        <f>F875</f>
        <v>3022</v>
      </c>
      <c r="S875" s="383">
        <f>G875</f>
        <v>29156</v>
      </c>
      <c r="T875" s="383">
        <f>H875</f>
        <v>29156</v>
      </c>
    </row>
    <row r="876" spans="1:20" ht="13.5" thickTop="1" x14ac:dyDescent="0.2"/>
    <row r="879" spans="1:20" ht="13.5" thickBot="1" x14ac:dyDescent="0.25">
      <c r="A879" s="433" t="s">
        <v>352</v>
      </c>
      <c r="I879" s="1465" t="s">
        <v>173</v>
      </c>
    </row>
    <row r="880" spans="1:20" s="107" customFormat="1" thickTop="1" thickBot="1" x14ac:dyDescent="0.25">
      <c r="A880" s="633" t="s">
        <v>661</v>
      </c>
      <c r="B880" s="810" t="s">
        <v>174</v>
      </c>
      <c r="C880" s="634" t="s">
        <v>175</v>
      </c>
      <c r="D880" s="636" t="s">
        <v>744</v>
      </c>
      <c r="E880" s="636" t="s">
        <v>176</v>
      </c>
      <c r="F880" s="636" t="s">
        <v>177</v>
      </c>
      <c r="G880" s="636" t="s">
        <v>922</v>
      </c>
      <c r="H880" s="636" t="s">
        <v>923</v>
      </c>
      <c r="I880" s="856" t="s">
        <v>924</v>
      </c>
    </row>
    <row r="881" spans="1:23" s="384" customFormat="1" ht="13.5" thickTop="1" thickBot="1" x14ac:dyDescent="0.25">
      <c r="A881" s="568">
        <v>1</v>
      </c>
      <c r="B881" s="569">
        <v>2</v>
      </c>
      <c r="C881" s="569">
        <v>3</v>
      </c>
      <c r="D881" s="569">
        <v>4</v>
      </c>
      <c r="E881" s="569">
        <v>5</v>
      </c>
      <c r="F881" s="543">
        <v>6</v>
      </c>
      <c r="G881" s="543">
        <v>7</v>
      </c>
      <c r="H881" s="544">
        <v>8</v>
      </c>
      <c r="I881" s="638" t="s">
        <v>801</v>
      </c>
    </row>
    <row r="882" spans="1:23" ht="15.75" thickTop="1" x14ac:dyDescent="0.25">
      <c r="A882" s="1466">
        <v>1121</v>
      </c>
      <c r="B882" s="811">
        <v>3122</v>
      </c>
      <c r="C882" s="811">
        <v>5331</v>
      </c>
      <c r="D882" s="877"/>
      <c r="E882" s="898" t="s">
        <v>996</v>
      </c>
      <c r="F882" s="899">
        <f>SUM(F883:F887)</f>
        <v>2668</v>
      </c>
      <c r="G882" s="899">
        <f>G883+G884+G885</f>
        <v>2318</v>
      </c>
      <c r="H882" s="899">
        <f>H883+H884+H885</f>
        <v>2318</v>
      </c>
      <c r="I882" s="864">
        <f t="shared" ref="I882:I890" si="42">(H882/G882)*100</f>
        <v>100</v>
      </c>
    </row>
    <row r="883" spans="1:23" ht="14.25" x14ac:dyDescent="0.2">
      <c r="A883" s="432"/>
      <c r="B883" s="681"/>
      <c r="C883" s="681"/>
      <c r="D883" s="719" t="s">
        <v>611</v>
      </c>
      <c r="E883" s="1569" t="s">
        <v>833</v>
      </c>
      <c r="F883" s="865">
        <v>1055</v>
      </c>
      <c r="G883" s="865">
        <v>676</v>
      </c>
      <c r="H883" s="865">
        <v>676</v>
      </c>
      <c r="I883" s="861">
        <f t="shared" si="42"/>
        <v>100</v>
      </c>
    </row>
    <row r="884" spans="1:23" ht="14.25" x14ac:dyDescent="0.2">
      <c r="A884" s="432"/>
      <c r="B884" s="681"/>
      <c r="C884" s="681"/>
      <c r="D884" s="554" t="s">
        <v>606</v>
      </c>
      <c r="E884" s="456" t="s">
        <v>72</v>
      </c>
      <c r="F884" s="865">
        <v>1613</v>
      </c>
      <c r="G884" s="865">
        <v>1613</v>
      </c>
      <c r="H884" s="865">
        <v>1613</v>
      </c>
      <c r="I884" s="861">
        <f t="shared" si="42"/>
        <v>100</v>
      </c>
    </row>
    <row r="885" spans="1:23" ht="14.25" x14ac:dyDescent="0.2">
      <c r="A885" s="432"/>
      <c r="B885" s="681"/>
      <c r="C885" s="681"/>
      <c r="D885" s="1119" t="s">
        <v>1604</v>
      </c>
      <c r="E885" s="2273" t="s">
        <v>1719</v>
      </c>
      <c r="F885" s="865"/>
      <c r="G885" s="865">
        <v>29</v>
      </c>
      <c r="H885" s="865">
        <v>29</v>
      </c>
      <c r="I885" s="861">
        <f t="shared" si="42"/>
        <v>100</v>
      </c>
    </row>
    <row r="886" spans="1:23" ht="15" x14ac:dyDescent="0.25">
      <c r="A886" s="432">
        <v>1121</v>
      </c>
      <c r="B886" s="681">
        <v>3122</v>
      </c>
      <c r="C886" s="681">
        <v>5336</v>
      </c>
      <c r="D886" s="554"/>
      <c r="E886" s="1479" t="s">
        <v>1269</v>
      </c>
      <c r="F886" s="889"/>
      <c r="G886" s="889">
        <f>G887+G888+G889</f>
        <v>13529</v>
      </c>
      <c r="H886" s="889">
        <f>H887+H888+H889</f>
        <v>13529</v>
      </c>
      <c r="I886" s="891">
        <f t="shared" si="42"/>
        <v>100</v>
      </c>
    </row>
    <row r="887" spans="1:23" ht="14.25" x14ac:dyDescent="0.2">
      <c r="A887" s="432"/>
      <c r="B887" s="681"/>
      <c r="C887" s="681"/>
      <c r="D887" s="554" t="s">
        <v>1182</v>
      </c>
      <c r="E887" s="456" t="s">
        <v>832</v>
      </c>
      <c r="F887" s="865"/>
      <c r="G887" s="865">
        <v>13015</v>
      </c>
      <c r="H887" s="865">
        <v>13015</v>
      </c>
      <c r="I887" s="861">
        <f t="shared" si="42"/>
        <v>100</v>
      </c>
    </row>
    <row r="888" spans="1:23" ht="14.25" x14ac:dyDescent="0.2">
      <c r="A888" s="432"/>
      <c r="B888" s="681"/>
      <c r="C888" s="681"/>
      <c r="D888" s="1481" t="s">
        <v>1608</v>
      </c>
      <c r="E888" s="1476" t="s">
        <v>1717</v>
      </c>
      <c r="F888" s="865"/>
      <c r="G888" s="865">
        <v>77</v>
      </c>
      <c r="H888" s="865">
        <v>77</v>
      </c>
      <c r="I888" s="861">
        <f t="shared" si="42"/>
        <v>100</v>
      </c>
    </row>
    <row r="889" spans="1:23" ht="15" thickBot="1" x14ac:dyDescent="0.25">
      <c r="A889" s="432"/>
      <c r="B889" s="681"/>
      <c r="C889" s="681"/>
      <c r="D889" s="1481" t="s">
        <v>1610</v>
      </c>
      <c r="E889" s="1476" t="s">
        <v>1717</v>
      </c>
      <c r="F889" s="865"/>
      <c r="G889" s="865">
        <v>437</v>
      </c>
      <c r="H889" s="865">
        <v>437</v>
      </c>
      <c r="I889" s="861">
        <f t="shared" si="42"/>
        <v>100</v>
      </c>
    </row>
    <row r="890" spans="1:23" ht="16.5" thickTop="1" thickBot="1" x14ac:dyDescent="0.3">
      <c r="A890" s="2685" t="s">
        <v>1162</v>
      </c>
      <c r="B890" s="2686"/>
      <c r="C890" s="2686"/>
      <c r="D890" s="2686"/>
      <c r="E890" s="2686"/>
      <c r="F890" s="862">
        <f>SUM(F882)</f>
        <v>2668</v>
      </c>
      <c r="G890" s="862">
        <f>G882+G886</f>
        <v>15847</v>
      </c>
      <c r="H890" s="862">
        <f>H882+H886</f>
        <v>15847</v>
      </c>
      <c r="I890" s="863">
        <f t="shared" si="42"/>
        <v>100</v>
      </c>
      <c r="R890" s="383">
        <f>F890</f>
        <v>2668</v>
      </c>
      <c r="S890" s="383">
        <f>G890</f>
        <v>15847</v>
      </c>
      <c r="T890" s="383">
        <f>H890</f>
        <v>15847</v>
      </c>
    </row>
    <row r="891" spans="1:23" ht="15.75" thickTop="1" x14ac:dyDescent="0.25">
      <c r="A891" s="432">
        <v>1121</v>
      </c>
      <c r="B891" s="681">
        <v>3122</v>
      </c>
      <c r="C891" s="681">
        <v>6351</v>
      </c>
      <c r="D891" s="857"/>
      <c r="E891" s="626" t="s">
        <v>1231</v>
      </c>
      <c r="F891" s="858">
        <v>0</v>
      </c>
      <c r="G891" s="858">
        <v>50</v>
      </c>
      <c r="H891" s="858">
        <v>50</v>
      </c>
      <c r="I891" s="859">
        <f>(H891/G891)*100</f>
        <v>100</v>
      </c>
    </row>
    <row r="892" spans="1:23" ht="15.75" thickBot="1" x14ac:dyDescent="0.3">
      <c r="A892" s="432"/>
      <c r="B892" s="681"/>
      <c r="C892" s="681"/>
      <c r="D892" s="1110" t="s">
        <v>196</v>
      </c>
      <c r="E892" s="1215" t="s">
        <v>751</v>
      </c>
      <c r="F892" s="858"/>
      <c r="G892" s="357">
        <v>50</v>
      </c>
      <c r="H892" s="357">
        <v>50</v>
      </c>
      <c r="I892" s="1370">
        <v>100</v>
      </c>
    </row>
    <row r="893" spans="1:23" ht="16.5" thickTop="1" thickBot="1" x14ac:dyDescent="0.3">
      <c r="A893" s="2685" t="s">
        <v>1163</v>
      </c>
      <c r="B893" s="2686"/>
      <c r="C893" s="2686"/>
      <c r="D893" s="2686"/>
      <c r="E893" s="2686"/>
      <c r="F893" s="862">
        <f>F891</f>
        <v>0</v>
      </c>
      <c r="G893" s="862">
        <f>G891</f>
        <v>50</v>
      </c>
      <c r="H893" s="862">
        <f>H891</f>
        <v>50</v>
      </c>
      <c r="I893" s="863">
        <f>(H893/G893)*100</f>
        <v>100</v>
      </c>
      <c r="R893" s="383"/>
      <c r="S893" s="383"/>
      <c r="T893" s="383"/>
      <c r="U893" s="383">
        <f>F893</f>
        <v>0</v>
      </c>
      <c r="V893" s="383">
        <f>G893</f>
        <v>50</v>
      </c>
      <c r="W893" s="383">
        <f>H893</f>
        <v>50</v>
      </c>
    </row>
    <row r="894" spans="1:23" ht="13.5" thickTop="1" x14ac:dyDescent="0.2"/>
    <row r="904" spans="1:9" ht="13.5" thickBot="1" x14ac:dyDescent="0.25">
      <c r="A904" s="433" t="s">
        <v>505</v>
      </c>
      <c r="I904" s="1465" t="s">
        <v>173</v>
      </c>
    </row>
    <row r="905" spans="1:9" s="107" customFormat="1" thickTop="1" thickBot="1" x14ac:dyDescent="0.25">
      <c r="A905" s="633" t="s">
        <v>661</v>
      </c>
      <c r="B905" s="810" t="s">
        <v>174</v>
      </c>
      <c r="C905" s="634" t="s">
        <v>175</v>
      </c>
      <c r="D905" s="636" t="s">
        <v>744</v>
      </c>
      <c r="E905" s="636" t="s">
        <v>176</v>
      </c>
      <c r="F905" s="636" t="s">
        <v>177</v>
      </c>
      <c r="G905" s="636" t="s">
        <v>922</v>
      </c>
      <c r="H905" s="636" t="s">
        <v>923</v>
      </c>
      <c r="I905" s="856" t="s">
        <v>924</v>
      </c>
    </row>
    <row r="906" spans="1:9" s="384" customFormat="1" ht="14.25" customHeight="1" thickTop="1" thickBot="1" x14ac:dyDescent="0.25">
      <c r="A906" s="568">
        <v>1</v>
      </c>
      <c r="B906" s="569">
        <v>2</v>
      </c>
      <c r="C906" s="569">
        <v>3</v>
      </c>
      <c r="D906" s="569">
        <v>4</v>
      </c>
      <c r="E906" s="569">
        <v>5</v>
      </c>
      <c r="F906" s="543">
        <v>6</v>
      </c>
      <c r="G906" s="543">
        <v>7</v>
      </c>
      <c r="H906" s="544">
        <v>8</v>
      </c>
      <c r="I906" s="638" t="s">
        <v>801</v>
      </c>
    </row>
    <row r="907" spans="1:9" ht="15.75" thickTop="1" x14ac:dyDescent="0.25">
      <c r="A907" s="1466">
        <v>1122</v>
      </c>
      <c r="B907" s="811">
        <v>3122</v>
      </c>
      <c r="C907" s="811">
        <v>5331</v>
      </c>
      <c r="D907" s="877"/>
      <c r="E907" s="898" t="s">
        <v>996</v>
      </c>
      <c r="F907" s="899">
        <f>SUM(F908:F912)</f>
        <v>2338</v>
      </c>
      <c r="G907" s="899">
        <f>G908+G909+G910</f>
        <v>2295</v>
      </c>
      <c r="H907" s="899">
        <f>H908+H909+H910</f>
        <v>2295</v>
      </c>
      <c r="I907" s="864">
        <f t="shared" ref="I907:I932" si="43">(H907/G907)*100</f>
        <v>100</v>
      </c>
    </row>
    <row r="908" spans="1:9" ht="14.25" x14ac:dyDescent="0.2">
      <c r="A908" s="432"/>
      <c r="B908" s="681"/>
      <c r="C908" s="681"/>
      <c r="D908" s="719" t="s">
        <v>611</v>
      </c>
      <c r="E908" s="1569" t="s">
        <v>833</v>
      </c>
      <c r="F908" s="865">
        <v>949</v>
      </c>
      <c r="G908" s="865">
        <v>902</v>
      </c>
      <c r="H908" s="865">
        <v>902</v>
      </c>
      <c r="I908" s="861">
        <f t="shared" si="43"/>
        <v>100</v>
      </c>
    </row>
    <row r="909" spans="1:9" ht="14.25" x14ac:dyDescent="0.2">
      <c r="A909" s="432"/>
      <c r="B909" s="681"/>
      <c r="C909" s="681"/>
      <c r="D909" s="554" t="s">
        <v>606</v>
      </c>
      <c r="E909" s="456" t="s">
        <v>72</v>
      </c>
      <c r="F909" s="865">
        <v>1389</v>
      </c>
      <c r="G909" s="865">
        <v>1389</v>
      </c>
      <c r="H909" s="865">
        <v>1389</v>
      </c>
      <c r="I909" s="861">
        <f t="shared" si="43"/>
        <v>100</v>
      </c>
    </row>
    <row r="910" spans="1:9" ht="14.25" x14ac:dyDescent="0.2">
      <c r="A910" s="432"/>
      <c r="B910" s="681"/>
      <c r="C910" s="681"/>
      <c r="D910" s="1119" t="s">
        <v>1604</v>
      </c>
      <c r="E910" s="2273" t="s">
        <v>1719</v>
      </c>
      <c r="F910" s="865"/>
      <c r="G910" s="865">
        <v>4</v>
      </c>
      <c r="H910" s="865">
        <v>4</v>
      </c>
      <c r="I910" s="861">
        <f t="shared" si="43"/>
        <v>100</v>
      </c>
    </row>
    <row r="911" spans="1:9" ht="15" x14ac:dyDescent="0.25">
      <c r="A911" s="432">
        <v>1122</v>
      </c>
      <c r="B911" s="681">
        <v>3122</v>
      </c>
      <c r="C911" s="681">
        <v>5336</v>
      </c>
      <c r="D911" s="554"/>
      <c r="E911" s="1479" t="s">
        <v>1269</v>
      </c>
      <c r="F911" s="889"/>
      <c r="G911" s="889">
        <f>G912+G913+G914</f>
        <v>14425</v>
      </c>
      <c r="H911" s="889">
        <f>H912+H913+H914</f>
        <v>14425</v>
      </c>
      <c r="I911" s="891">
        <f t="shared" si="43"/>
        <v>100</v>
      </c>
    </row>
    <row r="912" spans="1:9" ht="14.25" x14ac:dyDescent="0.2">
      <c r="A912" s="432"/>
      <c r="B912" s="681"/>
      <c r="C912" s="681"/>
      <c r="D912" s="554" t="s">
        <v>1182</v>
      </c>
      <c r="E912" s="456" t="s">
        <v>832</v>
      </c>
      <c r="F912" s="865"/>
      <c r="G912" s="865">
        <v>14013</v>
      </c>
      <c r="H912" s="865">
        <v>14013</v>
      </c>
      <c r="I912" s="861">
        <f t="shared" si="43"/>
        <v>100</v>
      </c>
    </row>
    <row r="913" spans="1:9" ht="14.25" x14ac:dyDescent="0.2">
      <c r="A913" s="432"/>
      <c r="B913" s="783"/>
      <c r="C913" s="783"/>
      <c r="D913" s="1481" t="s">
        <v>1608</v>
      </c>
      <c r="E913" s="1476" t="s">
        <v>1717</v>
      </c>
      <c r="F913" s="871"/>
      <c r="G913" s="871">
        <v>62</v>
      </c>
      <c r="H913" s="871">
        <v>62</v>
      </c>
      <c r="I913" s="866">
        <f t="shared" si="43"/>
        <v>100</v>
      </c>
    </row>
    <row r="914" spans="1:9" ht="14.25" x14ac:dyDescent="0.2">
      <c r="A914" s="432"/>
      <c r="B914" s="783"/>
      <c r="C914" s="783"/>
      <c r="D914" s="1481" t="s">
        <v>1610</v>
      </c>
      <c r="E914" s="1476" t="s">
        <v>1717</v>
      </c>
      <c r="F914" s="871"/>
      <c r="G914" s="871">
        <v>350</v>
      </c>
      <c r="H914" s="871">
        <v>350</v>
      </c>
      <c r="I914" s="866">
        <f t="shared" si="43"/>
        <v>100</v>
      </c>
    </row>
    <row r="915" spans="1:9" ht="15" x14ac:dyDescent="0.25">
      <c r="A915" s="432">
        <v>1122</v>
      </c>
      <c r="B915" s="783">
        <v>3123</v>
      </c>
      <c r="C915" s="783">
        <v>5331</v>
      </c>
      <c r="D915" s="2275"/>
      <c r="E915" s="680" t="s">
        <v>996</v>
      </c>
      <c r="F915" s="884">
        <f>F916+F917+F918</f>
        <v>4027</v>
      </c>
      <c r="G915" s="884">
        <f>G916+G917+G918</f>
        <v>4340</v>
      </c>
      <c r="H915" s="884">
        <f>H916+H917+H918</f>
        <v>4340</v>
      </c>
      <c r="I915" s="876">
        <f t="shared" si="43"/>
        <v>100</v>
      </c>
    </row>
    <row r="916" spans="1:9" ht="14.25" x14ac:dyDescent="0.2">
      <c r="A916" s="432"/>
      <c r="B916" s="783"/>
      <c r="C916" s="783"/>
      <c r="D916" s="719" t="s">
        <v>611</v>
      </c>
      <c r="E916" s="1569" t="s">
        <v>833</v>
      </c>
      <c r="F916" s="871">
        <v>150</v>
      </c>
      <c r="G916" s="875">
        <v>150</v>
      </c>
      <c r="H916" s="875">
        <v>150</v>
      </c>
      <c r="I916" s="377">
        <f t="shared" si="43"/>
        <v>100</v>
      </c>
    </row>
    <row r="917" spans="1:9" ht="14.25" x14ac:dyDescent="0.2">
      <c r="A917" s="432"/>
      <c r="B917" s="783"/>
      <c r="C917" s="783"/>
      <c r="D917" s="554" t="s">
        <v>606</v>
      </c>
      <c r="E917" s="456" t="s">
        <v>72</v>
      </c>
      <c r="F917" s="871">
        <v>3877</v>
      </c>
      <c r="G917" s="875">
        <v>3877</v>
      </c>
      <c r="H917" s="875">
        <v>3877</v>
      </c>
      <c r="I917" s="377">
        <f t="shared" si="43"/>
        <v>100</v>
      </c>
    </row>
    <row r="918" spans="1:9" ht="14.25" x14ac:dyDescent="0.2">
      <c r="A918" s="432"/>
      <c r="B918" s="783"/>
      <c r="C918" s="783"/>
      <c r="D918" s="1110" t="s">
        <v>968</v>
      </c>
      <c r="E918" s="1215" t="s">
        <v>969</v>
      </c>
      <c r="F918" s="871"/>
      <c r="G918" s="871">
        <v>313</v>
      </c>
      <c r="H918" s="871">
        <v>313</v>
      </c>
      <c r="I918" s="866">
        <f t="shared" si="43"/>
        <v>100</v>
      </c>
    </row>
    <row r="919" spans="1:9" ht="15" x14ac:dyDescent="0.25">
      <c r="A919" s="432">
        <v>1122</v>
      </c>
      <c r="B919" s="783">
        <v>3123</v>
      </c>
      <c r="C919" s="783">
        <v>5336</v>
      </c>
      <c r="D919" s="2275"/>
      <c r="E919" s="1479" t="s">
        <v>1269</v>
      </c>
      <c r="F919" s="871"/>
      <c r="G919" s="884">
        <v>13526</v>
      </c>
      <c r="H919" s="884">
        <v>13526</v>
      </c>
      <c r="I919" s="891">
        <f t="shared" si="43"/>
        <v>100</v>
      </c>
    </row>
    <row r="920" spans="1:9" ht="14.25" x14ac:dyDescent="0.2">
      <c r="A920" s="432"/>
      <c r="B920" s="783"/>
      <c r="C920" s="783"/>
      <c r="D920" s="554" t="s">
        <v>1182</v>
      </c>
      <c r="E920" s="456" t="s">
        <v>832</v>
      </c>
      <c r="F920" s="871"/>
      <c r="G920" s="871">
        <v>13526</v>
      </c>
      <c r="H920" s="871">
        <v>13526</v>
      </c>
      <c r="I920" s="892">
        <f t="shared" si="43"/>
        <v>100</v>
      </c>
    </row>
    <row r="921" spans="1:9" ht="15" x14ac:dyDescent="0.25">
      <c r="A921" s="432">
        <v>1122</v>
      </c>
      <c r="B921" s="783">
        <v>3141</v>
      </c>
      <c r="C921" s="783">
        <v>5336</v>
      </c>
      <c r="D921" s="570"/>
      <c r="E921" s="1479" t="s">
        <v>1269</v>
      </c>
      <c r="F921" s="884"/>
      <c r="G921" s="884">
        <v>334</v>
      </c>
      <c r="H921" s="884">
        <v>334</v>
      </c>
      <c r="I921" s="876">
        <f t="shared" si="43"/>
        <v>100</v>
      </c>
    </row>
    <row r="922" spans="1:9" ht="14.25" x14ac:dyDescent="0.2">
      <c r="A922" s="432"/>
      <c r="B922" s="783"/>
      <c r="C922" s="783"/>
      <c r="D922" s="554" t="s">
        <v>1182</v>
      </c>
      <c r="E922" s="456" t="s">
        <v>832</v>
      </c>
      <c r="F922" s="871"/>
      <c r="G922" s="871">
        <v>334</v>
      </c>
      <c r="H922" s="871">
        <v>334</v>
      </c>
      <c r="I922" s="866">
        <f t="shared" si="43"/>
        <v>100</v>
      </c>
    </row>
    <row r="923" spans="1:9" ht="15" x14ac:dyDescent="0.25">
      <c r="A923" s="432">
        <v>1122</v>
      </c>
      <c r="B923" s="783">
        <v>3142</v>
      </c>
      <c r="C923" s="783">
        <v>5331</v>
      </c>
      <c r="D923" s="897"/>
      <c r="E923" s="680" t="s">
        <v>996</v>
      </c>
      <c r="F923" s="873">
        <f>F924+F925</f>
        <v>1015</v>
      </c>
      <c r="G923" s="873">
        <f>G924+G925</f>
        <v>1015</v>
      </c>
      <c r="H923" s="873">
        <f>H924+H925</f>
        <v>1015</v>
      </c>
      <c r="I923" s="874">
        <f t="shared" si="43"/>
        <v>100</v>
      </c>
    </row>
    <row r="924" spans="1:9" ht="14.25" x14ac:dyDescent="0.2">
      <c r="A924" s="432"/>
      <c r="B924" s="783"/>
      <c r="C924" s="783"/>
      <c r="D924" s="719" t="s">
        <v>611</v>
      </c>
      <c r="E924" s="1569" t="s">
        <v>833</v>
      </c>
      <c r="F924" s="871">
        <v>115</v>
      </c>
      <c r="G924" s="871">
        <v>115</v>
      </c>
      <c r="H924" s="871">
        <v>115</v>
      </c>
      <c r="I924" s="866">
        <f t="shared" si="43"/>
        <v>100</v>
      </c>
    </row>
    <row r="925" spans="1:9" ht="14.25" x14ac:dyDescent="0.2">
      <c r="A925" s="432"/>
      <c r="B925" s="783"/>
      <c r="C925" s="783"/>
      <c r="D925" s="554" t="s">
        <v>606</v>
      </c>
      <c r="E925" s="456" t="s">
        <v>72</v>
      </c>
      <c r="F925" s="871">
        <v>900</v>
      </c>
      <c r="G925" s="871">
        <v>900</v>
      </c>
      <c r="H925" s="871">
        <v>900</v>
      </c>
      <c r="I925" s="866">
        <f t="shared" si="43"/>
        <v>100</v>
      </c>
    </row>
    <row r="926" spans="1:9" ht="15" x14ac:dyDescent="0.25">
      <c r="A926" s="432">
        <v>1122</v>
      </c>
      <c r="B926" s="783">
        <v>3142</v>
      </c>
      <c r="C926" s="783">
        <v>5336</v>
      </c>
      <c r="D926" s="570"/>
      <c r="E926" s="1479" t="s">
        <v>1269</v>
      </c>
      <c r="F926" s="884"/>
      <c r="G926" s="884">
        <v>1456</v>
      </c>
      <c r="H926" s="884">
        <v>1456</v>
      </c>
      <c r="I926" s="876">
        <f t="shared" si="43"/>
        <v>100</v>
      </c>
    </row>
    <row r="927" spans="1:9" ht="14.25" x14ac:dyDescent="0.2">
      <c r="A927" s="432"/>
      <c r="B927" s="783"/>
      <c r="C927" s="783"/>
      <c r="D927" s="554" t="s">
        <v>1182</v>
      </c>
      <c r="E927" s="456" t="s">
        <v>832</v>
      </c>
      <c r="F927" s="871"/>
      <c r="G927" s="871">
        <v>1456</v>
      </c>
      <c r="H927" s="871">
        <v>1456</v>
      </c>
      <c r="I927" s="866">
        <f t="shared" si="43"/>
        <v>100</v>
      </c>
    </row>
    <row r="928" spans="1:9" ht="15" x14ac:dyDescent="0.25">
      <c r="A928" s="432">
        <v>1122</v>
      </c>
      <c r="B928" s="783">
        <v>3147</v>
      </c>
      <c r="C928" s="783">
        <v>5331</v>
      </c>
      <c r="D928" s="897"/>
      <c r="E928" s="829" t="s">
        <v>996</v>
      </c>
      <c r="F928" s="873">
        <f>SUM(F929:F930)</f>
        <v>777</v>
      </c>
      <c r="G928" s="873">
        <f>SUM(G929:G930)</f>
        <v>777</v>
      </c>
      <c r="H928" s="873">
        <f>SUM(H929:H930)</f>
        <v>777</v>
      </c>
      <c r="I928" s="874">
        <f t="shared" si="43"/>
        <v>100</v>
      </c>
    </row>
    <row r="929" spans="1:20" ht="14.25" x14ac:dyDescent="0.2">
      <c r="A929" s="432"/>
      <c r="B929" s="783"/>
      <c r="C929" s="783"/>
      <c r="D929" s="719" t="s">
        <v>611</v>
      </c>
      <c r="E929" s="1569" t="s">
        <v>833</v>
      </c>
      <c r="F929" s="875">
        <v>101</v>
      </c>
      <c r="G929" s="875">
        <v>101</v>
      </c>
      <c r="H929" s="875">
        <v>101</v>
      </c>
      <c r="I929" s="377">
        <f t="shared" si="43"/>
        <v>100</v>
      </c>
    </row>
    <row r="930" spans="1:20" ht="14.25" x14ac:dyDescent="0.2">
      <c r="A930" s="432"/>
      <c r="B930" s="783"/>
      <c r="C930" s="783"/>
      <c r="D930" s="554" t="s">
        <v>606</v>
      </c>
      <c r="E930" s="456" t="s">
        <v>72</v>
      </c>
      <c r="F930" s="871">
        <v>676</v>
      </c>
      <c r="G930" s="871">
        <v>676</v>
      </c>
      <c r="H930" s="871">
        <v>676</v>
      </c>
      <c r="I930" s="866">
        <f t="shared" si="43"/>
        <v>100</v>
      </c>
    </row>
    <row r="931" spans="1:20" ht="15" x14ac:dyDescent="0.25">
      <c r="A931" s="432">
        <v>1122</v>
      </c>
      <c r="B931" s="783">
        <v>3147</v>
      </c>
      <c r="C931" s="783">
        <v>5336</v>
      </c>
      <c r="D931" s="554"/>
      <c r="E931" s="1479" t="s">
        <v>1269</v>
      </c>
      <c r="F931" s="871"/>
      <c r="G931" s="884">
        <v>1470</v>
      </c>
      <c r="H931" s="884">
        <v>1470</v>
      </c>
      <c r="I931" s="876">
        <f t="shared" si="43"/>
        <v>100</v>
      </c>
    </row>
    <row r="932" spans="1:20" ht="18" customHeight="1" thickBot="1" x14ac:dyDescent="0.25">
      <c r="A932" s="432"/>
      <c r="B932" s="783"/>
      <c r="C932" s="1468"/>
      <c r="D932" s="554" t="s">
        <v>1182</v>
      </c>
      <c r="E932" s="456" t="s">
        <v>832</v>
      </c>
      <c r="F932" s="871"/>
      <c r="G932" s="871">
        <v>1470</v>
      </c>
      <c r="H932" s="871">
        <v>1470</v>
      </c>
      <c r="I932" s="866">
        <f t="shared" si="43"/>
        <v>100</v>
      </c>
    </row>
    <row r="933" spans="1:20" ht="16.5" thickTop="1" thickBot="1" x14ac:dyDescent="0.3">
      <c r="A933" s="2685" t="s">
        <v>1162</v>
      </c>
      <c r="B933" s="2686"/>
      <c r="C933" s="2686"/>
      <c r="D933" s="2686"/>
      <c r="E933" s="2686"/>
      <c r="F933" s="862">
        <f>SUM(F928,F923,F907,F921,F915)</f>
        <v>8157</v>
      </c>
      <c r="G933" s="862">
        <f>SUM(G928,G923,G907,G921,G931,G926,G919,G915,G911)</f>
        <v>39638</v>
      </c>
      <c r="H933" s="862">
        <f>SUM(H928,H923,H907,H921,H931,H926,H919,H915,H911)</f>
        <v>39638</v>
      </c>
      <c r="I933" s="863">
        <f>(H933/G933)*100</f>
        <v>100</v>
      </c>
      <c r="R933" s="383">
        <f>F933</f>
        <v>8157</v>
      </c>
      <c r="S933" s="383">
        <f>G933</f>
        <v>39638</v>
      </c>
      <c r="T933" s="383">
        <f>H933</f>
        <v>39638</v>
      </c>
    </row>
    <row r="934" spans="1:20" ht="15" customHeight="1" thickTop="1" x14ac:dyDescent="0.2"/>
    <row r="935" spans="1:20" ht="15" customHeight="1" x14ac:dyDescent="0.2"/>
    <row r="936" spans="1:20" ht="15" customHeight="1" x14ac:dyDescent="0.2"/>
    <row r="937" spans="1:20" ht="13.5" thickBot="1" x14ac:dyDescent="0.25">
      <c r="A937" s="433" t="s">
        <v>353</v>
      </c>
      <c r="I937" s="1465" t="s">
        <v>173</v>
      </c>
    </row>
    <row r="938" spans="1:20" s="107" customFormat="1" ht="20.25" customHeight="1" thickTop="1" thickBot="1" x14ac:dyDescent="0.25">
      <c r="A938" s="633" t="s">
        <v>661</v>
      </c>
      <c r="B938" s="810" t="s">
        <v>174</v>
      </c>
      <c r="C938" s="634" t="s">
        <v>175</v>
      </c>
      <c r="D938" s="636" t="s">
        <v>744</v>
      </c>
      <c r="E938" s="636" t="s">
        <v>176</v>
      </c>
      <c r="F938" s="636" t="s">
        <v>177</v>
      </c>
      <c r="G938" s="636" t="s">
        <v>922</v>
      </c>
      <c r="H938" s="636" t="s">
        <v>923</v>
      </c>
      <c r="I938" s="856" t="s">
        <v>924</v>
      </c>
    </row>
    <row r="939" spans="1:20" s="384" customFormat="1" ht="13.5" thickTop="1" thickBot="1" x14ac:dyDescent="0.25">
      <c r="A939" s="568">
        <v>1</v>
      </c>
      <c r="B939" s="569">
        <v>2</v>
      </c>
      <c r="C939" s="569">
        <v>3</v>
      </c>
      <c r="D939" s="569">
        <v>4</v>
      </c>
      <c r="E939" s="569">
        <v>5</v>
      </c>
      <c r="F939" s="543">
        <v>6</v>
      </c>
      <c r="G939" s="543">
        <v>7</v>
      </c>
      <c r="H939" s="544">
        <v>8</v>
      </c>
      <c r="I939" s="638" t="s">
        <v>801</v>
      </c>
    </row>
    <row r="940" spans="1:20" ht="15.75" thickTop="1" x14ac:dyDescent="0.25">
      <c r="A940" s="1466">
        <v>1123</v>
      </c>
      <c r="B940" s="811">
        <v>3122</v>
      </c>
      <c r="C940" s="811">
        <v>5331</v>
      </c>
      <c r="D940" s="877"/>
      <c r="E940" s="898" t="s">
        <v>996</v>
      </c>
      <c r="F940" s="899">
        <f>F941+F942+F943</f>
        <v>2097</v>
      </c>
      <c r="G940" s="899">
        <f>G941+G942+G943</f>
        <v>2106</v>
      </c>
      <c r="H940" s="899">
        <f>H941+H942+H943</f>
        <v>2106</v>
      </c>
      <c r="I940" s="864">
        <f t="shared" ref="I940:I968" si="44">(H940/G940)*100</f>
        <v>100</v>
      </c>
    </row>
    <row r="941" spans="1:20" ht="14.25" x14ac:dyDescent="0.2">
      <c r="A941" s="432"/>
      <c r="B941" s="681"/>
      <c r="C941" s="681"/>
      <c r="D941" s="719" t="s">
        <v>611</v>
      </c>
      <c r="E941" s="1569" t="s">
        <v>833</v>
      </c>
      <c r="F941" s="865">
        <v>397</v>
      </c>
      <c r="G941" s="865">
        <v>397</v>
      </c>
      <c r="H941" s="865">
        <v>397</v>
      </c>
      <c r="I941" s="861">
        <f t="shared" si="44"/>
        <v>100</v>
      </c>
    </row>
    <row r="942" spans="1:20" ht="14.25" x14ac:dyDescent="0.2">
      <c r="A942" s="432"/>
      <c r="B942" s="681"/>
      <c r="C942" s="681"/>
      <c r="D942" s="554" t="s">
        <v>606</v>
      </c>
      <c r="E942" s="456" t="s">
        <v>72</v>
      </c>
      <c r="F942" s="865">
        <v>1700</v>
      </c>
      <c r="G942" s="865">
        <v>1700</v>
      </c>
      <c r="H942" s="865">
        <v>1700</v>
      </c>
      <c r="I942" s="861">
        <f t="shared" si="44"/>
        <v>100</v>
      </c>
    </row>
    <row r="943" spans="1:20" ht="14.25" x14ac:dyDescent="0.2">
      <c r="A943" s="432"/>
      <c r="B943" s="681"/>
      <c r="C943" s="681"/>
      <c r="D943" s="1119" t="s">
        <v>1604</v>
      </c>
      <c r="E943" s="2276" t="s">
        <v>1719</v>
      </c>
      <c r="F943" s="865"/>
      <c r="G943" s="865">
        <v>9</v>
      </c>
      <c r="H943" s="865">
        <v>9</v>
      </c>
      <c r="I943" s="861">
        <f t="shared" si="44"/>
        <v>100</v>
      </c>
    </row>
    <row r="944" spans="1:20" ht="20.25" customHeight="1" x14ac:dyDescent="0.25">
      <c r="A944" s="432">
        <v>1123</v>
      </c>
      <c r="B944" s="783">
        <v>3122</v>
      </c>
      <c r="C944" s="783">
        <v>5336</v>
      </c>
      <c r="D944" s="554"/>
      <c r="E944" s="1479" t="s">
        <v>1269</v>
      </c>
      <c r="F944" s="871"/>
      <c r="G944" s="884">
        <f>G945+G946+G947</f>
        <v>10352</v>
      </c>
      <c r="H944" s="884">
        <f>H945+H946+H947</f>
        <v>10352</v>
      </c>
      <c r="I944" s="876">
        <f t="shared" si="44"/>
        <v>100</v>
      </c>
    </row>
    <row r="945" spans="1:9" ht="14.25" x14ac:dyDescent="0.2">
      <c r="A945" s="432"/>
      <c r="B945" s="681"/>
      <c r="C945" s="681"/>
      <c r="D945" s="554" t="s">
        <v>1182</v>
      </c>
      <c r="E945" s="456" t="s">
        <v>832</v>
      </c>
      <c r="F945" s="865"/>
      <c r="G945" s="865">
        <v>9648</v>
      </c>
      <c r="H945" s="865">
        <v>9648</v>
      </c>
      <c r="I945" s="861">
        <f t="shared" si="44"/>
        <v>100</v>
      </c>
    </row>
    <row r="946" spans="1:9" ht="14.25" x14ac:dyDescent="0.2">
      <c r="A946" s="432"/>
      <c r="B946" s="783"/>
      <c r="C946" s="783"/>
      <c r="D946" s="1481" t="s">
        <v>1608</v>
      </c>
      <c r="E946" s="1476" t="s">
        <v>1717</v>
      </c>
      <c r="F946" s="871"/>
      <c r="G946" s="871">
        <v>106</v>
      </c>
      <c r="H946" s="871">
        <v>106</v>
      </c>
      <c r="I946" s="861">
        <f t="shared" si="44"/>
        <v>100</v>
      </c>
    </row>
    <row r="947" spans="1:9" ht="14.25" x14ac:dyDescent="0.2">
      <c r="A947" s="432"/>
      <c r="B947" s="783"/>
      <c r="C947" s="783"/>
      <c r="D947" s="1481" t="s">
        <v>1610</v>
      </c>
      <c r="E947" s="1476" t="s">
        <v>1717</v>
      </c>
      <c r="F947" s="871"/>
      <c r="G947" s="871">
        <v>598</v>
      </c>
      <c r="H947" s="871">
        <v>598</v>
      </c>
      <c r="I947" s="861">
        <f t="shared" si="44"/>
        <v>100</v>
      </c>
    </row>
    <row r="948" spans="1:9" ht="15" x14ac:dyDescent="0.25">
      <c r="A948" s="432">
        <v>1123</v>
      </c>
      <c r="B948" s="783">
        <v>3123</v>
      </c>
      <c r="C948" s="1468">
        <v>5331</v>
      </c>
      <c r="D948" s="880"/>
      <c r="E948" s="680" t="s">
        <v>996</v>
      </c>
      <c r="F948" s="873">
        <f>F949+F950</f>
        <v>2630</v>
      </c>
      <c r="G948" s="873">
        <f>G949+G950+G951</f>
        <v>2630</v>
      </c>
      <c r="H948" s="873">
        <f>H949+H950+H951</f>
        <v>2630</v>
      </c>
      <c r="I948" s="874">
        <f t="shared" si="44"/>
        <v>100</v>
      </c>
    </row>
    <row r="949" spans="1:9" ht="14.25" x14ac:dyDescent="0.2">
      <c r="A949" s="432"/>
      <c r="B949" s="783"/>
      <c r="C949" s="1468"/>
      <c r="D949" s="719" t="s">
        <v>611</v>
      </c>
      <c r="E949" s="1569" t="s">
        <v>833</v>
      </c>
      <c r="F949" s="875">
        <v>730</v>
      </c>
      <c r="G949" s="871">
        <v>730</v>
      </c>
      <c r="H949" s="871">
        <v>730</v>
      </c>
      <c r="I949" s="866">
        <f t="shared" si="44"/>
        <v>100</v>
      </c>
    </row>
    <row r="950" spans="1:9" ht="14.25" x14ac:dyDescent="0.2">
      <c r="A950" s="432"/>
      <c r="B950" s="783"/>
      <c r="C950" s="1468"/>
      <c r="D950" s="554" t="s">
        <v>606</v>
      </c>
      <c r="E950" s="456" t="s">
        <v>72</v>
      </c>
      <c r="F950" s="871">
        <v>1900</v>
      </c>
      <c r="G950" s="871">
        <v>1890</v>
      </c>
      <c r="H950" s="871">
        <v>1890</v>
      </c>
      <c r="I950" s="866">
        <f t="shared" si="44"/>
        <v>100</v>
      </c>
    </row>
    <row r="951" spans="1:9" ht="14.25" x14ac:dyDescent="0.2">
      <c r="A951" s="432"/>
      <c r="B951" s="783"/>
      <c r="C951" s="1468"/>
      <c r="D951" s="554" t="s">
        <v>703</v>
      </c>
      <c r="E951" s="456" t="s">
        <v>75</v>
      </c>
      <c r="F951" s="871"/>
      <c r="G951" s="871">
        <v>10</v>
      </c>
      <c r="H951" s="871">
        <v>10</v>
      </c>
      <c r="I951" s="866">
        <v>27</v>
      </c>
    </row>
    <row r="952" spans="1:9" ht="15" x14ac:dyDescent="0.25">
      <c r="A952" s="432">
        <v>1123</v>
      </c>
      <c r="B952" s="783">
        <v>3123</v>
      </c>
      <c r="C952" s="783">
        <v>5336</v>
      </c>
      <c r="D952" s="554"/>
      <c r="E952" s="1479" t="s">
        <v>1269</v>
      </c>
      <c r="F952" s="871"/>
      <c r="G952" s="884">
        <v>8951</v>
      </c>
      <c r="H952" s="884">
        <v>8951</v>
      </c>
      <c r="I952" s="876">
        <f>(H952/G952)*100</f>
        <v>100</v>
      </c>
    </row>
    <row r="953" spans="1:9" ht="14.25" x14ac:dyDescent="0.2">
      <c r="A953" s="432"/>
      <c r="B953" s="783"/>
      <c r="C953" s="1468"/>
      <c r="D953" s="554" t="s">
        <v>1182</v>
      </c>
      <c r="E953" s="456" t="s">
        <v>832</v>
      </c>
      <c r="F953" s="871"/>
      <c r="G953" s="871">
        <v>8951</v>
      </c>
      <c r="H953" s="871">
        <v>8951</v>
      </c>
      <c r="I953" s="866">
        <f t="shared" si="44"/>
        <v>100</v>
      </c>
    </row>
    <row r="954" spans="1:9" ht="18" customHeight="1" x14ac:dyDescent="0.25">
      <c r="A954" s="432">
        <v>1123</v>
      </c>
      <c r="B954" s="783">
        <v>3124</v>
      </c>
      <c r="C954" s="1468">
        <v>5331</v>
      </c>
      <c r="D954" s="880"/>
      <c r="E954" s="680" t="s">
        <v>996</v>
      </c>
      <c r="F954" s="873">
        <f>F955+F956</f>
        <v>815</v>
      </c>
      <c r="G954" s="873">
        <f>G955+G956</f>
        <v>815</v>
      </c>
      <c r="H954" s="873">
        <f>H955+H956</f>
        <v>815</v>
      </c>
      <c r="I954" s="874">
        <f t="shared" si="44"/>
        <v>100</v>
      </c>
    </row>
    <row r="955" spans="1:9" ht="14.25" x14ac:dyDescent="0.2">
      <c r="A955" s="432"/>
      <c r="B955" s="783"/>
      <c r="C955" s="1468"/>
      <c r="D955" s="719" t="s">
        <v>611</v>
      </c>
      <c r="E955" s="1569" t="s">
        <v>833</v>
      </c>
      <c r="F955" s="875">
        <v>183</v>
      </c>
      <c r="G955" s="871">
        <v>183</v>
      </c>
      <c r="H955" s="871">
        <v>183</v>
      </c>
      <c r="I955" s="866">
        <f t="shared" si="44"/>
        <v>100</v>
      </c>
    </row>
    <row r="956" spans="1:9" ht="14.25" x14ac:dyDescent="0.2">
      <c r="A956" s="432"/>
      <c r="B956" s="783"/>
      <c r="C956" s="1468"/>
      <c r="D956" s="554" t="s">
        <v>606</v>
      </c>
      <c r="E956" s="456" t="s">
        <v>72</v>
      </c>
      <c r="F956" s="871">
        <v>632</v>
      </c>
      <c r="G956" s="871">
        <v>632</v>
      </c>
      <c r="H956" s="871">
        <v>632</v>
      </c>
      <c r="I956" s="866">
        <f t="shared" si="44"/>
        <v>100</v>
      </c>
    </row>
    <row r="957" spans="1:9" ht="15" x14ac:dyDescent="0.25">
      <c r="A957" s="432">
        <v>1123</v>
      </c>
      <c r="B957" s="783">
        <v>3124</v>
      </c>
      <c r="C957" s="783">
        <v>5336</v>
      </c>
      <c r="D957" s="554"/>
      <c r="E957" s="1479" t="s">
        <v>1269</v>
      </c>
      <c r="F957" s="871"/>
      <c r="G957" s="884">
        <v>3956</v>
      </c>
      <c r="H957" s="884">
        <v>3956</v>
      </c>
      <c r="I957" s="876">
        <f t="shared" si="44"/>
        <v>100</v>
      </c>
    </row>
    <row r="958" spans="1:9" ht="14.25" x14ac:dyDescent="0.2">
      <c r="A958" s="432"/>
      <c r="B958" s="783"/>
      <c r="C958" s="1468"/>
      <c r="D958" s="554" t="s">
        <v>1182</v>
      </c>
      <c r="E958" s="456" t="s">
        <v>832</v>
      </c>
      <c r="F958" s="871"/>
      <c r="G958" s="871">
        <v>3956</v>
      </c>
      <c r="H958" s="871">
        <v>3956</v>
      </c>
      <c r="I958" s="866">
        <f t="shared" si="44"/>
        <v>100</v>
      </c>
    </row>
    <row r="959" spans="1:9" ht="20.25" customHeight="1" x14ac:dyDescent="0.25">
      <c r="A959" s="432">
        <v>1123</v>
      </c>
      <c r="B959" s="783">
        <v>3142</v>
      </c>
      <c r="C959" s="783">
        <v>5331</v>
      </c>
      <c r="D959" s="897"/>
      <c r="E959" s="680" t="s">
        <v>996</v>
      </c>
      <c r="F959" s="873">
        <f>F960+F961</f>
        <v>1755</v>
      </c>
      <c r="G959" s="873">
        <f>G960+G961</f>
        <v>1755</v>
      </c>
      <c r="H959" s="873">
        <f>H960+H961</f>
        <v>1755</v>
      </c>
      <c r="I959" s="874">
        <f t="shared" si="44"/>
        <v>100</v>
      </c>
    </row>
    <row r="960" spans="1:9" ht="14.25" x14ac:dyDescent="0.2">
      <c r="A960" s="432"/>
      <c r="B960" s="783"/>
      <c r="C960" s="783"/>
      <c r="D960" s="828" t="s">
        <v>611</v>
      </c>
      <c r="E960" s="1569" t="s">
        <v>833</v>
      </c>
      <c r="F960" s="871">
        <v>95</v>
      </c>
      <c r="G960" s="871">
        <v>95</v>
      </c>
      <c r="H960" s="871">
        <v>95</v>
      </c>
      <c r="I960" s="866">
        <f t="shared" si="44"/>
        <v>100</v>
      </c>
    </row>
    <row r="961" spans="1:20" ht="14.25" x14ac:dyDescent="0.2">
      <c r="A961" s="432"/>
      <c r="B961" s="783"/>
      <c r="C961" s="783"/>
      <c r="D961" s="554" t="s">
        <v>606</v>
      </c>
      <c r="E961" s="456" t="s">
        <v>72</v>
      </c>
      <c r="F961" s="871">
        <v>1660</v>
      </c>
      <c r="G961" s="871">
        <v>1660</v>
      </c>
      <c r="H961" s="871">
        <v>1660</v>
      </c>
      <c r="I961" s="866">
        <f t="shared" si="44"/>
        <v>100</v>
      </c>
    </row>
    <row r="962" spans="1:20" ht="15" x14ac:dyDescent="0.25">
      <c r="A962" s="432">
        <v>1123</v>
      </c>
      <c r="B962" s="783">
        <v>3142</v>
      </c>
      <c r="C962" s="783">
        <v>5336</v>
      </c>
      <c r="D962" s="554"/>
      <c r="E962" s="1479" t="s">
        <v>1269</v>
      </c>
      <c r="F962" s="871"/>
      <c r="G962" s="884">
        <v>1604</v>
      </c>
      <c r="H962" s="884">
        <v>1604</v>
      </c>
      <c r="I962" s="876">
        <f t="shared" si="44"/>
        <v>100</v>
      </c>
    </row>
    <row r="963" spans="1:20" ht="14.25" x14ac:dyDescent="0.2">
      <c r="A963" s="432"/>
      <c r="B963" s="783"/>
      <c r="C963" s="1468"/>
      <c r="D963" s="554" t="s">
        <v>1182</v>
      </c>
      <c r="E963" s="456" t="s">
        <v>832</v>
      </c>
      <c r="F963" s="871"/>
      <c r="G963" s="871">
        <v>1604</v>
      </c>
      <c r="H963" s="871">
        <v>1604</v>
      </c>
      <c r="I963" s="866">
        <f t="shared" si="44"/>
        <v>100</v>
      </c>
    </row>
    <row r="964" spans="1:20" ht="15" x14ac:dyDescent="0.25">
      <c r="A964" s="432">
        <v>1123</v>
      </c>
      <c r="B964" s="783">
        <v>3147</v>
      </c>
      <c r="C964" s="783">
        <v>5331</v>
      </c>
      <c r="D964" s="897"/>
      <c r="E964" s="680" t="s">
        <v>996</v>
      </c>
      <c r="F964" s="873">
        <f>F965+F966</f>
        <v>1033</v>
      </c>
      <c r="G964" s="873">
        <f>G965+G966</f>
        <v>1033</v>
      </c>
      <c r="H964" s="873">
        <f>H965+H966</f>
        <v>1033</v>
      </c>
      <c r="I964" s="874">
        <f t="shared" si="44"/>
        <v>100</v>
      </c>
    </row>
    <row r="965" spans="1:20" ht="14.25" x14ac:dyDescent="0.2">
      <c r="A965" s="432"/>
      <c r="B965" s="783"/>
      <c r="C965" s="783"/>
      <c r="D965" s="719" t="s">
        <v>611</v>
      </c>
      <c r="E965" s="1569" t="s">
        <v>833</v>
      </c>
      <c r="F965" s="871">
        <v>383</v>
      </c>
      <c r="G965" s="871">
        <v>383</v>
      </c>
      <c r="H965" s="871">
        <v>383</v>
      </c>
      <c r="I965" s="866">
        <f t="shared" si="44"/>
        <v>100</v>
      </c>
    </row>
    <row r="966" spans="1:20" ht="14.25" customHeight="1" x14ac:dyDescent="0.2">
      <c r="A966" s="432"/>
      <c r="B966" s="783"/>
      <c r="C966" s="783"/>
      <c r="D966" s="554" t="s">
        <v>606</v>
      </c>
      <c r="E966" s="456" t="s">
        <v>72</v>
      </c>
      <c r="F966" s="871">
        <v>650</v>
      </c>
      <c r="G966" s="871">
        <v>650</v>
      </c>
      <c r="H966" s="871">
        <v>650</v>
      </c>
      <c r="I966" s="866">
        <f t="shared" si="44"/>
        <v>100</v>
      </c>
    </row>
    <row r="967" spans="1:20" ht="15" x14ac:dyDescent="0.25">
      <c r="A967" s="432">
        <v>1123</v>
      </c>
      <c r="B967" s="783">
        <v>3147</v>
      </c>
      <c r="C967" s="783">
        <v>5336</v>
      </c>
      <c r="D967" s="554"/>
      <c r="E967" s="1479" t="s">
        <v>1269</v>
      </c>
      <c r="F967" s="871"/>
      <c r="G967" s="884">
        <v>3563</v>
      </c>
      <c r="H967" s="884">
        <v>3563</v>
      </c>
      <c r="I967" s="876">
        <f t="shared" si="44"/>
        <v>100</v>
      </c>
    </row>
    <row r="968" spans="1:20" ht="15" thickBot="1" x14ac:dyDescent="0.25">
      <c r="A968" s="432"/>
      <c r="B968" s="783"/>
      <c r="C968" s="1468"/>
      <c r="D968" s="554" t="s">
        <v>1182</v>
      </c>
      <c r="E968" s="456" t="s">
        <v>832</v>
      </c>
      <c r="F968" s="871"/>
      <c r="G968" s="871">
        <v>3563</v>
      </c>
      <c r="H968" s="871">
        <v>3563</v>
      </c>
      <c r="I968" s="866">
        <f t="shared" si="44"/>
        <v>100</v>
      </c>
    </row>
    <row r="969" spans="1:20" ht="16.5" thickTop="1" thickBot="1" x14ac:dyDescent="0.3">
      <c r="A969" s="2685" t="s">
        <v>1162</v>
      </c>
      <c r="B969" s="2686"/>
      <c r="C969" s="2686"/>
      <c r="D969" s="2686"/>
      <c r="E969" s="2686"/>
      <c r="F969" s="862">
        <f>F940+F948+F954+F959+F964</f>
        <v>8330</v>
      </c>
      <c r="G969" s="862">
        <f>G940+G948+G954+G959+G964+G967+G962+G957+G952+G944</f>
        <v>36765</v>
      </c>
      <c r="H969" s="862">
        <f>H940+H948+H954+H959+H964+H967+H962+H957+H952+H944</f>
        <v>36765</v>
      </c>
      <c r="I969" s="863">
        <f>(H969/G969)*100</f>
        <v>100</v>
      </c>
      <c r="R969" s="383">
        <f>F969</f>
        <v>8330</v>
      </c>
      <c r="S969" s="383">
        <f>G969</f>
        <v>36765</v>
      </c>
      <c r="T969" s="383">
        <f>H969</f>
        <v>36765</v>
      </c>
    </row>
    <row r="970" spans="1:20" ht="13.5" thickTop="1" x14ac:dyDescent="0.2"/>
    <row r="975" spans="1:20" ht="13.5" thickBot="1" x14ac:dyDescent="0.25">
      <c r="A975" s="433" t="s">
        <v>506</v>
      </c>
      <c r="I975" s="1465" t="s">
        <v>173</v>
      </c>
    </row>
    <row r="976" spans="1:20" s="107" customFormat="1" thickTop="1" thickBot="1" x14ac:dyDescent="0.25">
      <c r="A976" s="633" t="s">
        <v>661</v>
      </c>
      <c r="B976" s="810" t="s">
        <v>174</v>
      </c>
      <c r="C976" s="634" t="s">
        <v>175</v>
      </c>
      <c r="D976" s="636" t="s">
        <v>744</v>
      </c>
      <c r="E976" s="636" t="s">
        <v>176</v>
      </c>
      <c r="F976" s="636" t="s">
        <v>177</v>
      </c>
      <c r="G976" s="636" t="s">
        <v>922</v>
      </c>
      <c r="H976" s="636" t="s">
        <v>923</v>
      </c>
      <c r="I976" s="856" t="s">
        <v>924</v>
      </c>
    </row>
    <row r="977" spans="1:20" s="384" customFormat="1" ht="13.5" thickTop="1" thickBot="1" x14ac:dyDescent="0.25">
      <c r="A977" s="568">
        <v>1</v>
      </c>
      <c r="B977" s="569">
        <v>2</v>
      </c>
      <c r="C977" s="569">
        <v>3</v>
      </c>
      <c r="D977" s="569">
        <v>4</v>
      </c>
      <c r="E977" s="569">
        <v>5</v>
      </c>
      <c r="F977" s="543">
        <v>6</v>
      </c>
      <c r="G977" s="543">
        <v>7</v>
      </c>
      <c r="H977" s="544">
        <v>8</v>
      </c>
      <c r="I977" s="638" t="s">
        <v>801</v>
      </c>
    </row>
    <row r="978" spans="1:20" ht="15.75" thickTop="1" x14ac:dyDescent="0.25">
      <c r="A978" s="432">
        <v>1124</v>
      </c>
      <c r="B978" s="681">
        <v>3239</v>
      </c>
      <c r="C978" s="681">
        <v>5331</v>
      </c>
      <c r="D978" s="857"/>
      <c r="E978" s="829" t="s">
        <v>996</v>
      </c>
      <c r="F978" s="858">
        <f>F979</f>
        <v>336</v>
      </c>
      <c r="G978" s="858">
        <f>G979+G980</f>
        <v>735</v>
      </c>
      <c r="H978" s="858">
        <f>H979+H980</f>
        <v>735</v>
      </c>
      <c r="I978" s="859">
        <v>100</v>
      </c>
    </row>
    <row r="979" spans="1:20" ht="18" customHeight="1" x14ac:dyDescent="0.2">
      <c r="A979" s="432"/>
      <c r="B979" s="681"/>
      <c r="C979" s="681"/>
      <c r="D979" s="554" t="s">
        <v>606</v>
      </c>
      <c r="E979" s="456" t="s">
        <v>72</v>
      </c>
      <c r="F979" s="865">
        <v>336</v>
      </c>
      <c r="G979" s="865">
        <v>331</v>
      </c>
      <c r="H979" s="865">
        <v>331</v>
      </c>
      <c r="I979" s="866">
        <f>(H979/G979)*100</f>
        <v>100</v>
      </c>
    </row>
    <row r="980" spans="1:20" ht="15" thickBot="1" x14ac:dyDescent="0.25">
      <c r="A980" s="432"/>
      <c r="B980" s="783"/>
      <c r="C980" s="783"/>
      <c r="D980" s="554" t="s">
        <v>703</v>
      </c>
      <c r="E980" s="456" t="s">
        <v>75</v>
      </c>
      <c r="F980" s="865"/>
      <c r="G980" s="865">
        <v>404</v>
      </c>
      <c r="H980" s="865">
        <v>404</v>
      </c>
      <c r="I980" s="866">
        <f>(H980/G980)*100</f>
        <v>100</v>
      </c>
    </row>
    <row r="981" spans="1:20" ht="16.5" thickTop="1" thickBot="1" x14ac:dyDescent="0.3">
      <c r="A981" s="2685" t="s">
        <v>1162</v>
      </c>
      <c r="B981" s="2686"/>
      <c r="C981" s="2686"/>
      <c r="D981" s="2686"/>
      <c r="E981" s="2686"/>
      <c r="F981" s="862">
        <f>F978</f>
        <v>336</v>
      </c>
      <c r="G981" s="862">
        <f>G978</f>
        <v>735</v>
      </c>
      <c r="H981" s="862">
        <f>H978</f>
        <v>735</v>
      </c>
      <c r="I981" s="937">
        <f>(H981/G981)*100</f>
        <v>100</v>
      </c>
      <c r="R981" s="383">
        <f>F981</f>
        <v>336</v>
      </c>
      <c r="S981" s="383">
        <f>G981</f>
        <v>735</v>
      </c>
      <c r="T981" s="383">
        <f>H981</f>
        <v>735</v>
      </c>
    </row>
    <row r="982" spans="1:20" ht="15.75" thickTop="1" x14ac:dyDescent="0.25">
      <c r="A982" s="369"/>
      <c r="B982" s="369"/>
      <c r="C982" s="369"/>
      <c r="D982" s="369"/>
      <c r="E982" s="369"/>
      <c r="F982" s="183"/>
      <c r="G982" s="183"/>
      <c r="H982" s="183"/>
      <c r="I982" s="214"/>
      <c r="R982" s="383"/>
      <c r="S982" s="383"/>
      <c r="T982" s="383"/>
    </row>
    <row r="983" spans="1:20" ht="13.5" thickBot="1" x14ac:dyDescent="0.25">
      <c r="A983" s="433" t="s">
        <v>1532</v>
      </c>
      <c r="I983" s="1465" t="s">
        <v>173</v>
      </c>
    </row>
    <row r="984" spans="1:20" s="107" customFormat="1" thickTop="1" thickBot="1" x14ac:dyDescent="0.25">
      <c r="A984" s="633" t="s">
        <v>661</v>
      </c>
      <c r="B984" s="810" t="s">
        <v>174</v>
      </c>
      <c r="C984" s="634" t="s">
        <v>175</v>
      </c>
      <c r="D984" s="636" t="s">
        <v>744</v>
      </c>
      <c r="E984" s="636" t="s">
        <v>176</v>
      </c>
      <c r="F984" s="636" t="s">
        <v>177</v>
      </c>
      <c r="G984" s="636" t="s">
        <v>922</v>
      </c>
      <c r="H984" s="636" t="s">
        <v>923</v>
      </c>
      <c r="I984" s="856" t="s">
        <v>924</v>
      </c>
    </row>
    <row r="985" spans="1:20" s="384" customFormat="1" ht="13.5" thickTop="1" thickBot="1" x14ac:dyDescent="0.25">
      <c r="A985" s="568">
        <v>1</v>
      </c>
      <c r="B985" s="569">
        <v>2</v>
      </c>
      <c r="C985" s="569">
        <v>3</v>
      </c>
      <c r="D985" s="569">
        <v>4</v>
      </c>
      <c r="E985" s="569">
        <v>5</v>
      </c>
      <c r="F985" s="543">
        <v>6</v>
      </c>
      <c r="G985" s="543">
        <v>7</v>
      </c>
      <c r="H985" s="544">
        <v>8</v>
      </c>
      <c r="I985" s="638" t="s">
        <v>801</v>
      </c>
    </row>
    <row r="986" spans="1:20" ht="15.75" thickTop="1" x14ac:dyDescent="0.25">
      <c r="A986" s="1466">
        <v>1125</v>
      </c>
      <c r="B986" s="811">
        <v>3122</v>
      </c>
      <c r="C986" s="811">
        <v>5331</v>
      </c>
      <c r="D986" s="877"/>
      <c r="E986" s="898" t="s">
        <v>996</v>
      </c>
      <c r="F986" s="899">
        <f>F987+F988</f>
        <v>2345</v>
      </c>
      <c r="G986" s="899">
        <f>G987+G988</f>
        <v>2307</v>
      </c>
      <c r="H986" s="899">
        <f>H987+H988</f>
        <v>2307</v>
      </c>
      <c r="I986" s="864">
        <f t="shared" ref="I986:I1000" si="45">(H986/G986)*100</f>
        <v>100</v>
      </c>
    </row>
    <row r="987" spans="1:20" ht="14.25" x14ac:dyDescent="0.2">
      <c r="A987" s="432"/>
      <c r="B987" s="681"/>
      <c r="C987" s="681"/>
      <c r="D987" s="719" t="s">
        <v>611</v>
      </c>
      <c r="E987" s="1569" t="s">
        <v>833</v>
      </c>
      <c r="F987" s="865">
        <v>355</v>
      </c>
      <c r="G987" s="865">
        <v>317</v>
      </c>
      <c r="H987" s="865">
        <v>317</v>
      </c>
      <c r="I987" s="861">
        <f t="shared" si="45"/>
        <v>100</v>
      </c>
    </row>
    <row r="988" spans="1:20" ht="14.25" customHeight="1" x14ac:dyDescent="0.2">
      <c r="A988" s="432"/>
      <c r="B988" s="681"/>
      <c r="C988" s="681"/>
      <c r="D988" s="554" t="s">
        <v>606</v>
      </c>
      <c r="E988" s="456" t="s">
        <v>72</v>
      </c>
      <c r="F988" s="865">
        <v>1990</v>
      </c>
      <c r="G988" s="865">
        <v>1990</v>
      </c>
      <c r="H988" s="865">
        <v>1990</v>
      </c>
      <c r="I988" s="861">
        <f t="shared" si="45"/>
        <v>100</v>
      </c>
    </row>
    <row r="989" spans="1:20" ht="15" x14ac:dyDescent="0.25">
      <c r="A989" s="432">
        <v>1125</v>
      </c>
      <c r="B989" s="681">
        <v>3122</v>
      </c>
      <c r="C989" s="681">
        <v>5336</v>
      </c>
      <c r="D989" s="1119"/>
      <c r="E989" s="1479" t="s">
        <v>1269</v>
      </c>
      <c r="F989" s="865"/>
      <c r="G989" s="889">
        <f>G990+G991+G992</f>
        <v>10985</v>
      </c>
      <c r="H989" s="889">
        <f>H990+H991+H992</f>
        <v>10985</v>
      </c>
      <c r="I989" s="891">
        <f t="shared" si="45"/>
        <v>100</v>
      </c>
    </row>
    <row r="990" spans="1:20" ht="14.25" x14ac:dyDescent="0.2">
      <c r="A990" s="432"/>
      <c r="B990" s="681"/>
      <c r="C990" s="681"/>
      <c r="D990" s="554" t="s">
        <v>1182</v>
      </c>
      <c r="E990" s="456" t="s">
        <v>832</v>
      </c>
      <c r="F990" s="865"/>
      <c r="G990" s="865">
        <v>10703</v>
      </c>
      <c r="H990" s="865">
        <v>10703</v>
      </c>
      <c r="I990" s="861">
        <f t="shared" si="45"/>
        <v>100</v>
      </c>
    </row>
    <row r="991" spans="1:20" ht="14.25" x14ac:dyDescent="0.2">
      <c r="A991" s="432"/>
      <c r="B991" s="783"/>
      <c r="C991" s="783"/>
      <c r="D991" s="1481" t="s">
        <v>1608</v>
      </c>
      <c r="E991" s="1476" t="s">
        <v>1717</v>
      </c>
      <c r="F991" s="871"/>
      <c r="G991" s="871">
        <v>42</v>
      </c>
      <c r="H991" s="871">
        <v>42</v>
      </c>
      <c r="I991" s="866">
        <f t="shared" si="45"/>
        <v>100</v>
      </c>
    </row>
    <row r="992" spans="1:20" ht="14.25" x14ac:dyDescent="0.2">
      <c r="A992" s="432"/>
      <c r="B992" s="783"/>
      <c r="C992" s="783"/>
      <c r="D992" s="1481" t="s">
        <v>1610</v>
      </c>
      <c r="E992" s="1476" t="s">
        <v>1717</v>
      </c>
      <c r="F992" s="871"/>
      <c r="G992" s="871">
        <v>240</v>
      </c>
      <c r="H992" s="871">
        <v>240</v>
      </c>
      <c r="I992" s="866">
        <f t="shared" si="45"/>
        <v>100</v>
      </c>
    </row>
    <row r="993" spans="1:20" ht="15" x14ac:dyDescent="0.25">
      <c r="A993" s="432">
        <v>1125</v>
      </c>
      <c r="B993" s="783">
        <v>3142</v>
      </c>
      <c r="C993" s="1468">
        <v>5336</v>
      </c>
      <c r="D993" s="880"/>
      <c r="E993" s="1479" t="s">
        <v>1269</v>
      </c>
      <c r="F993" s="873"/>
      <c r="G993" s="873">
        <v>1154</v>
      </c>
      <c r="H993" s="873">
        <v>1154</v>
      </c>
      <c r="I993" s="874">
        <f t="shared" si="45"/>
        <v>100</v>
      </c>
    </row>
    <row r="994" spans="1:20" ht="20.25" customHeight="1" x14ac:dyDescent="0.2">
      <c r="A994" s="432"/>
      <c r="B994" s="783"/>
      <c r="C994" s="1468"/>
      <c r="D994" s="554" t="s">
        <v>1182</v>
      </c>
      <c r="E994" s="456" t="s">
        <v>832</v>
      </c>
      <c r="F994" s="871"/>
      <c r="G994" s="871">
        <v>1154</v>
      </c>
      <c r="H994" s="871">
        <v>1154</v>
      </c>
      <c r="I994" s="866">
        <f t="shared" si="45"/>
        <v>100</v>
      </c>
    </row>
    <row r="995" spans="1:20" ht="15" x14ac:dyDescent="0.25">
      <c r="A995" s="432">
        <v>1125</v>
      </c>
      <c r="B995" s="783">
        <v>3147</v>
      </c>
      <c r="C995" s="1468">
        <v>5331</v>
      </c>
      <c r="D995" s="880"/>
      <c r="E995" s="680" t="s">
        <v>996</v>
      </c>
      <c r="F995" s="873">
        <f>F996+F997</f>
        <v>1799</v>
      </c>
      <c r="G995" s="873">
        <f>G996+G997</f>
        <v>1809</v>
      </c>
      <c r="H995" s="873">
        <f>H996+H997</f>
        <v>1809</v>
      </c>
      <c r="I995" s="874">
        <f t="shared" si="45"/>
        <v>100</v>
      </c>
    </row>
    <row r="996" spans="1:20" ht="14.25" x14ac:dyDescent="0.2">
      <c r="A996" s="432"/>
      <c r="B996" s="783"/>
      <c r="C996" s="1468"/>
      <c r="D996" s="719" t="s">
        <v>611</v>
      </c>
      <c r="E996" s="1569" t="s">
        <v>833</v>
      </c>
      <c r="F996" s="871">
        <v>380</v>
      </c>
      <c r="G996" s="871">
        <v>390</v>
      </c>
      <c r="H996" s="871">
        <v>390</v>
      </c>
      <c r="I996" s="866">
        <f t="shared" si="45"/>
        <v>100</v>
      </c>
    </row>
    <row r="997" spans="1:20" ht="14.25" x14ac:dyDescent="0.2">
      <c r="A997" s="432"/>
      <c r="B997" s="783"/>
      <c r="C997" s="1468"/>
      <c r="D997" s="554" t="s">
        <v>606</v>
      </c>
      <c r="E997" s="456" t="s">
        <v>72</v>
      </c>
      <c r="F997" s="871">
        <v>1419</v>
      </c>
      <c r="G997" s="871">
        <v>1419</v>
      </c>
      <c r="H997" s="871">
        <v>1419</v>
      </c>
      <c r="I997" s="866">
        <f t="shared" si="45"/>
        <v>100</v>
      </c>
    </row>
    <row r="998" spans="1:20" ht="15" x14ac:dyDescent="0.25">
      <c r="A998" s="432">
        <v>1125</v>
      </c>
      <c r="B998" s="783">
        <v>3147</v>
      </c>
      <c r="C998" s="1468">
        <v>5336</v>
      </c>
      <c r="D998" s="554"/>
      <c r="E998" s="1479" t="s">
        <v>1269</v>
      </c>
      <c r="F998" s="871"/>
      <c r="G998" s="884">
        <v>1996</v>
      </c>
      <c r="H998" s="884">
        <v>1996</v>
      </c>
      <c r="I998" s="876">
        <f t="shared" si="45"/>
        <v>100</v>
      </c>
    </row>
    <row r="999" spans="1:20" ht="15" thickBot="1" x14ac:dyDescent="0.25">
      <c r="A999" s="432"/>
      <c r="B999" s="783"/>
      <c r="C999" s="1468"/>
      <c r="D999" s="554" t="s">
        <v>1182</v>
      </c>
      <c r="E999" s="456" t="s">
        <v>832</v>
      </c>
      <c r="F999" s="871"/>
      <c r="G999" s="871">
        <v>1996</v>
      </c>
      <c r="H999" s="871">
        <v>1996</v>
      </c>
      <c r="I999" s="866">
        <f t="shared" si="45"/>
        <v>100</v>
      </c>
    </row>
    <row r="1000" spans="1:20" ht="16.5" thickTop="1" thickBot="1" x14ac:dyDescent="0.3">
      <c r="A1000" s="2685" t="s">
        <v>1162</v>
      </c>
      <c r="B1000" s="2686"/>
      <c r="C1000" s="2686"/>
      <c r="D1000" s="2686"/>
      <c r="E1000" s="2686"/>
      <c r="F1000" s="862">
        <f>F986+F989+F993+F995+F998</f>
        <v>4144</v>
      </c>
      <c r="G1000" s="862">
        <f>G986+G989+G993+G995+G998</f>
        <v>18251</v>
      </c>
      <c r="H1000" s="862">
        <f>H986+H989+H993+H995+H998</f>
        <v>18251</v>
      </c>
      <c r="I1000" s="863">
        <f t="shared" si="45"/>
        <v>100</v>
      </c>
      <c r="R1000" s="383">
        <f>F1000</f>
        <v>4144</v>
      </c>
      <c r="S1000" s="383">
        <f>G1000</f>
        <v>18251</v>
      </c>
      <c r="T1000" s="383">
        <f>H1000</f>
        <v>18251</v>
      </c>
    </row>
    <row r="1001" spans="1:20" ht="13.5" thickTop="1" x14ac:dyDescent="0.2"/>
    <row r="1003" spans="1:20" ht="13.5" thickBot="1" x14ac:dyDescent="0.25">
      <c r="A1003" s="433" t="s">
        <v>1267</v>
      </c>
      <c r="I1003" s="1465" t="s">
        <v>173</v>
      </c>
    </row>
    <row r="1004" spans="1:20" s="107" customFormat="1" thickTop="1" thickBot="1" x14ac:dyDescent="0.25">
      <c r="A1004" s="633" t="s">
        <v>661</v>
      </c>
      <c r="B1004" s="810" t="s">
        <v>174</v>
      </c>
      <c r="C1004" s="634" t="s">
        <v>175</v>
      </c>
      <c r="D1004" s="636" t="s">
        <v>744</v>
      </c>
      <c r="E1004" s="636" t="s">
        <v>176</v>
      </c>
      <c r="F1004" s="636" t="s">
        <v>177</v>
      </c>
      <c r="G1004" s="636" t="s">
        <v>922</v>
      </c>
      <c r="H1004" s="636" t="s">
        <v>923</v>
      </c>
      <c r="I1004" s="856" t="s">
        <v>924</v>
      </c>
    </row>
    <row r="1005" spans="1:20" s="384" customFormat="1" ht="13.5" thickTop="1" thickBot="1" x14ac:dyDescent="0.25">
      <c r="A1005" s="568">
        <v>1</v>
      </c>
      <c r="B1005" s="569">
        <v>2</v>
      </c>
      <c r="C1005" s="569">
        <v>3</v>
      </c>
      <c r="D1005" s="569">
        <v>4</v>
      </c>
      <c r="E1005" s="569">
        <v>5</v>
      </c>
      <c r="F1005" s="543">
        <v>6</v>
      </c>
      <c r="G1005" s="543">
        <v>7</v>
      </c>
      <c r="H1005" s="544">
        <v>8</v>
      </c>
      <c r="I1005" s="638" t="s">
        <v>801</v>
      </c>
    </row>
    <row r="1006" spans="1:20" ht="15.75" thickTop="1" x14ac:dyDescent="0.25">
      <c r="A1006" s="1466">
        <v>1126</v>
      </c>
      <c r="B1006" s="811">
        <v>3122</v>
      </c>
      <c r="C1006" s="811">
        <v>5331</v>
      </c>
      <c r="D1006" s="877"/>
      <c r="E1006" s="898" t="s">
        <v>996</v>
      </c>
      <c r="F1006" s="899">
        <f>F1007+F1008</f>
        <v>2837</v>
      </c>
      <c r="G1006" s="899">
        <f>G1007+G1008+G1009+G1012</f>
        <v>2949</v>
      </c>
      <c r="H1006" s="899">
        <f>H1007+H1008+H1009+H1012</f>
        <v>2949</v>
      </c>
      <c r="I1006" s="864">
        <f t="shared" ref="I1006:I1025" si="46">(H1006/G1006)*100</f>
        <v>100</v>
      </c>
    </row>
    <row r="1007" spans="1:20" ht="14.25" x14ac:dyDescent="0.2">
      <c r="A1007" s="432"/>
      <c r="B1007" s="681"/>
      <c r="C1007" s="681"/>
      <c r="D1007" s="719" t="s">
        <v>611</v>
      </c>
      <c r="E1007" s="1569" t="s">
        <v>833</v>
      </c>
      <c r="F1007" s="865">
        <v>71</v>
      </c>
      <c r="G1007" s="865">
        <v>72</v>
      </c>
      <c r="H1007" s="865">
        <v>72</v>
      </c>
      <c r="I1007" s="861">
        <f t="shared" si="46"/>
        <v>100</v>
      </c>
    </row>
    <row r="1008" spans="1:20" ht="14.25" x14ac:dyDescent="0.2">
      <c r="A1008" s="432"/>
      <c r="B1008" s="681"/>
      <c r="C1008" s="681"/>
      <c r="D1008" s="554" t="s">
        <v>606</v>
      </c>
      <c r="E1008" s="456" t="s">
        <v>72</v>
      </c>
      <c r="F1008" s="865">
        <v>2766</v>
      </c>
      <c r="G1008" s="865">
        <v>2766</v>
      </c>
      <c r="H1008" s="865">
        <v>2766</v>
      </c>
      <c r="I1008" s="861">
        <f t="shared" si="46"/>
        <v>100</v>
      </c>
    </row>
    <row r="1009" spans="1:9" ht="14.25" x14ac:dyDescent="0.2">
      <c r="A1009" s="432"/>
      <c r="B1009" s="681"/>
      <c r="C1009" s="681"/>
      <c r="D1009" s="2671" t="s">
        <v>1510</v>
      </c>
      <c r="E1009" s="2687" t="s">
        <v>1531</v>
      </c>
      <c r="F1009" s="865"/>
      <c r="G1009" s="865">
        <v>82</v>
      </c>
      <c r="H1009" s="865">
        <v>82</v>
      </c>
      <c r="I1009" s="861">
        <f t="shared" si="46"/>
        <v>100</v>
      </c>
    </row>
    <row r="1010" spans="1:9" ht="14.25" x14ac:dyDescent="0.2">
      <c r="A1010" s="432"/>
      <c r="B1010" s="681"/>
      <c r="C1010" s="681"/>
      <c r="D1010" s="2672"/>
      <c r="E1010" s="2672"/>
      <c r="F1010" s="865"/>
      <c r="G1010" s="865"/>
      <c r="H1010" s="865"/>
      <c r="I1010" s="861"/>
    </row>
    <row r="1011" spans="1:9" ht="14.25" x14ac:dyDescent="0.2">
      <c r="A1011" s="432"/>
      <c r="B1011" s="681"/>
      <c r="C1011" s="681"/>
      <c r="D1011" s="2672"/>
      <c r="E1011" s="2672"/>
      <c r="F1011" s="865"/>
      <c r="G1011" s="865"/>
      <c r="H1011" s="865"/>
      <c r="I1011" s="861"/>
    </row>
    <row r="1012" spans="1:9" ht="14.25" x14ac:dyDescent="0.2">
      <c r="A1012" s="432"/>
      <c r="B1012" s="681"/>
      <c r="C1012" s="681"/>
      <c r="D1012" s="1119" t="s">
        <v>1604</v>
      </c>
      <c r="E1012" s="2276" t="s">
        <v>1719</v>
      </c>
      <c r="F1012" s="865"/>
      <c r="G1012" s="865">
        <v>29</v>
      </c>
      <c r="H1012" s="865">
        <v>29</v>
      </c>
      <c r="I1012" s="861">
        <f t="shared" si="46"/>
        <v>100</v>
      </c>
    </row>
    <row r="1013" spans="1:9" ht="15" x14ac:dyDescent="0.25">
      <c r="A1013" s="432">
        <v>1126</v>
      </c>
      <c r="B1013" s="681">
        <v>3122</v>
      </c>
      <c r="C1013" s="681">
        <v>5336</v>
      </c>
      <c r="D1013" s="2605"/>
      <c r="E1013" s="1479" t="s">
        <v>1269</v>
      </c>
      <c r="F1013" s="865"/>
      <c r="G1013" s="889">
        <f>G1014+G1015+G1016</f>
        <v>13354</v>
      </c>
      <c r="H1013" s="889">
        <f>H1014+H1015+H1016</f>
        <v>13354</v>
      </c>
      <c r="I1013" s="2393">
        <f>I1014+I1015+I1016</f>
        <v>300</v>
      </c>
    </row>
    <row r="1014" spans="1:9" ht="18" customHeight="1" x14ac:dyDescent="0.2">
      <c r="A1014" s="432"/>
      <c r="B1014" s="681"/>
      <c r="C1014" s="681"/>
      <c r="D1014" s="554" t="s">
        <v>1182</v>
      </c>
      <c r="E1014" s="456" t="s">
        <v>832</v>
      </c>
      <c r="F1014" s="865"/>
      <c r="G1014" s="865">
        <v>12746</v>
      </c>
      <c r="H1014" s="865">
        <v>12746</v>
      </c>
      <c r="I1014" s="861">
        <f t="shared" si="46"/>
        <v>100</v>
      </c>
    </row>
    <row r="1015" spans="1:9" ht="17.25" customHeight="1" x14ac:dyDescent="0.2">
      <c r="A1015" s="432"/>
      <c r="B1015" s="783"/>
      <c r="C1015" s="783"/>
      <c r="D1015" s="1481" t="s">
        <v>1608</v>
      </c>
      <c r="E1015" s="1476" t="s">
        <v>1717</v>
      </c>
      <c r="F1015" s="871"/>
      <c r="G1015" s="871">
        <v>91</v>
      </c>
      <c r="H1015" s="871">
        <v>91</v>
      </c>
      <c r="I1015" s="861">
        <f t="shared" si="46"/>
        <v>100</v>
      </c>
    </row>
    <row r="1016" spans="1:9" ht="14.25" x14ac:dyDescent="0.2">
      <c r="A1016" s="432"/>
      <c r="B1016" s="783"/>
      <c r="C1016" s="783"/>
      <c r="D1016" s="1481" t="s">
        <v>1610</v>
      </c>
      <c r="E1016" s="1476" t="s">
        <v>1717</v>
      </c>
      <c r="F1016" s="871"/>
      <c r="G1016" s="871">
        <v>517</v>
      </c>
      <c r="H1016" s="871">
        <v>517</v>
      </c>
      <c r="I1016" s="861">
        <f t="shared" si="46"/>
        <v>100</v>
      </c>
    </row>
    <row r="1017" spans="1:9" ht="15" x14ac:dyDescent="0.25">
      <c r="A1017" s="432">
        <v>1126</v>
      </c>
      <c r="B1017" s="783">
        <v>3123</v>
      </c>
      <c r="C1017" s="783">
        <v>5331</v>
      </c>
      <c r="D1017" s="897"/>
      <c r="E1017" s="680" t="s">
        <v>996</v>
      </c>
      <c r="F1017" s="873">
        <f>SUM(F1018:F1019)</f>
        <v>2141</v>
      </c>
      <c r="G1017" s="873">
        <f>G1018+G1019+G1020</f>
        <v>2449</v>
      </c>
      <c r="H1017" s="873">
        <f>H1018+H1019+H1020</f>
        <v>2449</v>
      </c>
      <c r="I1017" s="874">
        <f t="shared" si="46"/>
        <v>100</v>
      </c>
    </row>
    <row r="1018" spans="1:9" ht="14.25" x14ac:dyDescent="0.2">
      <c r="A1018" s="432"/>
      <c r="B1018" s="783"/>
      <c r="C1018" s="783"/>
      <c r="D1018" s="719" t="s">
        <v>611</v>
      </c>
      <c r="E1018" s="1569" t="s">
        <v>833</v>
      </c>
      <c r="F1018" s="871">
        <v>96</v>
      </c>
      <c r="G1018" s="871">
        <v>74</v>
      </c>
      <c r="H1018" s="871">
        <v>74</v>
      </c>
      <c r="I1018" s="866">
        <f t="shared" si="46"/>
        <v>100</v>
      </c>
    </row>
    <row r="1019" spans="1:9" ht="15" customHeight="1" x14ac:dyDescent="0.2">
      <c r="A1019" s="432"/>
      <c r="B1019" s="783"/>
      <c r="C1019" s="783"/>
      <c r="D1019" s="554" t="s">
        <v>606</v>
      </c>
      <c r="E1019" s="456" t="s">
        <v>72</v>
      </c>
      <c r="F1019" s="871">
        <v>2045</v>
      </c>
      <c r="G1019" s="871">
        <v>2045</v>
      </c>
      <c r="H1019" s="871">
        <v>2045</v>
      </c>
      <c r="I1019" s="866">
        <f t="shared" si="46"/>
        <v>100</v>
      </c>
    </row>
    <row r="1020" spans="1:9" ht="15" customHeight="1" x14ac:dyDescent="0.2">
      <c r="A1020" s="432"/>
      <c r="B1020" s="783"/>
      <c r="C1020" s="783"/>
      <c r="D1020" s="1120" t="s">
        <v>968</v>
      </c>
      <c r="E1020" s="1215" t="s">
        <v>969</v>
      </c>
      <c r="F1020" s="871"/>
      <c r="G1020" s="871">
        <v>330</v>
      </c>
      <c r="H1020" s="871">
        <v>330</v>
      </c>
      <c r="I1020" s="866">
        <f t="shared" si="46"/>
        <v>100</v>
      </c>
    </row>
    <row r="1021" spans="1:9" ht="15" x14ac:dyDescent="0.25">
      <c r="A1021" s="432">
        <v>1126</v>
      </c>
      <c r="B1021" s="783">
        <v>3123</v>
      </c>
      <c r="C1021" s="783">
        <v>5336</v>
      </c>
      <c r="D1021" s="2255"/>
      <c r="E1021" s="1479" t="s">
        <v>1269</v>
      </c>
      <c r="F1021" s="871"/>
      <c r="G1021" s="884">
        <v>6712</v>
      </c>
      <c r="H1021" s="884">
        <v>6712</v>
      </c>
      <c r="I1021" s="876">
        <f t="shared" si="46"/>
        <v>100</v>
      </c>
    </row>
    <row r="1022" spans="1:9" ht="20.25" customHeight="1" x14ac:dyDescent="0.2">
      <c r="A1022" s="432"/>
      <c r="B1022" s="783"/>
      <c r="C1022" s="783"/>
      <c r="D1022" s="554" t="s">
        <v>1182</v>
      </c>
      <c r="E1022" s="456" t="s">
        <v>832</v>
      </c>
      <c r="F1022" s="871"/>
      <c r="G1022" s="871">
        <v>6712</v>
      </c>
      <c r="H1022" s="871">
        <v>6712</v>
      </c>
      <c r="I1022" s="866">
        <f t="shared" si="46"/>
        <v>100</v>
      </c>
    </row>
    <row r="1023" spans="1:9" ht="15" x14ac:dyDescent="0.25">
      <c r="A1023" s="432">
        <v>1126</v>
      </c>
      <c r="B1023" s="783">
        <v>3293</v>
      </c>
      <c r="C1023" s="1468">
        <v>5331</v>
      </c>
      <c r="D1023" s="880"/>
      <c r="E1023" s="680" t="s">
        <v>996</v>
      </c>
      <c r="F1023" s="873"/>
      <c r="G1023" s="873">
        <v>4</v>
      </c>
      <c r="H1023" s="873">
        <v>4</v>
      </c>
      <c r="I1023" s="874">
        <f t="shared" si="46"/>
        <v>100</v>
      </c>
    </row>
    <row r="1024" spans="1:9" ht="15" thickBot="1" x14ac:dyDescent="0.25">
      <c r="A1024" s="432"/>
      <c r="B1024" s="783"/>
      <c r="C1024" s="1468"/>
      <c r="D1024" s="1391" t="s">
        <v>1185</v>
      </c>
      <c r="E1024" s="1354" t="s">
        <v>972</v>
      </c>
      <c r="F1024" s="871"/>
      <c r="G1024" s="871">
        <v>4</v>
      </c>
      <c r="H1024" s="871">
        <v>4</v>
      </c>
      <c r="I1024" s="866">
        <f t="shared" si="46"/>
        <v>100</v>
      </c>
    </row>
    <row r="1025" spans="1:20" ht="16.5" thickTop="1" thickBot="1" x14ac:dyDescent="0.3">
      <c r="A1025" s="2685" t="s">
        <v>1162</v>
      </c>
      <c r="B1025" s="2686"/>
      <c r="C1025" s="2686"/>
      <c r="D1025" s="2686"/>
      <c r="E1025" s="2686"/>
      <c r="F1025" s="862">
        <f>F1006+F1017+F1023+F1021+F1013</f>
        <v>4978</v>
      </c>
      <c r="G1025" s="862">
        <f>G1006+G1017+G1023+G1021+G1013</f>
        <v>25468</v>
      </c>
      <c r="H1025" s="862">
        <f>H1006+H1017+H1023+H1021+H1013</f>
        <v>25468</v>
      </c>
      <c r="I1025" s="863">
        <f t="shared" si="46"/>
        <v>100</v>
      </c>
      <c r="R1025" s="383">
        <f>F1025</f>
        <v>4978</v>
      </c>
      <c r="S1025" s="383">
        <f>G1025</f>
        <v>25468</v>
      </c>
      <c r="T1025" s="383">
        <f>H1025</f>
        <v>25468</v>
      </c>
    </row>
    <row r="1026" spans="1:20" ht="13.5" thickTop="1" x14ac:dyDescent="0.2"/>
    <row r="1027" spans="1:20" ht="13.5" thickBot="1" x14ac:dyDescent="0.25">
      <c r="A1027" s="433" t="s">
        <v>271</v>
      </c>
      <c r="I1027" s="1465" t="s">
        <v>173</v>
      </c>
    </row>
    <row r="1028" spans="1:20" s="107" customFormat="1" thickTop="1" thickBot="1" x14ac:dyDescent="0.25">
      <c r="A1028" s="633" t="s">
        <v>661</v>
      </c>
      <c r="B1028" s="810" t="s">
        <v>174</v>
      </c>
      <c r="C1028" s="634" t="s">
        <v>175</v>
      </c>
      <c r="D1028" s="636" t="s">
        <v>744</v>
      </c>
      <c r="E1028" s="636" t="s">
        <v>176</v>
      </c>
      <c r="F1028" s="636" t="s">
        <v>177</v>
      </c>
      <c r="G1028" s="636" t="s">
        <v>922</v>
      </c>
      <c r="H1028" s="636" t="s">
        <v>923</v>
      </c>
      <c r="I1028" s="856" t="s">
        <v>924</v>
      </c>
    </row>
    <row r="1029" spans="1:20" s="384" customFormat="1" ht="13.5" thickTop="1" thickBot="1" x14ac:dyDescent="0.25">
      <c r="A1029" s="568">
        <v>1</v>
      </c>
      <c r="B1029" s="569">
        <v>2</v>
      </c>
      <c r="C1029" s="569">
        <v>3</v>
      </c>
      <c r="D1029" s="569">
        <v>4</v>
      </c>
      <c r="E1029" s="569">
        <v>5</v>
      </c>
      <c r="F1029" s="543">
        <v>6</v>
      </c>
      <c r="G1029" s="543">
        <v>7</v>
      </c>
      <c r="H1029" s="544">
        <v>8</v>
      </c>
      <c r="I1029" s="638" t="s">
        <v>801</v>
      </c>
    </row>
    <row r="1030" spans="1:20" ht="15.75" thickTop="1" x14ac:dyDescent="0.25">
      <c r="A1030" s="1466">
        <v>1127</v>
      </c>
      <c r="B1030" s="811">
        <v>3122</v>
      </c>
      <c r="C1030" s="811">
        <v>5331</v>
      </c>
      <c r="D1030" s="877"/>
      <c r="E1030" s="898" t="s">
        <v>996</v>
      </c>
      <c r="F1030" s="899">
        <f>F1031+F1032+F1033</f>
        <v>2665</v>
      </c>
      <c r="G1030" s="899">
        <f>G1031+G1032+G1033</f>
        <v>2676</v>
      </c>
      <c r="H1030" s="899">
        <f>H1031+H1032+H1033</f>
        <v>2676</v>
      </c>
      <c r="I1030" s="864">
        <f>(H1030/G1030)*100</f>
        <v>100</v>
      </c>
    </row>
    <row r="1031" spans="1:20" ht="14.25" x14ac:dyDescent="0.2">
      <c r="A1031" s="432"/>
      <c r="B1031" s="681"/>
      <c r="C1031" s="681"/>
      <c r="D1031" s="828" t="s">
        <v>611</v>
      </c>
      <c r="E1031" s="1569" t="s">
        <v>833</v>
      </c>
      <c r="F1031" s="865">
        <v>798</v>
      </c>
      <c r="G1031" s="865">
        <v>809</v>
      </c>
      <c r="H1031" s="865">
        <v>809</v>
      </c>
      <c r="I1031" s="861">
        <f>(H1031/G1031)*100</f>
        <v>100</v>
      </c>
    </row>
    <row r="1032" spans="1:20" ht="14.25" x14ac:dyDescent="0.2">
      <c r="A1032" s="432"/>
      <c r="B1032" s="681"/>
      <c r="C1032" s="681"/>
      <c r="D1032" s="554" t="s">
        <v>606</v>
      </c>
      <c r="E1032" s="456" t="s">
        <v>72</v>
      </c>
      <c r="F1032" s="865">
        <v>1867</v>
      </c>
      <c r="G1032" s="865">
        <v>1805</v>
      </c>
      <c r="H1032" s="865">
        <v>1805</v>
      </c>
      <c r="I1032" s="861">
        <v>100</v>
      </c>
    </row>
    <row r="1033" spans="1:20" ht="14.25" x14ac:dyDescent="0.2">
      <c r="A1033" s="432"/>
      <c r="B1033" s="783"/>
      <c r="C1033" s="783"/>
      <c r="D1033" s="554" t="s">
        <v>703</v>
      </c>
      <c r="E1033" s="456" t="s">
        <v>75</v>
      </c>
      <c r="F1033" s="871"/>
      <c r="G1033" s="871">
        <v>62</v>
      </c>
      <c r="H1033" s="871">
        <v>62</v>
      </c>
      <c r="I1033" s="861">
        <v>100</v>
      </c>
    </row>
    <row r="1034" spans="1:20" ht="15" x14ac:dyDescent="0.25">
      <c r="A1034" s="432">
        <v>1127</v>
      </c>
      <c r="B1034" s="783">
        <v>3122</v>
      </c>
      <c r="C1034" s="783">
        <v>5336</v>
      </c>
      <c r="D1034" s="2255"/>
      <c r="E1034" s="1479" t="s">
        <v>1269</v>
      </c>
      <c r="F1034" s="871"/>
      <c r="G1034" s="884">
        <f>G1035+G1036+G1037+G1038+G1039</f>
        <v>9457</v>
      </c>
      <c r="H1034" s="884">
        <f>H1035+H1036+H1037+H1038+H1039</f>
        <v>9457</v>
      </c>
      <c r="I1034" s="891">
        <v>100</v>
      </c>
    </row>
    <row r="1035" spans="1:20" ht="14.25" x14ac:dyDescent="0.2">
      <c r="A1035" s="432"/>
      <c r="B1035" s="783"/>
      <c r="C1035" s="1468"/>
      <c r="D1035" s="554" t="s">
        <v>1182</v>
      </c>
      <c r="E1035" s="456" t="s">
        <v>832</v>
      </c>
      <c r="F1035" s="871"/>
      <c r="G1035" s="871">
        <v>7573</v>
      </c>
      <c r="H1035" s="871">
        <v>7573</v>
      </c>
      <c r="I1035" s="866">
        <f>(H1035/G1035)*100</f>
        <v>100</v>
      </c>
    </row>
    <row r="1036" spans="1:20" s="384" customFormat="1" ht="14.25" x14ac:dyDescent="0.2">
      <c r="A1036" s="432"/>
      <c r="B1036" s="681"/>
      <c r="C1036" s="681"/>
      <c r="D1036" s="1481" t="s">
        <v>733</v>
      </c>
      <c r="E1036" s="1482" t="s">
        <v>1273</v>
      </c>
      <c r="F1036" s="871"/>
      <c r="G1036" s="871">
        <v>189</v>
      </c>
      <c r="H1036" s="871">
        <v>189</v>
      </c>
      <c r="I1036" s="866">
        <f>(H1036/G1036)*100</f>
        <v>100</v>
      </c>
    </row>
    <row r="1037" spans="1:20" s="384" customFormat="1" ht="14.25" x14ac:dyDescent="0.2">
      <c r="A1037" s="904"/>
      <c r="B1037" s="905"/>
      <c r="C1037" s="905"/>
      <c r="D1037" s="1481" t="s">
        <v>734</v>
      </c>
      <c r="E1037" s="1482" t="s">
        <v>1273</v>
      </c>
      <c r="F1037" s="871"/>
      <c r="G1037" s="871">
        <v>1074</v>
      </c>
      <c r="H1037" s="871">
        <v>1074</v>
      </c>
      <c r="I1037" s="866">
        <f>(H1037/G1037)*100</f>
        <v>100</v>
      </c>
    </row>
    <row r="1038" spans="1:20" s="384" customFormat="1" ht="14.25" x14ac:dyDescent="0.2">
      <c r="A1038" s="904"/>
      <c r="B1038" s="905"/>
      <c r="C1038" s="905"/>
      <c r="D1038" s="1481" t="s">
        <v>1608</v>
      </c>
      <c r="E1038" s="1476" t="s">
        <v>1717</v>
      </c>
      <c r="F1038" s="871"/>
      <c r="G1038" s="871">
        <v>93</v>
      </c>
      <c r="H1038" s="871">
        <v>93</v>
      </c>
      <c r="I1038" s="866">
        <f t="shared" ref="I1038:I1069" si="47">(H1038/G1038)*100</f>
        <v>100</v>
      </c>
    </row>
    <row r="1039" spans="1:20" s="384" customFormat="1" ht="14.25" x14ac:dyDescent="0.2">
      <c r="A1039" s="904"/>
      <c r="B1039" s="905"/>
      <c r="C1039" s="905"/>
      <c r="D1039" s="1481" t="s">
        <v>1610</v>
      </c>
      <c r="E1039" s="1476" t="s">
        <v>1717</v>
      </c>
      <c r="F1039" s="871"/>
      <c r="G1039" s="871">
        <v>528</v>
      </c>
      <c r="H1039" s="871">
        <v>528</v>
      </c>
      <c r="I1039" s="866">
        <f t="shared" si="47"/>
        <v>100</v>
      </c>
    </row>
    <row r="1040" spans="1:20" ht="15" x14ac:dyDescent="0.25">
      <c r="A1040" s="432">
        <v>1127</v>
      </c>
      <c r="B1040" s="783">
        <v>3123</v>
      </c>
      <c r="C1040" s="1468">
        <v>5331</v>
      </c>
      <c r="D1040" s="880"/>
      <c r="E1040" s="680" t="s">
        <v>996</v>
      </c>
      <c r="F1040" s="873">
        <f>F1041+F1043+F1044+F1045</f>
        <v>6637</v>
      </c>
      <c r="G1040" s="873">
        <f>G1041+G1043+G1044+G1045+G1042</f>
        <v>7326</v>
      </c>
      <c r="H1040" s="873">
        <f>H1041+H1043+H1044+H1045+H1042</f>
        <v>7326</v>
      </c>
      <c r="I1040" s="874">
        <f t="shared" si="47"/>
        <v>100</v>
      </c>
    </row>
    <row r="1041" spans="1:9" ht="14.25" x14ac:dyDescent="0.2">
      <c r="A1041" s="432"/>
      <c r="B1041" s="783"/>
      <c r="C1041" s="1468"/>
      <c r="D1041" s="828" t="s">
        <v>611</v>
      </c>
      <c r="E1041" s="1569" t="s">
        <v>833</v>
      </c>
      <c r="F1041" s="871">
        <v>1063</v>
      </c>
      <c r="G1041" s="871">
        <v>867</v>
      </c>
      <c r="H1041" s="871">
        <v>867</v>
      </c>
      <c r="I1041" s="866">
        <f t="shared" si="47"/>
        <v>100</v>
      </c>
    </row>
    <row r="1042" spans="1:9" ht="14.25" x14ac:dyDescent="0.2">
      <c r="A1042" s="432"/>
      <c r="B1042" s="783"/>
      <c r="C1042" s="1468"/>
      <c r="D1042" s="1110" t="s">
        <v>196</v>
      </c>
      <c r="E1042" s="1215" t="s">
        <v>751</v>
      </c>
      <c r="F1042" s="871"/>
      <c r="G1042" s="871">
        <v>450</v>
      </c>
      <c r="H1042" s="871">
        <v>450</v>
      </c>
      <c r="I1042" s="866">
        <f t="shared" si="47"/>
        <v>100</v>
      </c>
    </row>
    <row r="1043" spans="1:9" ht="14.25" x14ac:dyDescent="0.2">
      <c r="A1043" s="432"/>
      <c r="B1043" s="783"/>
      <c r="C1043" s="1468"/>
      <c r="D1043" s="554" t="s">
        <v>606</v>
      </c>
      <c r="E1043" s="456" t="s">
        <v>72</v>
      </c>
      <c r="F1043" s="871">
        <v>5574</v>
      </c>
      <c r="G1043" s="871">
        <v>5519</v>
      </c>
      <c r="H1043" s="871">
        <v>5519</v>
      </c>
      <c r="I1043" s="866">
        <f t="shared" si="47"/>
        <v>100</v>
      </c>
    </row>
    <row r="1044" spans="1:9" ht="14.25" x14ac:dyDescent="0.2">
      <c r="A1044" s="432"/>
      <c r="B1044" s="783"/>
      <c r="C1044" s="1468"/>
      <c r="D1044" s="554" t="s">
        <v>703</v>
      </c>
      <c r="E1044" s="456" t="s">
        <v>75</v>
      </c>
      <c r="F1044" s="871"/>
      <c r="G1044" s="871">
        <v>55</v>
      </c>
      <c r="H1044" s="871">
        <v>55</v>
      </c>
      <c r="I1044" s="866">
        <f t="shared" si="47"/>
        <v>100</v>
      </c>
    </row>
    <row r="1045" spans="1:9" ht="15" thickBot="1" x14ac:dyDescent="0.25">
      <c r="A1045" s="1469"/>
      <c r="B1045" s="930"/>
      <c r="C1045" s="1470"/>
      <c r="D1045" s="1433" t="s">
        <v>968</v>
      </c>
      <c r="E1045" s="1483" t="s">
        <v>969</v>
      </c>
      <c r="F1045" s="931"/>
      <c r="G1045" s="931">
        <v>435</v>
      </c>
      <c r="H1045" s="931">
        <v>435</v>
      </c>
      <c r="I1045" s="910">
        <f t="shared" si="47"/>
        <v>100</v>
      </c>
    </row>
    <row r="1046" spans="1:9" ht="15" thickTop="1" x14ac:dyDescent="0.2">
      <c r="A1046" s="1472"/>
      <c r="B1046" s="779"/>
      <c r="C1046" s="1472"/>
      <c r="D1046" s="1110"/>
      <c r="E1046" s="1359"/>
      <c r="F1046" s="879"/>
      <c r="G1046" s="879"/>
      <c r="H1046" s="879"/>
      <c r="I1046" s="932"/>
    </row>
    <row r="1047" spans="1:9" ht="13.5" thickBot="1" x14ac:dyDescent="0.25">
      <c r="A1047" s="433"/>
      <c r="I1047" s="1465" t="s">
        <v>173</v>
      </c>
    </row>
    <row r="1048" spans="1:9" s="107" customFormat="1" thickTop="1" thickBot="1" x14ac:dyDescent="0.25">
      <c r="A1048" s="633" t="s">
        <v>661</v>
      </c>
      <c r="B1048" s="810" t="s">
        <v>174</v>
      </c>
      <c r="C1048" s="634" t="s">
        <v>175</v>
      </c>
      <c r="D1048" s="636" t="s">
        <v>744</v>
      </c>
      <c r="E1048" s="636" t="s">
        <v>176</v>
      </c>
      <c r="F1048" s="636" t="s">
        <v>177</v>
      </c>
      <c r="G1048" s="636" t="s">
        <v>922</v>
      </c>
      <c r="H1048" s="636" t="s">
        <v>923</v>
      </c>
      <c r="I1048" s="856" t="s">
        <v>924</v>
      </c>
    </row>
    <row r="1049" spans="1:9" s="384" customFormat="1" ht="13.5" thickTop="1" thickBot="1" x14ac:dyDescent="0.25">
      <c r="A1049" s="568">
        <v>1</v>
      </c>
      <c r="B1049" s="569">
        <v>2</v>
      </c>
      <c r="C1049" s="569">
        <v>3</v>
      </c>
      <c r="D1049" s="569">
        <v>4</v>
      </c>
      <c r="E1049" s="569">
        <v>5</v>
      </c>
      <c r="F1049" s="543">
        <v>6</v>
      </c>
      <c r="G1049" s="543">
        <v>7</v>
      </c>
      <c r="H1049" s="544">
        <v>8</v>
      </c>
      <c r="I1049" s="638" t="s">
        <v>801</v>
      </c>
    </row>
    <row r="1050" spans="1:9" ht="15.75" thickTop="1" x14ac:dyDescent="0.25">
      <c r="A1050" s="432">
        <v>1127</v>
      </c>
      <c r="B1050" s="783">
        <v>3123</v>
      </c>
      <c r="C1050" s="1468">
        <v>5336</v>
      </c>
      <c r="D1050" s="1120"/>
      <c r="E1050" s="1479" t="s">
        <v>1269</v>
      </c>
      <c r="F1050" s="871"/>
      <c r="G1050" s="884">
        <f>G1051+G1052+G1053</f>
        <v>22101</v>
      </c>
      <c r="H1050" s="884">
        <f>H1051+H1052+H1053</f>
        <v>22101</v>
      </c>
      <c r="I1050" s="876">
        <f t="shared" si="47"/>
        <v>100</v>
      </c>
    </row>
    <row r="1051" spans="1:9" ht="14.25" x14ac:dyDescent="0.2">
      <c r="A1051" s="432"/>
      <c r="B1051" s="783"/>
      <c r="C1051" s="1468"/>
      <c r="D1051" s="554" t="s">
        <v>1182</v>
      </c>
      <c r="E1051" s="456" t="s">
        <v>832</v>
      </c>
      <c r="F1051" s="871"/>
      <c r="G1051" s="871">
        <v>21788</v>
      </c>
      <c r="H1051" s="871">
        <v>21788</v>
      </c>
      <c r="I1051" s="866">
        <f t="shared" si="47"/>
        <v>100</v>
      </c>
    </row>
    <row r="1052" spans="1:9" ht="14.25" x14ac:dyDescent="0.2">
      <c r="A1052" s="432"/>
      <c r="B1052" s="783"/>
      <c r="C1052" s="1468"/>
      <c r="D1052" s="1481" t="s">
        <v>1608</v>
      </c>
      <c r="E1052" s="1476" t="s">
        <v>1717</v>
      </c>
      <c r="F1052" s="871"/>
      <c r="G1052" s="871">
        <v>47</v>
      </c>
      <c r="H1052" s="871">
        <v>47</v>
      </c>
      <c r="I1052" s="866">
        <f t="shared" si="47"/>
        <v>100</v>
      </c>
    </row>
    <row r="1053" spans="1:9" ht="14.25" x14ac:dyDescent="0.2">
      <c r="A1053" s="432"/>
      <c r="B1053" s="783"/>
      <c r="C1053" s="1468"/>
      <c r="D1053" s="1481" t="s">
        <v>1610</v>
      </c>
      <c r="E1053" s="1476" t="s">
        <v>1717</v>
      </c>
      <c r="F1053" s="871"/>
      <c r="G1053" s="871">
        <v>266</v>
      </c>
      <c r="H1053" s="871">
        <v>266</v>
      </c>
      <c r="I1053" s="866">
        <f t="shared" si="47"/>
        <v>100</v>
      </c>
    </row>
    <row r="1054" spans="1:9" ht="15" x14ac:dyDescent="0.25">
      <c r="A1054" s="432">
        <v>1127</v>
      </c>
      <c r="B1054" s="783">
        <v>3124</v>
      </c>
      <c r="C1054" s="1468">
        <v>5331</v>
      </c>
      <c r="D1054" s="880"/>
      <c r="E1054" s="680" t="s">
        <v>996</v>
      </c>
      <c r="F1054" s="873">
        <f>SUM(F1055:F1057)</f>
        <v>52</v>
      </c>
      <c r="G1054" s="873">
        <v>52</v>
      </c>
      <c r="H1054" s="873">
        <v>52</v>
      </c>
      <c r="I1054" s="874">
        <f t="shared" si="47"/>
        <v>100</v>
      </c>
    </row>
    <row r="1055" spans="1:9" ht="14.25" x14ac:dyDescent="0.2">
      <c r="A1055" s="432"/>
      <c r="B1055" s="783"/>
      <c r="C1055" s="1468"/>
      <c r="D1055" s="554" t="s">
        <v>606</v>
      </c>
      <c r="E1055" s="456" t="s">
        <v>72</v>
      </c>
      <c r="F1055" s="871">
        <v>52</v>
      </c>
      <c r="G1055" s="871">
        <v>52</v>
      </c>
      <c r="H1055" s="871">
        <v>52</v>
      </c>
      <c r="I1055" s="866">
        <f t="shared" si="47"/>
        <v>100</v>
      </c>
    </row>
    <row r="1056" spans="1:9" ht="15" x14ac:dyDescent="0.25">
      <c r="A1056" s="432">
        <v>1127</v>
      </c>
      <c r="B1056" s="783">
        <v>3124</v>
      </c>
      <c r="C1056" s="1468">
        <v>5336</v>
      </c>
      <c r="D1056" s="554"/>
      <c r="E1056" s="1479" t="s">
        <v>1269</v>
      </c>
      <c r="F1056" s="871"/>
      <c r="G1056" s="884">
        <v>1497</v>
      </c>
      <c r="H1056" s="884">
        <v>1497</v>
      </c>
      <c r="I1056" s="876">
        <f t="shared" si="47"/>
        <v>100</v>
      </c>
    </row>
    <row r="1057" spans="1:20" ht="14.25" x14ac:dyDescent="0.2">
      <c r="A1057" s="432"/>
      <c r="B1057" s="783"/>
      <c r="C1057" s="1468"/>
      <c r="D1057" s="554" t="s">
        <v>1182</v>
      </c>
      <c r="E1057" s="456" t="s">
        <v>832</v>
      </c>
      <c r="F1057" s="871"/>
      <c r="G1057" s="871">
        <v>1497</v>
      </c>
      <c r="H1057" s="871">
        <v>1497</v>
      </c>
      <c r="I1057" s="866">
        <f t="shared" si="47"/>
        <v>100</v>
      </c>
    </row>
    <row r="1058" spans="1:20" ht="15" x14ac:dyDescent="0.25">
      <c r="A1058" s="432">
        <v>1127</v>
      </c>
      <c r="B1058" s="783">
        <v>3141</v>
      </c>
      <c r="C1058" s="1468">
        <v>5336</v>
      </c>
      <c r="D1058" s="570"/>
      <c r="E1058" s="1479" t="s">
        <v>1269</v>
      </c>
      <c r="F1058" s="884"/>
      <c r="G1058" s="884">
        <v>459</v>
      </c>
      <c r="H1058" s="884">
        <v>459</v>
      </c>
      <c r="I1058" s="874">
        <f t="shared" si="47"/>
        <v>100</v>
      </c>
    </row>
    <row r="1059" spans="1:20" ht="14.25" x14ac:dyDescent="0.2">
      <c r="A1059" s="432"/>
      <c r="B1059" s="783"/>
      <c r="C1059" s="1468"/>
      <c r="D1059" s="554" t="s">
        <v>1182</v>
      </c>
      <c r="E1059" s="456" t="s">
        <v>832</v>
      </c>
      <c r="F1059" s="871"/>
      <c r="G1059" s="871">
        <v>459</v>
      </c>
      <c r="H1059" s="871">
        <v>459</v>
      </c>
      <c r="I1059" s="866">
        <f t="shared" si="47"/>
        <v>100</v>
      </c>
    </row>
    <row r="1060" spans="1:20" ht="15" x14ac:dyDescent="0.25">
      <c r="A1060" s="432">
        <v>1127</v>
      </c>
      <c r="B1060" s="783">
        <v>3142</v>
      </c>
      <c r="C1060" s="783">
        <v>5331</v>
      </c>
      <c r="D1060" s="897"/>
      <c r="E1060" s="680" t="s">
        <v>996</v>
      </c>
      <c r="F1060" s="873">
        <f>F1061+F1062</f>
        <v>852</v>
      </c>
      <c r="G1060" s="873">
        <f>G1061+G1062</f>
        <v>815</v>
      </c>
      <c r="H1060" s="873">
        <f>H1061+H1062</f>
        <v>815</v>
      </c>
      <c r="I1060" s="874">
        <f t="shared" si="47"/>
        <v>100</v>
      </c>
    </row>
    <row r="1061" spans="1:20" ht="14.25" x14ac:dyDescent="0.2">
      <c r="A1061" s="432"/>
      <c r="B1061" s="783"/>
      <c r="C1061" s="783"/>
      <c r="D1061" s="828" t="s">
        <v>611</v>
      </c>
      <c r="E1061" s="1569" t="s">
        <v>833</v>
      </c>
      <c r="F1061" s="871">
        <v>100</v>
      </c>
      <c r="G1061" s="871">
        <v>63</v>
      </c>
      <c r="H1061" s="871">
        <v>63</v>
      </c>
      <c r="I1061" s="866">
        <f t="shared" si="47"/>
        <v>100</v>
      </c>
    </row>
    <row r="1062" spans="1:20" ht="14.25" x14ac:dyDescent="0.2">
      <c r="A1062" s="432"/>
      <c r="B1062" s="783"/>
      <c r="C1062" s="783"/>
      <c r="D1062" s="554" t="s">
        <v>606</v>
      </c>
      <c r="E1062" s="456" t="s">
        <v>72</v>
      </c>
      <c r="F1062" s="871">
        <v>752</v>
      </c>
      <c r="G1062" s="871">
        <v>752</v>
      </c>
      <c r="H1062" s="871">
        <v>752</v>
      </c>
      <c r="I1062" s="866">
        <f t="shared" si="47"/>
        <v>100</v>
      </c>
    </row>
    <row r="1063" spans="1:20" ht="15" x14ac:dyDescent="0.25">
      <c r="A1063" s="432">
        <v>1127</v>
      </c>
      <c r="B1063" s="783">
        <v>3142</v>
      </c>
      <c r="C1063" s="783">
        <v>5336</v>
      </c>
      <c r="D1063" s="554"/>
      <c r="E1063" s="1479" t="s">
        <v>1269</v>
      </c>
      <c r="F1063" s="871"/>
      <c r="G1063" s="884">
        <v>1476</v>
      </c>
      <c r="H1063" s="884">
        <v>1476</v>
      </c>
      <c r="I1063" s="876">
        <f t="shared" si="47"/>
        <v>100</v>
      </c>
    </row>
    <row r="1064" spans="1:20" ht="14.25" x14ac:dyDescent="0.2">
      <c r="A1064" s="432"/>
      <c r="B1064" s="783"/>
      <c r="C1064" s="1468"/>
      <c r="D1064" s="554" t="s">
        <v>1182</v>
      </c>
      <c r="E1064" s="456" t="s">
        <v>832</v>
      </c>
      <c r="F1064" s="871"/>
      <c r="G1064" s="871">
        <v>1476</v>
      </c>
      <c r="H1064" s="871">
        <v>1476</v>
      </c>
      <c r="I1064" s="866">
        <f t="shared" si="47"/>
        <v>100</v>
      </c>
    </row>
    <row r="1065" spans="1:20" ht="15" x14ac:dyDescent="0.25">
      <c r="A1065" s="432">
        <v>1127</v>
      </c>
      <c r="B1065" s="783">
        <v>3147</v>
      </c>
      <c r="C1065" s="783">
        <v>5331</v>
      </c>
      <c r="D1065" s="897"/>
      <c r="E1065" s="680" t="s">
        <v>996</v>
      </c>
      <c r="F1065" s="873">
        <f>F1066+F1067</f>
        <v>833</v>
      </c>
      <c r="G1065" s="873">
        <f>G1066+G1067</f>
        <v>842</v>
      </c>
      <c r="H1065" s="873">
        <f>H1066+H1067</f>
        <v>842</v>
      </c>
      <c r="I1065" s="876">
        <f t="shared" si="47"/>
        <v>100</v>
      </c>
    </row>
    <row r="1066" spans="1:20" ht="14.25" x14ac:dyDescent="0.2">
      <c r="A1066" s="432"/>
      <c r="B1066" s="783"/>
      <c r="C1066" s="783"/>
      <c r="D1066" s="828" t="s">
        <v>611</v>
      </c>
      <c r="E1066" s="1569" t="s">
        <v>833</v>
      </c>
      <c r="F1066" s="871">
        <v>278</v>
      </c>
      <c r="G1066" s="871">
        <v>287</v>
      </c>
      <c r="H1066" s="871">
        <v>287</v>
      </c>
      <c r="I1066" s="1607">
        <f t="shared" si="47"/>
        <v>100</v>
      </c>
    </row>
    <row r="1067" spans="1:20" ht="14.25" x14ac:dyDescent="0.2">
      <c r="A1067" s="1608"/>
      <c r="B1067" s="783"/>
      <c r="C1067" s="783"/>
      <c r="D1067" s="554" t="s">
        <v>606</v>
      </c>
      <c r="E1067" s="456" t="s">
        <v>72</v>
      </c>
      <c r="F1067" s="871">
        <v>555</v>
      </c>
      <c r="G1067" s="871">
        <v>555</v>
      </c>
      <c r="H1067" s="871">
        <v>555</v>
      </c>
      <c r="I1067" s="1607">
        <f t="shared" si="47"/>
        <v>100</v>
      </c>
    </row>
    <row r="1068" spans="1:20" ht="15" x14ac:dyDescent="0.25">
      <c r="A1068" s="1608">
        <v>1127</v>
      </c>
      <c r="B1068" s="783">
        <v>3147</v>
      </c>
      <c r="C1068" s="783">
        <v>5336</v>
      </c>
      <c r="D1068" s="570"/>
      <c r="E1068" s="1479" t="s">
        <v>1269</v>
      </c>
      <c r="F1068" s="871"/>
      <c r="G1068" s="884">
        <v>3026</v>
      </c>
      <c r="H1068" s="884">
        <v>3026</v>
      </c>
      <c r="I1068" s="1609">
        <f t="shared" si="47"/>
        <v>100</v>
      </c>
    </row>
    <row r="1069" spans="1:20" ht="14.25" customHeight="1" thickBot="1" x14ac:dyDescent="0.25">
      <c r="A1069" s="1608"/>
      <c r="B1069" s="783"/>
      <c r="C1069" s="1468"/>
      <c r="D1069" s="570" t="s">
        <v>1182</v>
      </c>
      <c r="E1069" s="906" t="s">
        <v>832</v>
      </c>
      <c r="F1069" s="871"/>
      <c r="G1069" s="871">
        <v>3026</v>
      </c>
      <c r="H1069" s="871">
        <v>3026</v>
      </c>
      <c r="I1069" s="1607">
        <f t="shared" si="47"/>
        <v>100</v>
      </c>
    </row>
    <row r="1070" spans="1:20" ht="16.5" thickTop="1" thickBot="1" x14ac:dyDescent="0.3">
      <c r="A1070" s="2700" t="s">
        <v>1162</v>
      </c>
      <c r="B1070" s="2686"/>
      <c r="C1070" s="2686"/>
      <c r="D1070" s="2686"/>
      <c r="E1070" s="2686"/>
      <c r="F1070" s="862">
        <f>F1030+F1040+F1054+F1060+F1065+F1056+F1058+F1063+F1068+F1050+F1034</f>
        <v>11039</v>
      </c>
      <c r="G1070" s="862">
        <f>G1030+G1040+G1054+G1060+G1065+G1056+G1058+G1063+G1068+G1050+G1034</f>
        <v>49727</v>
      </c>
      <c r="H1070" s="862">
        <f>H1030+H1040+H1054+H1060+H1065+H1056+H1058+H1063+H1068+H1050+H1034</f>
        <v>49727</v>
      </c>
      <c r="I1070" s="938">
        <f>(H1070/G1070)*100</f>
        <v>100</v>
      </c>
      <c r="R1070" s="383">
        <f>F1070</f>
        <v>11039</v>
      </c>
      <c r="S1070" s="383">
        <f>G1070</f>
        <v>49727</v>
      </c>
      <c r="T1070" s="383">
        <f>H1070</f>
        <v>49727</v>
      </c>
    </row>
    <row r="1071" spans="1:20" ht="15.75" thickTop="1" x14ac:dyDescent="0.25">
      <c r="A1071" s="369"/>
      <c r="B1071" s="369"/>
      <c r="C1071" s="369"/>
      <c r="D1071" s="369"/>
      <c r="E1071" s="369"/>
      <c r="F1071" s="183"/>
      <c r="G1071" s="183"/>
      <c r="H1071" s="183"/>
      <c r="I1071" s="214"/>
      <c r="R1071" s="383"/>
      <c r="S1071" s="383"/>
      <c r="T1071" s="383"/>
    </row>
    <row r="1072" spans="1:20" ht="15" x14ac:dyDescent="0.25">
      <c r="A1072" s="369"/>
      <c r="B1072" s="369"/>
      <c r="C1072" s="369"/>
      <c r="D1072" s="369"/>
      <c r="E1072" s="369"/>
      <c r="F1072" s="183"/>
      <c r="G1072" s="183"/>
      <c r="H1072" s="183"/>
      <c r="I1072" s="214"/>
      <c r="R1072" s="383"/>
      <c r="S1072" s="383"/>
      <c r="T1072" s="383"/>
    </row>
    <row r="1073" spans="1:20" ht="15" x14ac:dyDescent="0.25">
      <c r="A1073" s="369"/>
      <c r="B1073" s="369"/>
      <c r="C1073" s="369"/>
      <c r="D1073" s="369"/>
      <c r="E1073" s="369"/>
      <c r="F1073" s="183"/>
      <c r="G1073" s="183"/>
      <c r="H1073" s="183"/>
      <c r="I1073" s="214"/>
      <c r="R1073" s="383"/>
      <c r="S1073" s="383"/>
      <c r="T1073" s="383"/>
    </row>
    <row r="1074" spans="1:20" ht="15" x14ac:dyDescent="0.25">
      <c r="A1074" s="369"/>
      <c r="B1074" s="369"/>
      <c r="C1074" s="369"/>
      <c r="D1074" s="369"/>
      <c r="E1074" s="369"/>
      <c r="F1074" s="183"/>
      <c r="G1074" s="183"/>
      <c r="H1074" s="183"/>
      <c r="I1074" s="214"/>
      <c r="R1074" s="383"/>
      <c r="S1074" s="383"/>
      <c r="T1074" s="383"/>
    </row>
    <row r="1075" spans="1:20" ht="13.5" thickBot="1" x14ac:dyDescent="0.25">
      <c r="A1075" s="433" t="s">
        <v>1272</v>
      </c>
      <c r="I1075" s="1465" t="s">
        <v>173</v>
      </c>
    </row>
    <row r="1076" spans="1:20" s="107" customFormat="1" thickTop="1" thickBot="1" x14ac:dyDescent="0.25">
      <c r="A1076" s="633" t="s">
        <v>661</v>
      </c>
      <c r="B1076" s="810" t="s">
        <v>174</v>
      </c>
      <c r="C1076" s="634" t="s">
        <v>175</v>
      </c>
      <c r="D1076" s="636" t="s">
        <v>744</v>
      </c>
      <c r="E1076" s="636" t="s">
        <v>176</v>
      </c>
      <c r="F1076" s="636" t="s">
        <v>177</v>
      </c>
      <c r="G1076" s="636" t="s">
        <v>922</v>
      </c>
      <c r="H1076" s="636" t="s">
        <v>923</v>
      </c>
      <c r="I1076" s="856" t="s">
        <v>924</v>
      </c>
    </row>
    <row r="1077" spans="1:20" s="384" customFormat="1" ht="13.5" thickTop="1" thickBot="1" x14ac:dyDescent="0.25">
      <c r="A1077" s="568">
        <v>1</v>
      </c>
      <c r="B1077" s="569">
        <v>2</v>
      </c>
      <c r="C1077" s="569">
        <v>3</v>
      </c>
      <c r="D1077" s="569">
        <v>4</v>
      </c>
      <c r="E1077" s="569">
        <v>5</v>
      </c>
      <c r="F1077" s="543">
        <v>6</v>
      </c>
      <c r="G1077" s="543">
        <v>7</v>
      </c>
      <c r="H1077" s="544">
        <v>8</v>
      </c>
      <c r="I1077" s="638" t="s">
        <v>801</v>
      </c>
    </row>
    <row r="1078" spans="1:20" ht="20.25" customHeight="1" thickTop="1" x14ac:dyDescent="0.25">
      <c r="A1078" s="1466">
        <v>1128</v>
      </c>
      <c r="B1078" s="811">
        <v>3122</v>
      </c>
      <c r="C1078" s="811">
        <v>5331</v>
      </c>
      <c r="D1078" s="877"/>
      <c r="E1078" s="898" t="s">
        <v>996</v>
      </c>
      <c r="F1078" s="899">
        <f>F1079+F1080+F1081</f>
        <v>2828</v>
      </c>
      <c r="G1078" s="899">
        <f>G1079+G1080+G1081+G1082+G1083</f>
        <v>3514</v>
      </c>
      <c r="H1078" s="899">
        <f>H1079+H1080+H1081+H1082+H1083</f>
        <v>3514</v>
      </c>
      <c r="I1078" s="864">
        <f t="shared" ref="I1078:I1107" si="48">(H1078/G1078)*100</f>
        <v>100</v>
      </c>
    </row>
    <row r="1079" spans="1:20" ht="14.25" x14ac:dyDescent="0.2">
      <c r="A1079" s="432"/>
      <c r="B1079" s="681"/>
      <c r="C1079" s="681"/>
      <c r="D1079" s="719" t="s">
        <v>611</v>
      </c>
      <c r="E1079" s="1569" t="s">
        <v>833</v>
      </c>
      <c r="F1079" s="865">
        <v>588</v>
      </c>
      <c r="G1079" s="865">
        <v>576</v>
      </c>
      <c r="H1079" s="865">
        <v>576</v>
      </c>
      <c r="I1079" s="861">
        <f t="shared" si="48"/>
        <v>100</v>
      </c>
    </row>
    <row r="1080" spans="1:20" ht="14.25" x14ac:dyDescent="0.2">
      <c r="A1080" s="432"/>
      <c r="B1080" s="681"/>
      <c r="C1080" s="681"/>
      <c r="D1080" s="554" t="s">
        <v>606</v>
      </c>
      <c r="E1080" s="456" t="s">
        <v>72</v>
      </c>
      <c r="F1080" s="865">
        <v>2240</v>
      </c>
      <c r="G1080" s="865">
        <v>2186</v>
      </c>
      <c r="H1080" s="865">
        <v>2186</v>
      </c>
      <c r="I1080" s="861">
        <f t="shared" si="48"/>
        <v>100</v>
      </c>
    </row>
    <row r="1081" spans="1:20" ht="14.25" x14ac:dyDescent="0.2">
      <c r="A1081" s="432"/>
      <c r="B1081" s="681"/>
      <c r="C1081" s="681"/>
      <c r="D1081" s="554" t="s">
        <v>703</v>
      </c>
      <c r="E1081" s="456" t="s">
        <v>75</v>
      </c>
      <c r="F1081" s="865"/>
      <c r="G1081" s="865">
        <v>54</v>
      </c>
      <c r="H1081" s="865">
        <v>54</v>
      </c>
      <c r="I1081" s="861">
        <f t="shared" si="48"/>
        <v>100</v>
      </c>
    </row>
    <row r="1082" spans="1:20" ht="14.25" x14ac:dyDescent="0.2">
      <c r="A1082" s="432"/>
      <c r="B1082" s="681"/>
      <c r="C1082" s="681"/>
      <c r="D1082" s="1120" t="s">
        <v>1419</v>
      </c>
      <c r="E1082" s="1591" t="s">
        <v>1420</v>
      </c>
      <c r="F1082" s="865"/>
      <c r="G1082" s="865">
        <v>650</v>
      </c>
      <c r="H1082" s="865">
        <v>650</v>
      </c>
      <c r="I1082" s="861">
        <f t="shared" si="48"/>
        <v>100</v>
      </c>
    </row>
    <row r="1083" spans="1:20" ht="14.25" x14ac:dyDescent="0.2">
      <c r="A1083" s="432"/>
      <c r="B1083" s="681"/>
      <c r="C1083" s="681"/>
      <c r="D1083" s="1391" t="s">
        <v>1228</v>
      </c>
      <c r="E1083" s="2681" t="s">
        <v>1980</v>
      </c>
      <c r="F1083" s="865"/>
      <c r="G1083" s="865">
        <v>48</v>
      </c>
      <c r="H1083" s="865">
        <v>48</v>
      </c>
      <c r="I1083" s="861">
        <f t="shared" si="48"/>
        <v>100</v>
      </c>
    </row>
    <row r="1084" spans="1:20" ht="14.25" x14ac:dyDescent="0.2">
      <c r="A1084" s="432"/>
      <c r="B1084" s="681"/>
      <c r="C1084" s="681"/>
      <c r="D1084" s="1391"/>
      <c r="E1084" s="2681"/>
      <c r="F1084" s="865"/>
      <c r="G1084" s="865"/>
      <c r="H1084" s="865"/>
      <c r="I1084" s="861"/>
    </row>
    <row r="1085" spans="1:20" ht="15" x14ac:dyDescent="0.25">
      <c r="A1085" s="432">
        <v>1128</v>
      </c>
      <c r="B1085" s="681">
        <v>3122</v>
      </c>
      <c r="C1085" s="681">
        <v>5336</v>
      </c>
      <c r="D1085" s="2255"/>
      <c r="E1085" s="1479" t="s">
        <v>1269</v>
      </c>
      <c r="F1085" s="865"/>
      <c r="G1085" s="889">
        <f>G1086+G1087+G1088</f>
        <v>14330</v>
      </c>
      <c r="H1085" s="889">
        <f>H1086+H1087+H1088</f>
        <v>14330</v>
      </c>
      <c r="I1085" s="891">
        <f t="shared" si="48"/>
        <v>100</v>
      </c>
    </row>
    <row r="1086" spans="1:20" ht="14.25" x14ac:dyDescent="0.2">
      <c r="A1086" s="432"/>
      <c r="B1086" s="681"/>
      <c r="C1086" s="681"/>
      <c r="D1086" s="554" t="s">
        <v>1182</v>
      </c>
      <c r="E1086" s="456" t="s">
        <v>832</v>
      </c>
      <c r="F1086" s="865"/>
      <c r="G1086" s="865">
        <v>13740</v>
      </c>
      <c r="H1086" s="865">
        <v>13740</v>
      </c>
      <c r="I1086" s="861">
        <f t="shared" si="48"/>
        <v>100</v>
      </c>
    </row>
    <row r="1087" spans="1:20" ht="14.25" x14ac:dyDescent="0.2">
      <c r="A1087" s="432"/>
      <c r="B1087" s="783"/>
      <c r="C1087" s="783"/>
      <c r="D1087" s="1481" t="s">
        <v>1608</v>
      </c>
      <c r="E1087" s="1476" t="s">
        <v>1717</v>
      </c>
      <c r="F1087" s="871"/>
      <c r="G1087" s="871">
        <v>89</v>
      </c>
      <c r="H1087" s="871">
        <v>89</v>
      </c>
      <c r="I1087" s="866">
        <f t="shared" si="48"/>
        <v>100</v>
      </c>
    </row>
    <row r="1088" spans="1:20" ht="14.25" x14ac:dyDescent="0.2">
      <c r="A1088" s="432"/>
      <c r="B1088" s="783"/>
      <c r="C1088" s="783"/>
      <c r="D1088" s="1481" t="s">
        <v>1610</v>
      </c>
      <c r="E1088" s="1476" t="s">
        <v>1717</v>
      </c>
      <c r="F1088" s="871"/>
      <c r="G1088" s="871">
        <v>501</v>
      </c>
      <c r="H1088" s="871">
        <v>501</v>
      </c>
      <c r="I1088" s="866">
        <f t="shared" si="48"/>
        <v>100</v>
      </c>
    </row>
    <row r="1089" spans="1:9" ht="15" x14ac:dyDescent="0.25">
      <c r="A1089" s="432">
        <v>1128</v>
      </c>
      <c r="B1089" s="783">
        <v>3123</v>
      </c>
      <c r="C1089" s="783">
        <v>5331</v>
      </c>
      <c r="D1089" s="897"/>
      <c r="E1089" s="680" t="s">
        <v>996</v>
      </c>
      <c r="F1089" s="873">
        <f>SUM(F1090:F1094)</f>
        <v>1812</v>
      </c>
      <c r="G1089" s="873">
        <f>G1090+G1091+G1092</f>
        <v>2259</v>
      </c>
      <c r="H1089" s="873">
        <f>H1090+H1091+H1092</f>
        <v>2259</v>
      </c>
      <c r="I1089" s="874">
        <f t="shared" si="48"/>
        <v>100</v>
      </c>
    </row>
    <row r="1090" spans="1:9" ht="14.25" x14ac:dyDescent="0.2">
      <c r="A1090" s="432"/>
      <c r="B1090" s="783"/>
      <c r="C1090" s="783"/>
      <c r="D1090" s="719" t="s">
        <v>611</v>
      </c>
      <c r="E1090" s="1569" t="s">
        <v>833</v>
      </c>
      <c r="F1090" s="871">
        <v>312</v>
      </c>
      <c r="G1090" s="871">
        <v>404</v>
      </c>
      <c r="H1090" s="871">
        <v>404</v>
      </c>
      <c r="I1090" s="866">
        <f t="shared" si="48"/>
        <v>100</v>
      </c>
    </row>
    <row r="1091" spans="1:9" ht="16.5" customHeight="1" x14ac:dyDescent="0.2">
      <c r="A1091" s="432"/>
      <c r="B1091" s="783"/>
      <c r="C1091" s="783"/>
      <c r="D1091" s="554" t="s">
        <v>606</v>
      </c>
      <c r="E1091" s="456" t="s">
        <v>72</v>
      </c>
      <c r="F1091" s="871">
        <v>1500</v>
      </c>
      <c r="G1091" s="871">
        <v>1500</v>
      </c>
      <c r="H1091" s="871">
        <v>1500</v>
      </c>
      <c r="I1091" s="866">
        <f t="shared" si="48"/>
        <v>100</v>
      </c>
    </row>
    <row r="1092" spans="1:9" ht="14.25" x14ac:dyDescent="0.2">
      <c r="A1092" s="432"/>
      <c r="B1092" s="783"/>
      <c r="C1092" s="783"/>
      <c r="D1092" s="1120" t="s">
        <v>968</v>
      </c>
      <c r="E1092" s="1215" t="s">
        <v>969</v>
      </c>
      <c r="F1092" s="871"/>
      <c r="G1092" s="871">
        <v>355</v>
      </c>
      <c r="H1092" s="871">
        <v>355</v>
      </c>
      <c r="I1092" s="866">
        <f t="shared" si="48"/>
        <v>100</v>
      </c>
    </row>
    <row r="1093" spans="1:9" ht="15" x14ac:dyDescent="0.25">
      <c r="A1093" s="432">
        <v>1128</v>
      </c>
      <c r="B1093" s="783">
        <v>3123</v>
      </c>
      <c r="C1093" s="783">
        <v>5336</v>
      </c>
      <c r="D1093" s="2255"/>
      <c r="E1093" s="1479" t="s">
        <v>1269</v>
      </c>
      <c r="F1093" s="871"/>
      <c r="G1093" s="884">
        <v>11558</v>
      </c>
      <c r="H1093" s="884">
        <v>11558</v>
      </c>
      <c r="I1093" s="876">
        <f t="shared" si="48"/>
        <v>100</v>
      </c>
    </row>
    <row r="1094" spans="1:9" ht="14.25" x14ac:dyDescent="0.2">
      <c r="A1094" s="432"/>
      <c r="B1094" s="783"/>
      <c r="C1094" s="783"/>
      <c r="D1094" s="554" t="s">
        <v>1182</v>
      </c>
      <c r="E1094" s="456" t="s">
        <v>832</v>
      </c>
      <c r="F1094" s="871"/>
      <c r="G1094" s="871">
        <v>11558</v>
      </c>
      <c r="H1094" s="871">
        <v>11558</v>
      </c>
      <c r="I1094" s="866">
        <f t="shared" si="48"/>
        <v>100</v>
      </c>
    </row>
    <row r="1095" spans="1:9" ht="15" x14ac:dyDescent="0.25">
      <c r="A1095" s="432">
        <v>1128</v>
      </c>
      <c r="B1095" s="681">
        <v>3142</v>
      </c>
      <c r="C1095" s="681">
        <v>5331</v>
      </c>
      <c r="D1095" s="857"/>
      <c r="E1095" s="829" t="s">
        <v>996</v>
      </c>
      <c r="F1095" s="858">
        <f>F1096+F1097</f>
        <v>676</v>
      </c>
      <c r="G1095" s="858">
        <f>G1096+G1097</f>
        <v>677</v>
      </c>
      <c r="H1095" s="858">
        <f>H1096+H1097</f>
        <v>677</v>
      </c>
      <c r="I1095" s="874">
        <f t="shared" si="48"/>
        <v>100</v>
      </c>
    </row>
    <row r="1096" spans="1:9" ht="14.25" x14ac:dyDescent="0.2">
      <c r="A1096" s="432"/>
      <c r="B1096" s="783"/>
      <c r="C1096" s="783"/>
      <c r="D1096" s="719" t="s">
        <v>611</v>
      </c>
      <c r="E1096" s="1569" t="s">
        <v>833</v>
      </c>
      <c r="F1096" s="871">
        <v>76</v>
      </c>
      <c r="G1096" s="871">
        <v>77</v>
      </c>
      <c r="H1096" s="871">
        <v>77</v>
      </c>
      <c r="I1096" s="866">
        <f t="shared" si="48"/>
        <v>100</v>
      </c>
    </row>
    <row r="1097" spans="1:9" ht="14.25" x14ac:dyDescent="0.2">
      <c r="A1097" s="432"/>
      <c r="B1097" s="783"/>
      <c r="C1097" s="783"/>
      <c r="D1097" s="554" t="s">
        <v>606</v>
      </c>
      <c r="E1097" s="456" t="s">
        <v>72</v>
      </c>
      <c r="F1097" s="871">
        <v>600</v>
      </c>
      <c r="G1097" s="871">
        <v>600</v>
      </c>
      <c r="H1097" s="871">
        <v>600</v>
      </c>
      <c r="I1097" s="866">
        <f t="shared" si="48"/>
        <v>100</v>
      </c>
    </row>
    <row r="1098" spans="1:9" ht="15" x14ac:dyDescent="0.25">
      <c r="A1098" s="432">
        <v>1128</v>
      </c>
      <c r="B1098" s="783">
        <v>3142</v>
      </c>
      <c r="C1098" s="783">
        <v>5336</v>
      </c>
      <c r="D1098" s="554"/>
      <c r="E1098" s="1479" t="s">
        <v>1269</v>
      </c>
      <c r="F1098" s="871"/>
      <c r="G1098" s="884">
        <v>1540</v>
      </c>
      <c r="H1098" s="884">
        <v>1540</v>
      </c>
      <c r="I1098" s="876">
        <f t="shared" si="48"/>
        <v>100</v>
      </c>
    </row>
    <row r="1099" spans="1:9" ht="14.25" x14ac:dyDescent="0.2">
      <c r="A1099" s="432"/>
      <c r="B1099" s="783"/>
      <c r="C1099" s="1468"/>
      <c r="D1099" s="554" t="s">
        <v>1182</v>
      </c>
      <c r="E1099" s="456" t="s">
        <v>832</v>
      </c>
      <c r="F1099" s="871"/>
      <c r="G1099" s="871">
        <v>1540</v>
      </c>
      <c r="H1099" s="871">
        <v>1540</v>
      </c>
      <c r="I1099" s="866">
        <f t="shared" si="48"/>
        <v>100</v>
      </c>
    </row>
    <row r="1100" spans="1:9" ht="15" x14ac:dyDescent="0.25">
      <c r="A1100" s="432">
        <v>1128</v>
      </c>
      <c r="B1100" s="783">
        <v>3147</v>
      </c>
      <c r="C1100" s="783">
        <v>5331</v>
      </c>
      <c r="D1100" s="897"/>
      <c r="E1100" s="680" t="s">
        <v>996</v>
      </c>
      <c r="F1100" s="873">
        <f>F1101+F1102</f>
        <v>748</v>
      </c>
      <c r="G1100" s="873">
        <f>G1101+G1102</f>
        <v>742</v>
      </c>
      <c r="H1100" s="873">
        <f>H1101+H1102</f>
        <v>742</v>
      </c>
      <c r="I1100" s="874">
        <f t="shared" si="48"/>
        <v>100</v>
      </c>
    </row>
    <row r="1101" spans="1:9" ht="14.25" x14ac:dyDescent="0.2">
      <c r="A1101" s="432"/>
      <c r="B1101" s="783"/>
      <c r="C1101" s="783"/>
      <c r="D1101" s="719" t="s">
        <v>611</v>
      </c>
      <c r="E1101" s="1569" t="s">
        <v>833</v>
      </c>
      <c r="F1101" s="871">
        <v>148</v>
      </c>
      <c r="G1101" s="871">
        <v>142</v>
      </c>
      <c r="H1101" s="871">
        <v>142</v>
      </c>
      <c r="I1101" s="866">
        <f t="shared" si="48"/>
        <v>100</v>
      </c>
    </row>
    <row r="1102" spans="1:9" ht="14.25" x14ac:dyDescent="0.2">
      <c r="A1102" s="432"/>
      <c r="B1102" s="783"/>
      <c r="C1102" s="783"/>
      <c r="D1102" s="554" t="s">
        <v>606</v>
      </c>
      <c r="E1102" s="456" t="s">
        <v>72</v>
      </c>
      <c r="F1102" s="871">
        <v>600</v>
      </c>
      <c r="G1102" s="871">
        <v>600</v>
      </c>
      <c r="H1102" s="871">
        <v>600</v>
      </c>
      <c r="I1102" s="866">
        <f t="shared" si="48"/>
        <v>100</v>
      </c>
    </row>
    <row r="1103" spans="1:9" ht="15" x14ac:dyDescent="0.25">
      <c r="A1103" s="432">
        <v>1128</v>
      </c>
      <c r="B1103" s="783">
        <v>3147</v>
      </c>
      <c r="C1103" s="783">
        <v>5336</v>
      </c>
      <c r="D1103" s="554"/>
      <c r="E1103" s="1479" t="s">
        <v>1269</v>
      </c>
      <c r="F1103" s="871"/>
      <c r="G1103" s="884">
        <v>4012</v>
      </c>
      <c r="H1103" s="884">
        <v>4012</v>
      </c>
      <c r="I1103" s="876">
        <f t="shared" si="48"/>
        <v>100</v>
      </c>
    </row>
    <row r="1104" spans="1:9" ht="14.25" x14ac:dyDescent="0.2">
      <c r="A1104" s="432"/>
      <c r="B1104" s="783"/>
      <c r="C1104" s="1468"/>
      <c r="D1104" s="554" t="s">
        <v>1182</v>
      </c>
      <c r="E1104" s="456" t="s">
        <v>832</v>
      </c>
      <c r="F1104" s="871"/>
      <c r="G1104" s="871">
        <v>4012</v>
      </c>
      <c r="H1104" s="871">
        <v>4012</v>
      </c>
      <c r="I1104" s="866">
        <f t="shared" si="48"/>
        <v>100</v>
      </c>
    </row>
    <row r="1105" spans="1:20" ht="15" x14ac:dyDescent="0.25">
      <c r="A1105" s="432">
        <v>1128</v>
      </c>
      <c r="B1105" s="783">
        <v>3293</v>
      </c>
      <c r="C1105" s="1468">
        <v>5331</v>
      </c>
      <c r="D1105" s="554"/>
      <c r="E1105" s="680" t="s">
        <v>996</v>
      </c>
      <c r="F1105" s="871"/>
      <c r="G1105" s="884">
        <v>15</v>
      </c>
      <c r="H1105" s="884">
        <v>15</v>
      </c>
      <c r="I1105" s="876">
        <f t="shared" si="48"/>
        <v>100</v>
      </c>
    </row>
    <row r="1106" spans="1:20" ht="15" thickBot="1" x14ac:dyDescent="0.25">
      <c r="A1106" s="432"/>
      <c r="B1106" s="783"/>
      <c r="C1106" s="1468"/>
      <c r="D1106" s="1391" t="s">
        <v>1185</v>
      </c>
      <c r="E1106" s="1354" t="s">
        <v>1718</v>
      </c>
      <c r="F1106" s="871"/>
      <c r="G1106" s="871">
        <v>15</v>
      </c>
      <c r="H1106" s="871">
        <v>15</v>
      </c>
      <c r="I1106" s="866">
        <f t="shared" si="48"/>
        <v>100</v>
      </c>
    </row>
    <row r="1107" spans="1:20" ht="16.5" thickTop="1" thickBot="1" x14ac:dyDescent="0.3">
      <c r="A1107" s="2685" t="s">
        <v>1162</v>
      </c>
      <c r="B1107" s="2686"/>
      <c r="C1107" s="2686"/>
      <c r="D1107" s="2686"/>
      <c r="E1107" s="2686"/>
      <c r="F1107" s="862">
        <f>F1078+F1085+F1089+F1093+F1095+F1098+F1100+F1103</f>
        <v>6064</v>
      </c>
      <c r="G1107" s="862">
        <f>G1078+G1085+G1089+G1093+G1095+G1098+G1100+G1103+G1105</f>
        <v>38647</v>
      </c>
      <c r="H1107" s="862">
        <f>H1078+H1085+H1089+H1093+H1095+H1098+H1100+H1103+H1105</f>
        <v>38647</v>
      </c>
      <c r="I1107" s="863">
        <f t="shared" si="48"/>
        <v>100</v>
      </c>
      <c r="R1107" s="383">
        <f>F1107</f>
        <v>6064</v>
      </c>
      <c r="S1107" s="383">
        <f>G1107</f>
        <v>38647</v>
      </c>
      <c r="T1107" s="383">
        <f>H1107</f>
        <v>38647</v>
      </c>
    </row>
    <row r="1108" spans="1:20" ht="13.5" thickTop="1" x14ac:dyDescent="0.2"/>
    <row r="1119" spans="1:20" ht="13.5" thickBot="1" x14ac:dyDescent="0.25">
      <c r="A1119" s="433" t="s">
        <v>426</v>
      </c>
      <c r="I1119" s="1465" t="s">
        <v>173</v>
      </c>
    </row>
    <row r="1120" spans="1:20" s="107" customFormat="1" thickTop="1" thickBot="1" x14ac:dyDescent="0.25">
      <c r="A1120" s="633" t="s">
        <v>661</v>
      </c>
      <c r="B1120" s="810" t="s">
        <v>174</v>
      </c>
      <c r="C1120" s="634" t="s">
        <v>175</v>
      </c>
      <c r="D1120" s="636" t="s">
        <v>744</v>
      </c>
      <c r="E1120" s="636" t="s">
        <v>176</v>
      </c>
      <c r="F1120" s="636" t="s">
        <v>177</v>
      </c>
      <c r="G1120" s="636" t="s">
        <v>922</v>
      </c>
      <c r="H1120" s="636" t="s">
        <v>923</v>
      </c>
      <c r="I1120" s="856" t="s">
        <v>924</v>
      </c>
    </row>
    <row r="1121" spans="1:20" s="384" customFormat="1" ht="13.5" thickTop="1" thickBot="1" x14ac:dyDescent="0.25">
      <c r="A1121" s="568">
        <v>1</v>
      </c>
      <c r="B1121" s="569">
        <v>2</v>
      </c>
      <c r="C1121" s="569">
        <v>3</v>
      </c>
      <c r="D1121" s="569">
        <v>4</v>
      </c>
      <c r="E1121" s="569">
        <v>5</v>
      </c>
      <c r="F1121" s="543">
        <v>6</v>
      </c>
      <c r="G1121" s="543">
        <v>7</v>
      </c>
      <c r="H1121" s="544">
        <v>8</v>
      </c>
      <c r="I1121" s="638" t="s">
        <v>801</v>
      </c>
    </row>
    <row r="1122" spans="1:20" ht="15.75" thickTop="1" x14ac:dyDescent="0.25">
      <c r="A1122" s="1466">
        <v>1129</v>
      </c>
      <c r="B1122" s="811">
        <v>3122</v>
      </c>
      <c r="C1122" s="811">
        <v>5331</v>
      </c>
      <c r="D1122" s="877"/>
      <c r="E1122" s="898" t="s">
        <v>996</v>
      </c>
      <c r="F1122" s="899">
        <f>F1123+F1124</f>
        <v>2985</v>
      </c>
      <c r="G1122" s="899">
        <f>G1123+G1124</f>
        <v>2935</v>
      </c>
      <c r="H1122" s="899">
        <f>H1123+H1124</f>
        <v>2935</v>
      </c>
      <c r="I1122" s="864">
        <f t="shared" ref="I1122:I1130" si="49">(H1122/G1122)*100</f>
        <v>100</v>
      </c>
    </row>
    <row r="1123" spans="1:20" ht="14.25" x14ac:dyDescent="0.2">
      <c r="A1123" s="432"/>
      <c r="B1123" s="681"/>
      <c r="C1123" s="681"/>
      <c r="D1123" s="719" t="s">
        <v>611</v>
      </c>
      <c r="E1123" s="1569" t="s">
        <v>833</v>
      </c>
      <c r="F1123" s="865">
        <v>460</v>
      </c>
      <c r="G1123" s="865">
        <v>410</v>
      </c>
      <c r="H1123" s="865">
        <v>410</v>
      </c>
      <c r="I1123" s="861">
        <f t="shared" si="49"/>
        <v>100</v>
      </c>
    </row>
    <row r="1124" spans="1:20" ht="14.25" x14ac:dyDescent="0.2">
      <c r="A1124" s="432"/>
      <c r="B1124" s="681"/>
      <c r="C1124" s="681"/>
      <c r="D1124" s="554" t="s">
        <v>606</v>
      </c>
      <c r="E1124" s="456" t="s">
        <v>72</v>
      </c>
      <c r="F1124" s="865">
        <v>2525</v>
      </c>
      <c r="G1124" s="865">
        <v>2525</v>
      </c>
      <c r="H1124" s="865">
        <v>2525</v>
      </c>
      <c r="I1124" s="861">
        <f t="shared" si="49"/>
        <v>100</v>
      </c>
      <c r="J1124" s="382" t="s">
        <v>398</v>
      </c>
    </row>
    <row r="1125" spans="1:20" ht="15" x14ac:dyDescent="0.25">
      <c r="A1125" s="432">
        <v>1129</v>
      </c>
      <c r="B1125" s="681">
        <v>3122</v>
      </c>
      <c r="C1125" s="681">
        <v>5336</v>
      </c>
      <c r="D1125" s="2255"/>
      <c r="E1125" s="1479" t="s">
        <v>1269</v>
      </c>
      <c r="F1125" s="865"/>
      <c r="G1125" s="884">
        <f>G1126+G1127+G1128</f>
        <v>11982</v>
      </c>
      <c r="H1125" s="884">
        <f>H1126+H1127+H1128</f>
        <v>11982</v>
      </c>
      <c r="I1125" s="891">
        <f t="shared" si="49"/>
        <v>100</v>
      </c>
    </row>
    <row r="1126" spans="1:20" ht="14.25" x14ac:dyDescent="0.2">
      <c r="A1126" s="432"/>
      <c r="B1126" s="681"/>
      <c r="C1126" s="681"/>
      <c r="D1126" s="554" t="s">
        <v>1182</v>
      </c>
      <c r="E1126" s="456" t="s">
        <v>832</v>
      </c>
      <c r="F1126" s="865"/>
      <c r="G1126" s="871">
        <v>11510</v>
      </c>
      <c r="H1126" s="865">
        <v>11510</v>
      </c>
      <c r="I1126" s="861">
        <f t="shared" si="49"/>
        <v>100</v>
      </c>
    </row>
    <row r="1127" spans="1:20" ht="14.25" x14ac:dyDescent="0.2">
      <c r="A1127" s="432"/>
      <c r="B1127" s="783"/>
      <c r="C1127" s="783"/>
      <c r="D1127" s="1481" t="s">
        <v>1608</v>
      </c>
      <c r="E1127" s="1476" t="s">
        <v>1717</v>
      </c>
      <c r="F1127" s="871"/>
      <c r="G1127" s="871">
        <v>71</v>
      </c>
      <c r="H1127" s="871">
        <v>71</v>
      </c>
      <c r="I1127" s="866">
        <f t="shared" si="49"/>
        <v>100</v>
      </c>
    </row>
    <row r="1128" spans="1:20" ht="14.25" x14ac:dyDescent="0.2">
      <c r="A1128" s="432"/>
      <c r="B1128" s="783"/>
      <c r="C1128" s="783"/>
      <c r="D1128" s="1481" t="s">
        <v>1610</v>
      </c>
      <c r="E1128" s="1476" t="s">
        <v>1717</v>
      </c>
      <c r="F1128" s="871"/>
      <c r="G1128" s="871">
        <v>401</v>
      </c>
      <c r="H1128" s="871">
        <v>401</v>
      </c>
      <c r="I1128" s="866">
        <f t="shared" si="49"/>
        <v>100</v>
      </c>
    </row>
    <row r="1129" spans="1:20" ht="15" x14ac:dyDescent="0.25">
      <c r="A1129" s="432">
        <v>1129</v>
      </c>
      <c r="B1129" s="783">
        <v>3142</v>
      </c>
      <c r="C1129" s="783">
        <v>5336</v>
      </c>
      <c r="D1129" s="897"/>
      <c r="E1129" s="1479" t="s">
        <v>1269</v>
      </c>
      <c r="F1129" s="873"/>
      <c r="G1129" s="873">
        <v>96</v>
      </c>
      <c r="H1129" s="873">
        <v>96</v>
      </c>
      <c r="I1129" s="874">
        <f t="shared" si="49"/>
        <v>100</v>
      </c>
    </row>
    <row r="1130" spans="1:20" ht="15" thickBot="1" x14ac:dyDescent="0.25">
      <c r="A1130" s="432"/>
      <c r="B1130" s="783"/>
      <c r="C1130" s="1468"/>
      <c r="D1130" s="554" t="s">
        <v>1182</v>
      </c>
      <c r="E1130" s="456" t="s">
        <v>832</v>
      </c>
      <c r="F1130" s="871"/>
      <c r="G1130" s="871">
        <v>96</v>
      </c>
      <c r="H1130" s="871">
        <v>96</v>
      </c>
      <c r="I1130" s="866">
        <f t="shared" si="49"/>
        <v>100</v>
      </c>
    </row>
    <row r="1131" spans="1:20" ht="16.5" thickTop="1" thickBot="1" x14ac:dyDescent="0.3">
      <c r="A1131" s="2685" t="s">
        <v>1162</v>
      </c>
      <c r="B1131" s="2686"/>
      <c r="C1131" s="2686"/>
      <c r="D1131" s="2686"/>
      <c r="E1131" s="2686"/>
      <c r="F1131" s="862">
        <f>F1122</f>
        <v>2985</v>
      </c>
      <c r="G1131" s="862">
        <f>G1122+G1125+G1129</f>
        <v>15013</v>
      </c>
      <c r="H1131" s="862">
        <f>H1122+H1125+H1129</f>
        <v>15013</v>
      </c>
      <c r="I1131" s="863">
        <f>(H1131/G1131)*100</f>
        <v>100</v>
      </c>
      <c r="R1131" s="383">
        <f>F1131</f>
        <v>2985</v>
      </c>
      <c r="S1131" s="383">
        <f>G1131</f>
        <v>15013</v>
      </c>
      <c r="T1131" s="383">
        <f>H1131</f>
        <v>15013</v>
      </c>
    </row>
    <row r="1132" spans="1:20" ht="13.5" thickTop="1" x14ac:dyDescent="0.2"/>
    <row r="1134" spans="1:20" ht="13.5" thickBot="1" x14ac:dyDescent="0.25">
      <c r="A1134" s="433" t="s">
        <v>496</v>
      </c>
      <c r="I1134" s="1465" t="s">
        <v>173</v>
      </c>
    </row>
    <row r="1135" spans="1:20" s="107" customFormat="1" thickTop="1" thickBot="1" x14ac:dyDescent="0.25">
      <c r="A1135" s="633" t="s">
        <v>661</v>
      </c>
      <c r="B1135" s="810" t="s">
        <v>174</v>
      </c>
      <c r="C1135" s="634" t="s">
        <v>175</v>
      </c>
      <c r="D1135" s="636" t="s">
        <v>744</v>
      </c>
      <c r="E1135" s="636" t="s">
        <v>176</v>
      </c>
      <c r="F1135" s="636" t="s">
        <v>177</v>
      </c>
      <c r="G1135" s="636" t="s">
        <v>922</v>
      </c>
      <c r="H1135" s="636" t="s">
        <v>923</v>
      </c>
      <c r="I1135" s="856" t="s">
        <v>924</v>
      </c>
    </row>
    <row r="1136" spans="1:20" s="384" customFormat="1" ht="13.5" thickTop="1" thickBot="1" x14ac:dyDescent="0.25">
      <c r="A1136" s="568">
        <v>1</v>
      </c>
      <c r="B1136" s="569">
        <v>2</v>
      </c>
      <c r="C1136" s="569">
        <v>3</v>
      </c>
      <c r="D1136" s="569">
        <v>4</v>
      </c>
      <c r="E1136" s="569">
        <v>5</v>
      </c>
      <c r="F1136" s="543">
        <v>6</v>
      </c>
      <c r="G1136" s="543">
        <v>7</v>
      </c>
      <c r="H1136" s="544">
        <v>8</v>
      </c>
      <c r="I1136" s="638" t="s">
        <v>801</v>
      </c>
    </row>
    <row r="1137" spans="1:20" ht="15.75" thickTop="1" x14ac:dyDescent="0.25">
      <c r="A1137" s="1466">
        <v>1130</v>
      </c>
      <c r="B1137" s="811">
        <v>3122</v>
      </c>
      <c r="C1137" s="811">
        <v>5331</v>
      </c>
      <c r="D1137" s="877"/>
      <c r="E1137" s="898" t="s">
        <v>996</v>
      </c>
      <c r="F1137" s="899">
        <f>F1138+F1139</f>
        <v>2458</v>
      </c>
      <c r="G1137" s="899">
        <f>G1138+G1139+G1140</f>
        <v>2517</v>
      </c>
      <c r="H1137" s="899">
        <f>H1138+H1139+H1140</f>
        <v>2517</v>
      </c>
      <c r="I1137" s="864">
        <f t="shared" ref="I1137:I1146" si="50">(H1137/G1137)*100</f>
        <v>100</v>
      </c>
    </row>
    <row r="1138" spans="1:20" ht="14.25" x14ac:dyDescent="0.2">
      <c r="A1138" s="432"/>
      <c r="B1138" s="681"/>
      <c r="C1138" s="681"/>
      <c r="D1138" s="719" t="s">
        <v>611</v>
      </c>
      <c r="E1138" s="1569" t="s">
        <v>833</v>
      </c>
      <c r="F1138" s="865">
        <v>498</v>
      </c>
      <c r="G1138" s="865">
        <v>548</v>
      </c>
      <c r="H1138" s="865">
        <v>548</v>
      </c>
      <c r="I1138" s="861">
        <f t="shared" si="50"/>
        <v>100</v>
      </c>
    </row>
    <row r="1139" spans="1:20" ht="14.25" x14ac:dyDescent="0.2">
      <c r="A1139" s="432"/>
      <c r="B1139" s="681"/>
      <c r="C1139" s="681"/>
      <c r="D1139" s="554" t="s">
        <v>606</v>
      </c>
      <c r="E1139" s="456" t="s">
        <v>72</v>
      </c>
      <c r="F1139" s="865">
        <v>1960</v>
      </c>
      <c r="G1139" s="865">
        <v>1960</v>
      </c>
      <c r="H1139" s="865">
        <v>1960</v>
      </c>
      <c r="I1139" s="861">
        <f t="shared" si="50"/>
        <v>100</v>
      </c>
    </row>
    <row r="1140" spans="1:20" ht="14.25" x14ac:dyDescent="0.2">
      <c r="A1140" s="432"/>
      <c r="B1140" s="681"/>
      <c r="C1140" s="681"/>
      <c r="D1140" s="1119" t="s">
        <v>1604</v>
      </c>
      <c r="E1140" s="2273" t="s">
        <v>1719</v>
      </c>
      <c r="F1140" s="865"/>
      <c r="G1140" s="865">
        <v>9</v>
      </c>
      <c r="H1140" s="865">
        <v>9</v>
      </c>
      <c r="I1140" s="861">
        <f t="shared" si="50"/>
        <v>100</v>
      </c>
    </row>
    <row r="1141" spans="1:20" ht="15" x14ac:dyDescent="0.25">
      <c r="A1141" s="432">
        <v>1130</v>
      </c>
      <c r="B1141" s="681">
        <v>3122</v>
      </c>
      <c r="C1141" s="681">
        <v>5336</v>
      </c>
      <c r="D1141" s="2255"/>
      <c r="E1141" s="1479" t="s">
        <v>1269</v>
      </c>
      <c r="F1141" s="865"/>
      <c r="G1141" s="858">
        <f>G1142+G1143+G1144</f>
        <v>16923</v>
      </c>
      <c r="H1141" s="858">
        <f>H1142+H1143+H1144</f>
        <v>16923</v>
      </c>
      <c r="I1141" s="859">
        <f t="shared" si="50"/>
        <v>100</v>
      </c>
      <c r="J1141" s="433"/>
      <c r="K1141" s="433"/>
      <c r="L1141" s="433"/>
      <c r="M1141" s="433"/>
      <c r="N1141" s="433"/>
      <c r="O1141" s="433"/>
      <c r="P1141" s="433"/>
    </row>
    <row r="1142" spans="1:20" ht="14.25" x14ac:dyDescent="0.2">
      <c r="A1142" s="432"/>
      <c r="B1142" s="681"/>
      <c r="C1142" s="1467"/>
      <c r="D1142" s="554" t="s">
        <v>1182</v>
      </c>
      <c r="E1142" s="456" t="s">
        <v>832</v>
      </c>
      <c r="F1142" s="865"/>
      <c r="G1142" s="865">
        <v>16422</v>
      </c>
      <c r="H1142" s="865">
        <v>16422</v>
      </c>
      <c r="I1142" s="861">
        <f t="shared" si="50"/>
        <v>100</v>
      </c>
    </row>
    <row r="1143" spans="1:20" ht="14.25" x14ac:dyDescent="0.2">
      <c r="A1143" s="432"/>
      <c r="B1143" s="783"/>
      <c r="C1143" s="1468"/>
      <c r="D1143" s="1481" t="s">
        <v>1608</v>
      </c>
      <c r="E1143" s="1476" t="s">
        <v>1717</v>
      </c>
      <c r="F1143" s="871"/>
      <c r="G1143" s="871">
        <v>75</v>
      </c>
      <c r="H1143" s="871">
        <v>75</v>
      </c>
      <c r="I1143" s="866">
        <f t="shared" si="50"/>
        <v>100</v>
      </c>
    </row>
    <row r="1144" spans="1:20" ht="14.25" x14ac:dyDescent="0.2">
      <c r="A1144" s="432"/>
      <c r="B1144" s="783"/>
      <c r="C1144" s="1468"/>
      <c r="D1144" s="1481" t="s">
        <v>1610</v>
      </c>
      <c r="E1144" s="1476" t="s">
        <v>1717</v>
      </c>
      <c r="F1144" s="871"/>
      <c r="G1144" s="871">
        <v>426</v>
      </c>
      <c r="H1144" s="871">
        <v>426</v>
      </c>
      <c r="I1144" s="866">
        <f t="shared" si="50"/>
        <v>100</v>
      </c>
    </row>
    <row r="1145" spans="1:20" ht="15" x14ac:dyDescent="0.25">
      <c r="A1145" s="432">
        <v>1130</v>
      </c>
      <c r="B1145" s="783">
        <v>3142</v>
      </c>
      <c r="C1145" s="783">
        <v>5331</v>
      </c>
      <c r="D1145" s="897"/>
      <c r="E1145" s="680" t="s">
        <v>996</v>
      </c>
      <c r="F1145" s="873">
        <v>260</v>
      </c>
      <c r="G1145" s="873">
        <v>260</v>
      </c>
      <c r="H1145" s="873">
        <v>260</v>
      </c>
      <c r="I1145" s="874">
        <f t="shared" si="50"/>
        <v>100</v>
      </c>
    </row>
    <row r="1146" spans="1:20" ht="12" customHeight="1" thickBot="1" x14ac:dyDescent="0.25">
      <c r="A1146" s="432"/>
      <c r="B1146" s="783"/>
      <c r="C1146" s="783"/>
      <c r="D1146" s="554" t="s">
        <v>606</v>
      </c>
      <c r="E1146" s="456" t="s">
        <v>72</v>
      </c>
      <c r="F1146" s="871">
        <v>260</v>
      </c>
      <c r="G1146" s="871">
        <v>260</v>
      </c>
      <c r="H1146" s="871">
        <v>260</v>
      </c>
      <c r="I1146" s="866">
        <f t="shared" si="50"/>
        <v>100</v>
      </c>
    </row>
    <row r="1147" spans="1:20" ht="16.5" thickTop="1" thickBot="1" x14ac:dyDescent="0.3">
      <c r="A1147" s="2685" t="s">
        <v>1162</v>
      </c>
      <c r="B1147" s="2686"/>
      <c r="C1147" s="2686"/>
      <c r="D1147" s="2686"/>
      <c r="E1147" s="2686"/>
      <c r="F1147" s="862">
        <f>SUM(F1145,F1137)</f>
        <v>2718</v>
      </c>
      <c r="G1147" s="862">
        <f>G1137+G1141+G1145</f>
        <v>19700</v>
      </c>
      <c r="H1147" s="862">
        <f>H1137+H1141+H1145</f>
        <v>19700</v>
      </c>
      <c r="I1147" s="863">
        <f>(H1147/G1147)*100</f>
        <v>100</v>
      </c>
      <c r="R1147" s="383">
        <f>F1147</f>
        <v>2718</v>
      </c>
      <c r="S1147" s="383">
        <f>G1147</f>
        <v>19700</v>
      </c>
      <c r="T1147" s="383">
        <f>H1147</f>
        <v>19700</v>
      </c>
    </row>
    <row r="1148" spans="1:20" ht="13.5" thickTop="1" x14ac:dyDescent="0.2"/>
    <row r="1150" spans="1:20" ht="13.5" thickBot="1" x14ac:dyDescent="0.25">
      <c r="A1150" s="433" t="s">
        <v>1268</v>
      </c>
      <c r="I1150" s="1465" t="s">
        <v>173</v>
      </c>
    </row>
    <row r="1151" spans="1:20" s="107" customFormat="1" thickTop="1" thickBot="1" x14ac:dyDescent="0.25">
      <c r="A1151" s="633" t="s">
        <v>661</v>
      </c>
      <c r="B1151" s="810" t="s">
        <v>174</v>
      </c>
      <c r="C1151" s="634" t="s">
        <v>175</v>
      </c>
      <c r="D1151" s="636" t="s">
        <v>744</v>
      </c>
      <c r="E1151" s="636" t="s">
        <v>176</v>
      </c>
      <c r="F1151" s="636" t="s">
        <v>177</v>
      </c>
      <c r="G1151" s="636" t="s">
        <v>922</v>
      </c>
      <c r="H1151" s="636" t="s">
        <v>923</v>
      </c>
      <c r="I1151" s="856" t="s">
        <v>924</v>
      </c>
    </row>
    <row r="1152" spans="1:20" s="384" customFormat="1" ht="13.5" thickTop="1" thickBot="1" x14ac:dyDescent="0.25">
      <c r="A1152" s="568">
        <v>1</v>
      </c>
      <c r="B1152" s="569">
        <v>2</v>
      </c>
      <c r="C1152" s="569">
        <v>3</v>
      </c>
      <c r="D1152" s="569">
        <v>4</v>
      </c>
      <c r="E1152" s="569">
        <v>5</v>
      </c>
      <c r="F1152" s="543">
        <v>6</v>
      </c>
      <c r="G1152" s="543">
        <v>7</v>
      </c>
      <c r="H1152" s="544">
        <v>8</v>
      </c>
      <c r="I1152" s="638" t="s">
        <v>801</v>
      </c>
    </row>
    <row r="1153" spans="1:23" ht="15.75" thickTop="1" x14ac:dyDescent="0.25">
      <c r="A1153" s="1466">
        <v>1131</v>
      </c>
      <c r="B1153" s="811">
        <v>3122</v>
      </c>
      <c r="C1153" s="811">
        <v>5336</v>
      </c>
      <c r="D1153" s="877"/>
      <c r="E1153" s="1479" t="s">
        <v>1269</v>
      </c>
      <c r="F1153" s="899"/>
      <c r="G1153" s="899">
        <v>7024</v>
      </c>
      <c r="H1153" s="899">
        <v>7024</v>
      </c>
      <c r="I1153" s="864">
        <f t="shared" ref="I1153:I1164" si="51">(H1153/G1153)*100</f>
        <v>100</v>
      </c>
    </row>
    <row r="1154" spans="1:23" ht="14.25" x14ac:dyDescent="0.2">
      <c r="A1154" s="432"/>
      <c r="B1154" s="681"/>
      <c r="C1154" s="1467"/>
      <c r="D1154" s="554" t="s">
        <v>1182</v>
      </c>
      <c r="E1154" s="456" t="s">
        <v>832</v>
      </c>
      <c r="F1154" s="865"/>
      <c r="G1154" s="865">
        <v>7024</v>
      </c>
      <c r="H1154" s="865">
        <v>7024</v>
      </c>
      <c r="I1154" s="861">
        <f t="shared" si="51"/>
        <v>100</v>
      </c>
    </row>
    <row r="1155" spans="1:23" ht="15" x14ac:dyDescent="0.25">
      <c r="A1155" s="435">
        <v>1131</v>
      </c>
      <c r="B1155" s="681">
        <v>3123</v>
      </c>
      <c r="C1155" s="783">
        <v>5331</v>
      </c>
      <c r="D1155" s="897"/>
      <c r="E1155" s="680" t="s">
        <v>996</v>
      </c>
      <c r="F1155" s="873">
        <f>F1156+F1157</f>
        <v>6039</v>
      </c>
      <c r="G1155" s="873">
        <f>G1156+G1157</f>
        <v>6064</v>
      </c>
      <c r="H1155" s="873">
        <f>H1156+H1157</f>
        <v>6064</v>
      </c>
      <c r="I1155" s="874">
        <f t="shared" si="51"/>
        <v>100</v>
      </c>
    </row>
    <row r="1156" spans="1:23" ht="14.25" x14ac:dyDescent="0.2">
      <c r="A1156" s="435"/>
      <c r="B1156" s="681"/>
      <c r="C1156" s="783"/>
      <c r="D1156" s="828" t="s">
        <v>611</v>
      </c>
      <c r="E1156" s="1569" t="s">
        <v>833</v>
      </c>
      <c r="F1156" s="871">
        <v>1107</v>
      </c>
      <c r="G1156" s="871">
        <v>1132</v>
      </c>
      <c r="H1156" s="871">
        <v>1132</v>
      </c>
      <c r="I1156" s="866">
        <f t="shared" si="51"/>
        <v>100</v>
      </c>
    </row>
    <row r="1157" spans="1:23" ht="14.25" x14ac:dyDescent="0.2">
      <c r="A1157" s="435"/>
      <c r="B1157" s="681"/>
      <c r="C1157" s="783"/>
      <c r="D1157" s="554" t="s">
        <v>606</v>
      </c>
      <c r="E1157" s="456" t="s">
        <v>72</v>
      </c>
      <c r="F1157" s="871">
        <v>4932</v>
      </c>
      <c r="G1157" s="871">
        <v>4932</v>
      </c>
      <c r="H1157" s="871">
        <v>4932</v>
      </c>
      <c r="I1157" s="866">
        <f t="shared" si="51"/>
        <v>100</v>
      </c>
    </row>
    <row r="1158" spans="1:23" ht="15" x14ac:dyDescent="0.25">
      <c r="A1158" s="435">
        <v>1131</v>
      </c>
      <c r="B1158" s="681">
        <v>3123</v>
      </c>
      <c r="C1158" s="783">
        <v>5336</v>
      </c>
      <c r="D1158" s="2255"/>
      <c r="E1158" s="1479" t="s">
        <v>1269</v>
      </c>
      <c r="F1158" s="871"/>
      <c r="G1158" s="884">
        <f>G1159+G1160+G1161</f>
        <v>17109</v>
      </c>
      <c r="H1158" s="884">
        <f>H1159+H1160+H1161</f>
        <v>17109</v>
      </c>
      <c r="I1158" s="876">
        <f t="shared" si="51"/>
        <v>100</v>
      </c>
    </row>
    <row r="1159" spans="1:23" ht="14.25" x14ac:dyDescent="0.2">
      <c r="A1159" s="432"/>
      <c r="B1159" s="783"/>
      <c r="C1159" s="1468"/>
      <c r="D1159" s="570" t="s">
        <v>1182</v>
      </c>
      <c r="E1159" s="906" t="s">
        <v>832</v>
      </c>
      <c r="F1159" s="871"/>
      <c r="G1159" s="871">
        <v>16351</v>
      </c>
      <c r="H1159" s="871">
        <v>16351</v>
      </c>
      <c r="I1159" s="866">
        <f t="shared" si="51"/>
        <v>100</v>
      </c>
    </row>
    <row r="1160" spans="1:23" ht="14.25" x14ac:dyDescent="0.2">
      <c r="A1160" s="432"/>
      <c r="B1160" s="783"/>
      <c r="C1160" s="1468"/>
      <c r="D1160" s="1481" t="s">
        <v>1608</v>
      </c>
      <c r="E1160" s="1476" t="s">
        <v>1717</v>
      </c>
      <c r="F1160" s="871"/>
      <c r="G1160" s="871">
        <v>114</v>
      </c>
      <c r="H1160" s="871">
        <v>114</v>
      </c>
      <c r="I1160" s="866">
        <f t="shared" si="51"/>
        <v>100</v>
      </c>
    </row>
    <row r="1161" spans="1:23" ht="14.25" x14ac:dyDescent="0.2">
      <c r="A1161" s="432"/>
      <c r="B1161" s="783"/>
      <c r="C1161" s="1468"/>
      <c r="D1161" s="1481" t="s">
        <v>1610</v>
      </c>
      <c r="E1161" s="1476" t="s">
        <v>1717</v>
      </c>
      <c r="F1161" s="871"/>
      <c r="G1161" s="871">
        <v>644</v>
      </c>
      <c r="H1161" s="871">
        <v>644</v>
      </c>
      <c r="I1161" s="866">
        <f t="shared" si="51"/>
        <v>100</v>
      </c>
    </row>
    <row r="1162" spans="1:23" ht="15" x14ac:dyDescent="0.25">
      <c r="A1162" s="435">
        <v>1131</v>
      </c>
      <c r="B1162" s="681">
        <v>3142</v>
      </c>
      <c r="C1162" s="783">
        <v>5336</v>
      </c>
      <c r="D1162" s="897"/>
      <c r="E1162" s="1479" t="s">
        <v>1269</v>
      </c>
      <c r="F1162" s="873"/>
      <c r="G1162" s="873">
        <v>682</v>
      </c>
      <c r="H1162" s="873">
        <v>682</v>
      </c>
      <c r="I1162" s="874">
        <f t="shared" si="51"/>
        <v>100</v>
      </c>
    </row>
    <row r="1163" spans="1:23" ht="15" thickBot="1" x14ac:dyDescent="0.25">
      <c r="A1163" s="435"/>
      <c r="B1163" s="681"/>
      <c r="C1163" s="1468"/>
      <c r="D1163" s="554" t="s">
        <v>1182</v>
      </c>
      <c r="E1163" s="456" t="s">
        <v>832</v>
      </c>
      <c r="F1163" s="871"/>
      <c r="G1163" s="871">
        <v>682</v>
      </c>
      <c r="H1163" s="871">
        <v>682</v>
      </c>
      <c r="I1163" s="866">
        <f t="shared" si="51"/>
        <v>100</v>
      </c>
    </row>
    <row r="1164" spans="1:23" ht="16.5" thickTop="1" thickBot="1" x14ac:dyDescent="0.3">
      <c r="A1164" s="2685" t="s">
        <v>1162</v>
      </c>
      <c r="B1164" s="2686"/>
      <c r="C1164" s="2686"/>
      <c r="D1164" s="2686"/>
      <c r="E1164" s="2686"/>
      <c r="F1164" s="862">
        <f>F1155</f>
        <v>6039</v>
      </c>
      <c r="G1164" s="862">
        <f>G1153+G1155+G1158+G1162</f>
        <v>30879</v>
      </c>
      <c r="H1164" s="862">
        <f>H1153+H1155+H1158+H1162</f>
        <v>30879</v>
      </c>
      <c r="I1164" s="863">
        <f t="shared" si="51"/>
        <v>100</v>
      </c>
      <c r="R1164" s="383">
        <f>F1164</f>
        <v>6039</v>
      </c>
      <c r="S1164" s="383">
        <f>G1164</f>
        <v>30879</v>
      </c>
      <c r="T1164" s="383">
        <f>H1164</f>
        <v>30879</v>
      </c>
    </row>
    <row r="1165" spans="1:23" ht="15.75" thickTop="1" x14ac:dyDescent="0.25">
      <c r="A1165" s="369"/>
      <c r="B1165" s="369"/>
      <c r="C1165" s="369"/>
      <c r="D1165" s="369"/>
      <c r="E1165" s="369"/>
      <c r="F1165" s="181"/>
      <c r="G1165" s="181"/>
      <c r="H1165" s="181"/>
      <c r="I1165" s="210"/>
      <c r="J1165" s="383"/>
      <c r="K1165" s="383"/>
      <c r="L1165" s="383"/>
      <c r="U1165" s="383"/>
      <c r="V1165" s="383"/>
      <c r="W1165" s="383"/>
    </row>
    <row r="1166" spans="1:23" ht="15" x14ac:dyDescent="0.25">
      <c r="A1166" s="369"/>
      <c r="B1166" s="369"/>
      <c r="C1166" s="369"/>
      <c r="D1166" s="369"/>
      <c r="E1166" s="369"/>
      <c r="F1166" s="181"/>
      <c r="G1166" s="181"/>
      <c r="H1166" s="181"/>
      <c r="I1166" s="210"/>
      <c r="J1166" s="383"/>
      <c r="K1166" s="383"/>
      <c r="L1166" s="383"/>
      <c r="U1166" s="383"/>
      <c r="V1166" s="383"/>
      <c r="W1166" s="383"/>
    </row>
    <row r="1167" spans="1:23" ht="15.75" customHeight="1" thickBot="1" x14ac:dyDescent="0.25">
      <c r="A1167" s="433" t="s">
        <v>52</v>
      </c>
      <c r="I1167" s="1465" t="s">
        <v>173</v>
      </c>
    </row>
    <row r="1168" spans="1:23" s="107" customFormat="1" ht="15.75" customHeight="1" thickTop="1" thickBot="1" x14ac:dyDescent="0.25">
      <c r="A1168" s="633" t="s">
        <v>661</v>
      </c>
      <c r="B1168" s="810" t="s">
        <v>174</v>
      </c>
      <c r="C1168" s="634" t="s">
        <v>175</v>
      </c>
      <c r="D1168" s="636" t="s">
        <v>744</v>
      </c>
      <c r="E1168" s="636" t="s">
        <v>176</v>
      </c>
      <c r="F1168" s="636" t="s">
        <v>177</v>
      </c>
      <c r="G1168" s="636" t="s">
        <v>922</v>
      </c>
      <c r="H1168" s="636" t="s">
        <v>923</v>
      </c>
      <c r="I1168" s="856" t="s">
        <v>924</v>
      </c>
    </row>
    <row r="1169" spans="1:9" s="384" customFormat="1" ht="14.25" customHeight="1" thickTop="1" thickBot="1" x14ac:dyDescent="0.25">
      <c r="A1169" s="568">
        <v>1</v>
      </c>
      <c r="B1169" s="569">
        <v>2</v>
      </c>
      <c r="C1169" s="569">
        <v>3</v>
      </c>
      <c r="D1169" s="569">
        <v>4</v>
      </c>
      <c r="E1169" s="569">
        <v>5</v>
      </c>
      <c r="F1169" s="543">
        <v>6</v>
      </c>
      <c r="G1169" s="543">
        <v>7</v>
      </c>
      <c r="H1169" s="544">
        <v>8</v>
      </c>
      <c r="I1169" s="638" t="s">
        <v>801</v>
      </c>
    </row>
    <row r="1170" spans="1:9" ht="15.75" thickTop="1" x14ac:dyDescent="0.25">
      <c r="A1170" s="432">
        <v>1132</v>
      </c>
      <c r="B1170" s="681">
        <v>3122</v>
      </c>
      <c r="C1170" s="681">
        <v>5331</v>
      </c>
      <c r="D1170" s="857"/>
      <c r="E1170" s="829" t="s">
        <v>996</v>
      </c>
      <c r="F1170" s="858">
        <f>F1171+F1172</f>
        <v>3170</v>
      </c>
      <c r="G1170" s="858">
        <f>G1171+G1172+G1173+G1176</f>
        <v>3255</v>
      </c>
      <c r="H1170" s="858">
        <f>H1171+H1172+H1173+H1176</f>
        <v>3255</v>
      </c>
      <c r="I1170" s="859">
        <v>100</v>
      </c>
    </row>
    <row r="1171" spans="1:9" ht="17.25" customHeight="1" x14ac:dyDescent="0.2">
      <c r="A1171" s="432"/>
      <c r="B1171" s="681"/>
      <c r="C1171" s="681"/>
      <c r="D1171" s="719" t="s">
        <v>611</v>
      </c>
      <c r="E1171" s="1569" t="s">
        <v>833</v>
      </c>
      <c r="F1171" s="865">
        <v>414</v>
      </c>
      <c r="G1171" s="865">
        <v>412</v>
      </c>
      <c r="H1171" s="865">
        <v>412</v>
      </c>
      <c r="I1171" s="861">
        <f t="shared" ref="I1171:I1188" si="52">(H1171/G1171)*100</f>
        <v>100</v>
      </c>
    </row>
    <row r="1172" spans="1:9" ht="14.25" x14ac:dyDescent="0.2">
      <c r="A1172" s="432"/>
      <c r="B1172" s="681"/>
      <c r="C1172" s="681"/>
      <c r="D1172" s="554" t="s">
        <v>606</v>
      </c>
      <c r="E1172" s="456" t="s">
        <v>72</v>
      </c>
      <c r="F1172" s="865">
        <v>2756</v>
      </c>
      <c r="G1172" s="865">
        <v>2756</v>
      </c>
      <c r="H1172" s="865">
        <v>2756</v>
      </c>
      <c r="I1172" s="861">
        <f t="shared" si="52"/>
        <v>100</v>
      </c>
    </row>
    <row r="1173" spans="1:9" ht="14.25" x14ac:dyDescent="0.2">
      <c r="A1173" s="432"/>
      <c r="B1173" s="783"/>
      <c r="C1173" s="783"/>
      <c r="D1173" s="2671" t="s">
        <v>1510</v>
      </c>
      <c r="E1173" s="2688" t="s">
        <v>1531</v>
      </c>
      <c r="F1173" s="871"/>
      <c r="G1173" s="871">
        <v>45</v>
      </c>
      <c r="H1173" s="871">
        <v>45</v>
      </c>
      <c r="I1173" s="861">
        <f t="shared" si="52"/>
        <v>100</v>
      </c>
    </row>
    <row r="1174" spans="1:9" ht="14.25" x14ac:dyDescent="0.2">
      <c r="A1174" s="432"/>
      <c r="B1174" s="783"/>
      <c r="C1174" s="783"/>
      <c r="D1174" s="2672"/>
      <c r="E1174" s="2689"/>
      <c r="F1174" s="871"/>
      <c r="G1174" s="871"/>
      <c r="H1174" s="871"/>
      <c r="I1174" s="861"/>
    </row>
    <row r="1175" spans="1:9" ht="14.25" x14ac:dyDescent="0.2">
      <c r="A1175" s="432"/>
      <c r="B1175" s="783"/>
      <c r="C1175" s="783"/>
      <c r="D1175" s="2672"/>
      <c r="E1175" s="2689"/>
      <c r="F1175" s="871"/>
      <c r="G1175" s="871"/>
      <c r="H1175" s="871"/>
      <c r="I1175" s="861"/>
    </row>
    <row r="1176" spans="1:9" ht="14.25" x14ac:dyDescent="0.2">
      <c r="A1176" s="432"/>
      <c r="B1176" s="783"/>
      <c r="C1176" s="783"/>
      <c r="D1176" s="1119" t="s">
        <v>1604</v>
      </c>
      <c r="E1176" s="2276" t="s">
        <v>1719</v>
      </c>
      <c r="F1176" s="871"/>
      <c r="G1176" s="871">
        <v>42</v>
      </c>
      <c r="H1176" s="871">
        <v>42</v>
      </c>
      <c r="I1176" s="861">
        <f t="shared" si="52"/>
        <v>100</v>
      </c>
    </row>
    <row r="1177" spans="1:9" ht="15" x14ac:dyDescent="0.25">
      <c r="A1177" s="432">
        <v>1132</v>
      </c>
      <c r="B1177" s="783">
        <v>3122</v>
      </c>
      <c r="C1177" s="783">
        <v>5336</v>
      </c>
      <c r="D1177" s="2605"/>
      <c r="E1177" s="1479" t="s">
        <v>1269</v>
      </c>
      <c r="F1177" s="871"/>
      <c r="G1177" s="884">
        <f>G1178+G1179+G1180</f>
        <v>18711</v>
      </c>
      <c r="H1177" s="884">
        <f>H1178+H1179+H1180</f>
        <v>18711</v>
      </c>
      <c r="I1177" s="891">
        <f t="shared" si="52"/>
        <v>100</v>
      </c>
    </row>
    <row r="1178" spans="1:9" ht="14.25" x14ac:dyDescent="0.2">
      <c r="A1178" s="432"/>
      <c r="B1178" s="783"/>
      <c r="C1178" s="783"/>
      <c r="D1178" s="554" t="s">
        <v>1182</v>
      </c>
      <c r="E1178" s="456" t="s">
        <v>832</v>
      </c>
      <c r="F1178" s="871"/>
      <c r="G1178" s="871">
        <v>18255</v>
      </c>
      <c r="H1178" s="871">
        <v>18255</v>
      </c>
      <c r="I1178" s="861">
        <f t="shared" si="52"/>
        <v>100</v>
      </c>
    </row>
    <row r="1179" spans="1:9" ht="14.25" x14ac:dyDescent="0.2">
      <c r="A1179" s="432"/>
      <c r="B1179" s="783"/>
      <c r="C1179" s="783"/>
      <c r="D1179" s="1481" t="s">
        <v>1608</v>
      </c>
      <c r="E1179" s="1476" t="s">
        <v>1717</v>
      </c>
      <c r="F1179" s="871"/>
      <c r="G1179" s="871">
        <v>68</v>
      </c>
      <c r="H1179" s="871">
        <v>68</v>
      </c>
      <c r="I1179" s="861">
        <f t="shared" si="52"/>
        <v>100</v>
      </c>
    </row>
    <row r="1180" spans="1:9" ht="14.25" x14ac:dyDescent="0.2">
      <c r="A1180" s="432"/>
      <c r="B1180" s="783"/>
      <c r="C1180" s="783"/>
      <c r="D1180" s="1481" t="s">
        <v>1610</v>
      </c>
      <c r="E1180" s="1476" t="s">
        <v>1717</v>
      </c>
      <c r="F1180" s="871"/>
      <c r="G1180" s="871">
        <v>388</v>
      </c>
      <c r="H1180" s="871">
        <v>388</v>
      </c>
      <c r="I1180" s="861">
        <f t="shared" si="52"/>
        <v>100</v>
      </c>
    </row>
    <row r="1181" spans="1:9" ht="15" x14ac:dyDescent="0.25">
      <c r="A1181" s="432">
        <v>1132</v>
      </c>
      <c r="B1181" s="783">
        <v>3125</v>
      </c>
      <c r="C1181" s="783">
        <v>5331</v>
      </c>
      <c r="D1181" s="897"/>
      <c r="E1181" s="680" t="s">
        <v>996</v>
      </c>
      <c r="F1181" s="884">
        <f>F1182+F1183</f>
        <v>292</v>
      </c>
      <c r="G1181" s="884">
        <f>G1182+G1183</f>
        <v>259</v>
      </c>
      <c r="H1181" s="884">
        <f>H1182+H1183</f>
        <v>259</v>
      </c>
      <c r="I1181" s="891">
        <f t="shared" si="52"/>
        <v>100</v>
      </c>
    </row>
    <row r="1182" spans="1:9" ht="14.25" x14ac:dyDescent="0.2">
      <c r="A1182" s="432"/>
      <c r="B1182" s="783"/>
      <c r="C1182" s="783"/>
      <c r="D1182" s="828" t="s">
        <v>611</v>
      </c>
      <c r="E1182" s="1569" t="s">
        <v>833</v>
      </c>
      <c r="F1182" s="871">
        <v>147</v>
      </c>
      <c r="G1182" s="871">
        <v>114</v>
      </c>
      <c r="H1182" s="871">
        <v>114</v>
      </c>
      <c r="I1182" s="861">
        <f t="shared" si="52"/>
        <v>100</v>
      </c>
    </row>
    <row r="1183" spans="1:9" ht="14.25" x14ac:dyDescent="0.2">
      <c r="A1183" s="432"/>
      <c r="B1183" s="783"/>
      <c r="C1183" s="783"/>
      <c r="D1183" s="554" t="s">
        <v>606</v>
      </c>
      <c r="E1183" s="456" t="s">
        <v>72</v>
      </c>
      <c r="F1183" s="871">
        <v>145</v>
      </c>
      <c r="G1183" s="871">
        <v>145</v>
      </c>
      <c r="H1183" s="871">
        <v>145</v>
      </c>
      <c r="I1183" s="861">
        <f t="shared" si="52"/>
        <v>100</v>
      </c>
    </row>
    <row r="1184" spans="1:9" ht="15" x14ac:dyDescent="0.25">
      <c r="A1184" s="432">
        <v>1132</v>
      </c>
      <c r="B1184" s="783">
        <v>3142</v>
      </c>
      <c r="C1184" s="783">
        <v>5331</v>
      </c>
      <c r="D1184" s="897"/>
      <c r="E1184" s="680" t="s">
        <v>996</v>
      </c>
      <c r="F1184" s="873">
        <f>F1185+F1186</f>
        <v>1031</v>
      </c>
      <c r="G1184" s="873">
        <f>G1185+G1186</f>
        <v>1034</v>
      </c>
      <c r="H1184" s="873">
        <f>H1185+H1186</f>
        <v>1034</v>
      </c>
      <c r="I1184" s="874">
        <f t="shared" si="52"/>
        <v>100</v>
      </c>
    </row>
    <row r="1185" spans="1:9" ht="14.25" x14ac:dyDescent="0.2">
      <c r="A1185" s="432"/>
      <c r="B1185" s="783"/>
      <c r="C1185" s="783"/>
      <c r="D1185" s="719" t="s">
        <v>611</v>
      </c>
      <c r="E1185" s="1569" t="s">
        <v>833</v>
      </c>
      <c r="F1185" s="871">
        <v>375</v>
      </c>
      <c r="G1185" s="871">
        <v>378</v>
      </c>
      <c r="H1185" s="871">
        <v>378</v>
      </c>
      <c r="I1185" s="866">
        <f t="shared" si="52"/>
        <v>100</v>
      </c>
    </row>
    <row r="1186" spans="1:9" ht="14.25" x14ac:dyDescent="0.2">
      <c r="A1186" s="432"/>
      <c r="B1186" s="783"/>
      <c r="C1186" s="783"/>
      <c r="D1186" s="554" t="s">
        <v>606</v>
      </c>
      <c r="E1186" s="456" t="s">
        <v>72</v>
      </c>
      <c r="F1186" s="871">
        <v>656</v>
      </c>
      <c r="G1186" s="871">
        <v>656</v>
      </c>
      <c r="H1186" s="871">
        <v>656</v>
      </c>
      <c r="I1186" s="866">
        <f t="shared" si="52"/>
        <v>100</v>
      </c>
    </row>
    <row r="1187" spans="1:9" ht="15" x14ac:dyDescent="0.25">
      <c r="A1187" s="432">
        <v>1132</v>
      </c>
      <c r="B1187" s="783">
        <v>3142</v>
      </c>
      <c r="C1187" s="783">
        <v>5336</v>
      </c>
      <c r="D1187" s="554"/>
      <c r="E1187" s="1479" t="s">
        <v>1269</v>
      </c>
      <c r="F1187" s="871"/>
      <c r="G1187" s="884">
        <v>1785</v>
      </c>
      <c r="H1187" s="884">
        <v>1785</v>
      </c>
      <c r="I1187" s="876">
        <f t="shared" si="52"/>
        <v>100</v>
      </c>
    </row>
    <row r="1188" spans="1:9" ht="15" thickBot="1" x14ac:dyDescent="0.25">
      <c r="A1188" s="432"/>
      <c r="B1188" s="783"/>
      <c r="C1188" s="1468"/>
      <c r="D1188" s="554" t="s">
        <v>1182</v>
      </c>
      <c r="E1188" s="456" t="s">
        <v>832</v>
      </c>
      <c r="F1188" s="871"/>
      <c r="G1188" s="871">
        <v>1785</v>
      </c>
      <c r="H1188" s="871">
        <v>1785</v>
      </c>
      <c r="I1188" s="866">
        <f t="shared" si="52"/>
        <v>100</v>
      </c>
    </row>
    <row r="1189" spans="1:9" ht="15" thickTop="1" x14ac:dyDescent="0.2">
      <c r="A1189" s="1603"/>
      <c r="B1189" s="656"/>
      <c r="C1189" s="1603"/>
      <c r="D1189" s="1604"/>
      <c r="E1189" s="1106"/>
      <c r="F1189" s="1605"/>
      <c r="G1189" s="1605"/>
      <c r="H1189" s="1605"/>
      <c r="I1189" s="1606"/>
    </row>
    <row r="1190" spans="1:9" ht="14.25" x14ac:dyDescent="0.2">
      <c r="A1190" s="1472"/>
      <c r="B1190" s="779"/>
      <c r="C1190" s="1472"/>
      <c r="D1190" s="828"/>
      <c r="E1190" s="67"/>
      <c r="F1190" s="879"/>
      <c r="G1190" s="879"/>
      <c r="H1190" s="879"/>
      <c r="I1190" s="932"/>
    </row>
    <row r="1191" spans="1:9" ht="15.75" customHeight="1" thickBot="1" x14ac:dyDescent="0.25">
      <c r="A1191" s="433"/>
      <c r="I1191" s="1465" t="s">
        <v>173</v>
      </c>
    </row>
    <row r="1192" spans="1:9" s="107" customFormat="1" ht="15.75" customHeight="1" thickTop="1" thickBot="1" x14ac:dyDescent="0.25">
      <c r="A1192" s="633" t="s">
        <v>661</v>
      </c>
      <c r="B1192" s="810" t="s">
        <v>174</v>
      </c>
      <c r="C1192" s="634" t="s">
        <v>175</v>
      </c>
      <c r="D1192" s="636" t="s">
        <v>744</v>
      </c>
      <c r="E1192" s="636" t="s">
        <v>176</v>
      </c>
      <c r="F1192" s="636" t="s">
        <v>177</v>
      </c>
      <c r="G1192" s="636" t="s">
        <v>922</v>
      </c>
      <c r="H1192" s="636" t="s">
        <v>923</v>
      </c>
      <c r="I1192" s="856" t="s">
        <v>924</v>
      </c>
    </row>
    <row r="1193" spans="1:9" s="384" customFormat="1" ht="14.25" customHeight="1" thickTop="1" thickBot="1" x14ac:dyDescent="0.25">
      <c r="A1193" s="568">
        <v>1</v>
      </c>
      <c r="B1193" s="569">
        <v>2</v>
      </c>
      <c r="C1193" s="569">
        <v>3</v>
      </c>
      <c r="D1193" s="569">
        <v>4</v>
      </c>
      <c r="E1193" s="569">
        <v>5</v>
      </c>
      <c r="F1193" s="543">
        <v>6</v>
      </c>
      <c r="G1193" s="543">
        <v>7</v>
      </c>
      <c r="H1193" s="544">
        <v>8</v>
      </c>
      <c r="I1193" s="638" t="s">
        <v>801</v>
      </c>
    </row>
    <row r="1194" spans="1:9" ht="15.75" thickTop="1" x14ac:dyDescent="0.25">
      <c r="A1194" s="432">
        <v>1132</v>
      </c>
      <c r="B1194" s="783">
        <v>3147</v>
      </c>
      <c r="C1194" s="1468">
        <v>5331</v>
      </c>
      <c r="D1194" s="880"/>
      <c r="E1194" s="680" t="s">
        <v>996</v>
      </c>
      <c r="F1194" s="873">
        <f>F1195+F1196</f>
        <v>649</v>
      </c>
      <c r="G1194" s="873">
        <f>G1195+G1196</f>
        <v>648</v>
      </c>
      <c r="H1194" s="873">
        <f>H1195+H1196</f>
        <v>648</v>
      </c>
      <c r="I1194" s="874">
        <v>100</v>
      </c>
    </row>
    <row r="1195" spans="1:9" ht="14.25" x14ac:dyDescent="0.2">
      <c r="A1195" s="432"/>
      <c r="B1195" s="783"/>
      <c r="C1195" s="1468"/>
      <c r="D1195" s="719" t="s">
        <v>611</v>
      </c>
      <c r="E1195" s="1569" t="s">
        <v>833</v>
      </c>
      <c r="F1195" s="871">
        <v>222</v>
      </c>
      <c r="G1195" s="871">
        <v>221</v>
      </c>
      <c r="H1195" s="871">
        <v>221</v>
      </c>
      <c r="I1195" s="866">
        <v>100</v>
      </c>
    </row>
    <row r="1196" spans="1:9" ht="14.25" x14ac:dyDescent="0.2">
      <c r="A1196" s="432"/>
      <c r="B1196" s="783"/>
      <c r="C1196" s="1468"/>
      <c r="D1196" s="554" t="s">
        <v>606</v>
      </c>
      <c r="E1196" s="456" t="s">
        <v>72</v>
      </c>
      <c r="F1196" s="871">
        <v>427</v>
      </c>
      <c r="G1196" s="871">
        <v>427</v>
      </c>
      <c r="H1196" s="871">
        <v>427</v>
      </c>
      <c r="I1196" s="866">
        <v>100</v>
      </c>
    </row>
    <row r="1197" spans="1:9" ht="15" x14ac:dyDescent="0.25">
      <c r="A1197" s="432">
        <v>1132</v>
      </c>
      <c r="B1197" s="783">
        <v>3147</v>
      </c>
      <c r="C1197" s="1468">
        <v>5336</v>
      </c>
      <c r="D1197" s="554"/>
      <c r="E1197" s="1479" t="s">
        <v>1269</v>
      </c>
      <c r="F1197" s="871"/>
      <c r="G1197" s="884">
        <v>5363</v>
      </c>
      <c r="H1197" s="884">
        <v>5363</v>
      </c>
      <c r="I1197" s="876">
        <v>100</v>
      </c>
    </row>
    <row r="1198" spans="1:9" ht="18" customHeight="1" x14ac:dyDescent="0.2">
      <c r="A1198" s="432"/>
      <c r="B1198" s="783"/>
      <c r="C1198" s="1468"/>
      <c r="D1198" s="554" t="s">
        <v>1182</v>
      </c>
      <c r="E1198" s="456" t="s">
        <v>832</v>
      </c>
      <c r="F1198" s="871"/>
      <c r="G1198" s="871">
        <v>5363</v>
      </c>
      <c r="H1198" s="871">
        <v>5363</v>
      </c>
      <c r="I1198" s="866">
        <v>100</v>
      </c>
    </row>
    <row r="1199" spans="1:9" ht="15" customHeight="1" x14ac:dyDescent="0.25">
      <c r="A1199" s="432">
        <v>1132</v>
      </c>
      <c r="B1199" s="783">
        <v>3299</v>
      </c>
      <c r="C1199" s="1468">
        <v>5331</v>
      </c>
      <c r="D1199" s="570"/>
      <c r="E1199" s="680" t="s">
        <v>996</v>
      </c>
      <c r="F1199" s="871"/>
      <c r="G1199" s="884">
        <v>15</v>
      </c>
      <c r="H1199" s="884">
        <v>15</v>
      </c>
      <c r="I1199" s="876">
        <v>100</v>
      </c>
    </row>
    <row r="1200" spans="1:9" ht="15" customHeight="1" x14ac:dyDescent="0.2">
      <c r="A1200" s="432"/>
      <c r="B1200" s="783"/>
      <c r="C1200" s="1468"/>
      <c r="D1200" s="1110" t="s">
        <v>1180</v>
      </c>
      <c r="E1200" s="117" t="s">
        <v>24</v>
      </c>
      <c r="F1200" s="871"/>
      <c r="G1200" s="871">
        <v>15</v>
      </c>
      <c r="H1200" s="871">
        <v>15</v>
      </c>
      <c r="I1200" s="866">
        <v>100</v>
      </c>
    </row>
    <row r="1201" spans="1:23" ht="15" x14ac:dyDescent="0.25">
      <c r="A1201" s="432">
        <v>1132</v>
      </c>
      <c r="B1201" s="681">
        <v>3792</v>
      </c>
      <c r="C1201" s="1467">
        <v>5331</v>
      </c>
      <c r="D1201" s="570"/>
      <c r="E1201" s="680" t="s">
        <v>996</v>
      </c>
      <c r="F1201" s="858"/>
      <c r="G1201" s="858">
        <v>10</v>
      </c>
      <c r="H1201" s="858">
        <v>10</v>
      </c>
      <c r="I1201" s="859">
        <v>100</v>
      </c>
    </row>
    <row r="1202" spans="1:23" ht="15.75" thickBot="1" x14ac:dyDescent="0.3">
      <c r="A1202" s="432"/>
      <c r="B1202" s="681"/>
      <c r="C1202" s="1467"/>
      <c r="D1202" s="570" t="s">
        <v>1382</v>
      </c>
      <c r="E1202" s="461" t="s">
        <v>1174</v>
      </c>
      <c r="F1202" s="858"/>
      <c r="G1202" s="357">
        <v>10</v>
      </c>
      <c r="H1202" s="357">
        <v>10</v>
      </c>
      <c r="I1202" s="866">
        <v>100</v>
      </c>
    </row>
    <row r="1203" spans="1:23" ht="18" customHeight="1" thickTop="1" thickBot="1" x14ac:dyDescent="0.3">
      <c r="A1203" s="2685" t="s">
        <v>1162</v>
      </c>
      <c r="B1203" s="2686"/>
      <c r="C1203" s="2686"/>
      <c r="D1203" s="2686"/>
      <c r="E1203" s="2686"/>
      <c r="F1203" s="862">
        <f>F1170+F1177+F1181+F1184+F1187+F1194+F1197+F1201</f>
        <v>5142</v>
      </c>
      <c r="G1203" s="862">
        <f>G1170+G1177+G1181+G1184+G1187+G1194+G1197+G1201+G1199</f>
        <v>31080</v>
      </c>
      <c r="H1203" s="862">
        <f>H1170+H1177+H1181+H1184+H1187+H1194+H1197+H1201+H1199</f>
        <v>31080</v>
      </c>
      <c r="I1203" s="863">
        <f>(H1203/G1203)*100</f>
        <v>100</v>
      </c>
      <c r="R1203" s="383">
        <f>F1203</f>
        <v>5142</v>
      </c>
      <c r="S1203" s="383">
        <f>G1203</f>
        <v>31080</v>
      </c>
      <c r="T1203" s="383">
        <f>H1203</f>
        <v>31080</v>
      </c>
    </row>
    <row r="1204" spans="1:23" ht="15.75" thickTop="1" x14ac:dyDescent="0.25">
      <c r="A1204" s="435">
        <v>1132</v>
      </c>
      <c r="B1204" s="681">
        <v>3122</v>
      </c>
      <c r="C1204" s="783">
        <v>6351</v>
      </c>
      <c r="D1204" s="897"/>
      <c r="E1204" s="680" t="s">
        <v>1231</v>
      </c>
      <c r="F1204" s="873"/>
      <c r="G1204" s="873">
        <v>760</v>
      </c>
      <c r="H1204" s="873">
        <v>760</v>
      </c>
      <c r="I1204" s="874">
        <f t="shared" ref="I1204:I1205" si="53">(H1204/G1204)*100</f>
        <v>100</v>
      </c>
      <c r="R1204" s="383"/>
      <c r="S1204" s="383"/>
      <c r="T1204" s="383"/>
    </row>
    <row r="1205" spans="1:23" ht="15" thickBot="1" x14ac:dyDescent="0.25">
      <c r="A1205" s="1592"/>
      <c r="B1205" s="682"/>
      <c r="C1205" s="1470"/>
      <c r="D1205" s="1110" t="s">
        <v>196</v>
      </c>
      <c r="E1205" s="1215" t="s">
        <v>751</v>
      </c>
      <c r="F1205" s="931"/>
      <c r="G1205" s="931">
        <v>760</v>
      </c>
      <c r="H1205" s="931">
        <v>760</v>
      </c>
      <c r="I1205" s="910">
        <f t="shared" si="53"/>
        <v>100</v>
      </c>
      <c r="R1205" s="383"/>
      <c r="S1205" s="383"/>
      <c r="T1205" s="383"/>
    </row>
    <row r="1206" spans="1:23" ht="16.5" thickTop="1" thickBot="1" x14ac:dyDescent="0.3">
      <c r="A1206" s="2682" t="s">
        <v>1163</v>
      </c>
      <c r="B1206" s="2683"/>
      <c r="C1206" s="2683"/>
      <c r="D1206" s="2683"/>
      <c r="E1206" s="2684"/>
      <c r="F1206" s="862">
        <v>0</v>
      </c>
      <c r="G1206" s="862">
        <f>G1204</f>
        <v>760</v>
      </c>
      <c r="H1206" s="862">
        <f>SUM(H1204)</f>
        <v>760</v>
      </c>
      <c r="I1206" s="863">
        <f>(H1206/G1206)*100</f>
        <v>100</v>
      </c>
      <c r="U1206" s="383">
        <f>F1206</f>
        <v>0</v>
      </c>
      <c r="V1206" s="383">
        <f>G1206</f>
        <v>760</v>
      </c>
      <c r="W1206" s="383">
        <f>H1206</f>
        <v>760</v>
      </c>
    </row>
    <row r="1207" spans="1:23" ht="15.75" thickTop="1" x14ac:dyDescent="0.25">
      <c r="A1207" s="369"/>
      <c r="B1207" s="369"/>
      <c r="C1207" s="369"/>
      <c r="D1207" s="369"/>
      <c r="E1207" s="369"/>
      <c r="F1207" s="181"/>
      <c r="G1207" s="181"/>
      <c r="H1207" s="181"/>
      <c r="I1207" s="210"/>
      <c r="R1207" s="383"/>
      <c r="S1207" s="383"/>
      <c r="T1207" s="383"/>
    </row>
    <row r="1208" spans="1:23" x14ac:dyDescent="0.2">
      <c r="A1208" s="1472"/>
      <c r="B1208" s="779"/>
      <c r="C1208" s="1472"/>
      <c r="D1208" s="939"/>
      <c r="E1208" s="1472"/>
    </row>
    <row r="1209" spans="1:23" ht="13.5" thickBot="1" x14ac:dyDescent="0.25">
      <c r="A1209" s="433" t="s">
        <v>233</v>
      </c>
      <c r="I1209" s="1465" t="s">
        <v>173</v>
      </c>
    </row>
    <row r="1210" spans="1:23" s="107" customFormat="1" thickTop="1" thickBot="1" x14ac:dyDescent="0.25">
      <c r="A1210" s="633" t="s">
        <v>661</v>
      </c>
      <c r="B1210" s="810" t="s">
        <v>174</v>
      </c>
      <c r="C1210" s="634" t="s">
        <v>175</v>
      </c>
      <c r="D1210" s="636" t="s">
        <v>744</v>
      </c>
      <c r="E1210" s="636" t="s">
        <v>176</v>
      </c>
      <c r="F1210" s="636" t="s">
        <v>177</v>
      </c>
      <c r="G1210" s="636" t="s">
        <v>922</v>
      </c>
      <c r="H1210" s="636" t="s">
        <v>923</v>
      </c>
      <c r="I1210" s="856" t="s">
        <v>924</v>
      </c>
    </row>
    <row r="1211" spans="1:23" s="384" customFormat="1" ht="13.5" thickTop="1" thickBot="1" x14ac:dyDescent="0.25">
      <c r="A1211" s="568">
        <v>1</v>
      </c>
      <c r="B1211" s="569">
        <v>2</v>
      </c>
      <c r="C1211" s="569">
        <v>3</v>
      </c>
      <c r="D1211" s="569">
        <v>4</v>
      </c>
      <c r="E1211" s="569">
        <v>5</v>
      </c>
      <c r="F1211" s="543">
        <v>6</v>
      </c>
      <c r="G1211" s="543">
        <v>7</v>
      </c>
      <c r="H1211" s="544">
        <v>8</v>
      </c>
      <c r="I1211" s="638" t="s">
        <v>801</v>
      </c>
    </row>
    <row r="1212" spans="1:23" ht="15.75" thickTop="1" x14ac:dyDescent="0.25">
      <c r="A1212" s="1466">
        <v>1133</v>
      </c>
      <c r="B1212" s="811">
        <v>3121</v>
      </c>
      <c r="C1212" s="811">
        <v>5331</v>
      </c>
      <c r="D1212" s="877"/>
      <c r="E1212" s="898" t="s">
        <v>996</v>
      </c>
      <c r="F1212" s="899">
        <f>F1213+F1214+F1215</f>
        <v>2115</v>
      </c>
      <c r="G1212" s="899">
        <f>G1213+G1214+G1215</f>
        <v>2117</v>
      </c>
      <c r="H1212" s="899">
        <f>H1213+H1214+H1215</f>
        <v>2117</v>
      </c>
      <c r="I1212" s="864">
        <f t="shared" ref="I1212:I1238" si="54">(H1212/G1212)*100</f>
        <v>100</v>
      </c>
    </row>
    <row r="1213" spans="1:23" ht="14.25" x14ac:dyDescent="0.2">
      <c r="A1213" s="432"/>
      <c r="B1213" s="681"/>
      <c r="C1213" s="681"/>
      <c r="D1213" s="719" t="s">
        <v>611</v>
      </c>
      <c r="E1213" s="1569" t="s">
        <v>833</v>
      </c>
      <c r="F1213" s="865">
        <v>115</v>
      </c>
      <c r="G1213" s="865">
        <v>115</v>
      </c>
      <c r="H1213" s="865">
        <v>115</v>
      </c>
      <c r="I1213" s="861">
        <f t="shared" si="54"/>
        <v>100</v>
      </c>
    </row>
    <row r="1214" spans="1:23" ht="14.25" x14ac:dyDescent="0.2">
      <c r="A1214" s="432"/>
      <c r="B1214" s="681"/>
      <c r="C1214" s="681"/>
      <c r="D1214" s="554" t="s">
        <v>606</v>
      </c>
      <c r="E1214" s="456" t="s">
        <v>72</v>
      </c>
      <c r="F1214" s="865">
        <v>2000</v>
      </c>
      <c r="G1214" s="865">
        <v>2000</v>
      </c>
      <c r="H1214" s="865">
        <v>2000</v>
      </c>
      <c r="I1214" s="861">
        <f t="shared" si="54"/>
        <v>100</v>
      </c>
    </row>
    <row r="1215" spans="1:23" ht="14.25" x14ac:dyDescent="0.2">
      <c r="A1215" s="432"/>
      <c r="B1215" s="681"/>
      <c r="C1215" s="681"/>
      <c r="D1215" s="1119" t="s">
        <v>1604</v>
      </c>
      <c r="E1215" s="2276" t="s">
        <v>1719</v>
      </c>
      <c r="F1215" s="865"/>
      <c r="G1215" s="865">
        <v>2</v>
      </c>
      <c r="H1215" s="865">
        <v>2</v>
      </c>
      <c r="I1215" s="861">
        <f t="shared" si="54"/>
        <v>100</v>
      </c>
    </row>
    <row r="1216" spans="1:23" ht="14.25" customHeight="1" x14ac:dyDescent="0.25">
      <c r="A1216" s="432">
        <v>1133</v>
      </c>
      <c r="B1216" s="681">
        <v>3121</v>
      </c>
      <c r="C1216" s="681">
        <v>5336</v>
      </c>
      <c r="D1216" s="554"/>
      <c r="E1216" s="1479" t="s">
        <v>1269</v>
      </c>
      <c r="F1216" s="865"/>
      <c r="G1216" s="889">
        <v>15435</v>
      </c>
      <c r="H1216" s="889">
        <v>15435</v>
      </c>
      <c r="I1216" s="891">
        <f t="shared" si="54"/>
        <v>100</v>
      </c>
    </row>
    <row r="1217" spans="1:9" ht="14.25" x14ac:dyDescent="0.2">
      <c r="A1217" s="432"/>
      <c r="B1217" s="681"/>
      <c r="C1217" s="681"/>
      <c r="D1217" s="554" t="s">
        <v>1182</v>
      </c>
      <c r="E1217" s="456" t="s">
        <v>832</v>
      </c>
      <c r="F1217" s="865"/>
      <c r="G1217" s="865">
        <v>15435</v>
      </c>
      <c r="H1217" s="865">
        <v>15435</v>
      </c>
      <c r="I1217" s="861">
        <f t="shared" si="54"/>
        <v>100</v>
      </c>
    </row>
    <row r="1218" spans="1:9" ht="15" x14ac:dyDescent="0.25">
      <c r="A1218" s="432">
        <v>1133</v>
      </c>
      <c r="B1218" s="783">
        <v>3122</v>
      </c>
      <c r="C1218" s="783">
        <v>5331</v>
      </c>
      <c r="D1218" s="897"/>
      <c r="E1218" s="680" t="s">
        <v>996</v>
      </c>
      <c r="F1218" s="873">
        <f>F1219+F1220</f>
        <v>2764</v>
      </c>
      <c r="G1218" s="873">
        <f>G1219+G1220+G1221+G1222</f>
        <v>3900</v>
      </c>
      <c r="H1218" s="873">
        <f>H1219+H1220+H1221+H1222</f>
        <v>3900</v>
      </c>
      <c r="I1218" s="874">
        <f t="shared" si="54"/>
        <v>100</v>
      </c>
    </row>
    <row r="1219" spans="1:9" ht="14.25" x14ac:dyDescent="0.2">
      <c r="A1219" s="432"/>
      <c r="B1219" s="783"/>
      <c r="C1219" s="783"/>
      <c r="D1219" s="719" t="s">
        <v>611</v>
      </c>
      <c r="E1219" s="1569" t="s">
        <v>833</v>
      </c>
      <c r="F1219" s="871">
        <v>634</v>
      </c>
      <c r="G1219" s="871">
        <v>634</v>
      </c>
      <c r="H1219" s="871">
        <v>634</v>
      </c>
      <c r="I1219" s="866">
        <f t="shared" si="54"/>
        <v>100</v>
      </c>
    </row>
    <row r="1220" spans="1:9" ht="14.25" x14ac:dyDescent="0.2">
      <c r="A1220" s="432"/>
      <c r="B1220" s="783"/>
      <c r="C1220" s="783"/>
      <c r="D1220" s="554" t="s">
        <v>606</v>
      </c>
      <c r="E1220" s="456" t="s">
        <v>72</v>
      </c>
      <c r="F1220" s="871">
        <v>2130</v>
      </c>
      <c r="G1220" s="871">
        <v>2130</v>
      </c>
      <c r="H1220" s="871">
        <v>2130</v>
      </c>
      <c r="I1220" s="866">
        <f t="shared" si="54"/>
        <v>100</v>
      </c>
    </row>
    <row r="1221" spans="1:9" ht="14.25" x14ac:dyDescent="0.2">
      <c r="A1221" s="432"/>
      <c r="B1221" s="783"/>
      <c r="C1221" s="783"/>
      <c r="D1221" s="1120" t="s">
        <v>1419</v>
      </c>
      <c r="E1221" s="1591" t="s">
        <v>1420</v>
      </c>
      <c r="F1221" s="871"/>
      <c r="G1221" s="871">
        <v>1050</v>
      </c>
      <c r="H1221" s="871">
        <v>1050</v>
      </c>
      <c r="I1221" s="866">
        <f t="shared" si="54"/>
        <v>100</v>
      </c>
    </row>
    <row r="1222" spans="1:9" ht="14.25" x14ac:dyDescent="0.2">
      <c r="A1222" s="432"/>
      <c r="B1222" s="783"/>
      <c r="C1222" s="783"/>
      <c r="D1222" s="2671" t="s">
        <v>1510</v>
      </c>
      <c r="E1222" s="2688" t="s">
        <v>1531</v>
      </c>
      <c r="F1222" s="871"/>
      <c r="G1222" s="871">
        <v>86</v>
      </c>
      <c r="H1222" s="871">
        <v>86</v>
      </c>
      <c r="I1222" s="866">
        <f t="shared" si="54"/>
        <v>100</v>
      </c>
    </row>
    <row r="1223" spans="1:9" ht="14.25" x14ac:dyDescent="0.2">
      <c r="A1223" s="432"/>
      <c r="B1223" s="783"/>
      <c r="C1223" s="783"/>
      <c r="D1223" s="2672"/>
      <c r="E1223" s="2689"/>
      <c r="F1223" s="871"/>
      <c r="G1223" s="871"/>
      <c r="H1223" s="871"/>
      <c r="I1223" s="866"/>
    </row>
    <row r="1224" spans="1:9" ht="14.25" x14ac:dyDescent="0.2">
      <c r="A1224" s="432"/>
      <c r="B1224" s="783"/>
      <c r="C1224" s="783"/>
      <c r="D1224" s="2672"/>
      <c r="E1224" s="2689"/>
      <c r="F1224" s="871"/>
      <c r="G1224" s="871"/>
      <c r="H1224" s="871"/>
      <c r="I1224" s="866"/>
    </row>
    <row r="1225" spans="1:9" ht="15" x14ac:dyDescent="0.25">
      <c r="A1225" s="432">
        <v>1133</v>
      </c>
      <c r="B1225" s="783">
        <v>3122</v>
      </c>
      <c r="C1225" s="783">
        <v>5336</v>
      </c>
      <c r="D1225" s="2605"/>
      <c r="E1225" s="1479" t="s">
        <v>1269</v>
      </c>
      <c r="F1225" s="871"/>
      <c r="G1225" s="884">
        <f>G1226+G1227+G1228</f>
        <v>23444</v>
      </c>
      <c r="H1225" s="884">
        <f>H1226+H1227+H1228</f>
        <v>23444</v>
      </c>
      <c r="I1225" s="876">
        <f t="shared" si="54"/>
        <v>100</v>
      </c>
    </row>
    <row r="1226" spans="1:9" ht="18" customHeight="1" x14ac:dyDescent="0.2">
      <c r="A1226" s="432"/>
      <c r="B1226" s="783"/>
      <c r="C1226" s="1468"/>
      <c r="D1226" s="554" t="s">
        <v>1182</v>
      </c>
      <c r="E1226" s="456" t="s">
        <v>832</v>
      </c>
      <c r="F1226" s="871"/>
      <c r="G1226" s="871">
        <v>22359</v>
      </c>
      <c r="H1226" s="871">
        <v>22359</v>
      </c>
      <c r="I1226" s="866">
        <f t="shared" si="54"/>
        <v>100</v>
      </c>
    </row>
    <row r="1227" spans="1:9" ht="14.25" x14ac:dyDescent="0.2">
      <c r="A1227" s="432"/>
      <c r="B1227" s="783"/>
      <c r="C1227" s="1468"/>
      <c r="D1227" s="1481" t="s">
        <v>1608</v>
      </c>
      <c r="E1227" s="1476" t="s">
        <v>1717</v>
      </c>
      <c r="F1227" s="871"/>
      <c r="G1227" s="871">
        <v>163</v>
      </c>
      <c r="H1227" s="871">
        <v>163</v>
      </c>
      <c r="I1227" s="866">
        <f t="shared" si="54"/>
        <v>100</v>
      </c>
    </row>
    <row r="1228" spans="1:9" ht="20.25" customHeight="1" x14ac:dyDescent="0.2">
      <c r="A1228" s="432"/>
      <c r="B1228" s="783"/>
      <c r="C1228" s="1468"/>
      <c r="D1228" s="1481" t="s">
        <v>1610</v>
      </c>
      <c r="E1228" s="1476" t="s">
        <v>1717</v>
      </c>
      <c r="F1228" s="871"/>
      <c r="G1228" s="871">
        <v>922</v>
      </c>
      <c r="H1228" s="871">
        <v>922</v>
      </c>
      <c r="I1228" s="866">
        <f t="shared" si="54"/>
        <v>100</v>
      </c>
    </row>
    <row r="1229" spans="1:9" ht="15" x14ac:dyDescent="0.25">
      <c r="A1229" s="432">
        <v>1133</v>
      </c>
      <c r="B1229" s="783">
        <v>3141</v>
      </c>
      <c r="C1229" s="1468">
        <v>5336</v>
      </c>
      <c r="D1229" s="554"/>
      <c r="E1229" s="1479" t="s">
        <v>1269</v>
      </c>
      <c r="F1229" s="884"/>
      <c r="G1229" s="884">
        <v>86</v>
      </c>
      <c r="H1229" s="884">
        <v>86</v>
      </c>
      <c r="I1229" s="876">
        <f t="shared" si="54"/>
        <v>100</v>
      </c>
    </row>
    <row r="1230" spans="1:9" ht="14.25" x14ac:dyDescent="0.2">
      <c r="A1230" s="432"/>
      <c r="B1230" s="783"/>
      <c r="C1230" s="1468"/>
      <c r="D1230" s="554" t="s">
        <v>1182</v>
      </c>
      <c r="E1230" s="456" t="s">
        <v>832</v>
      </c>
      <c r="F1230" s="871"/>
      <c r="G1230" s="871">
        <v>86</v>
      </c>
      <c r="H1230" s="871">
        <v>86</v>
      </c>
      <c r="I1230" s="866">
        <f t="shared" si="54"/>
        <v>100</v>
      </c>
    </row>
    <row r="1231" spans="1:9" ht="15" x14ac:dyDescent="0.25">
      <c r="A1231" s="432">
        <v>1133</v>
      </c>
      <c r="B1231" s="783">
        <v>3142</v>
      </c>
      <c r="C1231" s="1468">
        <v>5331</v>
      </c>
      <c r="D1231" s="554"/>
      <c r="E1231" s="680" t="s">
        <v>996</v>
      </c>
      <c r="F1231" s="873">
        <f>F1232+F1233</f>
        <v>348</v>
      </c>
      <c r="G1231" s="873">
        <f>G1232+G1233</f>
        <v>348</v>
      </c>
      <c r="H1231" s="873">
        <f>H1232+H1233</f>
        <v>348</v>
      </c>
      <c r="I1231" s="874">
        <f t="shared" si="54"/>
        <v>100</v>
      </c>
    </row>
    <row r="1232" spans="1:9" ht="14.25" x14ac:dyDescent="0.2">
      <c r="A1232" s="432"/>
      <c r="B1232" s="783"/>
      <c r="C1232" s="1468"/>
      <c r="D1232" s="719" t="s">
        <v>611</v>
      </c>
      <c r="E1232" s="1569" t="s">
        <v>833</v>
      </c>
      <c r="F1232" s="871">
        <v>48</v>
      </c>
      <c r="G1232" s="871">
        <v>48</v>
      </c>
      <c r="H1232" s="871">
        <v>48</v>
      </c>
      <c r="I1232" s="866">
        <f t="shared" si="54"/>
        <v>100</v>
      </c>
    </row>
    <row r="1233" spans="1:23" ht="14.25" x14ac:dyDescent="0.2">
      <c r="A1233" s="432"/>
      <c r="B1233" s="783"/>
      <c r="C1233" s="1468"/>
      <c r="D1233" s="554" t="s">
        <v>606</v>
      </c>
      <c r="E1233" s="456" t="s">
        <v>72</v>
      </c>
      <c r="F1233" s="871">
        <v>300</v>
      </c>
      <c r="G1233" s="871">
        <v>300</v>
      </c>
      <c r="H1233" s="871">
        <v>300</v>
      </c>
      <c r="I1233" s="866">
        <f t="shared" si="54"/>
        <v>100</v>
      </c>
    </row>
    <row r="1234" spans="1:23" ht="15" x14ac:dyDescent="0.25">
      <c r="A1234" s="432">
        <v>1133</v>
      </c>
      <c r="B1234" s="783">
        <v>3142</v>
      </c>
      <c r="C1234" s="1468">
        <v>5336</v>
      </c>
      <c r="D1234" s="554"/>
      <c r="E1234" s="1479" t="s">
        <v>1269</v>
      </c>
      <c r="F1234" s="871"/>
      <c r="G1234" s="884">
        <v>320</v>
      </c>
      <c r="H1234" s="884">
        <v>320</v>
      </c>
      <c r="I1234" s="876">
        <f t="shared" si="54"/>
        <v>100</v>
      </c>
    </row>
    <row r="1235" spans="1:23" ht="14.25" x14ac:dyDescent="0.2">
      <c r="A1235" s="432"/>
      <c r="B1235" s="783"/>
      <c r="C1235" s="1468"/>
      <c r="D1235" s="554" t="s">
        <v>1182</v>
      </c>
      <c r="E1235" s="456" t="s">
        <v>832</v>
      </c>
      <c r="F1235" s="871"/>
      <c r="G1235" s="871">
        <v>320</v>
      </c>
      <c r="H1235" s="871">
        <v>320</v>
      </c>
      <c r="I1235" s="866">
        <f t="shared" si="54"/>
        <v>100</v>
      </c>
    </row>
    <row r="1236" spans="1:23" ht="15" x14ac:dyDescent="0.25">
      <c r="A1236" s="432">
        <v>1133</v>
      </c>
      <c r="B1236" s="783">
        <v>3293</v>
      </c>
      <c r="C1236" s="1468">
        <v>5331</v>
      </c>
      <c r="D1236" s="554"/>
      <c r="E1236" s="680" t="s">
        <v>996</v>
      </c>
      <c r="F1236" s="871"/>
      <c r="G1236" s="884">
        <v>9</v>
      </c>
      <c r="H1236" s="884">
        <v>9</v>
      </c>
      <c r="I1236" s="876">
        <f t="shared" si="54"/>
        <v>100</v>
      </c>
    </row>
    <row r="1237" spans="1:23" ht="15" thickBot="1" x14ac:dyDescent="0.25">
      <c r="A1237" s="432"/>
      <c r="B1237" s="783"/>
      <c r="C1237" s="1468"/>
      <c r="D1237" s="1391" t="s">
        <v>1185</v>
      </c>
      <c r="E1237" s="1354" t="s">
        <v>1718</v>
      </c>
      <c r="F1237" s="871"/>
      <c r="G1237" s="871">
        <v>9</v>
      </c>
      <c r="H1237" s="871">
        <v>9</v>
      </c>
      <c r="I1237" s="866">
        <f t="shared" si="54"/>
        <v>100</v>
      </c>
    </row>
    <row r="1238" spans="1:23" ht="16.5" thickTop="1" thickBot="1" x14ac:dyDescent="0.3">
      <c r="A1238" s="2685" t="s">
        <v>1162</v>
      </c>
      <c r="B1238" s="2686"/>
      <c r="C1238" s="2686"/>
      <c r="D1238" s="2686"/>
      <c r="E1238" s="2686"/>
      <c r="F1238" s="862">
        <f>F1212+F1216+F1218+F1225+F1229+F1231+F1234+F1236</f>
        <v>5227</v>
      </c>
      <c r="G1238" s="862">
        <f>G1212+G1216+G1218+G1225+G1229+G1231+G1234+G1236</f>
        <v>45659</v>
      </c>
      <c r="H1238" s="862">
        <f>H1212+H1216+H1218+H1225+H1229+H1231+H1234+H1236</f>
        <v>45659</v>
      </c>
      <c r="I1238" s="863">
        <f t="shared" si="54"/>
        <v>100</v>
      </c>
      <c r="R1238" s="383">
        <f>F1238</f>
        <v>5227</v>
      </c>
      <c r="S1238" s="383">
        <f>G1238</f>
        <v>45659</v>
      </c>
      <c r="T1238" s="383">
        <f>H1238</f>
        <v>45659</v>
      </c>
    </row>
    <row r="1239" spans="1:23" ht="15.75" thickTop="1" x14ac:dyDescent="0.25">
      <c r="A1239" s="369"/>
      <c r="B1239" s="369"/>
      <c r="C1239" s="369"/>
      <c r="D1239" s="369"/>
      <c r="E1239" s="369"/>
      <c r="F1239" s="181"/>
      <c r="G1239" s="181"/>
      <c r="H1239" s="181"/>
      <c r="I1239" s="210"/>
      <c r="R1239" s="383"/>
      <c r="S1239" s="383"/>
      <c r="T1239" s="383"/>
    </row>
    <row r="1240" spans="1:23" ht="15" x14ac:dyDescent="0.25">
      <c r="A1240" s="369"/>
      <c r="B1240" s="369"/>
      <c r="C1240" s="369"/>
      <c r="D1240" s="369"/>
      <c r="E1240" s="369"/>
      <c r="F1240" s="183"/>
      <c r="G1240" s="183"/>
      <c r="H1240" s="183"/>
      <c r="I1240" s="214"/>
      <c r="J1240" s="383"/>
      <c r="K1240" s="383"/>
      <c r="L1240" s="383"/>
      <c r="R1240" s="383"/>
      <c r="S1240" s="383"/>
      <c r="T1240" s="383"/>
      <c r="U1240" s="383"/>
      <c r="V1240" s="383"/>
      <c r="W1240" s="383"/>
    </row>
    <row r="1241" spans="1:23" ht="13.5" thickBot="1" x14ac:dyDescent="0.25">
      <c r="A1241" s="433" t="s">
        <v>920</v>
      </c>
      <c r="I1241" s="1465" t="s">
        <v>173</v>
      </c>
    </row>
    <row r="1242" spans="1:23" s="107" customFormat="1" thickTop="1" thickBot="1" x14ac:dyDescent="0.25">
      <c r="A1242" s="633" t="s">
        <v>661</v>
      </c>
      <c r="B1242" s="810" t="s">
        <v>174</v>
      </c>
      <c r="C1242" s="634" t="s">
        <v>175</v>
      </c>
      <c r="D1242" s="636" t="s">
        <v>744</v>
      </c>
      <c r="E1242" s="636" t="s">
        <v>176</v>
      </c>
      <c r="F1242" s="636" t="s">
        <v>177</v>
      </c>
      <c r="G1242" s="636" t="s">
        <v>922</v>
      </c>
      <c r="H1242" s="636" t="s">
        <v>923</v>
      </c>
      <c r="I1242" s="856" t="s">
        <v>924</v>
      </c>
    </row>
    <row r="1243" spans="1:23" s="384" customFormat="1" ht="13.5" thickTop="1" thickBot="1" x14ac:dyDescent="0.25">
      <c r="A1243" s="568">
        <v>1</v>
      </c>
      <c r="B1243" s="569">
        <v>2</v>
      </c>
      <c r="C1243" s="569">
        <v>3</v>
      </c>
      <c r="D1243" s="569">
        <v>4</v>
      </c>
      <c r="E1243" s="569">
        <v>5</v>
      </c>
      <c r="F1243" s="543">
        <v>6</v>
      </c>
      <c r="G1243" s="543">
        <v>7</v>
      </c>
      <c r="H1243" s="544">
        <v>8</v>
      </c>
      <c r="I1243" s="638" t="s">
        <v>801</v>
      </c>
    </row>
    <row r="1244" spans="1:23" ht="15.75" thickTop="1" x14ac:dyDescent="0.25">
      <c r="A1244" s="1466">
        <v>1134</v>
      </c>
      <c r="B1244" s="811">
        <v>3122</v>
      </c>
      <c r="C1244" s="811">
        <v>5331</v>
      </c>
      <c r="D1244" s="877"/>
      <c r="E1244" s="898" t="s">
        <v>996</v>
      </c>
      <c r="F1244" s="899">
        <f>F1245+F1246</f>
        <v>6136</v>
      </c>
      <c r="G1244" s="899">
        <f>G1245+G1246</f>
        <v>6175</v>
      </c>
      <c r="H1244" s="899">
        <f>H1245+H1246</f>
        <v>6175</v>
      </c>
      <c r="I1244" s="864">
        <f t="shared" ref="I1244:I1266" si="55">(H1244/G1244)*100</f>
        <v>100</v>
      </c>
    </row>
    <row r="1245" spans="1:23" ht="14.25" x14ac:dyDescent="0.2">
      <c r="A1245" s="432"/>
      <c r="B1245" s="681"/>
      <c r="C1245" s="681"/>
      <c r="D1245" s="719" t="s">
        <v>611</v>
      </c>
      <c r="E1245" s="1569" t="s">
        <v>833</v>
      </c>
      <c r="F1245" s="865">
        <v>1253</v>
      </c>
      <c r="G1245" s="865">
        <v>1292</v>
      </c>
      <c r="H1245" s="865">
        <v>1292</v>
      </c>
      <c r="I1245" s="861">
        <f t="shared" si="55"/>
        <v>100</v>
      </c>
    </row>
    <row r="1246" spans="1:23" ht="14.25" x14ac:dyDescent="0.2">
      <c r="A1246" s="432"/>
      <c r="B1246" s="681"/>
      <c r="C1246" s="681"/>
      <c r="D1246" s="554" t="s">
        <v>606</v>
      </c>
      <c r="E1246" s="456" t="s">
        <v>72</v>
      </c>
      <c r="F1246" s="865">
        <v>4883</v>
      </c>
      <c r="G1246" s="865">
        <v>4883</v>
      </c>
      <c r="H1246" s="865">
        <v>4883</v>
      </c>
      <c r="I1246" s="861">
        <f t="shared" si="55"/>
        <v>100</v>
      </c>
    </row>
    <row r="1247" spans="1:23" ht="15" x14ac:dyDescent="0.25">
      <c r="A1247" s="432">
        <v>1134</v>
      </c>
      <c r="B1247" s="681">
        <v>3122</v>
      </c>
      <c r="C1247" s="681">
        <v>5336</v>
      </c>
      <c r="D1247" s="554"/>
      <c r="E1247" s="1479" t="s">
        <v>1269</v>
      </c>
      <c r="F1247" s="865"/>
      <c r="G1247" s="889">
        <f>G1248+G1249+G1250</f>
        <v>10719</v>
      </c>
      <c r="H1247" s="889">
        <f>H1248+H1249+H1250</f>
        <v>10719</v>
      </c>
      <c r="I1247" s="891">
        <f t="shared" si="55"/>
        <v>100</v>
      </c>
    </row>
    <row r="1248" spans="1:23" ht="14.25" x14ac:dyDescent="0.2">
      <c r="A1248" s="432"/>
      <c r="B1248" s="681"/>
      <c r="C1248" s="681"/>
      <c r="D1248" s="554" t="s">
        <v>1182</v>
      </c>
      <c r="E1248" s="456" t="s">
        <v>832</v>
      </c>
      <c r="F1248" s="865"/>
      <c r="G1248" s="865">
        <v>10203</v>
      </c>
      <c r="H1248" s="865">
        <v>10203</v>
      </c>
      <c r="I1248" s="861">
        <f t="shared" si="55"/>
        <v>100</v>
      </c>
    </row>
    <row r="1249" spans="1:9" ht="14.25" x14ac:dyDescent="0.2">
      <c r="A1249" s="432"/>
      <c r="B1249" s="783"/>
      <c r="C1249" s="783"/>
      <c r="D1249" s="1481" t="s">
        <v>1608</v>
      </c>
      <c r="E1249" s="1476" t="s">
        <v>1717</v>
      </c>
      <c r="F1249" s="871"/>
      <c r="G1249" s="871">
        <v>77</v>
      </c>
      <c r="H1249" s="871">
        <v>77</v>
      </c>
      <c r="I1249" s="866">
        <f t="shared" si="55"/>
        <v>100</v>
      </c>
    </row>
    <row r="1250" spans="1:9" ht="18" customHeight="1" x14ac:dyDescent="0.2">
      <c r="A1250" s="432"/>
      <c r="B1250" s="783"/>
      <c r="C1250" s="783"/>
      <c r="D1250" s="1481" t="s">
        <v>1610</v>
      </c>
      <c r="E1250" s="1476" t="s">
        <v>1717</v>
      </c>
      <c r="F1250" s="871"/>
      <c r="G1250" s="871">
        <v>439</v>
      </c>
      <c r="H1250" s="871">
        <v>439</v>
      </c>
      <c r="I1250" s="866">
        <f t="shared" si="55"/>
        <v>100</v>
      </c>
    </row>
    <row r="1251" spans="1:9" ht="18" customHeight="1" x14ac:dyDescent="0.25">
      <c r="A1251" s="432">
        <v>1134</v>
      </c>
      <c r="B1251" s="783">
        <v>3123</v>
      </c>
      <c r="C1251" s="783">
        <v>5331</v>
      </c>
      <c r="D1251" s="880"/>
      <c r="E1251" s="680" t="s">
        <v>996</v>
      </c>
      <c r="F1251" s="873">
        <f>F1252+F1253</f>
        <v>1925</v>
      </c>
      <c r="G1251" s="873">
        <f>G1252+G1253</f>
        <v>1925</v>
      </c>
      <c r="H1251" s="873">
        <f>H1252+H1253</f>
        <v>1925</v>
      </c>
      <c r="I1251" s="874">
        <f t="shared" si="55"/>
        <v>100</v>
      </c>
    </row>
    <row r="1252" spans="1:9" ht="14.25" x14ac:dyDescent="0.2">
      <c r="A1252" s="432"/>
      <c r="B1252" s="783"/>
      <c r="C1252" s="783"/>
      <c r="D1252" s="719" t="s">
        <v>611</v>
      </c>
      <c r="E1252" s="1569" t="s">
        <v>833</v>
      </c>
      <c r="F1252" s="871">
        <v>125</v>
      </c>
      <c r="G1252" s="871">
        <v>125</v>
      </c>
      <c r="H1252" s="871">
        <v>125</v>
      </c>
      <c r="I1252" s="866">
        <f t="shared" si="55"/>
        <v>100</v>
      </c>
    </row>
    <row r="1253" spans="1:9" ht="20.25" customHeight="1" x14ac:dyDescent="0.2">
      <c r="A1253" s="432"/>
      <c r="B1253" s="783"/>
      <c r="C1253" s="783"/>
      <c r="D1253" s="554" t="s">
        <v>606</v>
      </c>
      <c r="E1253" s="456" t="s">
        <v>72</v>
      </c>
      <c r="F1253" s="871">
        <v>1800</v>
      </c>
      <c r="G1253" s="871">
        <v>1800</v>
      </c>
      <c r="H1253" s="871">
        <v>1800</v>
      </c>
      <c r="I1253" s="866">
        <f t="shared" si="55"/>
        <v>100</v>
      </c>
    </row>
    <row r="1254" spans="1:9" ht="15" x14ac:dyDescent="0.25">
      <c r="A1254" s="432">
        <v>1134</v>
      </c>
      <c r="B1254" s="783">
        <v>3123</v>
      </c>
      <c r="C1254" s="783">
        <v>5336</v>
      </c>
      <c r="D1254" s="554"/>
      <c r="E1254" s="1479" t="s">
        <v>1269</v>
      </c>
      <c r="F1254" s="871"/>
      <c r="G1254" s="884">
        <v>5894</v>
      </c>
      <c r="H1254" s="884">
        <v>5894</v>
      </c>
      <c r="I1254" s="876">
        <f t="shared" si="55"/>
        <v>100</v>
      </c>
    </row>
    <row r="1255" spans="1:9" ht="14.25" x14ac:dyDescent="0.2">
      <c r="A1255" s="432"/>
      <c r="B1255" s="783"/>
      <c r="C1255" s="783"/>
      <c r="D1255" s="554" t="s">
        <v>1182</v>
      </c>
      <c r="E1255" s="456" t="s">
        <v>832</v>
      </c>
      <c r="F1255" s="871"/>
      <c r="G1255" s="871">
        <v>5894</v>
      </c>
      <c r="H1255" s="871">
        <v>5894</v>
      </c>
      <c r="I1255" s="866">
        <f t="shared" si="55"/>
        <v>100</v>
      </c>
    </row>
    <row r="1256" spans="1:9" ht="15" x14ac:dyDescent="0.25">
      <c r="A1256" s="432">
        <v>1134</v>
      </c>
      <c r="B1256" s="783">
        <v>3142</v>
      </c>
      <c r="C1256" s="783">
        <v>5331</v>
      </c>
      <c r="D1256" s="897"/>
      <c r="E1256" s="680" t="s">
        <v>996</v>
      </c>
      <c r="F1256" s="873">
        <v>500</v>
      </c>
      <c r="G1256" s="873">
        <v>500</v>
      </c>
      <c r="H1256" s="873">
        <v>500</v>
      </c>
      <c r="I1256" s="874">
        <f t="shared" si="55"/>
        <v>100</v>
      </c>
    </row>
    <row r="1257" spans="1:9" ht="14.25" x14ac:dyDescent="0.2">
      <c r="A1257" s="432"/>
      <c r="B1257" s="783"/>
      <c r="C1257" s="783"/>
      <c r="D1257" s="554" t="s">
        <v>606</v>
      </c>
      <c r="E1257" s="456" t="s">
        <v>72</v>
      </c>
      <c r="F1257" s="871">
        <v>500</v>
      </c>
      <c r="G1257" s="871">
        <v>500</v>
      </c>
      <c r="H1257" s="871">
        <v>500</v>
      </c>
      <c r="I1257" s="866">
        <f t="shared" si="55"/>
        <v>100</v>
      </c>
    </row>
    <row r="1258" spans="1:9" ht="15" x14ac:dyDescent="0.25">
      <c r="A1258" s="432">
        <v>1134</v>
      </c>
      <c r="B1258" s="783">
        <v>3142</v>
      </c>
      <c r="C1258" s="783">
        <v>5336</v>
      </c>
      <c r="D1258" s="554"/>
      <c r="E1258" s="1479" t="s">
        <v>1269</v>
      </c>
      <c r="F1258" s="871"/>
      <c r="G1258" s="884">
        <v>575</v>
      </c>
      <c r="H1258" s="884">
        <v>575</v>
      </c>
      <c r="I1258" s="876">
        <f t="shared" si="55"/>
        <v>100</v>
      </c>
    </row>
    <row r="1259" spans="1:9" ht="15" thickBot="1" x14ac:dyDescent="0.25">
      <c r="A1259" s="1469"/>
      <c r="B1259" s="930"/>
      <c r="C1259" s="1470"/>
      <c r="D1259" s="733" t="s">
        <v>1182</v>
      </c>
      <c r="E1259" s="458" t="s">
        <v>832</v>
      </c>
      <c r="F1259" s="931"/>
      <c r="G1259" s="931">
        <v>575</v>
      </c>
      <c r="H1259" s="931">
        <v>575</v>
      </c>
      <c r="I1259" s="910">
        <f t="shared" si="55"/>
        <v>100</v>
      </c>
    </row>
    <row r="1260" spans="1:9" ht="14.25" thickTop="1" thickBot="1" x14ac:dyDescent="0.25">
      <c r="A1260" s="433"/>
      <c r="I1260" s="1465" t="s">
        <v>173</v>
      </c>
    </row>
    <row r="1261" spans="1:9" s="107" customFormat="1" thickTop="1" thickBot="1" x14ac:dyDescent="0.25">
      <c r="A1261" s="633" t="s">
        <v>661</v>
      </c>
      <c r="B1261" s="810" t="s">
        <v>174</v>
      </c>
      <c r="C1261" s="634" t="s">
        <v>175</v>
      </c>
      <c r="D1261" s="636" t="s">
        <v>744</v>
      </c>
      <c r="E1261" s="636" t="s">
        <v>176</v>
      </c>
      <c r="F1261" s="636" t="s">
        <v>177</v>
      </c>
      <c r="G1261" s="636" t="s">
        <v>922</v>
      </c>
      <c r="H1261" s="636" t="s">
        <v>923</v>
      </c>
      <c r="I1261" s="856" t="s">
        <v>924</v>
      </c>
    </row>
    <row r="1262" spans="1:9" s="384" customFormat="1" ht="13.5" thickTop="1" thickBot="1" x14ac:dyDescent="0.25">
      <c r="A1262" s="568">
        <v>1</v>
      </c>
      <c r="B1262" s="569">
        <v>2</v>
      </c>
      <c r="C1262" s="569">
        <v>3</v>
      </c>
      <c r="D1262" s="569">
        <v>4</v>
      </c>
      <c r="E1262" s="569">
        <v>5</v>
      </c>
      <c r="F1262" s="543">
        <v>6</v>
      </c>
      <c r="G1262" s="543">
        <v>7</v>
      </c>
      <c r="H1262" s="544">
        <v>8</v>
      </c>
      <c r="I1262" s="638" t="s">
        <v>801</v>
      </c>
    </row>
    <row r="1263" spans="1:9" ht="15.75" thickTop="1" x14ac:dyDescent="0.25">
      <c r="A1263" s="432">
        <v>1134</v>
      </c>
      <c r="B1263" s="783">
        <v>3147</v>
      </c>
      <c r="C1263" s="1468">
        <v>5331</v>
      </c>
      <c r="D1263" s="880"/>
      <c r="E1263" s="680" t="s">
        <v>996</v>
      </c>
      <c r="F1263" s="873">
        <v>500</v>
      </c>
      <c r="G1263" s="873">
        <v>500</v>
      </c>
      <c r="H1263" s="873">
        <v>500</v>
      </c>
      <c r="I1263" s="866">
        <f t="shared" si="55"/>
        <v>100</v>
      </c>
    </row>
    <row r="1264" spans="1:9" ht="18" customHeight="1" x14ac:dyDescent="0.2">
      <c r="A1264" s="432"/>
      <c r="B1264" s="783"/>
      <c r="C1264" s="1468"/>
      <c r="D1264" s="554" t="s">
        <v>606</v>
      </c>
      <c r="E1264" s="456" t="s">
        <v>72</v>
      </c>
      <c r="F1264" s="871">
        <v>500</v>
      </c>
      <c r="G1264" s="871">
        <v>500</v>
      </c>
      <c r="H1264" s="871">
        <v>500</v>
      </c>
      <c r="I1264" s="866">
        <f t="shared" si="55"/>
        <v>100</v>
      </c>
    </row>
    <row r="1265" spans="1:20" ht="15" x14ac:dyDescent="0.25">
      <c r="A1265" s="432">
        <v>1134</v>
      </c>
      <c r="B1265" s="783">
        <v>3147</v>
      </c>
      <c r="C1265" s="1468">
        <v>5336</v>
      </c>
      <c r="D1265" s="554"/>
      <c r="E1265" s="1479" t="s">
        <v>1269</v>
      </c>
      <c r="F1265" s="871"/>
      <c r="G1265" s="884">
        <v>1295</v>
      </c>
      <c r="H1265" s="884">
        <v>1295</v>
      </c>
      <c r="I1265" s="876">
        <f t="shared" si="55"/>
        <v>100</v>
      </c>
    </row>
    <row r="1266" spans="1:20" ht="15" thickBot="1" x14ac:dyDescent="0.25">
      <c r="A1266" s="1469"/>
      <c r="B1266" s="930"/>
      <c r="C1266" s="1470"/>
      <c r="D1266" s="733" t="s">
        <v>1182</v>
      </c>
      <c r="E1266" s="458" t="s">
        <v>832</v>
      </c>
      <c r="F1266" s="931"/>
      <c r="G1266" s="931">
        <v>1295</v>
      </c>
      <c r="H1266" s="931">
        <v>1295</v>
      </c>
      <c r="I1266" s="910">
        <f t="shared" si="55"/>
        <v>100</v>
      </c>
    </row>
    <row r="1267" spans="1:20" ht="16.5" thickTop="1" thickBot="1" x14ac:dyDescent="0.3">
      <c r="A1267" s="2685" t="s">
        <v>1162</v>
      </c>
      <c r="B1267" s="2686"/>
      <c r="C1267" s="2686"/>
      <c r="D1267" s="2686"/>
      <c r="E1267" s="2686"/>
      <c r="F1267" s="862">
        <f>F1244+F1247+F1251+F1254+F1256+F1258+F1263+F1265</f>
        <v>9061</v>
      </c>
      <c r="G1267" s="862">
        <f>G1244+G1247+G1251+G1254+G1256+G1258+G1263+G1265</f>
        <v>27583</v>
      </c>
      <c r="H1267" s="862">
        <f>H1244+H1247+H1251+H1254+H1256+H1258+H1263+H1265</f>
        <v>27583</v>
      </c>
      <c r="I1267" s="863">
        <f>(H1267/G1267)*100</f>
        <v>100</v>
      </c>
      <c r="R1267" s="383">
        <f>F1267</f>
        <v>9061</v>
      </c>
      <c r="S1267" s="383">
        <f>G1267</f>
        <v>27583</v>
      </c>
      <c r="T1267" s="383">
        <f>H1267</f>
        <v>27583</v>
      </c>
    </row>
    <row r="1268" spans="1:20" ht="13.5" thickTop="1" x14ac:dyDescent="0.2"/>
    <row r="1270" spans="1:20" ht="13.5" thickBot="1" x14ac:dyDescent="0.25">
      <c r="A1270" s="433" t="s">
        <v>1318</v>
      </c>
      <c r="I1270" s="1465" t="s">
        <v>173</v>
      </c>
    </row>
    <row r="1271" spans="1:20" s="107" customFormat="1" thickTop="1" thickBot="1" x14ac:dyDescent="0.25">
      <c r="A1271" s="633" t="s">
        <v>661</v>
      </c>
      <c r="B1271" s="810" t="s">
        <v>174</v>
      </c>
      <c r="C1271" s="634" t="s">
        <v>175</v>
      </c>
      <c r="D1271" s="636" t="s">
        <v>744</v>
      </c>
      <c r="E1271" s="636" t="s">
        <v>176</v>
      </c>
      <c r="F1271" s="636" t="s">
        <v>177</v>
      </c>
      <c r="G1271" s="636" t="s">
        <v>922</v>
      </c>
      <c r="H1271" s="636" t="s">
        <v>923</v>
      </c>
      <c r="I1271" s="856" t="s">
        <v>924</v>
      </c>
    </row>
    <row r="1272" spans="1:20" s="384" customFormat="1" ht="13.5" thickTop="1" thickBot="1" x14ac:dyDescent="0.25">
      <c r="A1272" s="568">
        <v>1</v>
      </c>
      <c r="B1272" s="569">
        <v>2</v>
      </c>
      <c r="C1272" s="569">
        <v>3</v>
      </c>
      <c r="D1272" s="569">
        <v>4</v>
      </c>
      <c r="E1272" s="569">
        <v>5</v>
      </c>
      <c r="F1272" s="543">
        <v>6</v>
      </c>
      <c r="G1272" s="543">
        <v>7</v>
      </c>
      <c r="H1272" s="544">
        <v>8</v>
      </c>
      <c r="I1272" s="638" t="s">
        <v>801</v>
      </c>
    </row>
    <row r="1273" spans="1:20" ht="15.75" thickTop="1" x14ac:dyDescent="0.25">
      <c r="A1273" s="1466">
        <v>1135</v>
      </c>
      <c r="B1273" s="811">
        <v>3122</v>
      </c>
      <c r="C1273" s="811">
        <v>5331</v>
      </c>
      <c r="D1273" s="877"/>
      <c r="E1273" s="898" t="s">
        <v>996</v>
      </c>
      <c r="F1273" s="899">
        <f>F1274+F1275</f>
        <v>6461</v>
      </c>
      <c r="G1273" s="899">
        <f>G1274+G1275+G1276+G1279</f>
        <v>6673</v>
      </c>
      <c r="H1273" s="899">
        <f>H1274+H1275+H1276+H1279</f>
        <v>6673</v>
      </c>
      <c r="I1273" s="864">
        <f t="shared" ref="I1273:I1298" si="56">(H1273/G1273)*100</f>
        <v>100</v>
      </c>
    </row>
    <row r="1274" spans="1:20" ht="14.25" x14ac:dyDescent="0.2">
      <c r="A1274" s="432"/>
      <c r="B1274" s="681"/>
      <c r="C1274" s="681"/>
      <c r="D1274" s="719" t="s">
        <v>611</v>
      </c>
      <c r="E1274" s="1569" t="s">
        <v>833</v>
      </c>
      <c r="F1274" s="865">
        <v>3200</v>
      </c>
      <c r="G1274" s="865">
        <v>3212</v>
      </c>
      <c r="H1274" s="865">
        <v>3212</v>
      </c>
      <c r="I1274" s="861">
        <f t="shared" si="56"/>
        <v>100</v>
      </c>
    </row>
    <row r="1275" spans="1:20" ht="14.25" x14ac:dyDescent="0.2">
      <c r="A1275" s="432"/>
      <c r="B1275" s="681"/>
      <c r="C1275" s="681"/>
      <c r="D1275" s="554" t="s">
        <v>606</v>
      </c>
      <c r="E1275" s="456" t="s">
        <v>72</v>
      </c>
      <c r="F1275" s="865">
        <v>3261</v>
      </c>
      <c r="G1275" s="865">
        <v>3261</v>
      </c>
      <c r="H1275" s="865">
        <v>3261</v>
      </c>
      <c r="I1275" s="861">
        <f t="shared" si="56"/>
        <v>100</v>
      </c>
    </row>
    <row r="1276" spans="1:20" ht="14.25" x14ac:dyDescent="0.2">
      <c r="A1276" s="432"/>
      <c r="B1276" s="681"/>
      <c r="C1276" s="681"/>
      <c r="D1276" s="2671" t="s">
        <v>1510</v>
      </c>
      <c r="E1276" s="2687" t="s">
        <v>1531</v>
      </c>
      <c r="F1276" s="865"/>
      <c r="G1276" s="865">
        <v>102</v>
      </c>
      <c r="H1276" s="865">
        <v>102</v>
      </c>
      <c r="I1276" s="861">
        <f t="shared" si="56"/>
        <v>100</v>
      </c>
    </row>
    <row r="1277" spans="1:20" ht="14.25" x14ac:dyDescent="0.2">
      <c r="A1277" s="432"/>
      <c r="B1277" s="681"/>
      <c r="C1277" s="681"/>
      <c r="D1277" s="2672"/>
      <c r="E1277" s="2672"/>
      <c r="F1277" s="865"/>
      <c r="G1277" s="865"/>
      <c r="H1277" s="865"/>
      <c r="I1277" s="861"/>
    </row>
    <row r="1278" spans="1:20" ht="14.25" x14ac:dyDescent="0.2">
      <c r="A1278" s="432"/>
      <c r="B1278" s="681"/>
      <c r="C1278" s="681"/>
      <c r="D1278" s="2672"/>
      <c r="E1278" s="2672"/>
      <c r="F1278" s="865"/>
      <c r="G1278" s="865"/>
      <c r="H1278" s="865"/>
      <c r="I1278" s="861"/>
    </row>
    <row r="1279" spans="1:20" ht="14.25" x14ac:dyDescent="0.2">
      <c r="A1279" s="432"/>
      <c r="B1279" s="681"/>
      <c r="C1279" s="681"/>
      <c r="D1279" s="1119" t="s">
        <v>1604</v>
      </c>
      <c r="E1279" s="2276" t="s">
        <v>1719</v>
      </c>
      <c r="F1279" s="865"/>
      <c r="G1279" s="357">
        <v>98</v>
      </c>
      <c r="H1279" s="357">
        <v>98</v>
      </c>
      <c r="I1279" s="861">
        <f t="shared" si="56"/>
        <v>100</v>
      </c>
    </row>
    <row r="1280" spans="1:20" ht="15" x14ac:dyDescent="0.25">
      <c r="A1280" s="432">
        <v>1135</v>
      </c>
      <c r="B1280" s="681">
        <v>3122</v>
      </c>
      <c r="C1280" s="681">
        <v>5336</v>
      </c>
      <c r="D1280" s="2605"/>
      <c r="E1280" s="1479" t="s">
        <v>1269</v>
      </c>
      <c r="F1280" s="865"/>
      <c r="G1280" s="889">
        <f>G1281+G1282+G1283</f>
        <v>33445</v>
      </c>
      <c r="H1280" s="889">
        <f>H1281+H1282+H1283</f>
        <v>33445</v>
      </c>
      <c r="I1280" s="891">
        <f t="shared" si="56"/>
        <v>100</v>
      </c>
    </row>
    <row r="1281" spans="1:9" ht="14.25" x14ac:dyDescent="0.2">
      <c r="A1281" s="432"/>
      <c r="B1281" s="681"/>
      <c r="C1281" s="681"/>
      <c r="D1281" s="554" t="s">
        <v>1182</v>
      </c>
      <c r="E1281" s="456" t="s">
        <v>832</v>
      </c>
      <c r="F1281" s="865"/>
      <c r="G1281" s="865">
        <v>32627</v>
      </c>
      <c r="H1281" s="865">
        <v>32627</v>
      </c>
      <c r="I1281" s="861">
        <f t="shared" si="56"/>
        <v>100</v>
      </c>
    </row>
    <row r="1282" spans="1:9" ht="14.25" x14ac:dyDescent="0.2">
      <c r="A1282" s="432"/>
      <c r="B1282" s="783"/>
      <c r="C1282" s="783"/>
      <c r="D1282" s="1481" t="s">
        <v>1608</v>
      </c>
      <c r="E1282" s="1476" t="s">
        <v>1717</v>
      </c>
      <c r="F1282" s="871"/>
      <c r="G1282" s="871">
        <v>123</v>
      </c>
      <c r="H1282" s="871">
        <v>123</v>
      </c>
      <c r="I1282" s="861">
        <f t="shared" si="56"/>
        <v>100</v>
      </c>
    </row>
    <row r="1283" spans="1:9" ht="14.25" x14ac:dyDescent="0.2">
      <c r="A1283" s="432"/>
      <c r="B1283" s="783"/>
      <c r="C1283" s="783"/>
      <c r="D1283" s="1481" t="s">
        <v>1610</v>
      </c>
      <c r="E1283" s="1476" t="s">
        <v>1717</v>
      </c>
      <c r="F1283" s="871"/>
      <c r="G1283" s="871">
        <v>695</v>
      </c>
      <c r="H1283" s="871">
        <v>695</v>
      </c>
      <c r="I1283" s="861">
        <f t="shared" si="56"/>
        <v>100</v>
      </c>
    </row>
    <row r="1284" spans="1:9" ht="15" x14ac:dyDescent="0.25">
      <c r="A1284" s="432">
        <v>1135</v>
      </c>
      <c r="B1284" s="783">
        <v>3142</v>
      </c>
      <c r="C1284" s="1468">
        <v>5331</v>
      </c>
      <c r="D1284" s="880"/>
      <c r="E1284" s="680" t="s">
        <v>996</v>
      </c>
      <c r="F1284" s="873">
        <v>1026</v>
      </c>
      <c r="G1284" s="873">
        <v>1026</v>
      </c>
      <c r="H1284" s="873">
        <v>1026</v>
      </c>
      <c r="I1284" s="874">
        <f t="shared" si="56"/>
        <v>100</v>
      </c>
    </row>
    <row r="1285" spans="1:9" ht="14.25" x14ac:dyDescent="0.2">
      <c r="A1285" s="432"/>
      <c r="B1285" s="783"/>
      <c r="C1285" s="1468"/>
      <c r="D1285" s="554" t="s">
        <v>606</v>
      </c>
      <c r="E1285" s="456" t="s">
        <v>72</v>
      </c>
      <c r="F1285" s="871">
        <v>1026</v>
      </c>
      <c r="G1285" s="871">
        <v>1026</v>
      </c>
      <c r="H1285" s="871">
        <v>1026</v>
      </c>
      <c r="I1285" s="866">
        <v>100</v>
      </c>
    </row>
    <row r="1286" spans="1:9" ht="15" x14ac:dyDescent="0.25">
      <c r="A1286" s="432">
        <v>1135</v>
      </c>
      <c r="B1286" s="783">
        <v>3142</v>
      </c>
      <c r="C1286" s="1468">
        <v>5336</v>
      </c>
      <c r="D1286" s="554"/>
      <c r="E1286" s="1479" t="s">
        <v>1269</v>
      </c>
      <c r="F1286" s="871"/>
      <c r="G1286" s="884">
        <v>931</v>
      </c>
      <c r="H1286" s="884">
        <v>931</v>
      </c>
      <c r="I1286" s="874">
        <f t="shared" si="56"/>
        <v>100</v>
      </c>
    </row>
    <row r="1287" spans="1:9" ht="14.25" x14ac:dyDescent="0.2">
      <c r="A1287" s="432"/>
      <c r="B1287" s="783"/>
      <c r="C1287" s="1468"/>
      <c r="D1287" s="554" t="s">
        <v>1182</v>
      </c>
      <c r="E1287" s="456" t="s">
        <v>832</v>
      </c>
      <c r="F1287" s="871"/>
      <c r="G1287" s="871">
        <v>931</v>
      </c>
      <c r="H1287" s="871">
        <v>931</v>
      </c>
      <c r="I1287" s="866">
        <f t="shared" si="56"/>
        <v>100</v>
      </c>
    </row>
    <row r="1288" spans="1:9" ht="15" x14ac:dyDescent="0.25">
      <c r="A1288" s="432">
        <v>1135</v>
      </c>
      <c r="B1288" s="783">
        <v>3147</v>
      </c>
      <c r="C1288" s="1468">
        <v>5331</v>
      </c>
      <c r="D1288" s="880"/>
      <c r="E1288" s="680" t="s">
        <v>996</v>
      </c>
      <c r="F1288" s="873">
        <v>1300</v>
      </c>
      <c r="G1288" s="873">
        <v>1300</v>
      </c>
      <c r="H1288" s="873">
        <v>1300</v>
      </c>
      <c r="I1288" s="876">
        <f t="shared" si="56"/>
        <v>100</v>
      </c>
    </row>
    <row r="1289" spans="1:9" ht="14.25" x14ac:dyDescent="0.2">
      <c r="A1289" s="432"/>
      <c r="B1289" s="783"/>
      <c r="C1289" s="1468"/>
      <c r="D1289" s="554" t="s">
        <v>606</v>
      </c>
      <c r="E1289" s="456" t="s">
        <v>72</v>
      </c>
      <c r="F1289" s="875">
        <v>1300</v>
      </c>
      <c r="G1289" s="871">
        <v>1300</v>
      </c>
      <c r="H1289" s="871">
        <v>1300</v>
      </c>
      <c r="I1289" s="866">
        <f t="shared" si="56"/>
        <v>100</v>
      </c>
    </row>
    <row r="1290" spans="1:9" ht="15" customHeight="1" x14ac:dyDescent="0.25">
      <c r="A1290" s="432">
        <v>1135</v>
      </c>
      <c r="B1290" s="783">
        <v>3147</v>
      </c>
      <c r="C1290" s="1468">
        <v>5336</v>
      </c>
      <c r="D1290" s="554"/>
      <c r="E1290" s="1479" t="s">
        <v>1269</v>
      </c>
      <c r="F1290" s="875"/>
      <c r="G1290" s="884">
        <v>3501</v>
      </c>
      <c r="H1290" s="884">
        <v>3501</v>
      </c>
      <c r="I1290" s="876">
        <f t="shared" si="56"/>
        <v>100</v>
      </c>
    </row>
    <row r="1291" spans="1:9" ht="20.25" customHeight="1" x14ac:dyDescent="0.2">
      <c r="A1291" s="432"/>
      <c r="B1291" s="783"/>
      <c r="C1291" s="1468"/>
      <c r="D1291" s="554" t="s">
        <v>1182</v>
      </c>
      <c r="E1291" s="456" t="s">
        <v>832</v>
      </c>
      <c r="F1291" s="871"/>
      <c r="G1291" s="871">
        <v>3501</v>
      </c>
      <c r="H1291" s="871">
        <v>3501</v>
      </c>
      <c r="I1291" s="866">
        <f t="shared" si="56"/>
        <v>100</v>
      </c>
    </row>
    <row r="1292" spans="1:9" ht="15" x14ac:dyDescent="0.25">
      <c r="A1292" s="432">
        <v>1135</v>
      </c>
      <c r="B1292" s="783">
        <v>3150</v>
      </c>
      <c r="C1292" s="783">
        <v>5331</v>
      </c>
      <c r="D1292" s="897"/>
      <c r="E1292" s="680" t="s">
        <v>996</v>
      </c>
      <c r="F1292" s="873">
        <v>641</v>
      </c>
      <c r="G1292" s="873">
        <v>641</v>
      </c>
      <c r="H1292" s="873">
        <v>641</v>
      </c>
      <c r="I1292" s="874">
        <f t="shared" si="56"/>
        <v>100</v>
      </c>
    </row>
    <row r="1293" spans="1:9" ht="14.25" x14ac:dyDescent="0.2">
      <c r="A1293" s="432"/>
      <c r="B1293" s="783"/>
      <c r="C1293" s="783"/>
      <c r="D1293" s="554" t="s">
        <v>606</v>
      </c>
      <c r="E1293" s="456" t="s">
        <v>72</v>
      </c>
      <c r="F1293" s="871">
        <v>641</v>
      </c>
      <c r="G1293" s="871">
        <v>641</v>
      </c>
      <c r="H1293" s="871">
        <v>641</v>
      </c>
      <c r="I1293" s="866">
        <f t="shared" si="56"/>
        <v>100</v>
      </c>
    </row>
    <row r="1294" spans="1:9" ht="15" x14ac:dyDescent="0.25">
      <c r="A1294" s="432">
        <v>1135</v>
      </c>
      <c r="B1294" s="783">
        <v>3150</v>
      </c>
      <c r="C1294" s="783">
        <v>5336</v>
      </c>
      <c r="D1294" s="554"/>
      <c r="E1294" s="1479" t="s">
        <v>1269</v>
      </c>
      <c r="F1294" s="871"/>
      <c r="G1294" s="884">
        <v>5521</v>
      </c>
      <c r="H1294" s="884">
        <v>5521</v>
      </c>
      <c r="I1294" s="876">
        <f t="shared" si="56"/>
        <v>100</v>
      </c>
    </row>
    <row r="1295" spans="1:9" ht="14.25" x14ac:dyDescent="0.2">
      <c r="A1295" s="432"/>
      <c r="B1295" s="783"/>
      <c r="C1295" s="1468"/>
      <c r="D1295" s="554" t="s">
        <v>1182</v>
      </c>
      <c r="E1295" s="456" t="s">
        <v>832</v>
      </c>
      <c r="F1295" s="871"/>
      <c r="G1295" s="871">
        <v>5521</v>
      </c>
      <c r="H1295" s="871">
        <v>5521</v>
      </c>
      <c r="I1295" s="866">
        <f t="shared" si="56"/>
        <v>100</v>
      </c>
    </row>
    <row r="1296" spans="1:9" ht="15" x14ac:dyDescent="0.25">
      <c r="A1296" s="432">
        <v>1135</v>
      </c>
      <c r="B1296" s="783">
        <v>3299</v>
      </c>
      <c r="C1296" s="1468">
        <v>5331</v>
      </c>
      <c r="D1296" s="554"/>
      <c r="E1296" s="680" t="s">
        <v>996</v>
      </c>
      <c r="F1296" s="871"/>
      <c r="G1296" s="884">
        <v>8</v>
      </c>
      <c r="H1296" s="884">
        <v>8</v>
      </c>
      <c r="I1296" s="876">
        <f t="shared" si="56"/>
        <v>100</v>
      </c>
    </row>
    <row r="1297" spans="1:23" ht="15" thickBot="1" x14ac:dyDescent="0.25">
      <c r="A1297" s="432"/>
      <c r="B1297" s="783"/>
      <c r="C1297" s="1468"/>
      <c r="D1297" s="1447" t="s">
        <v>390</v>
      </c>
      <c r="E1297" s="2274" t="s">
        <v>1402</v>
      </c>
      <c r="F1297" s="871"/>
      <c r="G1297" s="871">
        <v>8</v>
      </c>
      <c r="H1297" s="871">
        <v>8</v>
      </c>
      <c r="I1297" s="866">
        <f t="shared" si="56"/>
        <v>100</v>
      </c>
    </row>
    <row r="1298" spans="1:23" ht="16.5" thickTop="1" thickBot="1" x14ac:dyDescent="0.3">
      <c r="A1298" s="2685" t="s">
        <v>1162</v>
      </c>
      <c r="B1298" s="2686"/>
      <c r="C1298" s="2686"/>
      <c r="D1298" s="2686"/>
      <c r="E1298" s="2686"/>
      <c r="F1298" s="862">
        <f>F1273+F1284+F1286+F1288+F1290+F1292+F1294+F1280</f>
        <v>9428</v>
      </c>
      <c r="G1298" s="862">
        <f>G1273+G1280+G1284+G1286+G1288+G1290+G1292+G1294+G1296</f>
        <v>53046</v>
      </c>
      <c r="H1298" s="862">
        <f>H1273+H1280+H1284+H1286+H1288+H1290+H1292+H1294+H1296</f>
        <v>53046</v>
      </c>
      <c r="I1298" s="863">
        <f t="shared" si="56"/>
        <v>100</v>
      </c>
      <c r="R1298" s="383">
        <f>F1298</f>
        <v>9428</v>
      </c>
      <c r="S1298" s="383">
        <f>G1298</f>
        <v>53046</v>
      </c>
      <c r="T1298" s="383">
        <f>H1298</f>
        <v>53046</v>
      </c>
    </row>
    <row r="1299" spans="1:23" ht="15.75" thickTop="1" x14ac:dyDescent="0.25">
      <c r="A1299" s="369"/>
      <c r="B1299" s="369"/>
      <c r="C1299" s="369"/>
      <c r="D1299" s="369"/>
      <c r="E1299" s="369"/>
      <c r="F1299" s="183"/>
      <c r="G1299" s="183"/>
      <c r="H1299" s="183"/>
      <c r="I1299" s="214"/>
      <c r="J1299" s="383"/>
      <c r="K1299" s="383"/>
      <c r="L1299" s="383"/>
      <c r="R1299" s="383"/>
      <c r="S1299" s="383"/>
      <c r="T1299" s="383"/>
      <c r="U1299" s="383"/>
      <c r="V1299" s="383"/>
      <c r="W1299" s="383"/>
    </row>
    <row r="1300" spans="1:23" ht="13.5" thickBot="1" x14ac:dyDescent="0.25">
      <c r="A1300" s="433" t="s">
        <v>558</v>
      </c>
      <c r="I1300" s="1465" t="s">
        <v>173</v>
      </c>
    </row>
    <row r="1301" spans="1:23" s="107" customFormat="1" thickTop="1" thickBot="1" x14ac:dyDescent="0.25">
      <c r="A1301" s="633" t="s">
        <v>661</v>
      </c>
      <c r="B1301" s="810" t="s">
        <v>174</v>
      </c>
      <c r="C1301" s="634" t="s">
        <v>175</v>
      </c>
      <c r="D1301" s="636" t="s">
        <v>744</v>
      </c>
      <c r="E1301" s="636" t="s">
        <v>176</v>
      </c>
      <c r="F1301" s="636" t="s">
        <v>177</v>
      </c>
      <c r="G1301" s="636" t="s">
        <v>922</v>
      </c>
      <c r="H1301" s="636" t="s">
        <v>923</v>
      </c>
      <c r="I1301" s="856" t="s">
        <v>924</v>
      </c>
    </row>
    <row r="1302" spans="1:23" s="384" customFormat="1" ht="13.5" thickTop="1" thickBot="1" x14ac:dyDescent="0.25">
      <c r="A1302" s="568">
        <v>1</v>
      </c>
      <c r="B1302" s="569">
        <v>2</v>
      </c>
      <c r="C1302" s="569">
        <v>3</v>
      </c>
      <c r="D1302" s="569">
        <v>4</v>
      </c>
      <c r="E1302" s="569">
        <v>5</v>
      </c>
      <c r="F1302" s="543">
        <v>6</v>
      </c>
      <c r="G1302" s="543">
        <v>7</v>
      </c>
      <c r="H1302" s="544">
        <v>8</v>
      </c>
      <c r="I1302" s="638" t="s">
        <v>801</v>
      </c>
    </row>
    <row r="1303" spans="1:23" ht="15.75" thickTop="1" x14ac:dyDescent="0.25">
      <c r="A1303" s="1466">
        <v>1136</v>
      </c>
      <c r="B1303" s="811">
        <v>3122</v>
      </c>
      <c r="C1303" s="811">
        <v>5331</v>
      </c>
      <c r="D1303" s="877"/>
      <c r="E1303" s="898" t="s">
        <v>996</v>
      </c>
      <c r="F1303" s="899">
        <f>F1304+F1305</f>
        <v>2771</v>
      </c>
      <c r="G1303" s="899">
        <f>G1304+G1305</f>
        <v>2776</v>
      </c>
      <c r="H1303" s="899">
        <f>H1304+H1305</f>
        <v>2776</v>
      </c>
      <c r="I1303" s="864">
        <f t="shared" ref="I1303:I1329" si="57">(H1303/G1303)*100</f>
        <v>100</v>
      </c>
    </row>
    <row r="1304" spans="1:23" ht="14.25" x14ac:dyDescent="0.2">
      <c r="A1304" s="432"/>
      <c r="B1304" s="681"/>
      <c r="C1304" s="681"/>
      <c r="D1304" s="719" t="s">
        <v>611</v>
      </c>
      <c r="E1304" s="1569" t="s">
        <v>833</v>
      </c>
      <c r="F1304" s="865">
        <v>1171</v>
      </c>
      <c r="G1304" s="865">
        <v>1176</v>
      </c>
      <c r="H1304" s="865">
        <v>1176</v>
      </c>
      <c r="I1304" s="861">
        <f t="shared" si="57"/>
        <v>100</v>
      </c>
    </row>
    <row r="1305" spans="1:23" ht="14.25" x14ac:dyDescent="0.2">
      <c r="A1305" s="432"/>
      <c r="B1305" s="681"/>
      <c r="C1305" s="1467"/>
      <c r="D1305" s="554" t="s">
        <v>606</v>
      </c>
      <c r="E1305" s="456" t="s">
        <v>72</v>
      </c>
      <c r="F1305" s="865">
        <v>1600</v>
      </c>
      <c r="G1305" s="865">
        <v>1600</v>
      </c>
      <c r="H1305" s="865">
        <v>1600</v>
      </c>
      <c r="I1305" s="861">
        <f t="shared" si="57"/>
        <v>100</v>
      </c>
    </row>
    <row r="1306" spans="1:23" ht="15" x14ac:dyDescent="0.25">
      <c r="A1306" s="432">
        <v>1136</v>
      </c>
      <c r="B1306" s="783">
        <v>3122</v>
      </c>
      <c r="C1306" s="1468">
        <v>5336</v>
      </c>
      <c r="D1306" s="2255"/>
      <c r="E1306" s="1479" t="s">
        <v>1269</v>
      </c>
      <c r="F1306" s="871"/>
      <c r="G1306" s="884">
        <f>G1307+G1308+G1309</f>
        <v>4472</v>
      </c>
      <c r="H1306" s="884">
        <f>H1307+H1308+H1309</f>
        <v>4472</v>
      </c>
      <c r="I1306" s="891">
        <f t="shared" si="57"/>
        <v>100</v>
      </c>
    </row>
    <row r="1307" spans="1:23" ht="14.25" x14ac:dyDescent="0.2">
      <c r="A1307" s="432"/>
      <c r="B1307" s="783"/>
      <c r="C1307" s="1468"/>
      <c r="D1307" s="554" t="s">
        <v>1182</v>
      </c>
      <c r="E1307" s="456" t="s">
        <v>832</v>
      </c>
      <c r="F1307" s="871"/>
      <c r="G1307" s="871">
        <v>3887</v>
      </c>
      <c r="H1307" s="871">
        <v>3887</v>
      </c>
      <c r="I1307" s="866">
        <f t="shared" si="57"/>
        <v>100</v>
      </c>
    </row>
    <row r="1308" spans="1:23" ht="14.25" x14ac:dyDescent="0.2">
      <c r="A1308" s="432"/>
      <c r="B1308" s="783"/>
      <c r="C1308" s="1468"/>
      <c r="D1308" s="1481" t="s">
        <v>1608</v>
      </c>
      <c r="E1308" s="1476" t="s">
        <v>1717</v>
      </c>
      <c r="F1308" s="871"/>
      <c r="G1308" s="871">
        <v>88</v>
      </c>
      <c r="H1308" s="871">
        <v>88</v>
      </c>
      <c r="I1308" s="866">
        <f t="shared" si="57"/>
        <v>100</v>
      </c>
    </row>
    <row r="1309" spans="1:23" ht="14.25" x14ac:dyDescent="0.2">
      <c r="A1309" s="432"/>
      <c r="B1309" s="783"/>
      <c r="C1309" s="1468"/>
      <c r="D1309" s="1481" t="s">
        <v>1610</v>
      </c>
      <c r="E1309" s="1476" t="s">
        <v>1717</v>
      </c>
      <c r="F1309" s="871"/>
      <c r="G1309" s="871">
        <v>497</v>
      </c>
      <c r="H1309" s="871">
        <v>497</v>
      </c>
      <c r="I1309" s="866">
        <f t="shared" si="57"/>
        <v>100</v>
      </c>
    </row>
    <row r="1310" spans="1:23" ht="18" customHeight="1" x14ac:dyDescent="0.25">
      <c r="A1310" s="432">
        <v>1136</v>
      </c>
      <c r="B1310" s="783">
        <v>3123</v>
      </c>
      <c r="C1310" s="783">
        <v>5331</v>
      </c>
      <c r="D1310" s="897"/>
      <c r="E1310" s="680" t="s">
        <v>996</v>
      </c>
      <c r="F1310" s="873">
        <f>F1314+F1311</f>
        <v>2800</v>
      </c>
      <c r="G1310" s="873">
        <f>G1311+G1312</f>
        <v>2810</v>
      </c>
      <c r="H1310" s="873">
        <f>H1311+H1312</f>
        <v>2810</v>
      </c>
      <c r="I1310" s="874">
        <f t="shared" si="57"/>
        <v>100</v>
      </c>
    </row>
    <row r="1311" spans="1:23" ht="14.25" x14ac:dyDescent="0.2">
      <c r="A1311" s="432"/>
      <c r="B1311" s="783"/>
      <c r="C1311" s="783"/>
      <c r="D1311" s="554" t="s">
        <v>606</v>
      </c>
      <c r="E1311" s="456" t="s">
        <v>72</v>
      </c>
      <c r="F1311" s="871">
        <v>2800</v>
      </c>
      <c r="G1311" s="871">
        <v>2800</v>
      </c>
      <c r="H1311" s="871">
        <v>2800</v>
      </c>
      <c r="I1311" s="866">
        <f t="shared" si="57"/>
        <v>100</v>
      </c>
    </row>
    <row r="1312" spans="1:23" ht="14.25" x14ac:dyDescent="0.2">
      <c r="A1312" s="432"/>
      <c r="B1312" s="783"/>
      <c r="C1312" s="783"/>
      <c r="D1312" s="1119" t="s">
        <v>1604</v>
      </c>
      <c r="E1312" s="2276" t="s">
        <v>1719</v>
      </c>
      <c r="F1312" s="871"/>
      <c r="G1312" s="871">
        <v>10</v>
      </c>
      <c r="H1312" s="871">
        <v>10</v>
      </c>
      <c r="I1312" s="866">
        <f t="shared" si="57"/>
        <v>100</v>
      </c>
    </row>
    <row r="1313" spans="1:20" ht="15" x14ac:dyDescent="0.25">
      <c r="A1313" s="432">
        <v>1136</v>
      </c>
      <c r="B1313" s="783">
        <v>3123</v>
      </c>
      <c r="C1313" s="783">
        <v>5336</v>
      </c>
      <c r="D1313" s="554"/>
      <c r="E1313" s="1479" t="s">
        <v>1269</v>
      </c>
      <c r="F1313" s="871"/>
      <c r="G1313" s="884">
        <v>16308</v>
      </c>
      <c r="H1313" s="884">
        <v>16308</v>
      </c>
      <c r="I1313" s="876">
        <f t="shared" si="57"/>
        <v>100</v>
      </c>
    </row>
    <row r="1314" spans="1:20" ht="14.25" x14ac:dyDescent="0.2">
      <c r="A1314" s="432"/>
      <c r="B1314" s="783"/>
      <c r="C1314" s="783"/>
      <c r="D1314" s="554" t="s">
        <v>1182</v>
      </c>
      <c r="E1314" s="456" t="s">
        <v>832</v>
      </c>
      <c r="F1314" s="871"/>
      <c r="G1314" s="871">
        <v>16308</v>
      </c>
      <c r="H1314" s="871">
        <v>16308</v>
      </c>
      <c r="I1314" s="866">
        <f t="shared" si="57"/>
        <v>100</v>
      </c>
    </row>
    <row r="1315" spans="1:20" ht="15" x14ac:dyDescent="0.25">
      <c r="A1315" s="432">
        <v>1136</v>
      </c>
      <c r="B1315" s="783">
        <v>3142</v>
      </c>
      <c r="C1315" s="783">
        <v>5331</v>
      </c>
      <c r="D1315" s="897"/>
      <c r="E1315" s="680" t="s">
        <v>996</v>
      </c>
      <c r="F1315" s="884">
        <v>380</v>
      </c>
      <c r="G1315" s="884">
        <v>380</v>
      </c>
      <c r="H1315" s="884">
        <v>380</v>
      </c>
      <c r="I1315" s="874">
        <f t="shared" si="57"/>
        <v>100</v>
      </c>
    </row>
    <row r="1316" spans="1:20" ht="14.25" x14ac:dyDescent="0.2">
      <c r="A1316" s="432"/>
      <c r="B1316" s="783"/>
      <c r="C1316" s="783"/>
      <c r="D1316" s="554" t="s">
        <v>606</v>
      </c>
      <c r="E1316" s="456" t="s">
        <v>72</v>
      </c>
      <c r="F1316" s="871">
        <v>380</v>
      </c>
      <c r="G1316" s="871">
        <v>380</v>
      </c>
      <c r="H1316" s="871">
        <v>380</v>
      </c>
      <c r="I1316" s="866">
        <f t="shared" si="57"/>
        <v>100</v>
      </c>
    </row>
    <row r="1317" spans="1:20" ht="15" x14ac:dyDescent="0.25">
      <c r="A1317" s="432">
        <v>1136</v>
      </c>
      <c r="B1317" s="783">
        <v>3142</v>
      </c>
      <c r="C1317" s="783">
        <v>5336</v>
      </c>
      <c r="D1317" s="554"/>
      <c r="E1317" s="1479" t="s">
        <v>1269</v>
      </c>
      <c r="F1317" s="871"/>
      <c r="G1317" s="884">
        <v>85</v>
      </c>
      <c r="H1317" s="884">
        <v>85</v>
      </c>
      <c r="I1317" s="876">
        <f t="shared" si="57"/>
        <v>100</v>
      </c>
    </row>
    <row r="1318" spans="1:20" ht="17.25" customHeight="1" x14ac:dyDescent="0.2">
      <c r="A1318" s="432"/>
      <c r="B1318" s="783"/>
      <c r="C1318" s="783"/>
      <c r="D1318" s="554" t="s">
        <v>1182</v>
      </c>
      <c r="E1318" s="456" t="s">
        <v>832</v>
      </c>
      <c r="F1318" s="871"/>
      <c r="G1318" s="871">
        <v>85</v>
      </c>
      <c r="H1318" s="871">
        <v>85</v>
      </c>
      <c r="I1318" s="866">
        <f t="shared" si="57"/>
        <v>100</v>
      </c>
    </row>
    <row r="1319" spans="1:20" ht="15" x14ac:dyDescent="0.25">
      <c r="A1319" s="432">
        <v>1136</v>
      </c>
      <c r="B1319" s="783">
        <v>3147</v>
      </c>
      <c r="C1319" s="783">
        <v>5331</v>
      </c>
      <c r="D1319" s="897"/>
      <c r="E1319" s="680" t="s">
        <v>996</v>
      </c>
      <c r="F1319" s="873">
        <v>1100</v>
      </c>
      <c r="G1319" s="873">
        <v>1100</v>
      </c>
      <c r="H1319" s="873">
        <v>1100</v>
      </c>
      <c r="I1319" s="874">
        <f t="shared" si="57"/>
        <v>100</v>
      </c>
    </row>
    <row r="1320" spans="1:20" ht="14.25" x14ac:dyDescent="0.2">
      <c r="A1320" s="432"/>
      <c r="B1320" s="783"/>
      <c r="C1320" s="1468"/>
      <c r="D1320" s="554" t="s">
        <v>606</v>
      </c>
      <c r="E1320" s="456" t="s">
        <v>72</v>
      </c>
      <c r="F1320" s="871">
        <v>1100</v>
      </c>
      <c r="G1320" s="871">
        <v>1100</v>
      </c>
      <c r="H1320" s="871">
        <v>1100</v>
      </c>
      <c r="I1320" s="866">
        <f t="shared" si="57"/>
        <v>100</v>
      </c>
    </row>
    <row r="1321" spans="1:20" ht="15" x14ac:dyDescent="0.25">
      <c r="A1321" s="432">
        <v>1136</v>
      </c>
      <c r="B1321" s="783">
        <v>3147</v>
      </c>
      <c r="C1321" s="1468">
        <v>5336</v>
      </c>
      <c r="D1321" s="554"/>
      <c r="E1321" s="1479" t="s">
        <v>1269</v>
      </c>
      <c r="F1321" s="871"/>
      <c r="G1321" s="884">
        <v>2261</v>
      </c>
      <c r="H1321" s="884">
        <v>2261</v>
      </c>
      <c r="I1321" s="876">
        <f t="shared" si="57"/>
        <v>100</v>
      </c>
    </row>
    <row r="1322" spans="1:20" ht="14.25" x14ac:dyDescent="0.2">
      <c r="A1322" s="432"/>
      <c r="B1322" s="783"/>
      <c r="C1322" s="1468"/>
      <c r="D1322" s="554" t="s">
        <v>1182</v>
      </c>
      <c r="E1322" s="456" t="s">
        <v>832</v>
      </c>
      <c r="F1322" s="871"/>
      <c r="G1322" s="871">
        <v>2261</v>
      </c>
      <c r="H1322" s="871">
        <v>2261</v>
      </c>
      <c r="I1322" s="866">
        <f t="shared" si="57"/>
        <v>100</v>
      </c>
    </row>
    <row r="1323" spans="1:20" ht="15" x14ac:dyDescent="0.25">
      <c r="A1323" s="432">
        <v>1136</v>
      </c>
      <c r="B1323" s="783">
        <v>3150</v>
      </c>
      <c r="C1323" s="783">
        <v>5331</v>
      </c>
      <c r="D1323" s="897"/>
      <c r="E1323" s="680" t="s">
        <v>996</v>
      </c>
      <c r="F1323" s="873">
        <v>530</v>
      </c>
      <c r="G1323" s="873">
        <v>530</v>
      </c>
      <c r="H1323" s="873">
        <v>530</v>
      </c>
      <c r="I1323" s="874">
        <f t="shared" si="57"/>
        <v>100</v>
      </c>
    </row>
    <row r="1324" spans="1:20" ht="14.25" x14ac:dyDescent="0.2">
      <c r="A1324" s="432"/>
      <c r="B1324" s="783"/>
      <c r="C1324" s="783"/>
      <c r="D1324" s="554" t="s">
        <v>606</v>
      </c>
      <c r="E1324" s="456" t="s">
        <v>72</v>
      </c>
      <c r="F1324" s="871">
        <v>530</v>
      </c>
      <c r="G1324" s="871">
        <v>530</v>
      </c>
      <c r="H1324" s="871">
        <v>530</v>
      </c>
      <c r="I1324" s="866">
        <f t="shared" si="57"/>
        <v>100</v>
      </c>
    </row>
    <row r="1325" spans="1:20" ht="15" x14ac:dyDescent="0.25">
      <c r="A1325" s="432">
        <v>1136</v>
      </c>
      <c r="B1325" s="783">
        <v>3150</v>
      </c>
      <c r="C1325" s="783">
        <v>5336</v>
      </c>
      <c r="D1325" s="554"/>
      <c r="E1325" s="1479" t="s">
        <v>1269</v>
      </c>
      <c r="F1325" s="871"/>
      <c r="G1325" s="884">
        <v>2719</v>
      </c>
      <c r="H1325" s="884">
        <v>2719</v>
      </c>
      <c r="I1325" s="876">
        <f t="shared" si="57"/>
        <v>100</v>
      </c>
    </row>
    <row r="1326" spans="1:20" ht="15" thickBot="1" x14ac:dyDescent="0.25">
      <c r="A1326" s="432"/>
      <c r="B1326" s="783"/>
      <c r="C1326" s="1468"/>
      <c r="D1326" s="554" t="s">
        <v>1182</v>
      </c>
      <c r="E1326" s="456" t="s">
        <v>832</v>
      </c>
      <c r="F1326" s="871"/>
      <c r="G1326" s="871">
        <v>2719</v>
      </c>
      <c r="H1326" s="871">
        <v>2719</v>
      </c>
      <c r="I1326" s="866">
        <f t="shared" si="57"/>
        <v>100</v>
      </c>
    </row>
    <row r="1327" spans="1:20" ht="16.5" thickTop="1" thickBot="1" x14ac:dyDescent="0.3">
      <c r="A1327" s="2685" t="s">
        <v>1162</v>
      </c>
      <c r="B1327" s="2686"/>
      <c r="C1327" s="2686"/>
      <c r="D1327" s="2686"/>
      <c r="E1327" s="2686"/>
      <c r="F1327" s="862">
        <f>F1303+F1306+F1310+F1313+F1315+F1317+F1319+F1321+F1323+F1325</f>
        <v>7581</v>
      </c>
      <c r="G1327" s="862">
        <f>G1303+G1306+G1310+G1313+G1315+G1317+G1319+G1321+G1323+G1325</f>
        <v>33441</v>
      </c>
      <c r="H1327" s="862">
        <f>H1303+H1306+H1310+H1313+H1315+H1317+H1319+H1321+H1323+H1325</f>
        <v>33441</v>
      </c>
      <c r="I1327" s="863">
        <f t="shared" si="57"/>
        <v>100</v>
      </c>
      <c r="R1327" s="383">
        <f>F1327</f>
        <v>7581</v>
      </c>
      <c r="S1327" s="383">
        <f>G1327</f>
        <v>33441</v>
      </c>
      <c r="T1327" s="383">
        <f>H1327</f>
        <v>33441</v>
      </c>
    </row>
    <row r="1328" spans="1:20" ht="15.75" thickTop="1" x14ac:dyDescent="0.25">
      <c r="A1328" s="435">
        <v>1136</v>
      </c>
      <c r="B1328" s="681">
        <v>3142</v>
      </c>
      <c r="C1328" s="783">
        <v>6351</v>
      </c>
      <c r="D1328" s="897"/>
      <c r="E1328" s="680" t="s">
        <v>1231</v>
      </c>
      <c r="F1328" s="873"/>
      <c r="G1328" s="873">
        <v>630</v>
      </c>
      <c r="H1328" s="873">
        <v>630</v>
      </c>
      <c r="I1328" s="874">
        <f t="shared" si="57"/>
        <v>100</v>
      </c>
      <c r="R1328" s="383"/>
      <c r="S1328" s="383"/>
      <c r="T1328" s="383"/>
    </row>
    <row r="1329" spans="1:23" ht="15" thickBot="1" x14ac:dyDescent="0.25">
      <c r="A1329" s="1592"/>
      <c r="B1329" s="682"/>
      <c r="C1329" s="1470"/>
      <c r="D1329" s="1120" t="s">
        <v>1419</v>
      </c>
      <c r="E1329" s="1591" t="s">
        <v>1420</v>
      </c>
      <c r="F1329" s="931"/>
      <c r="G1329" s="931">
        <v>630</v>
      </c>
      <c r="H1329" s="931">
        <v>630</v>
      </c>
      <c r="I1329" s="910">
        <f t="shared" si="57"/>
        <v>100</v>
      </c>
      <c r="R1329" s="383"/>
      <c r="S1329" s="383"/>
      <c r="T1329" s="383"/>
    </row>
    <row r="1330" spans="1:23" ht="16.5" thickTop="1" thickBot="1" x14ac:dyDescent="0.3">
      <c r="A1330" s="2682" t="s">
        <v>1163</v>
      </c>
      <c r="B1330" s="2683"/>
      <c r="C1330" s="2683"/>
      <c r="D1330" s="2683"/>
      <c r="E1330" s="2684"/>
      <c r="F1330" s="862">
        <v>0</v>
      </c>
      <c r="G1330" s="862">
        <f>G1328</f>
        <v>630</v>
      </c>
      <c r="H1330" s="862">
        <f>SUM(H1328)</f>
        <v>630</v>
      </c>
      <c r="I1330" s="863">
        <f>(H1330/G1330)*100</f>
        <v>100</v>
      </c>
      <c r="U1330" s="383">
        <f>F1330</f>
        <v>0</v>
      </c>
      <c r="V1330" s="383">
        <f>G1330</f>
        <v>630</v>
      </c>
      <c r="W1330" s="383">
        <f>H1330</f>
        <v>630</v>
      </c>
    </row>
    <row r="1331" spans="1:23" ht="14.25" thickTop="1" thickBot="1" x14ac:dyDescent="0.25">
      <c r="A1331" s="433" t="s">
        <v>547</v>
      </c>
      <c r="I1331" s="1465" t="s">
        <v>173</v>
      </c>
    </row>
    <row r="1332" spans="1:23" s="107" customFormat="1" thickTop="1" thickBot="1" x14ac:dyDescent="0.25">
      <c r="A1332" s="633" t="s">
        <v>661</v>
      </c>
      <c r="B1332" s="810" t="s">
        <v>174</v>
      </c>
      <c r="C1332" s="634" t="s">
        <v>175</v>
      </c>
      <c r="D1332" s="636" t="s">
        <v>744</v>
      </c>
      <c r="E1332" s="636" t="s">
        <v>176</v>
      </c>
      <c r="F1332" s="636" t="s">
        <v>177</v>
      </c>
      <c r="G1332" s="636" t="s">
        <v>922</v>
      </c>
      <c r="H1332" s="636" t="s">
        <v>923</v>
      </c>
      <c r="I1332" s="856" t="s">
        <v>924</v>
      </c>
    </row>
    <row r="1333" spans="1:23" s="384" customFormat="1" ht="13.5" thickTop="1" thickBot="1" x14ac:dyDescent="0.25">
      <c r="A1333" s="568">
        <v>1</v>
      </c>
      <c r="B1333" s="569">
        <v>2</v>
      </c>
      <c r="C1333" s="569">
        <v>3</v>
      </c>
      <c r="D1333" s="569">
        <v>4</v>
      </c>
      <c r="E1333" s="569">
        <v>5</v>
      </c>
      <c r="F1333" s="543">
        <v>6</v>
      </c>
      <c r="G1333" s="543">
        <v>7</v>
      </c>
      <c r="H1333" s="544">
        <v>8</v>
      </c>
      <c r="I1333" s="638" t="s">
        <v>801</v>
      </c>
    </row>
    <row r="1334" spans="1:23" ht="15.75" thickTop="1" x14ac:dyDescent="0.25">
      <c r="A1334" s="1466">
        <v>1137</v>
      </c>
      <c r="B1334" s="811">
        <v>3122</v>
      </c>
      <c r="C1334" s="811">
        <v>5331</v>
      </c>
      <c r="D1334" s="877"/>
      <c r="E1334" s="898" t="s">
        <v>996</v>
      </c>
      <c r="F1334" s="899">
        <f>F1335+F1336</f>
        <v>1955</v>
      </c>
      <c r="G1334" s="899">
        <f>G1335+G1336</f>
        <v>1949</v>
      </c>
      <c r="H1334" s="899">
        <f>H1335+H1336</f>
        <v>1949</v>
      </c>
      <c r="I1334" s="864">
        <f t="shared" ref="I1334:I1341" si="58">(H1334/G1334)*100</f>
        <v>100</v>
      </c>
    </row>
    <row r="1335" spans="1:23" ht="14.25" x14ac:dyDescent="0.2">
      <c r="A1335" s="432"/>
      <c r="B1335" s="681"/>
      <c r="C1335" s="681"/>
      <c r="D1335" s="719" t="s">
        <v>611</v>
      </c>
      <c r="E1335" s="1569" t="s">
        <v>833</v>
      </c>
      <c r="F1335" s="865">
        <v>334</v>
      </c>
      <c r="G1335" s="865">
        <v>328</v>
      </c>
      <c r="H1335" s="865">
        <v>328</v>
      </c>
      <c r="I1335" s="861">
        <f t="shared" si="58"/>
        <v>100</v>
      </c>
    </row>
    <row r="1336" spans="1:23" ht="14.25" x14ac:dyDescent="0.2">
      <c r="A1336" s="432"/>
      <c r="B1336" s="681"/>
      <c r="C1336" s="681"/>
      <c r="D1336" s="554" t="s">
        <v>606</v>
      </c>
      <c r="E1336" s="456" t="s">
        <v>72</v>
      </c>
      <c r="F1336" s="865">
        <v>1621</v>
      </c>
      <c r="G1336" s="865">
        <v>1621</v>
      </c>
      <c r="H1336" s="865">
        <v>1621</v>
      </c>
      <c r="I1336" s="861">
        <f t="shared" si="58"/>
        <v>100</v>
      </c>
    </row>
    <row r="1337" spans="1:23" ht="15" x14ac:dyDescent="0.25">
      <c r="A1337" s="432">
        <v>1137</v>
      </c>
      <c r="B1337" s="783">
        <v>3122</v>
      </c>
      <c r="C1337" s="783">
        <v>5336</v>
      </c>
      <c r="D1337" s="2255"/>
      <c r="E1337" s="1479" t="s">
        <v>1269</v>
      </c>
      <c r="F1337" s="871"/>
      <c r="G1337" s="884">
        <f>G1338+G1339+G1340</f>
        <v>8528</v>
      </c>
      <c r="H1337" s="884">
        <f>H1338+H1339+H1340</f>
        <v>8528</v>
      </c>
      <c r="I1337" s="876">
        <f t="shared" si="58"/>
        <v>100</v>
      </c>
    </row>
    <row r="1338" spans="1:23" ht="14.25" x14ac:dyDescent="0.2">
      <c r="A1338" s="432"/>
      <c r="B1338" s="783"/>
      <c r="C1338" s="1468"/>
      <c r="D1338" s="554" t="s">
        <v>1182</v>
      </c>
      <c r="E1338" s="456" t="s">
        <v>832</v>
      </c>
      <c r="F1338" s="871"/>
      <c r="G1338" s="871">
        <v>8178</v>
      </c>
      <c r="H1338" s="871">
        <v>8178</v>
      </c>
      <c r="I1338" s="866">
        <f t="shared" si="58"/>
        <v>100</v>
      </c>
    </row>
    <row r="1339" spans="1:23" ht="14.25" x14ac:dyDescent="0.2">
      <c r="A1339" s="432"/>
      <c r="B1339" s="783"/>
      <c r="C1339" s="1468"/>
      <c r="D1339" s="1481" t="s">
        <v>1608</v>
      </c>
      <c r="E1339" s="2394" t="s">
        <v>1717</v>
      </c>
      <c r="F1339" s="871"/>
      <c r="G1339" s="871">
        <v>53</v>
      </c>
      <c r="H1339" s="871">
        <v>53</v>
      </c>
      <c r="I1339" s="866">
        <f t="shared" si="58"/>
        <v>100</v>
      </c>
    </row>
    <row r="1340" spans="1:23" ht="15" thickBot="1" x14ac:dyDescent="0.25">
      <c r="A1340" s="432"/>
      <c r="B1340" s="783"/>
      <c r="C1340" s="1468"/>
      <c r="D1340" s="1481" t="s">
        <v>1610</v>
      </c>
      <c r="E1340" s="2394" t="s">
        <v>1717</v>
      </c>
      <c r="F1340" s="871"/>
      <c r="G1340" s="871">
        <v>297</v>
      </c>
      <c r="H1340" s="871">
        <v>297</v>
      </c>
      <c r="I1340" s="866">
        <f t="shared" si="58"/>
        <v>100</v>
      </c>
    </row>
    <row r="1341" spans="1:23" ht="16.5" thickTop="1" thickBot="1" x14ac:dyDescent="0.3">
      <c r="A1341" s="2685" t="s">
        <v>1162</v>
      </c>
      <c r="B1341" s="2686"/>
      <c r="C1341" s="2686"/>
      <c r="D1341" s="2686"/>
      <c r="E1341" s="2686"/>
      <c r="F1341" s="862">
        <f>F1334+F1337</f>
        <v>1955</v>
      </c>
      <c r="G1341" s="862">
        <f>G1334+G1337</f>
        <v>10477</v>
      </c>
      <c r="H1341" s="862">
        <f>H1334+H1337</f>
        <v>10477</v>
      </c>
      <c r="I1341" s="863">
        <f t="shared" si="58"/>
        <v>100</v>
      </c>
      <c r="R1341" s="383">
        <f>F1341</f>
        <v>1955</v>
      </c>
      <c r="S1341" s="383">
        <f>G1341</f>
        <v>10477</v>
      </c>
      <c r="T1341" s="383">
        <f>H1341</f>
        <v>10477</v>
      </c>
    </row>
    <row r="1342" spans="1:23" ht="13.5" thickTop="1" x14ac:dyDescent="0.2"/>
    <row r="1344" spans="1:23" ht="13.5" thickBot="1" x14ac:dyDescent="0.25">
      <c r="A1344" s="433" t="s">
        <v>548</v>
      </c>
      <c r="I1344" s="1465" t="s">
        <v>173</v>
      </c>
    </row>
    <row r="1345" spans="1:9" s="107" customFormat="1" thickTop="1" thickBot="1" x14ac:dyDescent="0.25">
      <c r="A1345" s="633" t="s">
        <v>661</v>
      </c>
      <c r="B1345" s="810" t="s">
        <v>174</v>
      </c>
      <c r="C1345" s="634" t="s">
        <v>175</v>
      </c>
      <c r="D1345" s="636" t="s">
        <v>744</v>
      </c>
      <c r="E1345" s="636" t="s">
        <v>176</v>
      </c>
      <c r="F1345" s="636" t="s">
        <v>177</v>
      </c>
      <c r="G1345" s="636" t="s">
        <v>922</v>
      </c>
      <c r="H1345" s="636" t="s">
        <v>923</v>
      </c>
      <c r="I1345" s="856" t="s">
        <v>924</v>
      </c>
    </row>
    <row r="1346" spans="1:9" s="384" customFormat="1" ht="13.5" thickTop="1" thickBot="1" x14ac:dyDescent="0.25">
      <c r="A1346" s="568">
        <v>1</v>
      </c>
      <c r="B1346" s="569">
        <v>2</v>
      </c>
      <c r="C1346" s="569">
        <v>3</v>
      </c>
      <c r="D1346" s="569">
        <v>4</v>
      </c>
      <c r="E1346" s="569">
        <v>5</v>
      </c>
      <c r="F1346" s="543">
        <v>6</v>
      </c>
      <c r="G1346" s="543">
        <v>7</v>
      </c>
      <c r="H1346" s="544">
        <v>8</v>
      </c>
      <c r="I1346" s="638" t="s">
        <v>801</v>
      </c>
    </row>
    <row r="1347" spans="1:9" ht="20.25" customHeight="1" thickTop="1" x14ac:dyDescent="0.25">
      <c r="A1347" s="1466">
        <v>1138</v>
      </c>
      <c r="B1347" s="811">
        <v>3122</v>
      </c>
      <c r="C1347" s="811">
        <v>5331</v>
      </c>
      <c r="D1347" s="877"/>
      <c r="E1347" s="898" t="s">
        <v>996</v>
      </c>
      <c r="F1347" s="899">
        <f>F1348+F1350</f>
        <v>2080</v>
      </c>
      <c r="G1347" s="899">
        <f>G1348+G1350+G1351+G1349</f>
        <v>2124</v>
      </c>
      <c r="H1347" s="899">
        <f>H1348+H1350+H1351+H1349</f>
        <v>2124</v>
      </c>
      <c r="I1347" s="864">
        <f t="shared" ref="I1347:I1370" si="59">(H1347/G1347)*100</f>
        <v>100</v>
      </c>
    </row>
    <row r="1348" spans="1:9" ht="14.25" x14ac:dyDescent="0.2">
      <c r="A1348" s="432"/>
      <c r="B1348" s="681"/>
      <c r="C1348" s="681"/>
      <c r="D1348" s="719" t="s">
        <v>611</v>
      </c>
      <c r="E1348" s="1569" t="s">
        <v>833</v>
      </c>
      <c r="F1348" s="865">
        <v>330</v>
      </c>
      <c r="G1348" s="865">
        <v>360</v>
      </c>
      <c r="H1348" s="865">
        <v>360</v>
      </c>
      <c r="I1348" s="861">
        <f t="shared" si="59"/>
        <v>100</v>
      </c>
    </row>
    <row r="1349" spans="1:9" ht="14.25" x14ac:dyDescent="0.2">
      <c r="A1349" s="432"/>
      <c r="B1349" s="681"/>
      <c r="C1349" s="681"/>
      <c r="D1349" s="1110" t="s">
        <v>369</v>
      </c>
      <c r="E1349" s="1215" t="s">
        <v>933</v>
      </c>
      <c r="F1349" s="865"/>
      <c r="G1349" s="865">
        <v>4</v>
      </c>
      <c r="H1349" s="865">
        <v>4</v>
      </c>
      <c r="I1349" s="861">
        <f t="shared" si="59"/>
        <v>100</v>
      </c>
    </row>
    <row r="1350" spans="1:9" ht="14.25" x14ac:dyDescent="0.2">
      <c r="A1350" s="432"/>
      <c r="B1350" s="681"/>
      <c r="C1350" s="681"/>
      <c r="D1350" s="554" t="s">
        <v>606</v>
      </c>
      <c r="E1350" s="456" t="s">
        <v>72</v>
      </c>
      <c r="F1350" s="865">
        <v>1750</v>
      </c>
      <c r="G1350" s="865">
        <v>1750</v>
      </c>
      <c r="H1350" s="865">
        <v>1750</v>
      </c>
      <c r="I1350" s="861">
        <f t="shared" si="59"/>
        <v>100</v>
      </c>
    </row>
    <row r="1351" spans="1:9" ht="14.25" x14ac:dyDescent="0.2">
      <c r="A1351" s="432"/>
      <c r="B1351" s="681"/>
      <c r="C1351" s="681"/>
      <c r="D1351" s="1119" t="s">
        <v>1604</v>
      </c>
      <c r="E1351" s="2273" t="s">
        <v>1719</v>
      </c>
      <c r="F1351" s="865"/>
      <c r="G1351" s="865">
        <v>10</v>
      </c>
      <c r="H1351" s="865">
        <v>10</v>
      </c>
      <c r="I1351" s="861">
        <f t="shared" si="59"/>
        <v>100</v>
      </c>
    </row>
    <row r="1352" spans="1:9" ht="15" x14ac:dyDescent="0.25">
      <c r="A1352" s="432">
        <v>1138</v>
      </c>
      <c r="B1352" s="681">
        <v>3122</v>
      </c>
      <c r="C1352" s="681">
        <v>5336</v>
      </c>
      <c r="D1352" s="2255"/>
      <c r="E1352" s="1479" t="s">
        <v>1269</v>
      </c>
      <c r="F1352" s="865"/>
      <c r="G1352" s="889">
        <f>G1353+G1354+G1355</f>
        <v>15986</v>
      </c>
      <c r="H1352" s="889">
        <f>H1353+H1354+H1355</f>
        <v>15986</v>
      </c>
      <c r="I1352" s="891">
        <f t="shared" si="59"/>
        <v>100</v>
      </c>
    </row>
    <row r="1353" spans="1:9" ht="14.25" x14ac:dyDescent="0.2">
      <c r="A1353" s="432"/>
      <c r="B1353" s="681"/>
      <c r="C1353" s="1467"/>
      <c r="D1353" s="554" t="s">
        <v>1182</v>
      </c>
      <c r="E1353" s="456" t="s">
        <v>832</v>
      </c>
      <c r="F1353" s="865"/>
      <c r="G1353" s="865">
        <v>15425</v>
      </c>
      <c r="H1353" s="865">
        <v>15425</v>
      </c>
      <c r="I1353" s="861">
        <f t="shared" si="59"/>
        <v>100</v>
      </c>
    </row>
    <row r="1354" spans="1:9" ht="14.25" x14ac:dyDescent="0.2">
      <c r="A1354" s="432"/>
      <c r="B1354" s="783"/>
      <c r="C1354" s="1468"/>
      <c r="D1354" s="1481" t="s">
        <v>1608</v>
      </c>
      <c r="E1354" s="1476" t="s">
        <v>1717</v>
      </c>
      <c r="F1354" s="871"/>
      <c r="G1354" s="871">
        <v>84</v>
      </c>
      <c r="H1354" s="871">
        <v>84</v>
      </c>
      <c r="I1354" s="861">
        <f t="shared" si="59"/>
        <v>100</v>
      </c>
    </row>
    <row r="1355" spans="1:9" ht="13.5" customHeight="1" x14ac:dyDescent="0.2">
      <c r="A1355" s="432"/>
      <c r="B1355" s="783"/>
      <c r="C1355" s="1468"/>
      <c r="D1355" s="1481" t="s">
        <v>1610</v>
      </c>
      <c r="E1355" s="1476" t="s">
        <v>1717</v>
      </c>
      <c r="F1355" s="871"/>
      <c r="G1355" s="871">
        <v>477</v>
      </c>
      <c r="H1355" s="871">
        <v>477</v>
      </c>
      <c r="I1355" s="861">
        <f t="shared" si="59"/>
        <v>100</v>
      </c>
    </row>
    <row r="1356" spans="1:9" ht="13.5" customHeight="1" x14ac:dyDescent="0.25">
      <c r="A1356" s="432">
        <v>1138</v>
      </c>
      <c r="B1356" s="783">
        <v>3141</v>
      </c>
      <c r="C1356" s="1468">
        <v>5336</v>
      </c>
      <c r="D1356" s="570"/>
      <c r="E1356" s="1479" t="s">
        <v>1269</v>
      </c>
      <c r="F1356" s="884"/>
      <c r="G1356" s="884">
        <v>356</v>
      </c>
      <c r="H1356" s="884">
        <v>356</v>
      </c>
      <c r="I1356" s="891">
        <f t="shared" si="59"/>
        <v>100</v>
      </c>
    </row>
    <row r="1357" spans="1:9" ht="13.5" customHeight="1" x14ac:dyDescent="0.2">
      <c r="A1357" s="432"/>
      <c r="B1357" s="783"/>
      <c r="C1357" s="1468"/>
      <c r="D1357" s="554" t="s">
        <v>1182</v>
      </c>
      <c r="E1357" s="456" t="s">
        <v>832</v>
      </c>
      <c r="F1357" s="871"/>
      <c r="G1357" s="871">
        <v>356</v>
      </c>
      <c r="H1357" s="871">
        <v>356</v>
      </c>
      <c r="I1357" s="861">
        <f t="shared" si="59"/>
        <v>100</v>
      </c>
    </row>
    <row r="1358" spans="1:9" ht="18" customHeight="1" x14ac:dyDescent="0.25">
      <c r="A1358" s="432">
        <v>1138</v>
      </c>
      <c r="B1358" s="783">
        <v>3142</v>
      </c>
      <c r="C1358" s="783">
        <v>5331</v>
      </c>
      <c r="D1358" s="897"/>
      <c r="E1358" s="680" t="s">
        <v>996</v>
      </c>
      <c r="F1358" s="873">
        <f>SUM(F1359:F1362)</f>
        <v>805</v>
      </c>
      <c r="G1358" s="873">
        <f>G1359+G1360</f>
        <v>805</v>
      </c>
      <c r="H1358" s="873">
        <f>H1359+H1360</f>
        <v>805</v>
      </c>
      <c r="I1358" s="874">
        <f t="shared" si="59"/>
        <v>100</v>
      </c>
    </row>
    <row r="1359" spans="1:9" ht="18" customHeight="1" x14ac:dyDescent="0.2">
      <c r="A1359" s="432"/>
      <c r="B1359" s="681"/>
      <c r="C1359" s="681"/>
      <c r="D1359" s="719" t="s">
        <v>611</v>
      </c>
      <c r="E1359" s="1569" t="s">
        <v>833</v>
      </c>
      <c r="F1359" s="865">
        <v>327</v>
      </c>
      <c r="G1359" s="865">
        <v>327</v>
      </c>
      <c r="H1359" s="865">
        <v>327</v>
      </c>
      <c r="I1359" s="861">
        <f t="shared" si="59"/>
        <v>100</v>
      </c>
    </row>
    <row r="1360" spans="1:9" ht="14.25" customHeight="1" x14ac:dyDescent="0.2">
      <c r="A1360" s="432"/>
      <c r="B1360" s="681"/>
      <c r="C1360" s="681"/>
      <c r="D1360" s="554" t="s">
        <v>606</v>
      </c>
      <c r="E1360" s="456" t="s">
        <v>72</v>
      </c>
      <c r="F1360" s="865">
        <v>478</v>
      </c>
      <c r="G1360" s="865">
        <v>478</v>
      </c>
      <c r="H1360" s="865">
        <v>478</v>
      </c>
      <c r="I1360" s="861">
        <f t="shared" si="59"/>
        <v>100</v>
      </c>
    </row>
    <row r="1361" spans="1:20" ht="15.75" customHeight="1" x14ac:dyDescent="0.25">
      <c r="A1361" s="432">
        <v>1138</v>
      </c>
      <c r="B1361" s="681">
        <v>3142</v>
      </c>
      <c r="C1361" s="681">
        <v>5336</v>
      </c>
      <c r="D1361" s="554"/>
      <c r="E1361" s="1479" t="s">
        <v>1269</v>
      </c>
      <c r="F1361" s="865"/>
      <c r="G1361" s="889">
        <v>929</v>
      </c>
      <c r="H1361" s="889">
        <v>929</v>
      </c>
      <c r="I1361" s="891">
        <f t="shared" si="59"/>
        <v>100</v>
      </c>
    </row>
    <row r="1362" spans="1:20" ht="14.25" x14ac:dyDescent="0.2">
      <c r="A1362" s="432"/>
      <c r="B1362" s="681"/>
      <c r="C1362" s="1467"/>
      <c r="D1362" s="554" t="s">
        <v>1182</v>
      </c>
      <c r="E1362" s="456" t="s">
        <v>832</v>
      </c>
      <c r="F1362" s="865"/>
      <c r="G1362" s="865">
        <v>929</v>
      </c>
      <c r="H1362" s="865">
        <v>929</v>
      </c>
      <c r="I1362" s="861">
        <f t="shared" si="59"/>
        <v>100</v>
      </c>
    </row>
    <row r="1363" spans="1:20" ht="20.25" customHeight="1" x14ac:dyDescent="0.25">
      <c r="A1363" s="432">
        <v>1138</v>
      </c>
      <c r="B1363" s="681">
        <v>3147</v>
      </c>
      <c r="C1363" s="681">
        <v>5331</v>
      </c>
      <c r="D1363" s="857"/>
      <c r="E1363" s="829" t="s">
        <v>996</v>
      </c>
      <c r="F1363" s="858">
        <f>F1364+F1365</f>
        <v>1052</v>
      </c>
      <c r="G1363" s="858">
        <f>G1364+G1365+G1366</f>
        <v>1407</v>
      </c>
      <c r="H1363" s="858">
        <f>H1364+H1365+H1366</f>
        <v>1407</v>
      </c>
      <c r="I1363" s="859">
        <f t="shared" si="59"/>
        <v>100</v>
      </c>
    </row>
    <row r="1364" spans="1:20" ht="14.25" x14ac:dyDescent="0.2">
      <c r="A1364" s="432"/>
      <c r="B1364" s="681"/>
      <c r="C1364" s="681"/>
      <c r="D1364" s="719" t="s">
        <v>611</v>
      </c>
      <c r="E1364" s="1569" t="s">
        <v>833</v>
      </c>
      <c r="F1364" s="865">
        <v>192</v>
      </c>
      <c r="G1364" s="865">
        <v>192</v>
      </c>
      <c r="H1364" s="865">
        <v>192</v>
      </c>
      <c r="I1364" s="861">
        <f t="shared" si="59"/>
        <v>100</v>
      </c>
    </row>
    <row r="1365" spans="1:20" ht="14.25" x14ac:dyDescent="0.2">
      <c r="A1365" s="432"/>
      <c r="B1365" s="681"/>
      <c r="C1365" s="681"/>
      <c r="D1365" s="554" t="s">
        <v>606</v>
      </c>
      <c r="E1365" s="456" t="s">
        <v>72</v>
      </c>
      <c r="F1365" s="865">
        <v>860</v>
      </c>
      <c r="G1365" s="865">
        <v>860</v>
      </c>
      <c r="H1365" s="865">
        <v>860</v>
      </c>
      <c r="I1365" s="861">
        <f t="shared" si="59"/>
        <v>100</v>
      </c>
    </row>
    <row r="1366" spans="1:20" ht="14.25" x14ac:dyDescent="0.2">
      <c r="A1366" s="432"/>
      <c r="B1366" s="681"/>
      <c r="C1366" s="681"/>
      <c r="D1366" s="1120" t="s">
        <v>1419</v>
      </c>
      <c r="E1366" s="1591" t="s">
        <v>1420</v>
      </c>
      <c r="F1366" s="865"/>
      <c r="G1366" s="865">
        <v>355</v>
      </c>
      <c r="H1366" s="865">
        <v>355</v>
      </c>
      <c r="I1366" s="861">
        <f t="shared" si="59"/>
        <v>100</v>
      </c>
    </row>
    <row r="1367" spans="1:20" ht="15" x14ac:dyDescent="0.25">
      <c r="A1367" s="432">
        <v>1138</v>
      </c>
      <c r="B1367" s="681">
        <v>3147</v>
      </c>
      <c r="C1367" s="681">
        <v>5336</v>
      </c>
      <c r="D1367" s="554"/>
      <c r="E1367" s="1479" t="s">
        <v>1269</v>
      </c>
      <c r="F1367" s="865"/>
      <c r="G1367" s="889">
        <v>2366</v>
      </c>
      <c r="H1367" s="889">
        <v>2366</v>
      </c>
      <c r="I1367" s="891">
        <f t="shared" si="59"/>
        <v>100</v>
      </c>
    </row>
    <row r="1368" spans="1:20" ht="14.25" x14ac:dyDescent="0.2">
      <c r="A1368" s="432"/>
      <c r="B1368" s="681"/>
      <c r="C1368" s="1467"/>
      <c r="D1368" s="554" t="s">
        <v>1182</v>
      </c>
      <c r="E1368" s="456" t="s">
        <v>832</v>
      </c>
      <c r="F1368" s="865"/>
      <c r="G1368" s="865">
        <v>2366</v>
      </c>
      <c r="H1368" s="865">
        <v>2366</v>
      </c>
      <c r="I1368" s="861">
        <f t="shared" si="59"/>
        <v>100</v>
      </c>
    </row>
    <row r="1369" spans="1:20" ht="15" x14ac:dyDescent="0.25">
      <c r="A1369" s="432">
        <v>1138</v>
      </c>
      <c r="B1369" s="681">
        <v>3792</v>
      </c>
      <c r="C1369" s="1467">
        <v>5331</v>
      </c>
      <c r="D1369" s="554"/>
      <c r="E1369" s="829" t="s">
        <v>996</v>
      </c>
      <c r="F1369" s="865"/>
      <c r="G1369" s="889">
        <v>25</v>
      </c>
      <c r="H1369" s="889">
        <v>25</v>
      </c>
      <c r="I1369" s="891">
        <f t="shared" si="59"/>
        <v>100</v>
      </c>
    </row>
    <row r="1370" spans="1:20" ht="15" thickBot="1" x14ac:dyDescent="0.25">
      <c r="A1370" s="432"/>
      <c r="B1370" s="681"/>
      <c r="C1370" s="1467"/>
      <c r="D1370" s="1110" t="s">
        <v>1382</v>
      </c>
      <c r="E1370" s="117" t="s">
        <v>389</v>
      </c>
      <c r="F1370" s="865"/>
      <c r="G1370" s="865">
        <v>25</v>
      </c>
      <c r="H1370" s="865">
        <v>25</v>
      </c>
      <c r="I1370" s="861">
        <f t="shared" si="59"/>
        <v>100</v>
      </c>
    </row>
    <row r="1371" spans="1:20" ht="16.5" thickTop="1" thickBot="1" x14ac:dyDescent="0.3">
      <c r="A1371" s="2685" t="s">
        <v>1162</v>
      </c>
      <c r="B1371" s="2686"/>
      <c r="C1371" s="2686"/>
      <c r="D1371" s="2686"/>
      <c r="E1371" s="2686"/>
      <c r="F1371" s="862">
        <f>F1347+F1352+F1356+F1358+F1361+F1363+F1367</f>
        <v>3937</v>
      </c>
      <c r="G1371" s="862">
        <f>G1347+G1352+G1356+G1358+G1361+G1363+G1367+G1369</f>
        <v>23998</v>
      </c>
      <c r="H1371" s="862">
        <f>H1347+H1352+H1356+H1358+H1361+H1363+H1367+H1369</f>
        <v>23998</v>
      </c>
      <c r="I1371" s="863">
        <f>(H1371/G1371)*100</f>
        <v>100</v>
      </c>
      <c r="R1371" s="383">
        <f>F1371</f>
        <v>3937</v>
      </c>
      <c r="S1371" s="383">
        <f>G1371</f>
        <v>23998</v>
      </c>
      <c r="T1371" s="383">
        <f>H1371</f>
        <v>23998</v>
      </c>
    </row>
    <row r="1372" spans="1:20" ht="13.5" customHeight="1" thickTop="1" x14ac:dyDescent="0.2"/>
    <row r="1373" spans="1:20" ht="13.5" customHeight="1" x14ac:dyDescent="0.2"/>
    <row r="1374" spans="1:20" ht="18" customHeight="1" thickBot="1" x14ac:dyDescent="0.25">
      <c r="A1374" s="433" t="s">
        <v>549</v>
      </c>
      <c r="I1374" s="1465" t="s">
        <v>173</v>
      </c>
    </row>
    <row r="1375" spans="1:20" s="107" customFormat="1" ht="18" customHeight="1" thickTop="1" thickBot="1" x14ac:dyDescent="0.25">
      <c r="A1375" s="633" t="s">
        <v>661</v>
      </c>
      <c r="B1375" s="810" t="s">
        <v>174</v>
      </c>
      <c r="C1375" s="634" t="s">
        <v>175</v>
      </c>
      <c r="D1375" s="636" t="s">
        <v>744</v>
      </c>
      <c r="E1375" s="636" t="s">
        <v>176</v>
      </c>
      <c r="F1375" s="636" t="s">
        <v>177</v>
      </c>
      <c r="G1375" s="636" t="s">
        <v>922</v>
      </c>
      <c r="H1375" s="636" t="s">
        <v>923</v>
      </c>
      <c r="I1375" s="856" t="s">
        <v>924</v>
      </c>
    </row>
    <row r="1376" spans="1:20" s="384" customFormat="1" ht="9.75" customHeight="1" thickTop="1" thickBot="1" x14ac:dyDescent="0.25">
      <c r="A1376" s="568">
        <v>1</v>
      </c>
      <c r="B1376" s="569">
        <v>2</v>
      </c>
      <c r="C1376" s="569">
        <v>3</v>
      </c>
      <c r="D1376" s="569">
        <v>4</v>
      </c>
      <c r="E1376" s="569">
        <v>5</v>
      </c>
      <c r="F1376" s="543">
        <v>6</v>
      </c>
      <c r="G1376" s="543">
        <v>7</v>
      </c>
      <c r="H1376" s="544">
        <v>8</v>
      </c>
      <c r="I1376" s="638" t="s">
        <v>801</v>
      </c>
    </row>
    <row r="1377" spans="1:20" ht="17.25" customHeight="1" thickTop="1" x14ac:dyDescent="0.25">
      <c r="A1377" s="1466">
        <v>1140</v>
      </c>
      <c r="B1377" s="811">
        <v>3122</v>
      </c>
      <c r="C1377" s="811">
        <v>5336</v>
      </c>
      <c r="D1377" s="877"/>
      <c r="E1377" s="1479" t="s">
        <v>1269</v>
      </c>
      <c r="F1377" s="899"/>
      <c r="G1377" s="899">
        <v>5743</v>
      </c>
      <c r="H1377" s="899">
        <v>5743</v>
      </c>
      <c r="I1377" s="864">
        <f t="shared" ref="I1377:I1388" si="60">(H1377/G1377)*100</f>
        <v>100</v>
      </c>
    </row>
    <row r="1378" spans="1:20" ht="15" customHeight="1" x14ac:dyDescent="0.2">
      <c r="A1378" s="432"/>
      <c r="B1378" s="681"/>
      <c r="C1378" s="1467"/>
      <c r="D1378" s="554" t="s">
        <v>1182</v>
      </c>
      <c r="E1378" s="456" t="s">
        <v>832</v>
      </c>
      <c r="F1378" s="865"/>
      <c r="G1378" s="865">
        <v>5743</v>
      </c>
      <c r="H1378" s="865">
        <v>5743</v>
      </c>
      <c r="I1378" s="861">
        <f t="shared" si="60"/>
        <v>100</v>
      </c>
    </row>
    <row r="1379" spans="1:20" ht="15" x14ac:dyDescent="0.25">
      <c r="A1379" s="432">
        <v>1140</v>
      </c>
      <c r="B1379" s="783">
        <v>3123</v>
      </c>
      <c r="C1379" s="783">
        <v>5331</v>
      </c>
      <c r="D1379" s="897"/>
      <c r="E1379" s="680" t="s">
        <v>996</v>
      </c>
      <c r="F1379" s="873">
        <f>F1380+F1381+F1382</f>
        <v>9272</v>
      </c>
      <c r="G1379" s="873">
        <f>G1380+G1381+G1382</f>
        <v>10435</v>
      </c>
      <c r="H1379" s="873">
        <f>H1380+H1381+H1382</f>
        <v>10435</v>
      </c>
      <c r="I1379" s="874">
        <f t="shared" si="60"/>
        <v>100</v>
      </c>
    </row>
    <row r="1380" spans="1:20" ht="20.25" customHeight="1" x14ac:dyDescent="0.2">
      <c r="A1380" s="432"/>
      <c r="B1380" s="783"/>
      <c r="C1380" s="783"/>
      <c r="D1380" s="719" t="s">
        <v>611</v>
      </c>
      <c r="E1380" s="1569" t="s">
        <v>833</v>
      </c>
      <c r="F1380" s="871">
        <v>1912</v>
      </c>
      <c r="G1380" s="871">
        <v>1981</v>
      </c>
      <c r="H1380" s="871">
        <v>1981</v>
      </c>
      <c r="I1380" s="866">
        <f t="shared" si="60"/>
        <v>100</v>
      </c>
    </row>
    <row r="1381" spans="1:20" ht="14.25" x14ac:dyDescent="0.2">
      <c r="A1381" s="432"/>
      <c r="B1381" s="783"/>
      <c r="C1381" s="783"/>
      <c r="D1381" s="554" t="s">
        <v>606</v>
      </c>
      <c r="E1381" s="456" t="s">
        <v>72</v>
      </c>
      <c r="F1381" s="871">
        <v>7360</v>
      </c>
      <c r="G1381" s="871">
        <v>7360</v>
      </c>
      <c r="H1381" s="871">
        <v>7360</v>
      </c>
      <c r="I1381" s="866">
        <f t="shared" si="60"/>
        <v>100</v>
      </c>
    </row>
    <row r="1382" spans="1:20" ht="14.25" x14ac:dyDescent="0.2">
      <c r="A1382" s="432"/>
      <c r="B1382" s="783"/>
      <c r="C1382" s="783"/>
      <c r="D1382" s="1120" t="s">
        <v>968</v>
      </c>
      <c r="E1382" s="1215" t="s">
        <v>969</v>
      </c>
      <c r="F1382" s="871"/>
      <c r="G1382" s="871">
        <v>1094</v>
      </c>
      <c r="H1382" s="871">
        <v>1094</v>
      </c>
      <c r="I1382" s="866">
        <f t="shared" si="60"/>
        <v>100</v>
      </c>
    </row>
    <row r="1383" spans="1:20" ht="15" x14ac:dyDescent="0.25">
      <c r="A1383" s="432">
        <v>1140</v>
      </c>
      <c r="B1383" s="783">
        <v>3123</v>
      </c>
      <c r="C1383" s="783">
        <v>5336</v>
      </c>
      <c r="D1383" s="1120"/>
      <c r="E1383" s="1479" t="s">
        <v>1269</v>
      </c>
      <c r="F1383" s="871"/>
      <c r="G1383" s="873">
        <f>G1384+G1385+G1386</f>
        <v>28493</v>
      </c>
      <c r="H1383" s="873">
        <f>H1384+H1385+H1386</f>
        <v>28493</v>
      </c>
      <c r="I1383" s="874">
        <f t="shared" si="60"/>
        <v>100</v>
      </c>
      <c r="J1383" s="433"/>
      <c r="K1383" s="433"/>
      <c r="L1383" s="433"/>
      <c r="M1383" s="433"/>
      <c r="N1383" s="433"/>
      <c r="O1383" s="433"/>
      <c r="P1383" s="433"/>
    </row>
    <row r="1384" spans="1:20" ht="14.25" x14ac:dyDescent="0.2">
      <c r="A1384" s="432"/>
      <c r="B1384" s="783"/>
      <c r="C1384" s="1468"/>
      <c r="D1384" s="554" t="s">
        <v>1182</v>
      </c>
      <c r="E1384" s="456" t="s">
        <v>832</v>
      </c>
      <c r="F1384" s="871"/>
      <c r="G1384" s="871">
        <v>27651</v>
      </c>
      <c r="H1384" s="871">
        <v>27651</v>
      </c>
      <c r="I1384" s="866">
        <f t="shared" si="60"/>
        <v>100</v>
      </c>
    </row>
    <row r="1385" spans="1:20" ht="14.25" x14ac:dyDescent="0.2">
      <c r="A1385" s="432"/>
      <c r="B1385" s="783"/>
      <c r="C1385" s="1468"/>
      <c r="D1385" s="1481" t="s">
        <v>1608</v>
      </c>
      <c r="E1385" s="1476" t="s">
        <v>1717</v>
      </c>
      <c r="F1385" s="871"/>
      <c r="G1385" s="871">
        <v>126</v>
      </c>
      <c r="H1385" s="871">
        <v>126</v>
      </c>
      <c r="I1385" s="866">
        <f t="shared" si="60"/>
        <v>100</v>
      </c>
    </row>
    <row r="1386" spans="1:20" ht="14.25" x14ac:dyDescent="0.2">
      <c r="A1386" s="432"/>
      <c r="B1386" s="783"/>
      <c r="C1386" s="1468"/>
      <c r="D1386" s="1481" t="s">
        <v>1610</v>
      </c>
      <c r="E1386" s="1476" t="s">
        <v>1717</v>
      </c>
      <c r="F1386" s="871"/>
      <c r="G1386" s="871">
        <v>716</v>
      </c>
      <c r="H1386" s="871">
        <v>716</v>
      </c>
      <c r="I1386" s="866">
        <f t="shared" si="60"/>
        <v>100</v>
      </c>
    </row>
    <row r="1387" spans="1:20" ht="15" x14ac:dyDescent="0.25">
      <c r="A1387" s="432">
        <v>1140</v>
      </c>
      <c r="B1387" s="783">
        <v>3299</v>
      </c>
      <c r="C1387" s="783">
        <v>5331</v>
      </c>
      <c r="D1387" s="897"/>
      <c r="E1387" s="680" t="s">
        <v>996</v>
      </c>
      <c r="F1387" s="873"/>
      <c r="G1387" s="873">
        <v>15</v>
      </c>
      <c r="H1387" s="873">
        <v>15</v>
      </c>
      <c r="I1387" s="874">
        <f t="shared" si="60"/>
        <v>100</v>
      </c>
    </row>
    <row r="1388" spans="1:20" ht="15" thickBot="1" x14ac:dyDescent="0.25">
      <c r="A1388" s="432"/>
      <c r="B1388" s="783"/>
      <c r="C1388" s="783"/>
      <c r="D1388" s="1110" t="s">
        <v>513</v>
      </c>
      <c r="E1388" s="1215" t="s">
        <v>1303</v>
      </c>
      <c r="F1388" s="871"/>
      <c r="G1388" s="871">
        <v>15</v>
      </c>
      <c r="H1388" s="871">
        <v>15</v>
      </c>
      <c r="I1388" s="866">
        <f t="shared" si="60"/>
        <v>100</v>
      </c>
    </row>
    <row r="1389" spans="1:20" ht="18" customHeight="1" thickTop="1" thickBot="1" x14ac:dyDescent="0.3">
      <c r="A1389" s="2685" t="s">
        <v>1162</v>
      </c>
      <c r="B1389" s="2686"/>
      <c r="C1389" s="2686"/>
      <c r="D1389" s="2686"/>
      <c r="E1389" s="2686"/>
      <c r="F1389" s="862">
        <f>F1377+F1379+F1383+F1387</f>
        <v>9272</v>
      </c>
      <c r="G1389" s="862">
        <f>G1377+G1379+G1383+G1387</f>
        <v>44686</v>
      </c>
      <c r="H1389" s="862">
        <f>H1377+H1379+H1383+H1387</f>
        <v>44686</v>
      </c>
      <c r="I1389" s="863">
        <f>(H1389/G1389)*100</f>
        <v>100</v>
      </c>
      <c r="R1389" s="383">
        <f>F1389</f>
        <v>9272</v>
      </c>
      <c r="S1389" s="383">
        <f>G1389</f>
        <v>44686</v>
      </c>
      <c r="T1389" s="383">
        <f>H1389</f>
        <v>44686</v>
      </c>
    </row>
    <row r="1390" spans="1:20" ht="12.75" customHeight="1" thickTop="1" x14ac:dyDescent="0.25">
      <c r="A1390" s="369"/>
      <c r="B1390" s="369"/>
      <c r="C1390" s="369"/>
      <c r="D1390" s="369"/>
      <c r="E1390" s="369"/>
      <c r="F1390" s="181"/>
      <c r="G1390" s="181"/>
      <c r="H1390" s="181"/>
      <c r="I1390" s="210"/>
    </row>
    <row r="1391" spans="1:20" ht="12.75" customHeight="1" x14ac:dyDescent="0.25">
      <c r="A1391" s="369"/>
      <c r="B1391" s="369"/>
      <c r="C1391" s="369"/>
      <c r="D1391" s="369"/>
      <c r="E1391" s="369"/>
      <c r="F1391" s="181"/>
      <c r="G1391" s="181"/>
      <c r="H1391" s="181"/>
      <c r="I1391" s="210"/>
    </row>
    <row r="1392" spans="1:20" ht="17.25" customHeight="1" thickBot="1" x14ac:dyDescent="0.25">
      <c r="A1392" s="433" t="s">
        <v>51</v>
      </c>
      <c r="I1392" s="1465" t="s">
        <v>173</v>
      </c>
    </row>
    <row r="1393" spans="1:9" s="107" customFormat="1" thickTop="1" thickBot="1" x14ac:dyDescent="0.25">
      <c r="A1393" s="633" t="s">
        <v>661</v>
      </c>
      <c r="B1393" s="810" t="s">
        <v>174</v>
      </c>
      <c r="C1393" s="634" t="s">
        <v>175</v>
      </c>
      <c r="D1393" s="636" t="s">
        <v>744</v>
      </c>
      <c r="E1393" s="636" t="s">
        <v>176</v>
      </c>
      <c r="F1393" s="636" t="s">
        <v>177</v>
      </c>
      <c r="G1393" s="636" t="s">
        <v>922</v>
      </c>
      <c r="H1393" s="636" t="s">
        <v>923</v>
      </c>
      <c r="I1393" s="856" t="s">
        <v>924</v>
      </c>
    </row>
    <row r="1394" spans="1:9" s="384" customFormat="1" ht="13.5" thickTop="1" thickBot="1" x14ac:dyDescent="0.25">
      <c r="A1394" s="568">
        <v>1</v>
      </c>
      <c r="B1394" s="569">
        <v>2</v>
      </c>
      <c r="C1394" s="569">
        <v>3</v>
      </c>
      <c r="D1394" s="569">
        <v>4</v>
      </c>
      <c r="E1394" s="569">
        <v>5</v>
      </c>
      <c r="F1394" s="543">
        <v>6</v>
      </c>
      <c r="G1394" s="543">
        <v>7</v>
      </c>
      <c r="H1394" s="544">
        <v>8</v>
      </c>
      <c r="I1394" s="638" t="s">
        <v>801</v>
      </c>
    </row>
    <row r="1395" spans="1:9" ht="15.75" thickTop="1" x14ac:dyDescent="0.25">
      <c r="A1395" s="1477">
        <v>1142</v>
      </c>
      <c r="B1395" s="885">
        <v>3122</v>
      </c>
      <c r="C1395" s="885">
        <v>5331</v>
      </c>
      <c r="D1395" s="890"/>
      <c r="E1395" s="924" t="s">
        <v>996</v>
      </c>
      <c r="F1395" s="883">
        <f>SUM(F1396:F1398)</f>
        <v>700</v>
      </c>
      <c r="G1395" s="883">
        <v>700</v>
      </c>
      <c r="H1395" s="883">
        <v>700</v>
      </c>
      <c r="I1395" s="887">
        <f t="shared" ref="I1395:I1427" si="61">(H1395/G1395)*100</f>
        <v>100</v>
      </c>
    </row>
    <row r="1396" spans="1:9" ht="14.25" x14ac:dyDescent="0.2">
      <c r="A1396" s="432"/>
      <c r="B1396" s="681"/>
      <c r="C1396" s="681"/>
      <c r="D1396" s="554" t="s">
        <v>606</v>
      </c>
      <c r="E1396" s="456" t="s">
        <v>72</v>
      </c>
      <c r="F1396" s="357">
        <v>700</v>
      </c>
      <c r="G1396" s="865">
        <v>700</v>
      </c>
      <c r="H1396" s="865">
        <v>700</v>
      </c>
      <c r="I1396" s="861">
        <f t="shared" si="61"/>
        <v>100</v>
      </c>
    </row>
    <row r="1397" spans="1:9" ht="15" x14ac:dyDescent="0.25">
      <c r="A1397" s="432">
        <v>1142</v>
      </c>
      <c r="B1397" s="681">
        <v>3122</v>
      </c>
      <c r="C1397" s="681">
        <v>5336</v>
      </c>
      <c r="D1397" s="1119"/>
      <c r="E1397" s="1479" t="s">
        <v>1269</v>
      </c>
      <c r="F1397" s="357"/>
      <c r="G1397" s="889">
        <f>G1398+G1399+G1400</f>
        <v>6101</v>
      </c>
      <c r="H1397" s="889">
        <f>H1398+H1399+H1400</f>
        <v>6101</v>
      </c>
      <c r="I1397" s="891">
        <f t="shared" si="61"/>
        <v>100</v>
      </c>
    </row>
    <row r="1398" spans="1:9" ht="14.25" x14ac:dyDescent="0.2">
      <c r="A1398" s="432"/>
      <c r="B1398" s="681"/>
      <c r="C1398" s="681"/>
      <c r="D1398" s="554" t="s">
        <v>1182</v>
      </c>
      <c r="E1398" s="456" t="s">
        <v>832</v>
      </c>
      <c r="F1398" s="865"/>
      <c r="G1398" s="865">
        <v>5712</v>
      </c>
      <c r="H1398" s="865">
        <v>5712</v>
      </c>
      <c r="I1398" s="861">
        <f t="shared" si="61"/>
        <v>100</v>
      </c>
    </row>
    <row r="1399" spans="1:9" ht="14.25" x14ac:dyDescent="0.2">
      <c r="A1399" s="432"/>
      <c r="B1399" s="783"/>
      <c r="C1399" s="783"/>
      <c r="D1399" s="1481" t="s">
        <v>1608</v>
      </c>
      <c r="E1399" s="1476" t="s">
        <v>1717</v>
      </c>
      <c r="F1399" s="871"/>
      <c r="G1399" s="871">
        <v>58</v>
      </c>
      <c r="H1399" s="871">
        <v>58</v>
      </c>
      <c r="I1399" s="866">
        <f t="shared" si="61"/>
        <v>100</v>
      </c>
    </row>
    <row r="1400" spans="1:9" ht="15" thickBot="1" x14ac:dyDescent="0.25">
      <c r="A1400" s="1469"/>
      <c r="B1400" s="930"/>
      <c r="C1400" s="930"/>
      <c r="D1400" s="2395" t="s">
        <v>1610</v>
      </c>
      <c r="E1400" s="2396" t="s">
        <v>1717</v>
      </c>
      <c r="F1400" s="931"/>
      <c r="G1400" s="931">
        <v>331</v>
      </c>
      <c r="H1400" s="931">
        <v>331</v>
      </c>
      <c r="I1400" s="910">
        <f t="shared" si="61"/>
        <v>100</v>
      </c>
    </row>
    <row r="1401" spans="1:9" ht="17.25" customHeight="1" thickTop="1" thickBot="1" x14ac:dyDescent="0.25">
      <c r="A1401" s="433"/>
      <c r="I1401" s="1465" t="s">
        <v>173</v>
      </c>
    </row>
    <row r="1402" spans="1:9" s="107" customFormat="1" thickTop="1" thickBot="1" x14ac:dyDescent="0.25">
      <c r="A1402" s="633" t="s">
        <v>661</v>
      </c>
      <c r="B1402" s="810" t="s">
        <v>174</v>
      </c>
      <c r="C1402" s="634" t="s">
        <v>175</v>
      </c>
      <c r="D1402" s="636" t="s">
        <v>744</v>
      </c>
      <c r="E1402" s="636" t="s">
        <v>176</v>
      </c>
      <c r="F1402" s="636" t="s">
        <v>177</v>
      </c>
      <c r="G1402" s="636" t="s">
        <v>922</v>
      </c>
      <c r="H1402" s="636" t="s">
        <v>923</v>
      </c>
      <c r="I1402" s="856" t="s">
        <v>924</v>
      </c>
    </row>
    <row r="1403" spans="1:9" s="384" customFormat="1" ht="13.5" thickTop="1" thickBot="1" x14ac:dyDescent="0.25">
      <c r="A1403" s="568">
        <v>1</v>
      </c>
      <c r="B1403" s="569">
        <v>2</v>
      </c>
      <c r="C1403" s="569">
        <v>3</v>
      </c>
      <c r="D1403" s="569">
        <v>4</v>
      </c>
      <c r="E1403" s="569">
        <v>5</v>
      </c>
      <c r="F1403" s="543">
        <v>6</v>
      </c>
      <c r="G1403" s="543">
        <v>7</v>
      </c>
      <c r="H1403" s="544">
        <v>8</v>
      </c>
      <c r="I1403" s="638" t="s">
        <v>801</v>
      </c>
    </row>
    <row r="1404" spans="1:9" ht="15.75" thickTop="1" x14ac:dyDescent="0.25">
      <c r="A1404" s="432">
        <v>1142</v>
      </c>
      <c r="B1404" s="783">
        <v>3123</v>
      </c>
      <c r="C1404" s="783">
        <v>5331</v>
      </c>
      <c r="D1404" s="897"/>
      <c r="E1404" s="680" t="s">
        <v>996</v>
      </c>
      <c r="F1404" s="873">
        <f>F1405+F1406</f>
        <v>5120</v>
      </c>
      <c r="G1404" s="873">
        <f>G1405+G1406+G1407+G1408</f>
        <v>5613</v>
      </c>
      <c r="H1404" s="873">
        <f>H1405+H1406+H1407+H1408</f>
        <v>5613</v>
      </c>
      <c r="I1404" s="874">
        <f t="shared" si="61"/>
        <v>100</v>
      </c>
    </row>
    <row r="1405" spans="1:9" ht="14.25" x14ac:dyDescent="0.2">
      <c r="A1405" s="432"/>
      <c r="B1405" s="783"/>
      <c r="C1405" s="783"/>
      <c r="D1405" s="719" t="s">
        <v>611</v>
      </c>
      <c r="E1405" s="1569" t="s">
        <v>833</v>
      </c>
      <c r="F1405" s="875">
        <v>3020</v>
      </c>
      <c r="G1405" s="875">
        <v>3020</v>
      </c>
      <c r="H1405" s="875">
        <v>3020</v>
      </c>
      <c r="I1405" s="861">
        <f t="shared" si="61"/>
        <v>100</v>
      </c>
    </row>
    <row r="1406" spans="1:9" ht="14.25" x14ac:dyDescent="0.2">
      <c r="A1406" s="432"/>
      <c r="B1406" s="681"/>
      <c r="C1406" s="681"/>
      <c r="D1406" s="554" t="s">
        <v>606</v>
      </c>
      <c r="E1406" s="456" t="s">
        <v>72</v>
      </c>
      <c r="F1406" s="865">
        <v>2100</v>
      </c>
      <c r="G1406" s="865">
        <v>2296</v>
      </c>
      <c r="H1406" s="865">
        <v>2296</v>
      </c>
      <c r="I1406" s="861">
        <f t="shared" si="61"/>
        <v>100</v>
      </c>
    </row>
    <row r="1407" spans="1:9" ht="14.25" x14ac:dyDescent="0.2">
      <c r="A1407" s="432"/>
      <c r="B1407" s="681"/>
      <c r="C1407" s="681"/>
      <c r="D1407" s="1110" t="s">
        <v>703</v>
      </c>
      <c r="E1407" s="1334" t="s">
        <v>1357</v>
      </c>
      <c r="F1407" s="865"/>
      <c r="G1407" s="865">
        <v>7</v>
      </c>
      <c r="H1407" s="865">
        <v>7</v>
      </c>
      <c r="I1407" s="861">
        <f t="shared" si="61"/>
        <v>100</v>
      </c>
    </row>
    <row r="1408" spans="1:9" ht="14.25" x14ac:dyDescent="0.2">
      <c r="A1408" s="432"/>
      <c r="B1408" s="681"/>
      <c r="C1408" s="681"/>
      <c r="D1408" s="1120" t="s">
        <v>968</v>
      </c>
      <c r="E1408" s="1215" t="s">
        <v>969</v>
      </c>
      <c r="F1408" s="865"/>
      <c r="G1408" s="865">
        <v>290</v>
      </c>
      <c r="H1408" s="865">
        <v>290</v>
      </c>
      <c r="I1408" s="861">
        <f t="shared" si="61"/>
        <v>100</v>
      </c>
    </row>
    <row r="1409" spans="1:9" ht="15" x14ac:dyDescent="0.25">
      <c r="A1409" s="432">
        <v>1142</v>
      </c>
      <c r="B1409" s="681">
        <v>3123</v>
      </c>
      <c r="C1409" s="681">
        <v>5336</v>
      </c>
      <c r="D1409" s="1120"/>
      <c r="E1409" s="1479" t="s">
        <v>1269</v>
      </c>
      <c r="F1409" s="865"/>
      <c r="G1409" s="889">
        <f>G1410+G1411+G1412</f>
        <v>7293</v>
      </c>
      <c r="H1409" s="889">
        <f>H1410+H1411+H1412</f>
        <v>7293</v>
      </c>
      <c r="I1409" s="891">
        <f t="shared" si="61"/>
        <v>100</v>
      </c>
    </row>
    <row r="1410" spans="1:9" ht="14.25" x14ac:dyDescent="0.2">
      <c r="A1410" s="432"/>
      <c r="B1410" s="681"/>
      <c r="C1410" s="1467"/>
      <c r="D1410" s="554" t="s">
        <v>1182</v>
      </c>
      <c r="E1410" s="456" t="s">
        <v>832</v>
      </c>
      <c r="F1410" s="865"/>
      <c r="G1410" s="865">
        <v>6061</v>
      </c>
      <c r="H1410" s="865">
        <v>6061</v>
      </c>
      <c r="I1410" s="861">
        <f t="shared" si="61"/>
        <v>100</v>
      </c>
    </row>
    <row r="1411" spans="1:9" ht="18" customHeight="1" x14ac:dyDescent="0.2">
      <c r="A1411" s="432"/>
      <c r="B1411" s="681"/>
      <c r="C1411" s="1467"/>
      <c r="D1411" s="1119" t="s">
        <v>1424</v>
      </c>
      <c r="E1411" s="1476" t="s">
        <v>1721</v>
      </c>
      <c r="F1411" s="865"/>
      <c r="G1411" s="865">
        <v>185</v>
      </c>
      <c r="H1411" s="865">
        <v>185</v>
      </c>
      <c r="I1411" s="861">
        <f t="shared" si="61"/>
        <v>100</v>
      </c>
    </row>
    <row r="1412" spans="1:9" ht="14.25" x14ac:dyDescent="0.2">
      <c r="A1412" s="432"/>
      <c r="B1412" s="681"/>
      <c r="C1412" s="1467"/>
      <c r="D1412" s="1119" t="s">
        <v>1426</v>
      </c>
      <c r="E1412" s="1476" t="s">
        <v>1721</v>
      </c>
      <c r="F1412" s="865"/>
      <c r="G1412" s="865">
        <v>1047</v>
      </c>
      <c r="H1412" s="865">
        <v>1047</v>
      </c>
      <c r="I1412" s="861">
        <f t="shared" si="61"/>
        <v>100</v>
      </c>
    </row>
    <row r="1413" spans="1:9" ht="15" x14ac:dyDescent="0.25">
      <c r="A1413" s="432">
        <v>1142</v>
      </c>
      <c r="B1413" s="681">
        <v>3141</v>
      </c>
      <c r="C1413" s="1467">
        <v>5336</v>
      </c>
      <c r="D1413" s="554"/>
      <c r="E1413" s="1479" t="s">
        <v>1269</v>
      </c>
      <c r="F1413" s="889"/>
      <c r="G1413" s="889">
        <v>1323</v>
      </c>
      <c r="H1413" s="889">
        <v>1323</v>
      </c>
      <c r="I1413" s="891">
        <f t="shared" si="61"/>
        <v>100</v>
      </c>
    </row>
    <row r="1414" spans="1:9" ht="14.25" x14ac:dyDescent="0.2">
      <c r="A1414" s="432"/>
      <c r="B1414" s="681"/>
      <c r="C1414" s="1467"/>
      <c r="D1414" s="554" t="s">
        <v>1182</v>
      </c>
      <c r="E1414" s="456" t="s">
        <v>832</v>
      </c>
      <c r="F1414" s="865"/>
      <c r="G1414" s="865">
        <v>1323</v>
      </c>
      <c r="H1414" s="865">
        <v>1323</v>
      </c>
      <c r="I1414" s="861">
        <f t="shared" si="61"/>
        <v>100</v>
      </c>
    </row>
    <row r="1415" spans="1:9" ht="14.25" customHeight="1" x14ac:dyDescent="0.25">
      <c r="A1415" s="432">
        <v>1142</v>
      </c>
      <c r="B1415" s="681">
        <v>3142</v>
      </c>
      <c r="C1415" s="681">
        <v>5331</v>
      </c>
      <c r="D1415" s="857"/>
      <c r="E1415" s="829" t="s">
        <v>996</v>
      </c>
      <c r="F1415" s="858">
        <v>500</v>
      </c>
      <c r="G1415" s="858">
        <v>500</v>
      </c>
      <c r="H1415" s="858">
        <v>500</v>
      </c>
      <c r="I1415" s="859">
        <f t="shared" si="61"/>
        <v>100</v>
      </c>
    </row>
    <row r="1416" spans="1:9" ht="14.25" customHeight="1" x14ac:dyDescent="0.2">
      <c r="A1416" s="432"/>
      <c r="B1416" s="681"/>
      <c r="C1416" s="1467"/>
      <c r="D1416" s="554" t="s">
        <v>606</v>
      </c>
      <c r="E1416" s="456" t="s">
        <v>72</v>
      </c>
      <c r="F1416" s="865">
        <v>500</v>
      </c>
      <c r="G1416" s="865">
        <v>500</v>
      </c>
      <c r="H1416" s="865">
        <v>500</v>
      </c>
      <c r="I1416" s="861">
        <f t="shared" si="61"/>
        <v>100</v>
      </c>
    </row>
    <row r="1417" spans="1:9" ht="15" x14ac:dyDescent="0.25">
      <c r="A1417" s="432">
        <v>1142</v>
      </c>
      <c r="B1417" s="783">
        <v>3142</v>
      </c>
      <c r="C1417" s="1468">
        <v>5336</v>
      </c>
      <c r="D1417" s="554"/>
      <c r="E1417" s="1479" t="s">
        <v>1269</v>
      </c>
      <c r="F1417" s="871"/>
      <c r="G1417" s="884">
        <v>1164</v>
      </c>
      <c r="H1417" s="884">
        <v>1164</v>
      </c>
      <c r="I1417" s="876">
        <f t="shared" si="61"/>
        <v>100</v>
      </c>
    </row>
    <row r="1418" spans="1:9" ht="14.25" x14ac:dyDescent="0.2">
      <c r="A1418" s="432"/>
      <c r="B1418" s="783"/>
      <c r="C1418" s="1468"/>
      <c r="D1418" s="554" t="s">
        <v>1182</v>
      </c>
      <c r="E1418" s="456" t="s">
        <v>832</v>
      </c>
      <c r="F1418" s="871"/>
      <c r="G1418" s="871">
        <v>1164</v>
      </c>
      <c r="H1418" s="871">
        <v>1164</v>
      </c>
      <c r="I1418" s="866">
        <f t="shared" si="61"/>
        <v>100</v>
      </c>
    </row>
    <row r="1419" spans="1:9" ht="15" x14ac:dyDescent="0.25">
      <c r="A1419" s="432">
        <v>1142</v>
      </c>
      <c r="B1419" s="783">
        <v>3147</v>
      </c>
      <c r="C1419" s="783">
        <v>5331</v>
      </c>
      <c r="D1419" s="897"/>
      <c r="E1419" s="680" t="s">
        <v>996</v>
      </c>
      <c r="F1419" s="873">
        <f>SUM(F1420:F1423)</f>
        <v>400</v>
      </c>
      <c r="G1419" s="873">
        <v>585</v>
      </c>
      <c r="H1419" s="873">
        <v>585</v>
      </c>
      <c r="I1419" s="874">
        <f t="shared" si="61"/>
        <v>100</v>
      </c>
    </row>
    <row r="1420" spans="1:9" ht="14.25" x14ac:dyDescent="0.2">
      <c r="A1420" s="432"/>
      <c r="B1420" s="783"/>
      <c r="C1420" s="783"/>
      <c r="D1420" s="554" t="s">
        <v>606</v>
      </c>
      <c r="E1420" s="456" t="s">
        <v>72</v>
      </c>
      <c r="F1420" s="871">
        <v>400</v>
      </c>
      <c r="G1420" s="871">
        <v>400</v>
      </c>
      <c r="H1420" s="871">
        <v>400</v>
      </c>
      <c r="I1420" s="866">
        <f t="shared" si="61"/>
        <v>100</v>
      </c>
    </row>
    <row r="1421" spans="1:9" ht="14.25" x14ac:dyDescent="0.2">
      <c r="A1421" s="432"/>
      <c r="B1421" s="783"/>
      <c r="C1421" s="783"/>
      <c r="D1421" s="1120" t="s">
        <v>1419</v>
      </c>
      <c r="E1421" s="1591" t="s">
        <v>1420</v>
      </c>
      <c r="F1421" s="871"/>
      <c r="G1421" s="871">
        <v>185</v>
      </c>
      <c r="H1421" s="871">
        <v>185</v>
      </c>
      <c r="I1421" s="866">
        <f t="shared" si="61"/>
        <v>100</v>
      </c>
    </row>
    <row r="1422" spans="1:9" ht="15" x14ac:dyDescent="0.25">
      <c r="A1422" s="432">
        <v>1142</v>
      </c>
      <c r="B1422" s="783">
        <v>3147</v>
      </c>
      <c r="C1422" s="783">
        <v>5336</v>
      </c>
      <c r="D1422" s="554"/>
      <c r="E1422" s="1479" t="s">
        <v>1269</v>
      </c>
      <c r="F1422" s="871"/>
      <c r="G1422" s="884">
        <v>2982</v>
      </c>
      <c r="H1422" s="884">
        <v>2982</v>
      </c>
      <c r="I1422" s="876">
        <f t="shared" si="61"/>
        <v>100</v>
      </c>
    </row>
    <row r="1423" spans="1:9" ht="18" customHeight="1" x14ac:dyDescent="0.2">
      <c r="A1423" s="432"/>
      <c r="B1423" s="783"/>
      <c r="C1423" s="1468"/>
      <c r="D1423" s="554" t="s">
        <v>1182</v>
      </c>
      <c r="E1423" s="456" t="s">
        <v>832</v>
      </c>
      <c r="F1423" s="871"/>
      <c r="G1423" s="871">
        <v>2982</v>
      </c>
      <c r="H1423" s="871">
        <v>2982</v>
      </c>
      <c r="I1423" s="866">
        <f t="shared" si="61"/>
        <v>100</v>
      </c>
    </row>
    <row r="1424" spans="1:9" ht="15" x14ac:dyDescent="0.25">
      <c r="A1424" s="432">
        <v>1142</v>
      </c>
      <c r="B1424" s="783">
        <v>3293</v>
      </c>
      <c r="C1424" s="1468">
        <v>5331</v>
      </c>
      <c r="D1424" s="554"/>
      <c r="E1424" s="680" t="s">
        <v>996</v>
      </c>
      <c r="F1424" s="884"/>
      <c r="G1424" s="884">
        <v>14</v>
      </c>
      <c r="H1424" s="884">
        <v>14</v>
      </c>
      <c r="I1424" s="876">
        <f t="shared" si="61"/>
        <v>100</v>
      </c>
    </row>
    <row r="1425" spans="1:23" ht="14.25" x14ac:dyDescent="0.2">
      <c r="A1425" s="432"/>
      <c r="B1425" s="783"/>
      <c r="C1425" s="1468"/>
      <c r="D1425" s="1119" t="s">
        <v>1185</v>
      </c>
      <c r="E1425" s="1354" t="s">
        <v>1270</v>
      </c>
      <c r="F1425" s="871"/>
      <c r="G1425" s="871">
        <v>14</v>
      </c>
      <c r="H1425" s="871">
        <v>14</v>
      </c>
      <c r="I1425" s="866">
        <f t="shared" si="61"/>
        <v>100</v>
      </c>
    </row>
    <row r="1426" spans="1:23" ht="15" x14ac:dyDescent="0.25">
      <c r="A1426" s="432">
        <v>1142</v>
      </c>
      <c r="B1426" s="783">
        <v>3299</v>
      </c>
      <c r="C1426" s="1468">
        <v>5331</v>
      </c>
      <c r="D1426" s="1119"/>
      <c r="E1426" s="680" t="s">
        <v>996</v>
      </c>
      <c r="F1426" s="871"/>
      <c r="G1426" s="884">
        <v>10</v>
      </c>
      <c r="H1426" s="884">
        <v>10</v>
      </c>
      <c r="I1426" s="876">
        <f t="shared" si="61"/>
        <v>100</v>
      </c>
    </row>
    <row r="1427" spans="1:23" ht="15" thickBot="1" x14ac:dyDescent="0.25">
      <c r="A1427" s="432"/>
      <c r="B1427" s="783"/>
      <c r="C1427" s="1468"/>
      <c r="D1427" s="1110" t="s">
        <v>513</v>
      </c>
      <c r="E1427" s="1215" t="s">
        <v>1303</v>
      </c>
      <c r="F1427" s="871"/>
      <c r="G1427" s="871">
        <v>10</v>
      </c>
      <c r="H1427" s="871">
        <v>10</v>
      </c>
      <c r="I1427" s="866">
        <f t="shared" si="61"/>
        <v>100</v>
      </c>
    </row>
    <row r="1428" spans="1:23" ht="16.5" thickTop="1" thickBot="1" x14ac:dyDescent="0.3">
      <c r="A1428" s="2685" t="s">
        <v>1162</v>
      </c>
      <c r="B1428" s="2686"/>
      <c r="C1428" s="2686"/>
      <c r="D1428" s="2686"/>
      <c r="E1428" s="2686"/>
      <c r="F1428" s="862">
        <f>F1395+F1397+F1404+F1409+F1413+F1415+F1417+F1419+F1422+F1424</f>
        <v>6720</v>
      </c>
      <c r="G1428" s="862">
        <f>G1395+G1397+G1404+G1409+G1413+G1415+G1417+G1419+G1422+G1424+G1426</f>
        <v>26285</v>
      </c>
      <c r="H1428" s="862">
        <f>H1395+H1397+H1404+H1409+H1413+H1415+H1417+H1419+H1422+H1424+H1426</f>
        <v>26285</v>
      </c>
      <c r="I1428" s="863">
        <f>(H1428/G1428)*100</f>
        <v>100</v>
      </c>
      <c r="R1428" s="383">
        <f>F1428</f>
        <v>6720</v>
      </c>
      <c r="S1428" s="383">
        <f>G1428</f>
        <v>26285</v>
      </c>
      <c r="T1428" s="383">
        <f>H1428</f>
        <v>26285</v>
      </c>
    </row>
    <row r="1429" spans="1:23" ht="15.75" thickTop="1" x14ac:dyDescent="0.25">
      <c r="A1429" s="432">
        <v>1142</v>
      </c>
      <c r="B1429" s="681">
        <v>3122</v>
      </c>
      <c r="C1429" s="681">
        <v>6351</v>
      </c>
      <c r="D1429" s="857"/>
      <c r="E1429" s="626" t="s">
        <v>1231</v>
      </c>
      <c r="F1429" s="858"/>
      <c r="G1429" s="858">
        <f>G1430+G1431</f>
        <v>105</v>
      </c>
      <c r="H1429" s="858">
        <f>H1430+H1431</f>
        <v>105</v>
      </c>
      <c r="I1429" s="859">
        <f>(H1429/G1429)*100</f>
        <v>100</v>
      </c>
    </row>
    <row r="1430" spans="1:23" ht="15" x14ac:dyDescent="0.25">
      <c r="A1430" s="432"/>
      <c r="B1430" s="681"/>
      <c r="C1430" s="681"/>
      <c r="D1430" s="1110" t="s">
        <v>196</v>
      </c>
      <c r="E1430" s="1215" t="s">
        <v>751</v>
      </c>
      <c r="F1430" s="858"/>
      <c r="G1430" s="357">
        <v>52</v>
      </c>
      <c r="H1430" s="357">
        <v>52</v>
      </c>
      <c r="I1430" s="377">
        <f>(H1430/G1430)*100</f>
        <v>100</v>
      </c>
    </row>
    <row r="1431" spans="1:23" ht="15" customHeight="1" thickBot="1" x14ac:dyDescent="0.3">
      <c r="A1431" s="432"/>
      <c r="B1431" s="681"/>
      <c r="C1431" s="681"/>
      <c r="D1431" s="1369" t="s">
        <v>1243</v>
      </c>
      <c r="E1431" s="1371" t="s">
        <v>1528</v>
      </c>
      <c r="F1431" s="858"/>
      <c r="G1431" s="357">
        <v>53</v>
      </c>
      <c r="H1431" s="357">
        <v>53</v>
      </c>
      <c r="I1431" s="866">
        <f>(H1431/G1431)*100</f>
        <v>100</v>
      </c>
    </row>
    <row r="1432" spans="1:23" ht="16.5" thickTop="1" thickBot="1" x14ac:dyDescent="0.3">
      <c r="A1432" s="2685" t="s">
        <v>1163</v>
      </c>
      <c r="B1432" s="2686"/>
      <c r="C1432" s="2686"/>
      <c r="D1432" s="2686"/>
      <c r="E1432" s="2686"/>
      <c r="F1432" s="862">
        <v>0</v>
      </c>
      <c r="G1432" s="862">
        <f>G1429</f>
        <v>105</v>
      </c>
      <c r="H1432" s="862">
        <f>SUM(H1429)</f>
        <v>105</v>
      </c>
      <c r="I1432" s="863">
        <f>(H1432/G1432)*100</f>
        <v>100</v>
      </c>
      <c r="U1432" s="383">
        <f>F1432</f>
        <v>0</v>
      </c>
      <c r="V1432" s="383">
        <f>G1432</f>
        <v>105</v>
      </c>
      <c r="W1432" s="383">
        <f>H1432</f>
        <v>105</v>
      </c>
    </row>
    <row r="1433" spans="1:23" ht="13.5" thickTop="1" x14ac:dyDescent="0.2"/>
    <row r="1434" spans="1:23" x14ac:dyDescent="0.2">
      <c r="D1434" s="852" t="s">
        <v>552</v>
      </c>
    </row>
    <row r="1435" spans="1:23" ht="13.5" thickBot="1" x14ac:dyDescent="0.25">
      <c r="A1435" s="433" t="s">
        <v>53</v>
      </c>
      <c r="I1435" s="1465" t="s">
        <v>173</v>
      </c>
    </row>
    <row r="1436" spans="1:23" s="107" customFormat="1" thickTop="1" thickBot="1" x14ac:dyDescent="0.25">
      <c r="A1436" s="633" t="s">
        <v>661</v>
      </c>
      <c r="B1436" s="810" t="s">
        <v>174</v>
      </c>
      <c r="C1436" s="634" t="s">
        <v>175</v>
      </c>
      <c r="D1436" s="636" t="s">
        <v>744</v>
      </c>
      <c r="E1436" s="636" t="s">
        <v>176</v>
      </c>
      <c r="F1436" s="636" t="s">
        <v>177</v>
      </c>
      <c r="G1436" s="636" t="s">
        <v>922</v>
      </c>
      <c r="H1436" s="636" t="s">
        <v>923</v>
      </c>
      <c r="I1436" s="856" t="s">
        <v>924</v>
      </c>
    </row>
    <row r="1437" spans="1:23" s="384" customFormat="1" ht="13.5" thickTop="1" thickBot="1" x14ac:dyDescent="0.25">
      <c r="A1437" s="568">
        <v>1</v>
      </c>
      <c r="B1437" s="569">
        <v>2</v>
      </c>
      <c r="C1437" s="569">
        <v>3</v>
      </c>
      <c r="D1437" s="569">
        <v>4</v>
      </c>
      <c r="E1437" s="569">
        <v>5</v>
      </c>
      <c r="F1437" s="543">
        <v>6</v>
      </c>
      <c r="G1437" s="543">
        <v>7</v>
      </c>
      <c r="H1437" s="544">
        <v>8</v>
      </c>
      <c r="I1437" s="638" t="s">
        <v>801</v>
      </c>
    </row>
    <row r="1438" spans="1:23" ht="15.75" thickTop="1" x14ac:dyDescent="0.25">
      <c r="A1438" s="1477">
        <v>1150</v>
      </c>
      <c r="B1438" s="885">
        <v>3122</v>
      </c>
      <c r="C1438" s="885">
        <v>5331</v>
      </c>
      <c r="D1438" s="890"/>
      <c r="E1438" s="924" t="s">
        <v>996</v>
      </c>
      <c r="F1438" s="883">
        <f>SUM(F1439:F1443)</f>
        <v>3284</v>
      </c>
      <c r="G1438" s="883">
        <f>G1439+G1440+G1441</f>
        <v>3315</v>
      </c>
      <c r="H1438" s="883">
        <f>H1439+H1440+H1441</f>
        <v>3315</v>
      </c>
      <c r="I1438" s="887">
        <f t="shared" ref="I1438:I1442" si="62">(H1438/G1438)*100</f>
        <v>100</v>
      </c>
    </row>
    <row r="1439" spans="1:23" ht="14.25" x14ac:dyDescent="0.2">
      <c r="A1439" s="432"/>
      <c r="B1439" s="681"/>
      <c r="C1439" s="681"/>
      <c r="D1439" s="719" t="s">
        <v>611</v>
      </c>
      <c r="E1439" s="1569" t="s">
        <v>833</v>
      </c>
      <c r="F1439" s="357">
        <v>512</v>
      </c>
      <c r="G1439" s="865">
        <v>526</v>
      </c>
      <c r="H1439" s="865">
        <v>526</v>
      </c>
      <c r="I1439" s="861">
        <f t="shared" si="62"/>
        <v>100</v>
      </c>
    </row>
    <row r="1440" spans="1:23" ht="14.25" x14ac:dyDescent="0.2">
      <c r="A1440" s="432"/>
      <c r="B1440" s="681"/>
      <c r="C1440" s="681"/>
      <c r="D1440" s="554" t="s">
        <v>606</v>
      </c>
      <c r="E1440" s="456" t="s">
        <v>72</v>
      </c>
      <c r="F1440" s="865">
        <v>2772</v>
      </c>
      <c r="G1440" s="865">
        <v>2772</v>
      </c>
      <c r="H1440" s="865">
        <v>2772</v>
      </c>
      <c r="I1440" s="861">
        <f t="shared" si="62"/>
        <v>100</v>
      </c>
    </row>
    <row r="1441" spans="1:20" ht="14.25" x14ac:dyDescent="0.2">
      <c r="A1441" s="432"/>
      <c r="B1441" s="681"/>
      <c r="C1441" s="681"/>
      <c r="D1441" s="1119" t="s">
        <v>1604</v>
      </c>
      <c r="E1441" s="2273" t="s">
        <v>1719</v>
      </c>
      <c r="F1441" s="865"/>
      <c r="G1441" s="865">
        <v>17</v>
      </c>
      <c r="H1441" s="865">
        <v>17</v>
      </c>
      <c r="I1441" s="861">
        <f t="shared" si="62"/>
        <v>100</v>
      </c>
    </row>
    <row r="1442" spans="1:20" ht="15" x14ac:dyDescent="0.25">
      <c r="A1442" s="432">
        <v>1150</v>
      </c>
      <c r="B1442" s="681">
        <v>3122</v>
      </c>
      <c r="C1442" s="681">
        <v>5336</v>
      </c>
      <c r="D1442" s="1119"/>
      <c r="E1442" s="1479" t="s">
        <v>1269</v>
      </c>
      <c r="F1442" s="865"/>
      <c r="G1442" s="889">
        <f>G1443+G1444+G1445</f>
        <v>19974</v>
      </c>
      <c r="H1442" s="889">
        <f>H1443+H1444+H1445</f>
        <v>19974</v>
      </c>
      <c r="I1442" s="891">
        <f t="shared" si="62"/>
        <v>100</v>
      </c>
    </row>
    <row r="1443" spans="1:20" ht="14.25" x14ac:dyDescent="0.2">
      <c r="A1443" s="432"/>
      <c r="B1443" s="681"/>
      <c r="C1443" s="681"/>
      <c r="D1443" s="554" t="s">
        <v>1182</v>
      </c>
      <c r="E1443" s="456" t="s">
        <v>832</v>
      </c>
      <c r="F1443" s="865"/>
      <c r="G1443" s="865">
        <v>19352</v>
      </c>
      <c r="H1443" s="865">
        <v>19352</v>
      </c>
      <c r="I1443" s="861">
        <v>100</v>
      </c>
    </row>
    <row r="1444" spans="1:20" ht="14.25" x14ac:dyDescent="0.2">
      <c r="A1444" s="432"/>
      <c r="B1444" s="783"/>
      <c r="C1444" s="783"/>
      <c r="D1444" s="1481" t="s">
        <v>1608</v>
      </c>
      <c r="E1444" s="1476" t="s">
        <v>1717</v>
      </c>
      <c r="F1444" s="871"/>
      <c r="G1444" s="871">
        <v>93</v>
      </c>
      <c r="H1444" s="871">
        <v>93</v>
      </c>
      <c r="I1444" s="861">
        <v>100</v>
      </c>
    </row>
    <row r="1445" spans="1:20" ht="14.25" x14ac:dyDescent="0.2">
      <c r="A1445" s="432"/>
      <c r="B1445" s="783"/>
      <c r="C1445" s="783"/>
      <c r="D1445" s="1481" t="s">
        <v>1610</v>
      </c>
      <c r="E1445" s="1476" t="s">
        <v>1717</v>
      </c>
      <c r="F1445" s="871"/>
      <c r="G1445" s="871">
        <v>529</v>
      </c>
      <c r="H1445" s="871">
        <v>529</v>
      </c>
      <c r="I1445" s="861">
        <v>100</v>
      </c>
    </row>
    <row r="1446" spans="1:20" ht="15" x14ac:dyDescent="0.25">
      <c r="A1446" s="432">
        <v>1150</v>
      </c>
      <c r="B1446" s="783">
        <v>3142</v>
      </c>
      <c r="C1446" s="783">
        <v>5331</v>
      </c>
      <c r="D1446" s="897"/>
      <c r="E1446" s="680" t="s">
        <v>996</v>
      </c>
      <c r="F1446" s="873">
        <v>340</v>
      </c>
      <c r="G1446" s="873">
        <v>340</v>
      </c>
      <c r="H1446" s="873">
        <v>340</v>
      </c>
      <c r="I1446" s="874">
        <f t="shared" ref="I1446:I1452" si="63">(H1446/G1446)*100</f>
        <v>100</v>
      </c>
    </row>
    <row r="1447" spans="1:20" ht="14.25" x14ac:dyDescent="0.2">
      <c r="A1447" s="432"/>
      <c r="B1447" s="783"/>
      <c r="C1447" s="783"/>
      <c r="D1447" s="554" t="s">
        <v>606</v>
      </c>
      <c r="E1447" s="456" t="s">
        <v>72</v>
      </c>
      <c r="F1447" s="871">
        <v>340</v>
      </c>
      <c r="G1447" s="871">
        <v>340</v>
      </c>
      <c r="H1447" s="871">
        <v>340</v>
      </c>
      <c r="I1447" s="866">
        <f t="shared" si="63"/>
        <v>100</v>
      </c>
    </row>
    <row r="1448" spans="1:20" ht="15" x14ac:dyDescent="0.25">
      <c r="A1448" s="432">
        <v>1150</v>
      </c>
      <c r="B1448" s="783">
        <v>3142</v>
      </c>
      <c r="C1448" s="783">
        <v>5336</v>
      </c>
      <c r="D1448" s="554"/>
      <c r="E1448" s="1479" t="s">
        <v>1269</v>
      </c>
      <c r="F1448" s="871"/>
      <c r="G1448" s="884">
        <v>204</v>
      </c>
      <c r="H1448" s="884">
        <v>204</v>
      </c>
      <c r="I1448" s="874">
        <f t="shared" si="63"/>
        <v>100</v>
      </c>
    </row>
    <row r="1449" spans="1:20" s="107" customFormat="1" ht="15" x14ac:dyDescent="0.2">
      <c r="A1449" s="917"/>
      <c r="B1449" s="940"/>
      <c r="C1449" s="941"/>
      <c r="D1449" s="554" t="s">
        <v>1182</v>
      </c>
      <c r="E1449" s="456" t="s">
        <v>832</v>
      </c>
      <c r="F1449" s="942"/>
      <c r="G1449" s="943">
        <v>204</v>
      </c>
      <c r="H1449" s="943">
        <v>204</v>
      </c>
      <c r="I1449" s="866">
        <f t="shared" si="63"/>
        <v>100</v>
      </c>
    </row>
    <row r="1450" spans="1:20" s="107" customFormat="1" ht="15" x14ac:dyDescent="0.25">
      <c r="A1450" s="1611">
        <v>1150</v>
      </c>
      <c r="B1450" s="1612">
        <v>3299</v>
      </c>
      <c r="C1450" s="1613">
        <v>5331</v>
      </c>
      <c r="D1450" s="554"/>
      <c r="E1450" s="680" t="s">
        <v>996</v>
      </c>
      <c r="F1450" s="942"/>
      <c r="G1450" s="1568">
        <v>10</v>
      </c>
      <c r="H1450" s="1568">
        <v>10</v>
      </c>
      <c r="I1450" s="876">
        <f t="shared" si="63"/>
        <v>100</v>
      </c>
    </row>
    <row r="1451" spans="1:20" s="107" customFormat="1" ht="15.75" thickBot="1" x14ac:dyDescent="0.25">
      <c r="A1451" s="1611"/>
      <c r="B1451" s="1612"/>
      <c r="C1451" s="1613"/>
      <c r="D1451" s="1110" t="s">
        <v>1180</v>
      </c>
      <c r="E1451" s="1215" t="s">
        <v>24</v>
      </c>
      <c r="F1451" s="942"/>
      <c r="G1451" s="446">
        <v>10</v>
      </c>
      <c r="H1451" s="446">
        <v>10</v>
      </c>
      <c r="I1451" s="866">
        <f t="shared" si="63"/>
        <v>100</v>
      </c>
    </row>
    <row r="1452" spans="1:20" ht="18" customHeight="1" thickTop="1" thickBot="1" x14ac:dyDescent="0.3">
      <c r="A1452" s="2685" t="s">
        <v>1162</v>
      </c>
      <c r="B1452" s="2686"/>
      <c r="C1452" s="2686"/>
      <c r="D1452" s="2686"/>
      <c r="E1452" s="2686"/>
      <c r="F1452" s="862">
        <f>F1438+F1442+F1446+F1448+F1450</f>
        <v>3624</v>
      </c>
      <c r="G1452" s="862">
        <f>G1438+G1442+G1446+G1448+G1450</f>
        <v>23843</v>
      </c>
      <c r="H1452" s="862">
        <f>H1438+H1442+H1446+H1448+H1450</f>
        <v>23843</v>
      </c>
      <c r="I1452" s="863">
        <f t="shared" si="63"/>
        <v>100</v>
      </c>
      <c r="R1452" s="383">
        <f>F1452</f>
        <v>3624</v>
      </c>
      <c r="S1452" s="383">
        <f>G1452</f>
        <v>23843</v>
      </c>
      <c r="T1452" s="383">
        <f>H1452</f>
        <v>23843</v>
      </c>
    </row>
    <row r="1453" spans="1:20" ht="15.75" thickTop="1" x14ac:dyDescent="0.25">
      <c r="A1453" s="369"/>
      <c r="B1453" s="369"/>
      <c r="C1453" s="369"/>
      <c r="D1453" s="369"/>
      <c r="E1453" s="369"/>
      <c r="F1453" s="181"/>
      <c r="G1453" s="181"/>
      <c r="H1453" s="181"/>
      <c r="I1453" s="210"/>
      <c r="R1453" s="383"/>
      <c r="S1453" s="383"/>
      <c r="T1453" s="383"/>
    </row>
    <row r="1454" spans="1:20" ht="15" x14ac:dyDescent="0.25">
      <c r="A1454" s="369"/>
      <c r="B1454" s="369"/>
      <c r="C1454" s="369"/>
      <c r="D1454" s="369"/>
      <c r="E1454" s="369"/>
      <c r="F1454" s="181"/>
      <c r="G1454" s="181"/>
      <c r="H1454" s="181"/>
      <c r="I1454" s="210"/>
      <c r="R1454" s="383"/>
      <c r="S1454" s="383"/>
      <c r="T1454" s="383"/>
    </row>
    <row r="1455" spans="1:20" ht="13.5" thickBot="1" x14ac:dyDescent="0.25">
      <c r="A1455" s="433" t="s">
        <v>308</v>
      </c>
      <c r="I1455" s="1465" t="s">
        <v>173</v>
      </c>
    </row>
    <row r="1456" spans="1:20" s="107" customFormat="1" ht="20.25" customHeight="1" thickTop="1" thickBot="1" x14ac:dyDescent="0.25">
      <c r="A1456" s="633" t="s">
        <v>661</v>
      </c>
      <c r="B1456" s="810" t="s">
        <v>174</v>
      </c>
      <c r="C1456" s="634" t="s">
        <v>175</v>
      </c>
      <c r="D1456" s="636" t="s">
        <v>744</v>
      </c>
      <c r="E1456" s="636" t="s">
        <v>176</v>
      </c>
      <c r="F1456" s="636" t="s">
        <v>177</v>
      </c>
      <c r="G1456" s="636" t="s">
        <v>922</v>
      </c>
      <c r="H1456" s="636" t="s">
        <v>923</v>
      </c>
      <c r="I1456" s="856" t="s">
        <v>924</v>
      </c>
    </row>
    <row r="1457" spans="1:20" s="384" customFormat="1" ht="12" customHeight="1" thickTop="1" thickBot="1" x14ac:dyDescent="0.25">
      <c r="A1457" s="568">
        <v>1</v>
      </c>
      <c r="B1457" s="569">
        <v>2</v>
      </c>
      <c r="C1457" s="569">
        <v>3</v>
      </c>
      <c r="D1457" s="569">
        <v>4</v>
      </c>
      <c r="E1457" s="569">
        <v>5</v>
      </c>
      <c r="F1457" s="543">
        <v>6</v>
      </c>
      <c r="G1457" s="543">
        <v>7</v>
      </c>
      <c r="H1457" s="544">
        <v>8</v>
      </c>
      <c r="I1457" s="638" t="s">
        <v>801</v>
      </c>
    </row>
    <row r="1458" spans="1:20" ht="15.75" thickTop="1" x14ac:dyDescent="0.25">
      <c r="A1458" s="1477">
        <v>1151</v>
      </c>
      <c r="B1458" s="885">
        <v>3122</v>
      </c>
      <c r="C1458" s="885">
        <v>5331</v>
      </c>
      <c r="D1458" s="890"/>
      <c r="E1458" s="924" t="s">
        <v>996</v>
      </c>
      <c r="F1458" s="883">
        <f>F1459+F1460</f>
        <v>1204</v>
      </c>
      <c r="G1458" s="883">
        <f>G1459+G1460</f>
        <v>1238</v>
      </c>
      <c r="H1458" s="883">
        <f>H1459+H1460</f>
        <v>1238</v>
      </c>
      <c r="I1458" s="887">
        <f t="shared" ref="I1458:I1470" si="64">(H1458/G1458)*100</f>
        <v>100</v>
      </c>
    </row>
    <row r="1459" spans="1:20" ht="14.25" x14ac:dyDescent="0.2">
      <c r="A1459" s="432"/>
      <c r="B1459" s="681"/>
      <c r="C1459" s="681"/>
      <c r="D1459" s="719" t="s">
        <v>611</v>
      </c>
      <c r="E1459" s="1569" t="s">
        <v>833</v>
      </c>
      <c r="F1459" s="865">
        <v>164</v>
      </c>
      <c r="G1459" s="865">
        <v>160</v>
      </c>
      <c r="H1459" s="865">
        <v>160</v>
      </c>
      <c r="I1459" s="861">
        <f t="shared" si="64"/>
        <v>100</v>
      </c>
    </row>
    <row r="1460" spans="1:20" ht="14.25" x14ac:dyDescent="0.2">
      <c r="A1460" s="432"/>
      <c r="B1460" s="681"/>
      <c r="C1460" s="681"/>
      <c r="D1460" s="554" t="s">
        <v>606</v>
      </c>
      <c r="E1460" s="456" t="s">
        <v>72</v>
      </c>
      <c r="F1460" s="865">
        <v>1040</v>
      </c>
      <c r="G1460" s="865">
        <v>1078</v>
      </c>
      <c r="H1460" s="865">
        <v>1078</v>
      </c>
      <c r="I1460" s="861">
        <f t="shared" si="64"/>
        <v>100</v>
      </c>
    </row>
    <row r="1461" spans="1:20" ht="15" x14ac:dyDescent="0.25">
      <c r="A1461" s="432">
        <v>1151</v>
      </c>
      <c r="B1461" s="681">
        <v>3122</v>
      </c>
      <c r="C1461" s="681">
        <v>5336</v>
      </c>
      <c r="D1461" s="1119"/>
      <c r="E1461" s="1479" t="s">
        <v>1269</v>
      </c>
      <c r="F1461" s="865"/>
      <c r="G1461" s="889">
        <f>G1462+G1463+G1464</f>
        <v>10190</v>
      </c>
      <c r="H1461" s="889">
        <f>H1462+H1463+H1464</f>
        <v>10190</v>
      </c>
      <c r="I1461" s="891">
        <f t="shared" si="64"/>
        <v>100</v>
      </c>
    </row>
    <row r="1462" spans="1:20" ht="14.25" x14ac:dyDescent="0.2">
      <c r="A1462" s="432"/>
      <c r="B1462" s="681"/>
      <c r="C1462" s="1467"/>
      <c r="D1462" s="554" t="s">
        <v>1182</v>
      </c>
      <c r="E1462" s="456" t="s">
        <v>832</v>
      </c>
      <c r="F1462" s="865"/>
      <c r="G1462" s="865">
        <v>9830</v>
      </c>
      <c r="H1462" s="865">
        <v>9830</v>
      </c>
      <c r="I1462" s="861">
        <f t="shared" si="64"/>
        <v>100</v>
      </c>
    </row>
    <row r="1463" spans="1:20" ht="14.25" x14ac:dyDescent="0.2">
      <c r="A1463" s="432"/>
      <c r="B1463" s="681"/>
      <c r="C1463" s="1467"/>
      <c r="D1463" s="1481" t="s">
        <v>1608</v>
      </c>
      <c r="E1463" s="1476" t="s">
        <v>1717</v>
      </c>
      <c r="F1463" s="865"/>
      <c r="G1463" s="865">
        <v>54</v>
      </c>
      <c r="H1463" s="865">
        <v>54</v>
      </c>
      <c r="I1463" s="861">
        <f t="shared" si="64"/>
        <v>100</v>
      </c>
    </row>
    <row r="1464" spans="1:20" ht="14.25" x14ac:dyDescent="0.2">
      <c r="A1464" s="432"/>
      <c r="B1464" s="681"/>
      <c r="C1464" s="1467"/>
      <c r="D1464" s="1481" t="s">
        <v>1610</v>
      </c>
      <c r="E1464" s="1476" t="s">
        <v>1717</v>
      </c>
      <c r="F1464" s="865"/>
      <c r="G1464" s="865">
        <v>306</v>
      </c>
      <c r="H1464" s="865">
        <v>306</v>
      </c>
      <c r="I1464" s="861">
        <f t="shared" si="64"/>
        <v>100</v>
      </c>
    </row>
    <row r="1465" spans="1:20" ht="15" x14ac:dyDescent="0.25">
      <c r="A1465" s="432">
        <v>1151</v>
      </c>
      <c r="B1465" s="681">
        <v>3299</v>
      </c>
      <c r="C1465" s="1467">
        <v>5331</v>
      </c>
      <c r="D1465" s="1481"/>
      <c r="E1465" s="680" t="s">
        <v>996</v>
      </c>
      <c r="F1465" s="865"/>
      <c r="G1465" s="889">
        <v>15</v>
      </c>
      <c r="H1465" s="889">
        <v>15</v>
      </c>
      <c r="I1465" s="891">
        <f t="shared" si="64"/>
        <v>100</v>
      </c>
    </row>
    <row r="1466" spans="1:20" ht="14.25" x14ac:dyDescent="0.2">
      <c r="A1466" s="432"/>
      <c r="B1466" s="681"/>
      <c r="C1466" s="681"/>
      <c r="D1466" s="1110" t="s">
        <v>1180</v>
      </c>
      <c r="E1466" s="1215" t="s">
        <v>24</v>
      </c>
      <c r="F1466" s="865"/>
      <c r="G1466" s="865">
        <v>15</v>
      </c>
      <c r="H1466" s="865">
        <v>15</v>
      </c>
      <c r="I1466" s="861">
        <f t="shared" ref="I1466" si="65">(H1466/G1466)*100</f>
        <v>100</v>
      </c>
    </row>
    <row r="1467" spans="1:20" ht="14.25" x14ac:dyDescent="0.2">
      <c r="A1467" s="432"/>
      <c r="B1467" s="681"/>
      <c r="C1467" s="1467"/>
      <c r="D1467" s="1481"/>
      <c r="E1467" s="1476"/>
      <c r="F1467" s="865"/>
      <c r="G1467" s="865"/>
      <c r="H1467" s="865"/>
      <c r="I1467" s="861"/>
    </row>
    <row r="1468" spans="1:20" ht="14.25" x14ac:dyDescent="0.2">
      <c r="A1468" s="432"/>
      <c r="B1468" s="681"/>
      <c r="C1468" s="1467"/>
      <c r="D1468" s="1481"/>
      <c r="E1468" s="1476"/>
      <c r="F1468" s="865"/>
      <c r="G1468" s="865"/>
      <c r="H1468" s="865"/>
      <c r="I1468" s="861"/>
    </row>
    <row r="1469" spans="1:20" ht="15" thickBot="1" x14ac:dyDescent="0.25">
      <c r="A1469" s="432"/>
      <c r="B1469" s="681"/>
      <c r="C1469" s="1467"/>
      <c r="D1469" s="1481"/>
      <c r="E1469" s="1476"/>
      <c r="F1469" s="865"/>
      <c r="G1469" s="865"/>
      <c r="H1469" s="865"/>
      <c r="I1469" s="861"/>
    </row>
    <row r="1470" spans="1:20" ht="18" customHeight="1" thickTop="1" thickBot="1" x14ac:dyDescent="0.3">
      <c r="A1470" s="2685" t="s">
        <v>1162</v>
      </c>
      <c r="B1470" s="2686"/>
      <c r="C1470" s="2686"/>
      <c r="D1470" s="2686"/>
      <c r="E1470" s="2686"/>
      <c r="F1470" s="862">
        <f>SUM(F1458)</f>
        <v>1204</v>
      </c>
      <c r="G1470" s="862">
        <f>G1458+G1461+G1465</f>
        <v>11443</v>
      </c>
      <c r="H1470" s="862">
        <f>H1458+H1461+H1465</f>
        <v>11443</v>
      </c>
      <c r="I1470" s="863">
        <f t="shared" si="64"/>
        <v>100</v>
      </c>
      <c r="R1470" s="383">
        <f>F1470</f>
        <v>1204</v>
      </c>
      <c r="S1470" s="383">
        <f>G1470</f>
        <v>11443</v>
      </c>
      <c r="T1470" s="383">
        <f>H1470</f>
        <v>11443</v>
      </c>
    </row>
    <row r="1471" spans="1:20" ht="14.25" thickTop="1" thickBot="1" x14ac:dyDescent="0.25">
      <c r="A1471" s="433" t="s">
        <v>559</v>
      </c>
      <c r="I1471" s="1465" t="s">
        <v>173</v>
      </c>
    </row>
    <row r="1472" spans="1:20" s="107" customFormat="1" thickTop="1" thickBot="1" x14ac:dyDescent="0.25">
      <c r="A1472" s="633" t="s">
        <v>661</v>
      </c>
      <c r="B1472" s="810" t="s">
        <v>174</v>
      </c>
      <c r="C1472" s="634" t="s">
        <v>175</v>
      </c>
      <c r="D1472" s="636" t="s">
        <v>744</v>
      </c>
      <c r="E1472" s="636" t="s">
        <v>176</v>
      </c>
      <c r="F1472" s="636" t="s">
        <v>177</v>
      </c>
      <c r="G1472" s="636" t="s">
        <v>922</v>
      </c>
      <c r="H1472" s="636" t="s">
        <v>923</v>
      </c>
      <c r="I1472" s="856" t="s">
        <v>924</v>
      </c>
    </row>
    <row r="1473" spans="1:20" s="384" customFormat="1" ht="12" customHeight="1" thickTop="1" thickBot="1" x14ac:dyDescent="0.25">
      <c r="A1473" s="568">
        <v>1</v>
      </c>
      <c r="B1473" s="569">
        <v>2</v>
      </c>
      <c r="C1473" s="569">
        <v>3</v>
      </c>
      <c r="D1473" s="569">
        <v>4</v>
      </c>
      <c r="E1473" s="569">
        <v>5</v>
      </c>
      <c r="F1473" s="543">
        <v>6</v>
      </c>
      <c r="G1473" s="543">
        <v>7</v>
      </c>
      <c r="H1473" s="544">
        <v>8</v>
      </c>
      <c r="I1473" s="638" t="s">
        <v>801</v>
      </c>
    </row>
    <row r="1474" spans="1:20" ht="15.75" thickTop="1" x14ac:dyDescent="0.25">
      <c r="A1474" s="1477">
        <v>1152</v>
      </c>
      <c r="B1474" s="885">
        <v>3122</v>
      </c>
      <c r="C1474" s="885">
        <v>5331</v>
      </c>
      <c r="D1474" s="890"/>
      <c r="E1474" s="924" t="s">
        <v>996</v>
      </c>
      <c r="F1474" s="883">
        <f>F1475+F1476+F1477</f>
        <v>2618</v>
      </c>
      <c r="G1474" s="883">
        <f>G1475+G1476+G1477</f>
        <v>2643</v>
      </c>
      <c r="H1474" s="883">
        <f>H1475+H1476+H1477</f>
        <v>2643</v>
      </c>
      <c r="I1474" s="887">
        <f t="shared" ref="I1474:I1484" si="66">(H1474/G1474)*100</f>
        <v>100</v>
      </c>
    </row>
    <row r="1475" spans="1:20" ht="13.5" customHeight="1" x14ac:dyDescent="0.2">
      <c r="A1475" s="432"/>
      <c r="B1475" s="681"/>
      <c r="C1475" s="681"/>
      <c r="D1475" s="719" t="s">
        <v>611</v>
      </c>
      <c r="E1475" s="1569" t="s">
        <v>833</v>
      </c>
      <c r="F1475" s="865">
        <v>490</v>
      </c>
      <c r="G1475" s="865">
        <v>500</v>
      </c>
      <c r="H1475" s="865">
        <v>500</v>
      </c>
      <c r="I1475" s="861">
        <f t="shared" si="66"/>
        <v>100</v>
      </c>
    </row>
    <row r="1476" spans="1:20" ht="14.25" x14ac:dyDescent="0.2">
      <c r="A1476" s="432"/>
      <c r="B1476" s="681"/>
      <c r="C1476" s="681"/>
      <c r="D1476" s="554" t="s">
        <v>606</v>
      </c>
      <c r="E1476" s="456" t="s">
        <v>72</v>
      </c>
      <c r="F1476" s="865">
        <v>2128</v>
      </c>
      <c r="G1476" s="865">
        <v>2128</v>
      </c>
      <c r="H1476" s="865">
        <v>2128</v>
      </c>
      <c r="I1476" s="861">
        <f t="shared" si="66"/>
        <v>100</v>
      </c>
    </row>
    <row r="1477" spans="1:20" ht="14.25" x14ac:dyDescent="0.2">
      <c r="A1477" s="432"/>
      <c r="B1477" s="681"/>
      <c r="C1477" s="681"/>
      <c r="D1477" s="1119" t="s">
        <v>1604</v>
      </c>
      <c r="E1477" s="2273" t="s">
        <v>1719</v>
      </c>
      <c r="F1477" s="865"/>
      <c r="G1477" s="865">
        <v>15</v>
      </c>
      <c r="H1477" s="865">
        <v>15</v>
      </c>
      <c r="I1477" s="861">
        <f t="shared" si="66"/>
        <v>100</v>
      </c>
    </row>
    <row r="1478" spans="1:20" ht="15" x14ac:dyDescent="0.25">
      <c r="A1478" s="432">
        <v>1152</v>
      </c>
      <c r="B1478" s="681">
        <v>3122</v>
      </c>
      <c r="C1478" s="681">
        <v>5336</v>
      </c>
      <c r="D1478" s="1119"/>
      <c r="E1478" s="1479" t="s">
        <v>1269</v>
      </c>
      <c r="F1478" s="865"/>
      <c r="G1478" s="889">
        <f>G1479+G1480+G1481</f>
        <v>13750</v>
      </c>
      <c r="H1478" s="889">
        <f>H1479+H1480+H1481</f>
        <v>13750</v>
      </c>
      <c r="I1478" s="891">
        <f t="shared" si="66"/>
        <v>100</v>
      </c>
    </row>
    <row r="1479" spans="1:20" ht="14.25" x14ac:dyDescent="0.2">
      <c r="A1479" s="432"/>
      <c r="B1479" s="681"/>
      <c r="C1479" s="681"/>
      <c r="D1479" s="554" t="s">
        <v>1182</v>
      </c>
      <c r="E1479" s="456" t="s">
        <v>832</v>
      </c>
      <c r="F1479" s="865"/>
      <c r="G1479" s="865">
        <v>13283</v>
      </c>
      <c r="H1479" s="865">
        <v>13283</v>
      </c>
      <c r="I1479" s="861">
        <f t="shared" si="66"/>
        <v>100</v>
      </c>
    </row>
    <row r="1480" spans="1:20" ht="14.25" x14ac:dyDescent="0.2">
      <c r="A1480" s="432"/>
      <c r="B1480" s="783"/>
      <c r="C1480" s="783"/>
      <c r="D1480" s="1481" t="s">
        <v>1608</v>
      </c>
      <c r="E1480" s="1476" t="s">
        <v>1717</v>
      </c>
      <c r="F1480" s="871"/>
      <c r="G1480" s="871">
        <v>70</v>
      </c>
      <c r="H1480" s="871">
        <v>70</v>
      </c>
      <c r="I1480" s="861">
        <f t="shared" si="66"/>
        <v>100</v>
      </c>
    </row>
    <row r="1481" spans="1:20" ht="14.25" x14ac:dyDescent="0.2">
      <c r="A1481" s="432"/>
      <c r="B1481" s="783"/>
      <c r="C1481" s="783"/>
      <c r="D1481" s="1481" t="s">
        <v>1610</v>
      </c>
      <c r="E1481" s="1476" t="s">
        <v>1717</v>
      </c>
      <c r="F1481" s="871"/>
      <c r="G1481" s="871">
        <v>397</v>
      </c>
      <c r="H1481" s="871">
        <v>397</v>
      </c>
      <c r="I1481" s="861">
        <f t="shared" si="66"/>
        <v>100</v>
      </c>
    </row>
    <row r="1482" spans="1:20" ht="15" x14ac:dyDescent="0.25">
      <c r="A1482" s="432">
        <v>1152</v>
      </c>
      <c r="B1482" s="783">
        <v>3299</v>
      </c>
      <c r="C1482" s="783">
        <v>5331</v>
      </c>
      <c r="D1482" s="897"/>
      <c r="E1482" s="680" t="s">
        <v>996</v>
      </c>
      <c r="F1482" s="884"/>
      <c r="G1482" s="884">
        <v>12</v>
      </c>
      <c r="H1482" s="884">
        <v>12</v>
      </c>
      <c r="I1482" s="891">
        <f t="shared" si="66"/>
        <v>100</v>
      </c>
    </row>
    <row r="1483" spans="1:20" ht="15" thickBot="1" x14ac:dyDescent="0.25">
      <c r="A1483" s="432"/>
      <c r="B1483" s="681"/>
      <c r="C1483" s="681"/>
      <c r="D1483" s="1110" t="s">
        <v>1180</v>
      </c>
      <c r="E1483" s="1215" t="s">
        <v>24</v>
      </c>
      <c r="F1483" s="865"/>
      <c r="G1483" s="865">
        <v>12</v>
      </c>
      <c r="H1483" s="865">
        <v>12</v>
      </c>
      <c r="I1483" s="861">
        <f t="shared" ref="I1483" si="67">(H1483/G1483)*100</f>
        <v>100</v>
      </c>
    </row>
    <row r="1484" spans="1:20" ht="15.75" customHeight="1" thickTop="1" thickBot="1" x14ac:dyDescent="0.3">
      <c r="A1484" s="2685" t="s">
        <v>1162</v>
      </c>
      <c r="B1484" s="2686"/>
      <c r="C1484" s="2686"/>
      <c r="D1484" s="2686"/>
      <c r="E1484" s="2686"/>
      <c r="F1484" s="862">
        <f>SUM(F1474,F1482)</f>
        <v>2618</v>
      </c>
      <c r="G1484" s="862">
        <f>G1474+G1478+G1482</f>
        <v>16405</v>
      </c>
      <c r="H1484" s="862">
        <f>H1474+H1478+H1482</f>
        <v>16405</v>
      </c>
      <c r="I1484" s="863">
        <f t="shared" si="66"/>
        <v>100</v>
      </c>
      <c r="R1484" s="383">
        <f>F1484</f>
        <v>2618</v>
      </c>
      <c r="S1484" s="383">
        <f>G1484</f>
        <v>16405</v>
      </c>
      <c r="T1484" s="383">
        <f>H1484</f>
        <v>16405</v>
      </c>
    </row>
    <row r="1485" spans="1:20" ht="13.5" thickTop="1" x14ac:dyDescent="0.2"/>
    <row r="1487" spans="1:20" ht="13.5" thickBot="1" x14ac:dyDescent="0.25">
      <c r="A1487" s="433" t="s">
        <v>189</v>
      </c>
      <c r="I1487" s="1465" t="s">
        <v>173</v>
      </c>
    </row>
    <row r="1488" spans="1:20" s="107" customFormat="1" thickTop="1" thickBot="1" x14ac:dyDescent="0.25">
      <c r="A1488" s="633" t="s">
        <v>661</v>
      </c>
      <c r="B1488" s="810" t="s">
        <v>174</v>
      </c>
      <c r="C1488" s="634" t="s">
        <v>175</v>
      </c>
      <c r="D1488" s="636" t="s">
        <v>744</v>
      </c>
      <c r="E1488" s="636" t="s">
        <v>176</v>
      </c>
      <c r="F1488" s="636" t="s">
        <v>177</v>
      </c>
      <c r="G1488" s="636" t="s">
        <v>922</v>
      </c>
      <c r="H1488" s="636" t="s">
        <v>923</v>
      </c>
      <c r="I1488" s="856" t="s">
        <v>924</v>
      </c>
    </row>
    <row r="1489" spans="1:9" s="384" customFormat="1" ht="15" customHeight="1" thickTop="1" thickBot="1" x14ac:dyDescent="0.25">
      <c r="A1489" s="568">
        <v>1</v>
      </c>
      <c r="B1489" s="569">
        <v>2</v>
      </c>
      <c r="C1489" s="569">
        <v>3</v>
      </c>
      <c r="D1489" s="569">
        <v>4</v>
      </c>
      <c r="E1489" s="569">
        <v>5</v>
      </c>
      <c r="F1489" s="543">
        <v>6</v>
      </c>
      <c r="G1489" s="543">
        <v>7</v>
      </c>
      <c r="H1489" s="544">
        <v>8</v>
      </c>
      <c r="I1489" s="638" t="s">
        <v>801</v>
      </c>
    </row>
    <row r="1490" spans="1:9" ht="15.75" thickTop="1" x14ac:dyDescent="0.25">
      <c r="A1490" s="1477">
        <v>1153</v>
      </c>
      <c r="B1490" s="885">
        <v>3122</v>
      </c>
      <c r="C1490" s="885">
        <v>5331</v>
      </c>
      <c r="D1490" s="890"/>
      <c r="E1490" s="924" t="s">
        <v>996</v>
      </c>
      <c r="F1490" s="883">
        <f>F1491+F1493</f>
        <v>2156</v>
      </c>
      <c r="G1490" s="883">
        <f>G1491+G1493+G1492</f>
        <v>2183</v>
      </c>
      <c r="H1490" s="883">
        <f>H1491+H1493+H1492</f>
        <v>2183</v>
      </c>
      <c r="I1490" s="887">
        <f t="shared" ref="I1490:I1507" si="68">(H1490/G1490)*100</f>
        <v>100</v>
      </c>
    </row>
    <row r="1491" spans="1:9" ht="14.25" x14ac:dyDescent="0.2">
      <c r="A1491" s="432"/>
      <c r="B1491" s="681"/>
      <c r="C1491" s="681"/>
      <c r="D1491" s="719" t="s">
        <v>611</v>
      </c>
      <c r="E1491" s="1569" t="s">
        <v>833</v>
      </c>
      <c r="F1491" s="865">
        <v>491</v>
      </c>
      <c r="G1491" s="865">
        <v>508</v>
      </c>
      <c r="H1491" s="865">
        <v>508</v>
      </c>
      <c r="I1491" s="861">
        <f t="shared" si="68"/>
        <v>100</v>
      </c>
    </row>
    <row r="1492" spans="1:9" ht="14.25" x14ac:dyDescent="0.2">
      <c r="A1492" s="432"/>
      <c r="B1492" s="681"/>
      <c r="C1492" s="681"/>
      <c r="D1492" s="1110" t="s">
        <v>369</v>
      </c>
      <c r="E1492" s="1215" t="s">
        <v>933</v>
      </c>
      <c r="F1492" s="865"/>
      <c r="G1492" s="865">
        <v>10</v>
      </c>
      <c r="H1492" s="865">
        <v>10</v>
      </c>
      <c r="I1492" s="861">
        <f t="shared" si="68"/>
        <v>100</v>
      </c>
    </row>
    <row r="1493" spans="1:9" ht="14.25" x14ac:dyDescent="0.2">
      <c r="A1493" s="432"/>
      <c r="B1493" s="681"/>
      <c r="C1493" s="681"/>
      <c r="D1493" s="554" t="s">
        <v>606</v>
      </c>
      <c r="E1493" s="456" t="s">
        <v>72</v>
      </c>
      <c r="F1493" s="865">
        <v>1665</v>
      </c>
      <c r="G1493" s="865">
        <v>1665</v>
      </c>
      <c r="H1493" s="865">
        <v>1665</v>
      </c>
      <c r="I1493" s="861">
        <f t="shared" si="68"/>
        <v>100</v>
      </c>
    </row>
    <row r="1494" spans="1:9" ht="15" x14ac:dyDescent="0.25">
      <c r="A1494" s="432">
        <v>1153</v>
      </c>
      <c r="B1494" s="681">
        <v>3122</v>
      </c>
      <c r="C1494" s="681">
        <v>5336</v>
      </c>
      <c r="D1494" s="2255"/>
      <c r="E1494" s="1479" t="s">
        <v>1269</v>
      </c>
      <c r="F1494" s="865"/>
      <c r="G1494" s="889">
        <f>G1495+G1496+G1497</f>
        <v>10775</v>
      </c>
      <c r="H1494" s="889">
        <f>H1495+H1496+H1497</f>
        <v>10775</v>
      </c>
      <c r="I1494" s="891">
        <f t="shared" si="68"/>
        <v>100</v>
      </c>
    </row>
    <row r="1495" spans="1:9" ht="14.25" x14ac:dyDescent="0.2">
      <c r="A1495" s="432"/>
      <c r="B1495" s="681"/>
      <c r="C1495" s="681"/>
      <c r="D1495" s="554" t="s">
        <v>1182</v>
      </c>
      <c r="E1495" s="456" t="s">
        <v>832</v>
      </c>
      <c r="F1495" s="865"/>
      <c r="G1495" s="865">
        <v>10388</v>
      </c>
      <c r="H1495" s="865">
        <v>10388</v>
      </c>
      <c r="I1495" s="861">
        <f t="shared" si="68"/>
        <v>100</v>
      </c>
    </row>
    <row r="1496" spans="1:9" ht="14.25" x14ac:dyDescent="0.2">
      <c r="A1496" s="432"/>
      <c r="B1496" s="783"/>
      <c r="C1496" s="783"/>
      <c r="D1496" s="1481" t="s">
        <v>1608</v>
      </c>
      <c r="E1496" s="1476" t="s">
        <v>1717</v>
      </c>
      <c r="F1496" s="871"/>
      <c r="G1496" s="871">
        <v>58</v>
      </c>
      <c r="H1496" s="871">
        <v>58</v>
      </c>
      <c r="I1496" s="866">
        <f t="shared" si="68"/>
        <v>100</v>
      </c>
    </row>
    <row r="1497" spans="1:9" ht="14.25" x14ac:dyDescent="0.2">
      <c r="A1497" s="432"/>
      <c r="B1497" s="783"/>
      <c r="C1497" s="783"/>
      <c r="D1497" s="1481" t="s">
        <v>1610</v>
      </c>
      <c r="E1497" s="1476" t="s">
        <v>1717</v>
      </c>
      <c r="F1497" s="871"/>
      <c r="G1497" s="871">
        <v>329</v>
      </c>
      <c r="H1497" s="871">
        <v>329</v>
      </c>
      <c r="I1497" s="866">
        <f t="shared" si="68"/>
        <v>100</v>
      </c>
    </row>
    <row r="1498" spans="1:9" ht="15" x14ac:dyDescent="0.25">
      <c r="A1498" s="432">
        <v>1153</v>
      </c>
      <c r="B1498" s="783">
        <v>3142</v>
      </c>
      <c r="C1498" s="783">
        <v>5331</v>
      </c>
      <c r="D1498" s="897"/>
      <c r="E1498" s="680" t="s">
        <v>996</v>
      </c>
      <c r="F1498" s="873">
        <f>F1499+F1500</f>
        <v>831</v>
      </c>
      <c r="G1498" s="873">
        <f>G1499+G1500</f>
        <v>841</v>
      </c>
      <c r="H1498" s="873">
        <f>H1499+H1500</f>
        <v>841</v>
      </c>
      <c r="I1498" s="874">
        <f t="shared" si="68"/>
        <v>100</v>
      </c>
    </row>
    <row r="1499" spans="1:9" ht="14.25" x14ac:dyDescent="0.2">
      <c r="A1499" s="432"/>
      <c r="B1499" s="783"/>
      <c r="C1499" s="783"/>
      <c r="D1499" s="719" t="s">
        <v>611</v>
      </c>
      <c r="E1499" s="1569" t="s">
        <v>833</v>
      </c>
      <c r="F1499" s="871">
        <v>138</v>
      </c>
      <c r="G1499" s="871">
        <v>148</v>
      </c>
      <c r="H1499" s="871">
        <v>148</v>
      </c>
      <c r="I1499" s="866">
        <f t="shared" si="68"/>
        <v>100</v>
      </c>
    </row>
    <row r="1500" spans="1:9" ht="14.25" x14ac:dyDescent="0.2">
      <c r="A1500" s="432"/>
      <c r="B1500" s="783"/>
      <c r="C1500" s="783"/>
      <c r="D1500" s="554" t="s">
        <v>606</v>
      </c>
      <c r="E1500" s="456" t="s">
        <v>72</v>
      </c>
      <c r="F1500" s="871">
        <v>693</v>
      </c>
      <c r="G1500" s="871">
        <v>693</v>
      </c>
      <c r="H1500" s="871">
        <v>693</v>
      </c>
      <c r="I1500" s="866">
        <f t="shared" si="68"/>
        <v>100</v>
      </c>
    </row>
    <row r="1501" spans="1:9" ht="15" x14ac:dyDescent="0.25">
      <c r="A1501" s="432">
        <v>1153</v>
      </c>
      <c r="B1501" s="783">
        <v>3142</v>
      </c>
      <c r="C1501" s="783">
        <v>5336</v>
      </c>
      <c r="D1501" s="554"/>
      <c r="E1501" s="1479" t="s">
        <v>1269</v>
      </c>
      <c r="F1501" s="871"/>
      <c r="G1501" s="884">
        <v>1018</v>
      </c>
      <c r="H1501" s="884">
        <v>1018</v>
      </c>
      <c r="I1501" s="876">
        <f t="shared" si="68"/>
        <v>100</v>
      </c>
    </row>
    <row r="1502" spans="1:9" ht="14.25" x14ac:dyDescent="0.2">
      <c r="A1502" s="432"/>
      <c r="B1502" s="783"/>
      <c r="C1502" s="783"/>
      <c r="D1502" s="554" t="s">
        <v>1182</v>
      </c>
      <c r="E1502" s="456" t="s">
        <v>832</v>
      </c>
      <c r="F1502" s="871"/>
      <c r="G1502" s="871">
        <v>1018</v>
      </c>
      <c r="H1502" s="871">
        <v>1018</v>
      </c>
      <c r="I1502" s="866">
        <f t="shared" si="68"/>
        <v>100</v>
      </c>
    </row>
    <row r="1503" spans="1:9" ht="15" x14ac:dyDescent="0.25">
      <c r="A1503" s="432">
        <v>1153</v>
      </c>
      <c r="B1503" s="783">
        <v>3147</v>
      </c>
      <c r="C1503" s="783">
        <v>5331</v>
      </c>
      <c r="D1503" s="897"/>
      <c r="E1503" s="680" t="s">
        <v>996</v>
      </c>
      <c r="F1503" s="873">
        <f>F1504+F1505</f>
        <v>1883</v>
      </c>
      <c r="G1503" s="873">
        <f>G1504+G1505</f>
        <v>1935</v>
      </c>
      <c r="H1503" s="873">
        <f>H1504+H1505</f>
        <v>1935</v>
      </c>
      <c r="I1503" s="874">
        <f t="shared" si="68"/>
        <v>100</v>
      </c>
    </row>
    <row r="1504" spans="1:9" ht="14.25" x14ac:dyDescent="0.2">
      <c r="A1504" s="432"/>
      <c r="B1504" s="783"/>
      <c r="C1504" s="783"/>
      <c r="D1504" s="719" t="s">
        <v>611</v>
      </c>
      <c r="E1504" s="1569" t="s">
        <v>833</v>
      </c>
      <c r="F1504" s="871">
        <v>1046</v>
      </c>
      <c r="G1504" s="871">
        <v>1098</v>
      </c>
      <c r="H1504" s="871">
        <v>1098</v>
      </c>
      <c r="I1504" s="866">
        <f t="shared" si="68"/>
        <v>100</v>
      </c>
    </row>
    <row r="1505" spans="1:20" ht="14.25" x14ac:dyDescent="0.2">
      <c r="A1505" s="432"/>
      <c r="B1505" s="783"/>
      <c r="C1505" s="783"/>
      <c r="D1505" s="554" t="s">
        <v>606</v>
      </c>
      <c r="E1505" s="456" t="s">
        <v>72</v>
      </c>
      <c r="F1505" s="871">
        <v>837</v>
      </c>
      <c r="G1505" s="871">
        <v>837</v>
      </c>
      <c r="H1505" s="871">
        <v>837</v>
      </c>
      <c r="I1505" s="866">
        <f t="shared" si="68"/>
        <v>100</v>
      </c>
    </row>
    <row r="1506" spans="1:20" ht="15" x14ac:dyDescent="0.25">
      <c r="A1506" s="432">
        <v>1153</v>
      </c>
      <c r="B1506" s="783">
        <v>3147</v>
      </c>
      <c r="C1506" s="783">
        <v>5336</v>
      </c>
      <c r="D1506" s="554"/>
      <c r="E1506" s="1479" t="s">
        <v>1269</v>
      </c>
      <c r="F1506" s="871"/>
      <c r="G1506" s="884">
        <v>1748</v>
      </c>
      <c r="H1506" s="884">
        <v>1748</v>
      </c>
      <c r="I1506" s="876">
        <f t="shared" si="68"/>
        <v>100</v>
      </c>
    </row>
    <row r="1507" spans="1:20" ht="18" customHeight="1" thickBot="1" x14ac:dyDescent="0.25">
      <c r="A1507" s="432"/>
      <c r="B1507" s="783"/>
      <c r="C1507" s="783"/>
      <c r="D1507" s="554" t="s">
        <v>1182</v>
      </c>
      <c r="E1507" s="456" t="s">
        <v>832</v>
      </c>
      <c r="F1507" s="871"/>
      <c r="G1507" s="871">
        <v>1748</v>
      </c>
      <c r="H1507" s="871">
        <v>1748</v>
      </c>
      <c r="I1507" s="866">
        <f t="shared" si="68"/>
        <v>100</v>
      </c>
    </row>
    <row r="1508" spans="1:20" ht="18" customHeight="1" thickTop="1" thickBot="1" x14ac:dyDescent="0.3">
      <c r="A1508" s="2685" t="s">
        <v>1162</v>
      </c>
      <c r="B1508" s="2686"/>
      <c r="C1508" s="2686"/>
      <c r="D1508" s="2686"/>
      <c r="E1508" s="2686"/>
      <c r="F1508" s="862">
        <f>F1490+F1494+F1498+F1501+F1503+F1506</f>
        <v>4870</v>
      </c>
      <c r="G1508" s="862">
        <f>G1490+G1494+G1498+G1501+G1503+G1506</f>
        <v>18500</v>
      </c>
      <c r="H1508" s="862">
        <f>H1490+H1494+H1498+H1501+H1503+H1506</f>
        <v>18500</v>
      </c>
      <c r="I1508" s="863">
        <f>(H1508/G1508)*100</f>
        <v>100</v>
      </c>
      <c r="R1508" s="383">
        <f>F1508</f>
        <v>4870</v>
      </c>
      <c r="S1508" s="383">
        <f>G1508</f>
        <v>18500</v>
      </c>
      <c r="T1508" s="383">
        <f>H1508</f>
        <v>18500</v>
      </c>
    </row>
    <row r="1509" spans="1:20" ht="15.75" thickTop="1" x14ac:dyDescent="0.25">
      <c r="A1509" s="369"/>
      <c r="B1509" s="369"/>
      <c r="C1509" s="369"/>
      <c r="D1509" s="369"/>
      <c r="E1509" s="369"/>
      <c r="F1509" s="183"/>
      <c r="G1509" s="183"/>
      <c r="H1509" s="183"/>
      <c r="I1509" s="214"/>
      <c r="K1509" s="383"/>
      <c r="L1509" s="383"/>
    </row>
    <row r="1510" spans="1:20" ht="15" x14ac:dyDescent="0.25">
      <c r="A1510" s="369"/>
      <c r="B1510" s="369"/>
      <c r="C1510" s="369"/>
      <c r="D1510" s="369"/>
      <c r="E1510" s="369"/>
      <c r="F1510" s="183"/>
      <c r="G1510" s="183"/>
      <c r="H1510" s="183"/>
      <c r="I1510" s="214"/>
      <c r="K1510" s="383"/>
      <c r="L1510" s="383"/>
    </row>
    <row r="1511" spans="1:20" ht="13.5" thickBot="1" x14ac:dyDescent="0.25">
      <c r="A1511" s="433" t="s">
        <v>1171</v>
      </c>
      <c r="I1511" s="1465" t="s">
        <v>173</v>
      </c>
    </row>
    <row r="1512" spans="1:20" s="107" customFormat="1" thickTop="1" thickBot="1" x14ac:dyDescent="0.25">
      <c r="A1512" s="633" t="s">
        <v>661</v>
      </c>
      <c r="B1512" s="810" t="s">
        <v>174</v>
      </c>
      <c r="C1512" s="634" t="s">
        <v>175</v>
      </c>
      <c r="D1512" s="636" t="s">
        <v>744</v>
      </c>
      <c r="E1512" s="636" t="s">
        <v>176</v>
      </c>
      <c r="F1512" s="636" t="s">
        <v>177</v>
      </c>
      <c r="G1512" s="636" t="s">
        <v>922</v>
      </c>
      <c r="H1512" s="636" t="s">
        <v>923</v>
      </c>
      <c r="I1512" s="856" t="s">
        <v>924</v>
      </c>
    </row>
    <row r="1513" spans="1:20" s="384" customFormat="1" ht="13.5" thickTop="1" thickBot="1" x14ac:dyDescent="0.25">
      <c r="A1513" s="568">
        <v>1</v>
      </c>
      <c r="B1513" s="569">
        <v>2</v>
      </c>
      <c r="C1513" s="569">
        <v>3</v>
      </c>
      <c r="D1513" s="569">
        <v>4</v>
      </c>
      <c r="E1513" s="569">
        <v>5</v>
      </c>
      <c r="F1513" s="543">
        <v>6</v>
      </c>
      <c r="G1513" s="543">
        <v>7</v>
      </c>
      <c r="H1513" s="544">
        <v>8</v>
      </c>
      <c r="I1513" s="638" t="s">
        <v>801</v>
      </c>
    </row>
    <row r="1514" spans="1:20" ht="15.75" thickTop="1" x14ac:dyDescent="0.25">
      <c r="A1514" s="1477">
        <v>1154</v>
      </c>
      <c r="B1514" s="885">
        <v>3122</v>
      </c>
      <c r="C1514" s="885">
        <v>5331</v>
      </c>
      <c r="D1514" s="890"/>
      <c r="E1514" s="924" t="s">
        <v>996</v>
      </c>
      <c r="F1514" s="883">
        <f>F1515+F1516+F1517</f>
        <v>2669</v>
      </c>
      <c r="G1514" s="883">
        <f>G1515+G1516+G1517</f>
        <v>2673</v>
      </c>
      <c r="H1514" s="883">
        <f>H1515+H1516+H1517</f>
        <v>2673</v>
      </c>
      <c r="I1514" s="887">
        <f t="shared" ref="I1514:I1522" si="69">(H1514/G1514)*100</f>
        <v>100</v>
      </c>
    </row>
    <row r="1515" spans="1:20" ht="14.25" x14ac:dyDescent="0.2">
      <c r="A1515" s="432"/>
      <c r="B1515" s="681"/>
      <c r="C1515" s="681"/>
      <c r="D1515" s="719" t="s">
        <v>611</v>
      </c>
      <c r="E1515" s="1569" t="s">
        <v>833</v>
      </c>
      <c r="F1515" s="865">
        <v>441</v>
      </c>
      <c r="G1515" s="865">
        <v>435</v>
      </c>
      <c r="H1515" s="865">
        <v>435</v>
      </c>
      <c r="I1515" s="861">
        <f t="shared" si="69"/>
        <v>100</v>
      </c>
    </row>
    <row r="1516" spans="1:20" ht="14.25" x14ac:dyDescent="0.2">
      <c r="A1516" s="432"/>
      <c r="B1516" s="681"/>
      <c r="C1516" s="681"/>
      <c r="D1516" s="554" t="s">
        <v>606</v>
      </c>
      <c r="E1516" s="456" t="s">
        <v>72</v>
      </c>
      <c r="F1516" s="865">
        <v>2228</v>
      </c>
      <c r="G1516" s="865">
        <v>2228</v>
      </c>
      <c r="H1516" s="865">
        <v>2228</v>
      </c>
      <c r="I1516" s="861">
        <f t="shared" si="69"/>
        <v>100</v>
      </c>
    </row>
    <row r="1517" spans="1:20" ht="14.25" x14ac:dyDescent="0.2">
      <c r="A1517" s="432"/>
      <c r="B1517" s="681"/>
      <c r="C1517" s="681"/>
      <c r="D1517" s="1119" t="s">
        <v>1604</v>
      </c>
      <c r="E1517" s="2273" t="s">
        <v>1719</v>
      </c>
      <c r="F1517" s="865"/>
      <c r="G1517" s="865">
        <v>10</v>
      </c>
      <c r="H1517" s="865">
        <v>10</v>
      </c>
      <c r="I1517" s="861">
        <f t="shared" si="69"/>
        <v>100</v>
      </c>
    </row>
    <row r="1518" spans="1:20" ht="15" x14ac:dyDescent="0.25">
      <c r="A1518" s="432">
        <v>1154</v>
      </c>
      <c r="B1518" s="681">
        <v>3122</v>
      </c>
      <c r="C1518" s="681">
        <v>5336</v>
      </c>
      <c r="D1518" s="2255"/>
      <c r="E1518" s="1479" t="s">
        <v>1269</v>
      </c>
      <c r="F1518" s="865"/>
      <c r="G1518" s="889">
        <f>G1519+G1520+G1521</f>
        <v>11240</v>
      </c>
      <c r="H1518" s="889">
        <f>H1519+H1520+H1521</f>
        <v>11240</v>
      </c>
      <c r="I1518" s="891">
        <f t="shared" si="69"/>
        <v>100</v>
      </c>
    </row>
    <row r="1519" spans="1:20" ht="14.25" x14ac:dyDescent="0.2">
      <c r="A1519" s="432"/>
      <c r="B1519" s="681"/>
      <c r="C1519" s="1467"/>
      <c r="D1519" s="554" t="s">
        <v>1182</v>
      </c>
      <c r="E1519" s="456" t="s">
        <v>832</v>
      </c>
      <c r="F1519" s="865"/>
      <c r="G1519" s="865">
        <v>10827</v>
      </c>
      <c r="H1519" s="865">
        <v>10827</v>
      </c>
      <c r="I1519" s="861">
        <f t="shared" si="69"/>
        <v>100</v>
      </c>
    </row>
    <row r="1520" spans="1:20" ht="14.25" x14ac:dyDescent="0.2">
      <c r="A1520" s="432"/>
      <c r="B1520" s="681"/>
      <c r="C1520" s="1467"/>
      <c r="D1520" s="1481" t="s">
        <v>1608</v>
      </c>
      <c r="E1520" s="1476" t="s">
        <v>1717</v>
      </c>
      <c r="F1520" s="865"/>
      <c r="G1520" s="865">
        <v>62</v>
      </c>
      <c r="H1520" s="865">
        <v>62</v>
      </c>
      <c r="I1520" s="861">
        <f t="shared" si="69"/>
        <v>100</v>
      </c>
    </row>
    <row r="1521" spans="1:20" ht="15" thickBot="1" x14ac:dyDescent="0.25">
      <c r="A1521" s="432"/>
      <c r="B1521" s="681"/>
      <c r="C1521" s="1467"/>
      <c r="D1521" s="1481" t="s">
        <v>1610</v>
      </c>
      <c r="E1521" s="1476" t="s">
        <v>1717</v>
      </c>
      <c r="F1521" s="865"/>
      <c r="G1521" s="865">
        <v>351</v>
      </c>
      <c r="H1521" s="865">
        <v>351</v>
      </c>
      <c r="I1521" s="861">
        <f t="shared" si="69"/>
        <v>100</v>
      </c>
    </row>
    <row r="1522" spans="1:20" ht="16.5" thickTop="1" thickBot="1" x14ac:dyDescent="0.3">
      <c r="A1522" s="2685" t="s">
        <v>1162</v>
      </c>
      <c r="B1522" s="2686"/>
      <c r="C1522" s="2686"/>
      <c r="D1522" s="2686"/>
      <c r="E1522" s="2686"/>
      <c r="F1522" s="862">
        <f>F1514</f>
        <v>2669</v>
      </c>
      <c r="G1522" s="862">
        <f>G1514+G1518</f>
        <v>13913</v>
      </c>
      <c r="H1522" s="862">
        <f>H1514+H1518</f>
        <v>13913</v>
      </c>
      <c r="I1522" s="863">
        <f t="shared" si="69"/>
        <v>100</v>
      </c>
      <c r="R1522" s="383">
        <f>F1522</f>
        <v>2669</v>
      </c>
      <c r="S1522" s="383">
        <f>G1522</f>
        <v>13913</v>
      </c>
      <c r="T1522" s="383">
        <f>H1522</f>
        <v>13913</v>
      </c>
    </row>
    <row r="1523" spans="1:20" ht="13.5" thickTop="1" x14ac:dyDescent="0.2"/>
    <row r="1525" spans="1:20" ht="13.5" thickBot="1" x14ac:dyDescent="0.25">
      <c r="A1525" s="433" t="s">
        <v>1172</v>
      </c>
      <c r="I1525" s="1465" t="s">
        <v>173</v>
      </c>
    </row>
    <row r="1526" spans="1:20" s="107" customFormat="1" ht="20.25" customHeight="1" thickTop="1" thickBot="1" x14ac:dyDescent="0.25">
      <c r="A1526" s="633" t="s">
        <v>661</v>
      </c>
      <c r="B1526" s="810" t="s">
        <v>174</v>
      </c>
      <c r="C1526" s="634" t="s">
        <v>175</v>
      </c>
      <c r="D1526" s="636" t="s">
        <v>744</v>
      </c>
      <c r="E1526" s="636" t="s">
        <v>176</v>
      </c>
      <c r="F1526" s="636" t="s">
        <v>177</v>
      </c>
      <c r="G1526" s="636" t="s">
        <v>922</v>
      </c>
      <c r="H1526" s="636" t="s">
        <v>923</v>
      </c>
      <c r="I1526" s="856" t="s">
        <v>924</v>
      </c>
    </row>
    <row r="1527" spans="1:20" s="384" customFormat="1" ht="13.5" thickTop="1" thickBot="1" x14ac:dyDescent="0.25">
      <c r="A1527" s="568">
        <v>1</v>
      </c>
      <c r="B1527" s="569">
        <v>2</v>
      </c>
      <c r="C1527" s="569">
        <v>3</v>
      </c>
      <c r="D1527" s="569">
        <v>4</v>
      </c>
      <c r="E1527" s="569">
        <v>5</v>
      </c>
      <c r="F1527" s="543">
        <v>6</v>
      </c>
      <c r="G1527" s="543">
        <v>7</v>
      </c>
      <c r="H1527" s="544">
        <v>8</v>
      </c>
      <c r="I1527" s="638" t="s">
        <v>801</v>
      </c>
    </row>
    <row r="1528" spans="1:20" ht="15.75" thickTop="1" x14ac:dyDescent="0.25">
      <c r="A1528" s="1477">
        <v>1160</v>
      </c>
      <c r="B1528" s="885">
        <v>3122</v>
      </c>
      <c r="C1528" s="885">
        <v>5331</v>
      </c>
      <c r="D1528" s="890"/>
      <c r="E1528" s="924" t="s">
        <v>996</v>
      </c>
      <c r="F1528" s="883">
        <f>F1529+F1531</f>
        <v>4245</v>
      </c>
      <c r="G1528" s="883">
        <f>G1529+G1531+G1532+G1530</f>
        <v>4092</v>
      </c>
      <c r="H1528" s="883">
        <f>H1529+H1531+H1532+H1530</f>
        <v>4092</v>
      </c>
      <c r="I1528" s="887">
        <f t="shared" ref="I1528:I1553" si="70">(H1528/G1528)*100</f>
        <v>100</v>
      </c>
    </row>
    <row r="1529" spans="1:20" ht="14.25" x14ac:dyDescent="0.2">
      <c r="A1529" s="432"/>
      <c r="B1529" s="681"/>
      <c r="C1529" s="681"/>
      <c r="D1529" s="719" t="s">
        <v>611</v>
      </c>
      <c r="E1529" s="1569" t="s">
        <v>833</v>
      </c>
      <c r="F1529" s="865">
        <v>1445</v>
      </c>
      <c r="G1529" s="865">
        <v>1445</v>
      </c>
      <c r="H1529" s="865">
        <v>1445</v>
      </c>
      <c r="I1529" s="861">
        <f t="shared" si="70"/>
        <v>100</v>
      </c>
    </row>
    <row r="1530" spans="1:20" ht="14.25" x14ac:dyDescent="0.2">
      <c r="A1530" s="432"/>
      <c r="B1530" s="681"/>
      <c r="C1530" s="681"/>
      <c r="D1530" s="1110" t="s">
        <v>196</v>
      </c>
      <c r="E1530" s="1215" t="s">
        <v>751</v>
      </c>
      <c r="F1530" s="865"/>
      <c r="G1530" s="865">
        <v>62</v>
      </c>
      <c r="H1530" s="865">
        <v>62</v>
      </c>
      <c r="I1530" s="861">
        <f t="shared" si="70"/>
        <v>100</v>
      </c>
    </row>
    <row r="1531" spans="1:20" ht="14.25" x14ac:dyDescent="0.2">
      <c r="A1531" s="432"/>
      <c r="B1531" s="681"/>
      <c r="C1531" s="681"/>
      <c r="D1531" s="554" t="s">
        <v>606</v>
      </c>
      <c r="E1531" s="456" t="s">
        <v>72</v>
      </c>
      <c r="F1531" s="865">
        <v>2800</v>
      </c>
      <c r="G1531" s="865">
        <v>2567</v>
      </c>
      <c r="H1531" s="865">
        <v>2567</v>
      </c>
      <c r="I1531" s="861">
        <f t="shared" si="70"/>
        <v>100</v>
      </c>
    </row>
    <row r="1532" spans="1:20" ht="14.25" x14ac:dyDescent="0.2">
      <c r="A1532" s="432"/>
      <c r="B1532" s="681"/>
      <c r="C1532" s="681"/>
      <c r="D1532" s="1119" t="s">
        <v>1604</v>
      </c>
      <c r="E1532" s="2273" t="s">
        <v>1719</v>
      </c>
      <c r="F1532" s="865"/>
      <c r="G1532" s="865">
        <v>18</v>
      </c>
      <c r="H1532" s="865">
        <v>18</v>
      </c>
      <c r="I1532" s="861">
        <f t="shared" si="70"/>
        <v>100</v>
      </c>
    </row>
    <row r="1533" spans="1:20" ht="15" x14ac:dyDescent="0.25">
      <c r="A1533" s="432">
        <v>1160</v>
      </c>
      <c r="B1533" s="681">
        <v>3122</v>
      </c>
      <c r="C1533" s="681">
        <v>5336</v>
      </c>
      <c r="D1533" s="1119"/>
      <c r="E1533" s="1479" t="s">
        <v>1269</v>
      </c>
      <c r="F1533" s="865"/>
      <c r="G1533" s="889">
        <f>G1534+G1535+G1536</f>
        <v>26069</v>
      </c>
      <c r="H1533" s="889">
        <f>H1534+H1535+H1536</f>
        <v>26069</v>
      </c>
      <c r="I1533" s="891">
        <f t="shared" si="70"/>
        <v>100</v>
      </c>
    </row>
    <row r="1534" spans="1:20" ht="14.25" x14ac:dyDescent="0.2">
      <c r="A1534" s="432"/>
      <c r="B1534" s="681"/>
      <c r="C1534" s="681"/>
      <c r="D1534" s="554" t="s">
        <v>1182</v>
      </c>
      <c r="E1534" s="456" t="s">
        <v>832</v>
      </c>
      <c r="F1534" s="865"/>
      <c r="G1534" s="865">
        <v>25517</v>
      </c>
      <c r="H1534" s="865">
        <v>25517</v>
      </c>
      <c r="I1534" s="861">
        <f t="shared" si="70"/>
        <v>100</v>
      </c>
    </row>
    <row r="1535" spans="1:20" ht="14.25" x14ac:dyDescent="0.2">
      <c r="A1535" s="432"/>
      <c r="B1535" s="783"/>
      <c r="C1535" s="783"/>
      <c r="D1535" s="1481" t="s">
        <v>1608</v>
      </c>
      <c r="E1535" s="1476" t="s">
        <v>1717</v>
      </c>
      <c r="F1535" s="871"/>
      <c r="G1535" s="871">
        <v>83</v>
      </c>
      <c r="H1535" s="871">
        <v>83</v>
      </c>
      <c r="I1535" s="866">
        <f t="shared" si="70"/>
        <v>100</v>
      </c>
    </row>
    <row r="1536" spans="1:20" ht="14.25" x14ac:dyDescent="0.2">
      <c r="A1536" s="432"/>
      <c r="B1536" s="783"/>
      <c r="C1536" s="783"/>
      <c r="D1536" s="1481" t="s">
        <v>1610</v>
      </c>
      <c r="E1536" s="1476" t="s">
        <v>1717</v>
      </c>
      <c r="F1536" s="871"/>
      <c r="G1536" s="871">
        <v>469</v>
      </c>
      <c r="H1536" s="871">
        <v>469</v>
      </c>
      <c r="I1536" s="866">
        <v>469</v>
      </c>
    </row>
    <row r="1537" spans="1:9" ht="15" x14ac:dyDescent="0.25">
      <c r="A1537" s="432">
        <v>1160</v>
      </c>
      <c r="B1537" s="783">
        <v>3142</v>
      </c>
      <c r="C1537" s="783">
        <v>5331</v>
      </c>
      <c r="D1537" s="897"/>
      <c r="E1537" s="680" t="s">
        <v>996</v>
      </c>
      <c r="F1537" s="873">
        <f>F1538+F1539</f>
        <v>650</v>
      </c>
      <c r="G1537" s="873">
        <f>G1538+G1539</f>
        <v>616</v>
      </c>
      <c r="H1537" s="873">
        <f>H1538+H1539</f>
        <v>616</v>
      </c>
      <c r="I1537" s="874">
        <f t="shared" si="70"/>
        <v>100</v>
      </c>
    </row>
    <row r="1538" spans="1:9" ht="14.25" x14ac:dyDescent="0.2">
      <c r="A1538" s="432"/>
      <c r="B1538" s="783"/>
      <c r="C1538" s="783"/>
      <c r="D1538" s="554" t="s">
        <v>606</v>
      </c>
      <c r="E1538" s="456" t="s">
        <v>72</v>
      </c>
      <c r="F1538" s="871">
        <v>650</v>
      </c>
      <c r="G1538" s="871">
        <v>596</v>
      </c>
      <c r="H1538" s="871">
        <v>596</v>
      </c>
      <c r="I1538" s="866">
        <f t="shared" si="70"/>
        <v>100</v>
      </c>
    </row>
    <row r="1539" spans="1:9" ht="20.25" customHeight="1" x14ac:dyDescent="0.2">
      <c r="A1539" s="432"/>
      <c r="B1539" s="783"/>
      <c r="C1539" s="783"/>
      <c r="D1539" s="1110" t="s">
        <v>703</v>
      </c>
      <c r="E1539" s="1334" t="s">
        <v>1357</v>
      </c>
      <c r="F1539" s="871"/>
      <c r="G1539" s="871">
        <v>20</v>
      </c>
      <c r="H1539" s="871">
        <v>20</v>
      </c>
      <c r="I1539" s="866">
        <f t="shared" si="70"/>
        <v>100</v>
      </c>
    </row>
    <row r="1540" spans="1:9" ht="15" x14ac:dyDescent="0.25">
      <c r="A1540" s="432">
        <v>1160</v>
      </c>
      <c r="B1540" s="783">
        <v>3142</v>
      </c>
      <c r="C1540" s="783">
        <v>5336</v>
      </c>
      <c r="D1540" s="554"/>
      <c r="E1540" s="1479" t="s">
        <v>1269</v>
      </c>
      <c r="F1540" s="871"/>
      <c r="G1540" s="884">
        <v>1107</v>
      </c>
      <c r="H1540" s="884">
        <v>1107</v>
      </c>
      <c r="I1540" s="876">
        <f t="shared" si="70"/>
        <v>100</v>
      </c>
    </row>
    <row r="1541" spans="1:9" ht="15" thickBot="1" x14ac:dyDescent="0.25">
      <c r="A1541" s="1469"/>
      <c r="B1541" s="930"/>
      <c r="C1541" s="930"/>
      <c r="D1541" s="733" t="s">
        <v>1182</v>
      </c>
      <c r="E1541" s="458" t="s">
        <v>832</v>
      </c>
      <c r="F1541" s="931"/>
      <c r="G1541" s="931">
        <v>1107</v>
      </c>
      <c r="H1541" s="931">
        <v>1107</v>
      </c>
      <c r="I1541" s="910">
        <f t="shared" si="70"/>
        <v>100</v>
      </c>
    </row>
    <row r="1542" spans="1:9" ht="14.25" thickTop="1" thickBot="1" x14ac:dyDescent="0.25">
      <c r="A1542" s="433"/>
      <c r="I1542" s="1465" t="s">
        <v>173</v>
      </c>
    </row>
    <row r="1543" spans="1:9" s="107" customFormat="1" ht="20.25" customHeight="1" thickTop="1" thickBot="1" x14ac:dyDescent="0.25">
      <c r="A1543" s="633" t="s">
        <v>661</v>
      </c>
      <c r="B1543" s="810" t="s">
        <v>174</v>
      </c>
      <c r="C1543" s="634" t="s">
        <v>175</v>
      </c>
      <c r="D1543" s="636" t="s">
        <v>744</v>
      </c>
      <c r="E1543" s="636" t="s">
        <v>176</v>
      </c>
      <c r="F1543" s="636" t="s">
        <v>177</v>
      </c>
      <c r="G1543" s="636" t="s">
        <v>922</v>
      </c>
      <c r="H1543" s="636" t="s">
        <v>923</v>
      </c>
      <c r="I1543" s="856" t="s">
        <v>924</v>
      </c>
    </row>
    <row r="1544" spans="1:9" s="384" customFormat="1" ht="13.5" thickTop="1" thickBot="1" x14ac:dyDescent="0.25">
      <c r="A1544" s="568">
        <v>1</v>
      </c>
      <c r="B1544" s="569">
        <v>2</v>
      </c>
      <c r="C1544" s="569">
        <v>3</v>
      </c>
      <c r="D1544" s="569">
        <v>4</v>
      </c>
      <c r="E1544" s="569">
        <v>5</v>
      </c>
      <c r="F1544" s="543">
        <v>6</v>
      </c>
      <c r="G1544" s="543">
        <v>7</v>
      </c>
      <c r="H1544" s="544">
        <v>8</v>
      </c>
      <c r="I1544" s="638" t="s">
        <v>801</v>
      </c>
    </row>
    <row r="1545" spans="1:9" ht="15.75" thickTop="1" x14ac:dyDescent="0.25">
      <c r="A1545" s="432">
        <v>1160</v>
      </c>
      <c r="B1545" s="783">
        <v>3147</v>
      </c>
      <c r="C1545" s="783">
        <v>5331</v>
      </c>
      <c r="D1545" s="897"/>
      <c r="E1545" s="680" t="s">
        <v>996</v>
      </c>
      <c r="F1545" s="873">
        <v>380</v>
      </c>
      <c r="G1545" s="873">
        <v>368</v>
      </c>
      <c r="H1545" s="873">
        <v>368</v>
      </c>
      <c r="I1545" s="874">
        <f t="shared" si="70"/>
        <v>100</v>
      </c>
    </row>
    <row r="1546" spans="1:9" ht="14.25" x14ac:dyDescent="0.2">
      <c r="A1546" s="432"/>
      <c r="B1546" s="783"/>
      <c r="C1546" s="783"/>
      <c r="D1546" s="554" t="s">
        <v>606</v>
      </c>
      <c r="E1546" s="456" t="s">
        <v>72</v>
      </c>
      <c r="F1546" s="871">
        <v>380</v>
      </c>
      <c r="G1546" s="871">
        <v>368</v>
      </c>
      <c r="H1546" s="871">
        <v>368</v>
      </c>
      <c r="I1546" s="866">
        <f t="shared" si="70"/>
        <v>100</v>
      </c>
    </row>
    <row r="1547" spans="1:9" ht="15" x14ac:dyDescent="0.25">
      <c r="A1547" s="432">
        <v>1160</v>
      </c>
      <c r="B1547" s="783">
        <v>3147</v>
      </c>
      <c r="C1547" s="783">
        <v>5336</v>
      </c>
      <c r="D1547" s="554"/>
      <c r="E1547" s="1479" t="s">
        <v>1269</v>
      </c>
      <c r="F1547" s="871"/>
      <c r="G1547" s="884">
        <v>4060</v>
      </c>
      <c r="H1547" s="884">
        <v>4060</v>
      </c>
      <c r="I1547" s="876">
        <f t="shared" si="70"/>
        <v>100</v>
      </c>
    </row>
    <row r="1548" spans="1:9" ht="14.25" x14ac:dyDescent="0.2">
      <c r="A1548" s="432"/>
      <c r="B1548" s="783"/>
      <c r="C1548" s="783"/>
      <c r="D1548" s="554" t="s">
        <v>1182</v>
      </c>
      <c r="E1548" s="456" t="s">
        <v>832</v>
      </c>
      <c r="F1548" s="871"/>
      <c r="G1548" s="871">
        <v>4060</v>
      </c>
      <c r="H1548" s="871">
        <v>4060</v>
      </c>
      <c r="I1548" s="866">
        <f t="shared" si="70"/>
        <v>100</v>
      </c>
    </row>
    <row r="1549" spans="1:9" ht="15" x14ac:dyDescent="0.25">
      <c r="A1549" s="432">
        <v>1160</v>
      </c>
      <c r="B1549" s="783">
        <v>3150</v>
      </c>
      <c r="C1549" s="783">
        <v>5331</v>
      </c>
      <c r="D1549" s="897"/>
      <c r="E1549" s="680" t="s">
        <v>996</v>
      </c>
      <c r="F1549" s="873">
        <v>1450</v>
      </c>
      <c r="G1549" s="873">
        <v>1330</v>
      </c>
      <c r="H1549" s="873">
        <v>1330</v>
      </c>
      <c r="I1549" s="874">
        <f t="shared" si="70"/>
        <v>100</v>
      </c>
    </row>
    <row r="1550" spans="1:9" ht="14.25" x14ac:dyDescent="0.2">
      <c r="A1550" s="432"/>
      <c r="B1550" s="783"/>
      <c r="C1550" s="783"/>
      <c r="D1550" s="554" t="s">
        <v>606</v>
      </c>
      <c r="E1550" s="456" t="s">
        <v>72</v>
      </c>
      <c r="F1550" s="871">
        <v>1450</v>
      </c>
      <c r="G1550" s="871">
        <v>1330</v>
      </c>
      <c r="H1550" s="871">
        <v>1330</v>
      </c>
      <c r="I1550" s="866">
        <f t="shared" si="70"/>
        <v>100</v>
      </c>
    </row>
    <row r="1551" spans="1:9" ht="15" x14ac:dyDescent="0.25">
      <c r="A1551" s="432">
        <v>1160</v>
      </c>
      <c r="B1551" s="783">
        <v>3150</v>
      </c>
      <c r="C1551" s="783">
        <v>5336</v>
      </c>
      <c r="D1551" s="554"/>
      <c r="E1551" s="1479" t="s">
        <v>1269</v>
      </c>
      <c r="F1551" s="871"/>
      <c r="G1551" s="884">
        <v>14579</v>
      </c>
      <c r="H1551" s="884">
        <v>14579</v>
      </c>
      <c r="I1551" s="876">
        <f t="shared" si="70"/>
        <v>100</v>
      </c>
    </row>
    <row r="1552" spans="1:9" ht="15" thickBot="1" x14ac:dyDescent="0.25">
      <c r="A1552" s="432"/>
      <c r="B1552" s="783"/>
      <c r="C1552" s="783"/>
      <c r="D1552" s="554" t="s">
        <v>1182</v>
      </c>
      <c r="E1552" s="456" t="s">
        <v>832</v>
      </c>
      <c r="F1552" s="871"/>
      <c r="G1552" s="871">
        <v>14579</v>
      </c>
      <c r="H1552" s="871">
        <v>14579</v>
      </c>
      <c r="I1552" s="866">
        <f t="shared" si="70"/>
        <v>100</v>
      </c>
    </row>
    <row r="1553" spans="1:20" ht="16.5" thickTop="1" thickBot="1" x14ac:dyDescent="0.3">
      <c r="A1553" s="2685" t="s">
        <v>1162</v>
      </c>
      <c r="B1553" s="2686"/>
      <c r="C1553" s="2686"/>
      <c r="D1553" s="2686"/>
      <c r="E1553" s="2686"/>
      <c r="F1553" s="862">
        <f>F1528+F1533+F1537+F1540+F1545+F1547+F1549+F1551</f>
        <v>6725</v>
      </c>
      <c r="G1553" s="862">
        <f>G1528+G1533+G1537+G1540+G1545+G1547+G1549+G1551</f>
        <v>52221</v>
      </c>
      <c r="H1553" s="862">
        <f>H1528+H1533+H1537+H1540+H1545+H1547+H1549+H1551</f>
        <v>52221</v>
      </c>
      <c r="I1553" s="863">
        <f t="shared" si="70"/>
        <v>100</v>
      </c>
      <c r="R1553" s="383">
        <f>F1553</f>
        <v>6725</v>
      </c>
      <c r="S1553" s="383">
        <f>G1553</f>
        <v>52221</v>
      </c>
      <c r="T1553" s="383">
        <f>H1553</f>
        <v>52221</v>
      </c>
    </row>
    <row r="1554" spans="1:20" ht="13.5" thickTop="1" x14ac:dyDescent="0.2"/>
    <row r="1557" spans="1:20" ht="13.5" thickBot="1" x14ac:dyDescent="0.25">
      <c r="A1557" s="433" t="s">
        <v>190</v>
      </c>
      <c r="I1557" s="1465" t="s">
        <v>173</v>
      </c>
    </row>
    <row r="1558" spans="1:20" s="107" customFormat="1" thickTop="1" thickBot="1" x14ac:dyDescent="0.25">
      <c r="A1558" s="633" t="s">
        <v>661</v>
      </c>
      <c r="B1558" s="810" t="s">
        <v>174</v>
      </c>
      <c r="C1558" s="634" t="s">
        <v>175</v>
      </c>
      <c r="D1558" s="636" t="s">
        <v>744</v>
      </c>
      <c r="E1558" s="636" t="s">
        <v>176</v>
      </c>
      <c r="F1558" s="636" t="s">
        <v>177</v>
      </c>
      <c r="G1558" s="636" t="s">
        <v>922</v>
      </c>
      <c r="H1558" s="636" t="s">
        <v>923</v>
      </c>
      <c r="I1558" s="856" t="s">
        <v>924</v>
      </c>
    </row>
    <row r="1559" spans="1:20" s="384" customFormat="1" ht="13.5" thickTop="1" thickBot="1" x14ac:dyDescent="0.25">
      <c r="A1559" s="568">
        <v>1</v>
      </c>
      <c r="B1559" s="569">
        <v>2</v>
      </c>
      <c r="C1559" s="569">
        <v>3</v>
      </c>
      <c r="D1559" s="569">
        <v>4</v>
      </c>
      <c r="E1559" s="569">
        <v>5</v>
      </c>
      <c r="F1559" s="543">
        <v>6</v>
      </c>
      <c r="G1559" s="543">
        <v>7</v>
      </c>
      <c r="H1559" s="544">
        <v>8</v>
      </c>
      <c r="I1559" s="638" t="s">
        <v>801</v>
      </c>
    </row>
    <row r="1560" spans="1:20" ht="15.75" thickTop="1" x14ac:dyDescent="0.25">
      <c r="A1560" s="1477">
        <v>1161</v>
      </c>
      <c r="B1560" s="885">
        <v>3122</v>
      </c>
      <c r="C1560" s="885">
        <v>5331</v>
      </c>
      <c r="D1560" s="890"/>
      <c r="E1560" s="924" t="s">
        <v>996</v>
      </c>
      <c r="F1560" s="883">
        <f>F1561+F1562+F1563</f>
        <v>1538</v>
      </c>
      <c r="G1560" s="883">
        <f>G1561+G1562+G1563</f>
        <v>1548</v>
      </c>
      <c r="H1560" s="883">
        <f>H1561+H1562+H1563</f>
        <v>1548</v>
      </c>
      <c r="I1560" s="887">
        <f t="shared" ref="I1560:I1568" si="71">(H1560/G1560)*100</f>
        <v>100</v>
      </c>
    </row>
    <row r="1561" spans="1:20" ht="18" customHeight="1" x14ac:dyDescent="0.2">
      <c r="A1561" s="432"/>
      <c r="B1561" s="681"/>
      <c r="C1561" s="681"/>
      <c r="D1561" s="719" t="s">
        <v>611</v>
      </c>
      <c r="E1561" s="1569" t="s">
        <v>833</v>
      </c>
      <c r="F1561" s="865">
        <v>36</v>
      </c>
      <c r="G1561" s="865">
        <v>36</v>
      </c>
      <c r="H1561" s="865">
        <v>36</v>
      </c>
      <c r="I1561" s="861">
        <f t="shared" si="71"/>
        <v>100</v>
      </c>
    </row>
    <row r="1562" spans="1:20" ht="20.25" customHeight="1" x14ac:dyDescent="0.2">
      <c r="A1562" s="432"/>
      <c r="B1562" s="681"/>
      <c r="C1562" s="681"/>
      <c r="D1562" s="554" t="s">
        <v>606</v>
      </c>
      <c r="E1562" s="456" t="s">
        <v>72</v>
      </c>
      <c r="F1562" s="865">
        <v>1502</v>
      </c>
      <c r="G1562" s="865">
        <v>1502</v>
      </c>
      <c r="H1562" s="865">
        <v>1502</v>
      </c>
      <c r="I1562" s="861">
        <f t="shared" si="71"/>
        <v>100</v>
      </c>
    </row>
    <row r="1563" spans="1:20" ht="20.25" customHeight="1" x14ac:dyDescent="0.2">
      <c r="A1563" s="432"/>
      <c r="B1563" s="681"/>
      <c r="C1563" s="681"/>
      <c r="D1563" s="1119" t="s">
        <v>1604</v>
      </c>
      <c r="E1563" s="2273" t="s">
        <v>1719</v>
      </c>
      <c r="F1563" s="865"/>
      <c r="G1563" s="865">
        <v>10</v>
      </c>
      <c r="H1563" s="865">
        <v>10</v>
      </c>
      <c r="I1563" s="861">
        <f t="shared" si="71"/>
        <v>100</v>
      </c>
    </row>
    <row r="1564" spans="1:20" ht="15" x14ac:dyDescent="0.25">
      <c r="A1564" s="432">
        <v>1161</v>
      </c>
      <c r="B1564" s="681">
        <v>3122</v>
      </c>
      <c r="C1564" s="681">
        <v>5336</v>
      </c>
      <c r="D1564" s="2255"/>
      <c r="E1564" s="1479" t="s">
        <v>1269</v>
      </c>
      <c r="F1564" s="865"/>
      <c r="G1564" s="889">
        <f>G1565+G1566+G1567</f>
        <v>13053</v>
      </c>
      <c r="H1564" s="889">
        <f>H1565+H1566+H1567</f>
        <v>13053</v>
      </c>
      <c r="I1564" s="891">
        <f t="shared" si="71"/>
        <v>100</v>
      </c>
    </row>
    <row r="1565" spans="1:20" ht="14.25" x14ac:dyDescent="0.2">
      <c r="A1565" s="432"/>
      <c r="B1565" s="681"/>
      <c r="C1565" s="1467"/>
      <c r="D1565" s="554" t="s">
        <v>1182</v>
      </c>
      <c r="E1565" s="456" t="s">
        <v>832</v>
      </c>
      <c r="F1565" s="865"/>
      <c r="G1565" s="865">
        <v>12704</v>
      </c>
      <c r="H1565" s="865">
        <v>12704</v>
      </c>
      <c r="I1565" s="861">
        <f t="shared" si="71"/>
        <v>100</v>
      </c>
    </row>
    <row r="1566" spans="1:20" ht="14.25" x14ac:dyDescent="0.2">
      <c r="A1566" s="432"/>
      <c r="B1566" s="681"/>
      <c r="C1566" s="1467"/>
      <c r="D1566" s="1481" t="s">
        <v>1608</v>
      </c>
      <c r="E1566" s="1476" t="s">
        <v>1717</v>
      </c>
      <c r="F1566" s="865"/>
      <c r="G1566" s="865">
        <v>52</v>
      </c>
      <c r="H1566" s="865">
        <v>52</v>
      </c>
      <c r="I1566" s="861">
        <f t="shared" si="71"/>
        <v>100</v>
      </c>
    </row>
    <row r="1567" spans="1:20" ht="15" thickBot="1" x14ac:dyDescent="0.25">
      <c r="A1567" s="432"/>
      <c r="B1567" s="681"/>
      <c r="C1567" s="1467"/>
      <c r="D1567" s="1481" t="s">
        <v>1610</v>
      </c>
      <c r="E1567" s="1476" t="s">
        <v>1717</v>
      </c>
      <c r="F1567" s="865"/>
      <c r="G1567" s="865">
        <v>297</v>
      </c>
      <c r="H1567" s="865">
        <v>297</v>
      </c>
      <c r="I1567" s="861">
        <f t="shared" si="71"/>
        <v>100</v>
      </c>
    </row>
    <row r="1568" spans="1:20" ht="16.5" thickTop="1" thickBot="1" x14ac:dyDescent="0.3">
      <c r="A1568" s="2685" t="s">
        <v>1162</v>
      </c>
      <c r="B1568" s="2686"/>
      <c r="C1568" s="2686"/>
      <c r="D1568" s="2686"/>
      <c r="E1568" s="2686"/>
      <c r="F1568" s="862">
        <f>SUM(F1560)</f>
        <v>1538</v>
      </c>
      <c r="G1568" s="862">
        <f>G1560+G1564</f>
        <v>14601</v>
      </c>
      <c r="H1568" s="862">
        <f>H1560+H1564</f>
        <v>14601</v>
      </c>
      <c r="I1568" s="863">
        <f t="shared" si="71"/>
        <v>100</v>
      </c>
      <c r="R1568" s="383">
        <f>F1568</f>
        <v>1538</v>
      </c>
      <c r="S1568" s="383">
        <f>G1568</f>
        <v>14601</v>
      </c>
      <c r="T1568" s="383">
        <f>H1568</f>
        <v>14601</v>
      </c>
    </row>
    <row r="1569" spans="1:20" ht="13.5" thickTop="1" x14ac:dyDescent="0.2"/>
    <row r="1572" spans="1:20" ht="13.5" thickBot="1" x14ac:dyDescent="0.25">
      <c r="A1572" s="433" t="s">
        <v>191</v>
      </c>
      <c r="I1572" s="1465" t="s">
        <v>173</v>
      </c>
    </row>
    <row r="1573" spans="1:20" s="107" customFormat="1" thickTop="1" thickBot="1" x14ac:dyDescent="0.25">
      <c r="A1573" s="633" t="s">
        <v>661</v>
      </c>
      <c r="B1573" s="810" t="s">
        <v>174</v>
      </c>
      <c r="C1573" s="634" t="s">
        <v>175</v>
      </c>
      <c r="D1573" s="636" t="s">
        <v>744</v>
      </c>
      <c r="E1573" s="636" t="s">
        <v>176</v>
      </c>
      <c r="F1573" s="636" t="s">
        <v>177</v>
      </c>
      <c r="G1573" s="636" t="s">
        <v>922</v>
      </c>
      <c r="H1573" s="636" t="s">
        <v>923</v>
      </c>
      <c r="I1573" s="856" t="s">
        <v>924</v>
      </c>
    </row>
    <row r="1574" spans="1:20" s="384" customFormat="1" ht="13.5" thickTop="1" thickBot="1" x14ac:dyDescent="0.25">
      <c r="A1574" s="568">
        <v>1</v>
      </c>
      <c r="B1574" s="569">
        <v>2</v>
      </c>
      <c r="C1574" s="569">
        <v>3</v>
      </c>
      <c r="D1574" s="569">
        <v>4</v>
      </c>
      <c r="E1574" s="569">
        <v>5</v>
      </c>
      <c r="F1574" s="543">
        <v>6</v>
      </c>
      <c r="G1574" s="543">
        <v>7</v>
      </c>
      <c r="H1574" s="544">
        <v>8</v>
      </c>
      <c r="I1574" s="638" t="s">
        <v>801</v>
      </c>
    </row>
    <row r="1575" spans="1:20" ht="15.75" thickTop="1" x14ac:dyDescent="0.25">
      <c r="A1575" s="1477">
        <v>1162</v>
      </c>
      <c r="B1575" s="885">
        <v>3122</v>
      </c>
      <c r="C1575" s="885">
        <v>5331</v>
      </c>
      <c r="D1575" s="890"/>
      <c r="E1575" s="924" t="s">
        <v>996</v>
      </c>
      <c r="F1575" s="883">
        <f>F1576+F1577+F1578</f>
        <v>2216</v>
      </c>
      <c r="G1575" s="883">
        <f>G1576+G1577+G1578</f>
        <v>2975</v>
      </c>
      <c r="H1575" s="883">
        <f>H1576+H1577+H1578</f>
        <v>2975</v>
      </c>
      <c r="I1575" s="887">
        <f t="shared" ref="I1575:I1582" si="72">(H1575/G1575)*100</f>
        <v>100</v>
      </c>
    </row>
    <row r="1576" spans="1:20" ht="14.25" x14ac:dyDescent="0.2">
      <c r="A1576" s="432"/>
      <c r="B1576" s="681"/>
      <c r="C1576" s="681"/>
      <c r="D1576" s="719" t="s">
        <v>611</v>
      </c>
      <c r="E1576" s="1569" t="s">
        <v>833</v>
      </c>
      <c r="F1576" s="865">
        <v>229</v>
      </c>
      <c r="G1576" s="865">
        <v>228</v>
      </c>
      <c r="H1576" s="865">
        <v>228</v>
      </c>
      <c r="I1576" s="861">
        <f t="shared" si="72"/>
        <v>100</v>
      </c>
    </row>
    <row r="1577" spans="1:20" ht="14.25" x14ac:dyDescent="0.2">
      <c r="A1577" s="432"/>
      <c r="B1577" s="681"/>
      <c r="C1577" s="681"/>
      <c r="D1577" s="554" t="s">
        <v>606</v>
      </c>
      <c r="E1577" s="456" t="s">
        <v>72</v>
      </c>
      <c r="F1577" s="865">
        <v>1987</v>
      </c>
      <c r="G1577" s="865">
        <v>1987</v>
      </c>
      <c r="H1577" s="865">
        <v>1987</v>
      </c>
      <c r="I1577" s="861">
        <f t="shared" si="72"/>
        <v>100</v>
      </c>
    </row>
    <row r="1578" spans="1:20" ht="14.25" x14ac:dyDescent="0.2">
      <c r="A1578" s="432"/>
      <c r="B1578" s="681"/>
      <c r="C1578" s="681"/>
      <c r="D1578" s="1120" t="s">
        <v>1419</v>
      </c>
      <c r="E1578" s="1591" t="s">
        <v>1420</v>
      </c>
      <c r="F1578" s="865"/>
      <c r="G1578" s="865">
        <v>760</v>
      </c>
      <c r="H1578" s="865">
        <v>760</v>
      </c>
      <c r="I1578" s="861">
        <f t="shared" si="72"/>
        <v>100</v>
      </c>
    </row>
    <row r="1579" spans="1:20" ht="15" x14ac:dyDescent="0.25">
      <c r="A1579" s="432">
        <v>1162</v>
      </c>
      <c r="B1579" s="681">
        <v>3122</v>
      </c>
      <c r="C1579" s="681">
        <v>5336</v>
      </c>
      <c r="D1579" s="1119"/>
      <c r="E1579" s="1479" t="s">
        <v>1269</v>
      </c>
      <c r="F1579" s="865"/>
      <c r="G1579" s="889">
        <f>G1580+G1581+G1582</f>
        <v>12482</v>
      </c>
      <c r="H1579" s="889">
        <f>H1580+H1581+H1582</f>
        <v>12482</v>
      </c>
      <c r="I1579" s="891">
        <f t="shared" si="72"/>
        <v>100</v>
      </c>
    </row>
    <row r="1580" spans="1:20" ht="18" customHeight="1" x14ac:dyDescent="0.2">
      <c r="A1580" s="432"/>
      <c r="B1580" s="681"/>
      <c r="C1580" s="1467"/>
      <c r="D1580" s="554" t="s">
        <v>1182</v>
      </c>
      <c r="E1580" s="456" t="s">
        <v>832</v>
      </c>
      <c r="F1580" s="865"/>
      <c r="G1580" s="865">
        <v>12136</v>
      </c>
      <c r="H1580" s="865">
        <v>12136</v>
      </c>
      <c r="I1580" s="861">
        <f t="shared" si="72"/>
        <v>100</v>
      </c>
    </row>
    <row r="1581" spans="1:20" ht="14.25" x14ac:dyDescent="0.2">
      <c r="A1581" s="432"/>
      <c r="B1581" s="681"/>
      <c r="C1581" s="1467"/>
      <c r="D1581" s="1481" t="s">
        <v>1608</v>
      </c>
      <c r="E1581" s="1476" t="s">
        <v>1717</v>
      </c>
      <c r="F1581" s="865"/>
      <c r="G1581" s="865">
        <v>52</v>
      </c>
      <c r="H1581" s="865">
        <v>52</v>
      </c>
      <c r="I1581" s="861">
        <f t="shared" si="72"/>
        <v>100</v>
      </c>
    </row>
    <row r="1582" spans="1:20" ht="15" thickBot="1" x14ac:dyDescent="0.25">
      <c r="A1582" s="432"/>
      <c r="B1582" s="681"/>
      <c r="C1582" s="1467"/>
      <c r="D1582" s="1481" t="s">
        <v>1610</v>
      </c>
      <c r="E1582" s="1476" t="s">
        <v>1717</v>
      </c>
      <c r="F1582" s="865"/>
      <c r="G1582" s="865">
        <v>294</v>
      </c>
      <c r="H1582" s="865">
        <v>294</v>
      </c>
      <c r="I1582" s="861">
        <f t="shared" si="72"/>
        <v>100</v>
      </c>
    </row>
    <row r="1583" spans="1:20" ht="16.5" thickTop="1" thickBot="1" x14ac:dyDescent="0.3">
      <c r="A1583" s="2685" t="s">
        <v>1162</v>
      </c>
      <c r="B1583" s="2686"/>
      <c r="C1583" s="2686"/>
      <c r="D1583" s="2686"/>
      <c r="E1583" s="2686"/>
      <c r="F1583" s="862">
        <f>F1575+F1579</f>
        <v>2216</v>
      </c>
      <c r="G1583" s="862">
        <f>G1575+G1579</f>
        <v>15457</v>
      </c>
      <c r="H1583" s="862">
        <f>H1575+H1579</f>
        <v>15457</v>
      </c>
      <c r="I1583" s="863">
        <f>(H1583/G1583)*100</f>
        <v>100</v>
      </c>
      <c r="R1583" s="383">
        <f>F1583</f>
        <v>2216</v>
      </c>
      <c r="S1583" s="383">
        <f>G1583</f>
        <v>15457</v>
      </c>
      <c r="T1583" s="383">
        <f>H1583</f>
        <v>15457</v>
      </c>
    </row>
    <row r="1584" spans="1:20" ht="13.5" thickTop="1" x14ac:dyDescent="0.2"/>
    <row r="1587" spans="1:9" ht="13.5" thickBot="1" x14ac:dyDescent="0.25">
      <c r="A1587" s="433" t="s">
        <v>192</v>
      </c>
      <c r="I1587" s="1465" t="s">
        <v>173</v>
      </c>
    </row>
    <row r="1588" spans="1:9" s="107" customFormat="1" thickTop="1" thickBot="1" x14ac:dyDescent="0.25">
      <c r="A1588" s="633" t="s">
        <v>661</v>
      </c>
      <c r="B1588" s="810" t="s">
        <v>174</v>
      </c>
      <c r="C1588" s="634" t="s">
        <v>175</v>
      </c>
      <c r="D1588" s="636" t="s">
        <v>744</v>
      </c>
      <c r="E1588" s="636" t="s">
        <v>176</v>
      </c>
      <c r="F1588" s="636" t="s">
        <v>177</v>
      </c>
      <c r="G1588" s="636" t="s">
        <v>922</v>
      </c>
      <c r="H1588" s="636" t="s">
        <v>923</v>
      </c>
      <c r="I1588" s="856" t="s">
        <v>924</v>
      </c>
    </row>
    <row r="1589" spans="1:9" s="384" customFormat="1" ht="13.5" thickTop="1" thickBot="1" x14ac:dyDescent="0.25">
      <c r="A1589" s="568">
        <v>1</v>
      </c>
      <c r="B1589" s="569">
        <v>2</v>
      </c>
      <c r="C1589" s="569">
        <v>3</v>
      </c>
      <c r="D1589" s="569">
        <v>4</v>
      </c>
      <c r="E1589" s="569">
        <v>5</v>
      </c>
      <c r="F1589" s="543">
        <v>6</v>
      </c>
      <c r="G1589" s="543">
        <v>7</v>
      </c>
      <c r="H1589" s="544">
        <v>8</v>
      </c>
      <c r="I1589" s="638" t="s">
        <v>801</v>
      </c>
    </row>
    <row r="1590" spans="1:9" ht="15.75" thickTop="1" x14ac:dyDescent="0.25">
      <c r="A1590" s="1477">
        <v>1163</v>
      </c>
      <c r="B1590" s="885">
        <v>3122</v>
      </c>
      <c r="C1590" s="885">
        <v>5331</v>
      </c>
      <c r="D1590" s="890"/>
      <c r="E1590" s="924" t="s">
        <v>996</v>
      </c>
      <c r="F1590" s="883">
        <f>SUM(F1591:F1594)</f>
        <v>1678</v>
      </c>
      <c r="G1590" s="883">
        <f>G1591+G1592</f>
        <v>1679</v>
      </c>
      <c r="H1590" s="883">
        <f>H1591+H1592</f>
        <v>1679</v>
      </c>
      <c r="I1590" s="887">
        <f t="shared" ref="I1590:I1605" si="73">(H1590/G1590)*100</f>
        <v>100</v>
      </c>
    </row>
    <row r="1591" spans="1:9" ht="14.25" x14ac:dyDescent="0.2">
      <c r="A1591" s="432"/>
      <c r="B1591" s="681"/>
      <c r="C1591" s="681"/>
      <c r="D1591" s="719" t="s">
        <v>611</v>
      </c>
      <c r="E1591" s="1569" t="s">
        <v>833</v>
      </c>
      <c r="F1591" s="865">
        <v>36</v>
      </c>
      <c r="G1591" s="865">
        <v>37</v>
      </c>
      <c r="H1591" s="865">
        <v>37</v>
      </c>
      <c r="I1591" s="861">
        <f t="shared" si="73"/>
        <v>100</v>
      </c>
    </row>
    <row r="1592" spans="1:9" ht="14.25" x14ac:dyDescent="0.2">
      <c r="A1592" s="432"/>
      <c r="B1592" s="681"/>
      <c r="C1592" s="1467"/>
      <c r="D1592" s="554" t="s">
        <v>606</v>
      </c>
      <c r="E1592" s="456" t="s">
        <v>72</v>
      </c>
      <c r="F1592" s="865">
        <v>1642</v>
      </c>
      <c r="G1592" s="865">
        <v>1642</v>
      </c>
      <c r="H1592" s="865">
        <v>1642</v>
      </c>
      <c r="I1592" s="861">
        <f t="shared" si="73"/>
        <v>100</v>
      </c>
    </row>
    <row r="1593" spans="1:9" ht="14.25" customHeight="1" x14ac:dyDescent="0.25">
      <c r="A1593" s="432">
        <v>1163</v>
      </c>
      <c r="B1593" s="681">
        <v>3122</v>
      </c>
      <c r="C1593" s="1467">
        <v>5336</v>
      </c>
      <c r="D1593" s="1119"/>
      <c r="E1593" s="1479" t="s">
        <v>1269</v>
      </c>
      <c r="F1593" s="865"/>
      <c r="G1593" s="889">
        <f>G1594+G1595+G1596</f>
        <v>14777</v>
      </c>
      <c r="H1593" s="889">
        <f>H1594+H1595+H1596</f>
        <v>14777</v>
      </c>
      <c r="I1593" s="891">
        <f t="shared" si="73"/>
        <v>100</v>
      </c>
    </row>
    <row r="1594" spans="1:9" ht="14.25" x14ac:dyDescent="0.2">
      <c r="A1594" s="432"/>
      <c r="B1594" s="681"/>
      <c r="C1594" s="1467"/>
      <c r="D1594" s="554" t="s">
        <v>1182</v>
      </c>
      <c r="E1594" s="456" t="s">
        <v>832</v>
      </c>
      <c r="F1594" s="865"/>
      <c r="G1594" s="865">
        <v>14390</v>
      </c>
      <c r="H1594" s="865">
        <v>14390</v>
      </c>
      <c r="I1594" s="861">
        <f t="shared" si="73"/>
        <v>100</v>
      </c>
    </row>
    <row r="1595" spans="1:9" ht="14.25" x14ac:dyDescent="0.2">
      <c r="A1595" s="432"/>
      <c r="B1595" s="681"/>
      <c r="C1595" s="1467"/>
      <c r="D1595" s="1481" t="s">
        <v>1608</v>
      </c>
      <c r="E1595" s="1476" t="s">
        <v>1717</v>
      </c>
      <c r="F1595" s="865"/>
      <c r="G1595" s="865">
        <v>58</v>
      </c>
      <c r="H1595" s="865">
        <v>58</v>
      </c>
      <c r="I1595" s="861">
        <f t="shared" si="73"/>
        <v>100</v>
      </c>
    </row>
    <row r="1596" spans="1:9" ht="14.25" x14ac:dyDescent="0.2">
      <c r="A1596" s="432"/>
      <c r="B1596" s="681"/>
      <c r="C1596" s="1467"/>
      <c r="D1596" s="1481" t="s">
        <v>1610</v>
      </c>
      <c r="E1596" s="1476" t="s">
        <v>1717</v>
      </c>
      <c r="F1596" s="865"/>
      <c r="G1596" s="865">
        <v>329</v>
      </c>
      <c r="H1596" s="865">
        <v>329</v>
      </c>
      <c r="I1596" s="861">
        <f t="shared" si="73"/>
        <v>100</v>
      </c>
    </row>
    <row r="1597" spans="1:9" ht="15" x14ac:dyDescent="0.25">
      <c r="A1597" s="432">
        <v>1163</v>
      </c>
      <c r="B1597" s="783">
        <v>3142</v>
      </c>
      <c r="C1597" s="783">
        <v>5331</v>
      </c>
      <c r="D1597" s="897"/>
      <c r="E1597" s="680" t="s">
        <v>996</v>
      </c>
      <c r="F1597" s="873">
        <v>370</v>
      </c>
      <c r="G1597" s="873">
        <v>370</v>
      </c>
      <c r="H1597" s="873">
        <v>370</v>
      </c>
      <c r="I1597" s="874">
        <f t="shared" si="73"/>
        <v>100</v>
      </c>
    </row>
    <row r="1598" spans="1:9" ht="18" customHeight="1" x14ac:dyDescent="0.2">
      <c r="A1598" s="432"/>
      <c r="B1598" s="783"/>
      <c r="C1598" s="783"/>
      <c r="D1598" s="719" t="s">
        <v>611</v>
      </c>
      <c r="E1598" s="1569" t="s">
        <v>833</v>
      </c>
      <c r="F1598" s="871">
        <v>370</v>
      </c>
      <c r="G1598" s="871">
        <v>370</v>
      </c>
      <c r="H1598" s="871">
        <v>370</v>
      </c>
      <c r="I1598" s="866">
        <f t="shared" si="73"/>
        <v>100</v>
      </c>
    </row>
    <row r="1599" spans="1:9" ht="15" x14ac:dyDescent="0.25">
      <c r="A1599" s="432">
        <v>1163</v>
      </c>
      <c r="B1599" s="783">
        <v>3142</v>
      </c>
      <c r="C1599" s="783">
        <v>5336</v>
      </c>
      <c r="D1599" s="554"/>
      <c r="E1599" s="1479" t="s">
        <v>1269</v>
      </c>
      <c r="F1599" s="871"/>
      <c r="G1599" s="884">
        <v>954</v>
      </c>
      <c r="H1599" s="884">
        <v>954</v>
      </c>
      <c r="I1599" s="876">
        <f t="shared" si="73"/>
        <v>100</v>
      </c>
    </row>
    <row r="1600" spans="1:9" ht="14.25" x14ac:dyDescent="0.2">
      <c r="A1600" s="432"/>
      <c r="B1600" s="783"/>
      <c r="C1600" s="1468"/>
      <c r="D1600" s="554" t="s">
        <v>1182</v>
      </c>
      <c r="E1600" s="456" t="s">
        <v>832</v>
      </c>
      <c r="F1600" s="871"/>
      <c r="G1600" s="871">
        <v>954</v>
      </c>
      <c r="H1600" s="871">
        <v>954</v>
      </c>
      <c r="I1600" s="866">
        <f t="shared" si="73"/>
        <v>100</v>
      </c>
    </row>
    <row r="1601" spans="1:20" ht="15" x14ac:dyDescent="0.25">
      <c r="A1601" s="432">
        <v>1163</v>
      </c>
      <c r="B1601" s="783">
        <v>3147</v>
      </c>
      <c r="C1601" s="783">
        <v>5331</v>
      </c>
      <c r="D1601" s="897"/>
      <c r="E1601" s="680" t="s">
        <v>996</v>
      </c>
      <c r="F1601" s="873">
        <v>500</v>
      </c>
      <c r="G1601" s="873">
        <v>500</v>
      </c>
      <c r="H1601" s="873">
        <v>500</v>
      </c>
      <c r="I1601" s="874">
        <f t="shared" si="73"/>
        <v>100</v>
      </c>
    </row>
    <row r="1602" spans="1:20" ht="14.25" x14ac:dyDescent="0.2">
      <c r="A1602" s="432"/>
      <c r="B1602" s="783"/>
      <c r="C1602" s="783"/>
      <c r="D1602" s="719" t="s">
        <v>611</v>
      </c>
      <c r="E1602" s="1569" t="s">
        <v>833</v>
      </c>
      <c r="F1602" s="875">
        <v>13</v>
      </c>
      <c r="G1602" s="875">
        <v>13</v>
      </c>
      <c r="H1602" s="875">
        <v>13</v>
      </c>
      <c r="I1602" s="377">
        <f t="shared" si="73"/>
        <v>100</v>
      </c>
    </row>
    <row r="1603" spans="1:20" ht="14.25" x14ac:dyDescent="0.2">
      <c r="A1603" s="432"/>
      <c r="B1603" s="783"/>
      <c r="C1603" s="783"/>
      <c r="D1603" s="554" t="s">
        <v>606</v>
      </c>
      <c r="E1603" s="456" t="s">
        <v>72</v>
      </c>
      <c r="F1603" s="871">
        <v>487</v>
      </c>
      <c r="G1603" s="871">
        <v>487</v>
      </c>
      <c r="H1603" s="871">
        <v>487</v>
      </c>
      <c r="I1603" s="866">
        <f t="shared" si="73"/>
        <v>100</v>
      </c>
    </row>
    <row r="1604" spans="1:20" ht="15" x14ac:dyDescent="0.25">
      <c r="A1604" s="432">
        <v>1163</v>
      </c>
      <c r="B1604" s="783">
        <v>3147</v>
      </c>
      <c r="C1604" s="783">
        <v>5336</v>
      </c>
      <c r="D1604" s="554"/>
      <c r="E1604" s="1479" t="s">
        <v>1269</v>
      </c>
      <c r="F1604" s="871"/>
      <c r="G1604" s="884">
        <v>1558</v>
      </c>
      <c r="H1604" s="884">
        <v>1558</v>
      </c>
      <c r="I1604" s="876">
        <f t="shared" si="73"/>
        <v>100</v>
      </c>
    </row>
    <row r="1605" spans="1:20" ht="15" thickBot="1" x14ac:dyDescent="0.25">
      <c r="A1605" s="432"/>
      <c r="B1605" s="783"/>
      <c r="C1605" s="1468"/>
      <c r="D1605" s="554" t="s">
        <v>1182</v>
      </c>
      <c r="E1605" s="456" t="s">
        <v>832</v>
      </c>
      <c r="F1605" s="871"/>
      <c r="G1605" s="871">
        <v>1558</v>
      </c>
      <c r="H1605" s="871">
        <v>1558</v>
      </c>
      <c r="I1605" s="866">
        <f t="shared" si="73"/>
        <v>100</v>
      </c>
    </row>
    <row r="1606" spans="1:20" ht="16.5" thickTop="1" thickBot="1" x14ac:dyDescent="0.3">
      <c r="A1606" s="2685" t="s">
        <v>1162</v>
      </c>
      <c r="B1606" s="2686"/>
      <c r="C1606" s="2686"/>
      <c r="D1606" s="2686"/>
      <c r="E1606" s="2686"/>
      <c r="F1606" s="862">
        <f>F1590+F1593+F1597+F1601+F1604</f>
        <v>2548</v>
      </c>
      <c r="G1606" s="862">
        <f>G1590+G1593+G1597+G1601+G1604+G1599</f>
        <v>19838</v>
      </c>
      <c r="H1606" s="862">
        <f>H1590+H1593+H1597+H1601+H1604+H1599</f>
        <v>19838</v>
      </c>
      <c r="I1606" s="863">
        <f>(H1606/G1606)*100</f>
        <v>100</v>
      </c>
      <c r="R1606" s="383">
        <f>F1606</f>
        <v>2548</v>
      </c>
      <c r="S1606" s="383">
        <f>G1606</f>
        <v>19838</v>
      </c>
      <c r="T1606" s="383">
        <f>H1606</f>
        <v>19838</v>
      </c>
    </row>
    <row r="1607" spans="1:20" ht="13.5" thickTop="1" x14ac:dyDescent="0.2"/>
    <row r="1613" spans="1:20" ht="13.5" thickBot="1" x14ac:dyDescent="0.25">
      <c r="A1613" s="433" t="s">
        <v>1275</v>
      </c>
      <c r="I1613" s="1465" t="s">
        <v>173</v>
      </c>
    </row>
    <row r="1614" spans="1:20" s="107" customFormat="1" thickTop="1" thickBot="1" x14ac:dyDescent="0.25">
      <c r="A1614" s="633" t="s">
        <v>661</v>
      </c>
      <c r="B1614" s="810" t="s">
        <v>174</v>
      </c>
      <c r="C1614" s="634" t="s">
        <v>175</v>
      </c>
      <c r="D1614" s="636" t="s">
        <v>744</v>
      </c>
      <c r="E1614" s="636" t="s">
        <v>176</v>
      </c>
      <c r="F1614" s="636" t="s">
        <v>177</v>
      </c>
      <c r="G1614" s="636" t="s">
        <v>922</v>
      </c>
      <c r="H1614" s="636" t="s">
        <v>923</v>
      </c>
      <c r="I1614" s="856" t="s">
        <v>924</v>
      </c>
    </row>
    <row r="1615" spans="1:20" s="384" customFormat="1" ht="13.5" thickTop="1" thickBot="1" x14ac:dyDescent="0.25">
      <c r="A1615" s="568">
        <v>1</v>
      </c>
      <c r="B1615" s="569">
        <v>2</v>
      </c>
      <c r="C1615" s="569">
        <v>3</v>
      </c>
      <c r="D1615" s="569">
        <v>4</v>
      </c>
      <c r="E1615" s="569">
        <v>5</v>
      </c>
      <c r="F1615" s="543">
        <v>6</v>
      </c>
      <c r="G1615" s="543">
        <v>7</v>
      </c>
      <c r="H1615" s="544">
        <v>8</v>
      </c>
      <c r="I1615" s="638" t="s">
        <v>801</v>
      </c>
    </row>
    <row r="1616" spans="1:20" ht="15.75" thickTop="1" x14ac:dyDescent="0.25">
      <c r="A1616" s="1477">
        <v>1171</v>
      </c>
      <c r="B1616" s="885">
        <v>3122</v>
      </c>
      <c r="C1616" s="885">
        <v>5331</v>
      </c>
      <c r="D1616" s="890"/>
      <c r="E1616" s="924" t="s">
        <v>996</v>
      </c>
      <c r="F1616" s="889">
        <v>2090</v>
      </c>
      <c r="G1616" s="889">
        <v>2090</v>
      </c>
      <c r="H1616" s="889">
        <v>2090</v>
      </c>
      <c r="I1616" s="891">
        <f>(H1616/G1616)*100</f>
        <v>100</v>
      </c>
    </row>
    <row r="1617" spans="1:16" ht="14.25" x14ac:dyDescent="0.2">
      <c r="A1617" s="432"/>
      <c r="B1617" s="681"/>
      <c r="C1617" s="1467"/>
      <c r="D1617" s="554" t="s">
        <v>606</v>
      </c>
      <c r="E1617" s="456" t="s">
        <v>72</v>
      </c>
      <c r="F1617" s="357">
        <v>2090</v>
      </c>
      <c r="G1617" s="357">
        <v>2090</v>
      </c>
      <c r="H1617" s="357">
        <v>2090</v>
      </c>
      <c r="I1617" s="892">
        <v>100</v>
      </c>
    </row>
    <row r="1618" spans="1:16" ht="15" x14ac:dyDescent="0.25">
      <c r="A1618" s="432">
        <v>1171</v>
      </c>
      <c r="B1618" s="681">
        <v>3122</v>
      </c>
      <c r="C1618" s="1467">
        <v>5336</v>
      </c>
      <c r="D1618" s="554"/>
      <c r="E1618" s="1479" t="s">
        <v>1269</v>
      </c>
      <c r="F1618" s="357"/>
      <c r="G1618" s="889">
        <f>G1619+G1620+G1621</f>
        <v>4890</v>
      </c>
      <c r="H1618" s="889">
        <f>H1619+H1620+H1621</f>
        <v>4890</v>
      </c>
      <c r="I1618" s="889">
        <f t="shared" ref="I1618:O1618" si="74">I1619+I1620+I1621</f>
        <v>300</v>
      </c>
      <c r="J1618" s="357">
        <f t="shared" si="74"/>
        <v>0</v>
      </c>
      <c r="K1618" s="357">
        <f t="shared" si="74"/>
        <v>0</v>
      </c>
      <c r="L1618" s="357">
        <f t="shared" si="74"/>
        <v>0</v>
      </c>
      <c r="M1618" s="357">
        <f t="shared" si="74"/>
        <v>0</v>
      </c>
      <c r="N1618" s="357">
        <f t="shared" si="74"/>
        <v>0</v>
      </c>
      <c r="O1618" s="860">
        <f t="shared" si="74"/>
        <v>0</v>
      </c>
      <c r="P1618" s="2277"/>
    </row>
    <row r="1619" spans="1:16" ht="14.25" x14ac:dyDescent="0.2">
      <c r="A1619" s="432"/>
      <c r="B1619" s="681"/>
      <c r="C1619" s="1467"/>
      <c r="D1619" s="554" t="s">
        <v>1182</v>
      </c>
      <c r="E1619" s="456" t="s">
        <v>832</v>
      </c>
      <c r="F1619" s="357"/>
      <c r="G1619" s="357">
        <v>4477</v>
      </c>
      <c r="H1619" s="357">
        <v>4477</v>
      </c>
      <c r="I1619" s="892">
        <v>100</v>
      </c>
    </row>
    <row r="1620" spans="1:16" ht="14.25" x14ac:dyDescent="0.2">
      <c r="A1620" s="432"/>
      <c r="B1620" s="783"/>
      <c r="C1620" s="1468"/>
      <c r="D1620" s="1481" t="s">
        <v>1608</v>
      </c>
      <c r="E1620" s="1476" t="s">
        <v>1717</v>
      </c>
      <c r="F1620" s="875"/>
      <c r="G1620" s="875">
        <v>62</v>
      </c>
      <c r="H1620" s="875">
        <v>62</v>
      </c>
      <c r="I1620" s="892">
        <v>100</v>
      </c>
    </row>
    <row r="1621" spans="1:16" ht="14.25" x14ac:dyDescent="0.2">
      <c r="A1621" s="432"/>
      <c r="B1621" s="783"/>
      <c r="C1621" s="1468"/>
      <c r="D1621" s="1481" t="s">
        <v>1610</v>
      </c>
      <c r="E1621" s="1476" t="s">
        <v>1717</v>
      </c>
      <c r="F1621" s="875"/>
      <c r="G1621" s="875">
        <v>351</v>
      </c>
      <c r="H1621" s="875">
        <v>351</v>
      </c>
      <c r="I1621" s="892">
        <v>100</v>
      </c>
    </row>
    <row r="1622" spans="1:16" ht="13.5" customHeight="1" x14ac:dyDescent="0.25">
      <c r="A1622" s="432">
        <v>1171</v>
      </c>
      <c r="B1622" s="783">
        <v>3123</v>
      </c>
      <c r="C1622" s="1468">
        <v>5331</v>
      </c>
      <c r="D1622" s="880"/>
      <c r="E1622" s="680" t="s">
        <v>996</v>
      </c>
      <c r="F1622" s="884">
        <f>F1623+F1624+F1625</f>
        <v>3278</v>
      </c>
      <c r="G1622" s="884">
        <f>G1623+G1624+G1625</f>
        <v>3434</v>
      </c>
      <c r="H1622" s="884">
        <f>H1623+H1624+H1625</f>
        <v>3434</v>
      </c>
      <c r="I1622" s="876">
        <f>(H1622/G1622)*100</f>
        <v>100</v>
      </c>
    </row>
    <row r="1623" spans="1:16" ht="14.25" x14ac:dyDescent="0.2">
      <c r="A1623" s="432"/>
      <c r="B1623" s="783"/>
      <c r="C1623" s="1468"/>
      <c r="D1623" s="828" t="s">
        <v>611</v>
      </c>
      <c r="E1623" s="1569" t="s">
        <v>833</v>
      </c>
      <c r="F1623" s="875">
        <v>693</v>
      </c>
      <c r="G1623" s="875">
        <v>692</v>
      </c>
      <c r="H1623" s="875">
        <v>692</v>
      </c>
      <c r="I1623" s="377">
        <v>100</v>
      </c>
    </row>
    <row r="1624" spans="1:16" ht="14.25" x14ac:dyDescent="0.2">
      <c r="A1624" s="432"/>
      <c r="B1624" s="783"/>
      <c r="C1624" s="1468"/>
      <c r="D1624" s="554" t="s">
        <v>606</v>
      </c>
      <c r="E1624" s="456" t="s">
        <v>72</v>
      </c>
      <c r="F1624" s="875">
        <v>2585</v>
      </c>
      <c r="G1624" s="875">
        <v>2585</v>
      </c>
      <c r="H1624" s="875">
        <v>2585</v>
      </c>
      <c r="I1624" s="377">
        <v>100</v>
      </c>
    </row>
    <row r="1625" spans="1:16" ht="14.25" x14ac:dyDescent="0.2">
      <c r="A1625" s="432"/>
      <c r="B1625" s="783"/>
      <c r="C1625" s="1468"/>
      <c r="D1625" s="1120" t="s">
        <v>968</v>
      </c>
      <c r="E1625" s="1215" t="s">
        <v>1274</v>
      </c>
      <c r="F1625" s="875"/>
      <c r="G1625" s="875">
        <v>157</v>
      </c>
      <c r="H1625" s="875">
        <v>157</v>
      </c>
      <c r="I1625" s="377">
        <v>100</v>
      </c>
    </row>
    <row r="1626" spans="1:16" ht="15" x14ac:dyDescent="0.25">
      <c r="A1626" s="432">
        <v>1171</v>
      </c>
      <c r="B1626" s="783">
        <v>3123</v>
      </c>
      <c r="C1626" s="1468">
        <v>5336</v>
      </c>
      <c r="D1626" s="1120"/>
      <c r="E1626" s="1479" t="s">
        <v>1269</v>
      </c>
      <c r="F1626" s="875"/>
      <c r="G1626" s="884">
        <v>6553</v>
      </c>
      <c r="H1626" s="884">
        <v>6553</v>
      </c>
      <c r="I1626" s="876">
        <v>100</v>
      </c>
    </row>
    <row r="1627" spans="1:16" ht="14.25" x14ac:dyDescent="0.2">
      <c r="A1627" s="432"/>
      <c r="B1627" s="783"/>
      <c r="C1627" s="1468"/>
      <c r="D1627" s="554" t="s">
        <v>1182</v>
      </c>
      <c r="E1627" s="456" t="s">
        <v>832</v>
      </c>
      <c r="F1627" s="875"/>
      <c r="G1627" s="875">
        <v>6553</v>
      </c>
      <c r="H1627" s="875">
        <v>6553</v>
      </c>
      <c r="I1627" s="377">
        <v>100</v>
      </c>
    </row>
    <row r="1628" spans="1:16" ht="15" x14ac:dyDescent="0.25">
      <c r="A1628" s="432">
        <v>1171</v>
      </c>
      <c r="B1628" s="783">
        <v>3141</v>
      </c>
      <c r="C1628" s="1468">
        <v>5336</v>
      </c>
      <c r="D1628" s="570"/>
      <c r="E1628" s="1479" t="s">
        <v>1269</v>
      </c>
      <c r="F1628" s="884"/>
      <c r="G1628" s="884">
        <v>109</v>
      </c>
      <c r="H1628" s="884">
        <v>109</v>
      </c>
      <c r="I1628" s="876">
        <v>100</v>
      </c>
    </row>
    <row r="1629" spans="1:16" ht="14.25" x14ac:dyDescent="0.2">
      <c r="A1629" s="432"/>
      <c r="B1629" s="783"/>
      <c r="C1629" s="1468"/>
      <c r="D1629" s="554" t="s">
        <v>1182</v>
      </c>
      <c r="E1629" s="456" t="s">
        <v>832</v>
      </c>
      <c r="F1629" s="875"/>
      <c r="G1629" s="875">
        <v>109</v>
      </c>
      <c r="H1629" s="875">
        <v>109</v>
      </c>
      <c r="I1629" s="377">
        <v>100</v>
      </c>
    </row>
    <row r="1630" spans="1:16" ht="15" x14ac:dyDescent="0.25">
      <c r="A1630" s="432">
        <v>1171</v>
      </c>
      <c r="B1630" s="783">
        <v>3142</v>
      </c>
      <c r="C1630" s="783">
        <v>5331</v>
      </c>
      <c r="D1630" s="897"/>
      <c r="E1630" s="680" t="s">
        <v>996</v>
      </c>
      <c r="F1630" s="884">
        <f>F1631+F1632</f>
        <v>417</v>
      </c>
      <c r="G1630" s="884">
        <f>G1631+G1632</f>
        <v>420</v>
      </c>
      <c r="H1630" s="884">
        <f>H1631+H1632</f>
        <v>420</v>
      </c>
      <c r="I1630" s="876">
        <f>(H1630/G1630)*100</f>
        <v>100</v>
      </c>
    </row>
    <row r="1631" spans="1:16" ht="14.25" customHeight="1" x14ac:dyDescent="0.2">
      <c r="A1631" s="432"/>
      <c r="B1631" s="783"/>
      <c r="C1631" s="783"/>
      <c r="D1631" s="719" t="s">
        <v>611</v>
      </c>
      <c r="E1631" s="1569" t="s">
        <v>833</v>
      </c>
      <c r="F1631" s="875">
        <v>32</v>
      </c>
      <c r="G1631" s="875">
        <v>35</v>
      </c>
      <c r="H1631" s="875">
        <v>35</v>
      </c>
      <c r="I1631" s="377">
        <v>100</v>
      </c>
    </row>
    <row r="1632" spans="1:16" ht="14.25" x14ac:dyDescent="0.2">
      <c r="A1632" s="432"/>
      <c r="B1632" s="783"/>
      <c r="C1632" s="783"/>
      <c r="D1632" s="554" t="s">
        <v>606</v>
      </c>
      <c r="E1632" s="456" t="s">
        <v>72</v>
      </c>
      <c r="F1632" s="875">
        <v>385</v>
      </c>
      <c r="G1632" s="875">
        <v>385</v>
      </c>
      <c r="H1632" s="875">
        <v>385</v>
      </c>
      <c r="I1632" s="377">
        <v>100</v>
      </c>
    </row>
    <row r="1633" spans="1:20" ht="15" x14ac:dyDescent="0.25">
      <c r="A1633" s="432">
        <v>1171</v>
      </c>
      <c r="B1633" s="783">
        <v>3142</v>
      </c>
      <c r="C1633" s="783">
        <v>5336</v>
      </c>
      <c r="D1633" s="554"/>
      <c r="E1633" s="1479" t="s">
        <v>1269</v>
      </c>
      <c r="F1633" s="875"/>
      <c r="G1633" s="884">
        <v>884</v>
      </c>
      <c r="H1633" s="884">
        <v>884</v>
      </c>
      <c r="I1633" s="876">
        <f>(H1633/G1633)*100</f>
        <v>100</v>
      </c>
    </row>
    <row r="1634" spans="1:20" ht="14.25" x14ac:dyDescent="0.2">
      <c r="A1634" s="432"/>
      <c r="B1634" s="783"/>
      <c r="C1634" s="783"/>
      <c r="D1634" s="554" t="s">
        <v>1182</v>
      </c>
      <c r="E1634" s="456" t="s">
        <v>832</v>
      </c>
      <c r="F1634" s="875"/>
      <c r="G1634" s="875">
        <v>884</v>
      </c>
      <c r="H1634" s="875">
        <v>884</v>
      </c>
      <c r="I1634" s="377">
        <v>100</v>
      </c>
    </row>
    <row r="1635" spans="1:20" ht="15" x14ac:dyDescent="0.25">
      <c r="A1635" s="432">
        <v>1171</v>
      </c>
      <c r="B1635" s="783">
        <v>3147</v>
      </c>
      <c r="C1635" s="783">
        <v>5331</v>
      </c>
      <c r="D1635" s="897"/>
      <c r="E1635" s="680" t="s">
        <v>996</v>
      </c>
      <c r="F1635" s="884">
        <f>F1636+F1637</f>
        <v>654</v>
      </c>
      <c r="G1635" s="884">
        <f>G1636+G1637</f>
        <v>631</v>
      </c>
      <c r="H1635" s="884">
        <f>H1636+H1637</f>
        <v>631</v>
      </c>
      <c r="I1635" s="876">
        <f>(H1635/G1635)*100</f>
        <v>100</v>
      </c>
    </row>
    <row r="1636" spans="1:20" ht="14.25" x14ac:dyDescent="0.2">
      <c r="A1636" s="432"/>
      <c r="B1636" s="783"/>
      <c r="C1636" s="783"/>
      <c r="D1636" s="719" t="s">
        <v>611</v>
      </c>
      <c r="E1636" s="1569" t="s">
        <v>833</v>
      </c>
      <c r="F1636" s="875">
        <v>214</v>
      </c>
      <c r="G1636" s="875">
        <v>191</v>
      </c>
      <c r="H1636" s="875">
        <v>191</v>
      </c>
      <c r="I1636" s="377">
        <v>100</v>
      </c>
    </row>
    <row r="1637" spans="1:20" ht="14.25" x14ac:dyDescent="0.2">
      <c r="A1637" s="432"/>
      <c r="B1637" s="783"/>
      <c r="C1637" s="783"/>
      <c r="D1637" s="554" t="s">
        <v>606</v>
      </c>
      <c r="E1637" s="456" t="s">
        <v>72</v>
      </c>
      <c r="F1637" s="875">
        <v>440</v>
      </c>
      <c r="G1637" s="875">
        <v>440</v>
      </c>
      <c r="H1637" s="875">
        <v>440</v>
      </c>
      <c r="I1637" s="377">
        <v>100</v>
      </c>
    </row>
    <row r="1638" spans="1:20" ht="15" x14ac:dyDescent="0.25">
      <c r="A1638" s="432">
        <v>1171</v>
      </c>
      <c r="B1638" s="783">
        <v>3147</v>
      </c>
      <c r="C1638" s="783">
        <v>5336</v>
      </c>
      <c r="D1638" s="554"/>
      <c r="E1638" s="1479" t="s">
        <v>1269</v>
      </c>
      <c r="F1638" s="875"/>
      <c r="G1638" s="884">
        <v>1546</v>
      </c>
      <c r="H1638" s="884">
        <v>1546</v>
      </c>
      <c r="I1638" s="876">
        <v>100</v>
      </c>
    </row>
    <row r="1639" spans="1:20" ht="15.75" thickBot="1" x14ac:dyDescent="0.3">
      <c r="A1639" s="432"/>
      <c r="B1639" s="783"/>
      <c r="C1639" s="783"/>
      <c r="D1639" s="554" t="s">
        <v>1182</v>
      </c>
      <c r="E1639" s="456" t="s">
        <v>832</v>
      </c>
      <c r="F1639" s="884"/>
      <c r="G1639" s="875">
        <v>1546</v>
      </c>
      <c r="H1639" s="875">
        <v>1546</v>
      </c>
      <c r="I1639" s="377">
        <v>100</v>
      </c>
    </row>
    <row r="1640" spans="1:20" ht="16.5" thickTop="1" thickBot="1" x14ac:dyDescent="0.3">
      <c r="A1640" s="2682" t="s">
        <v>1162</v>
      </c>
      <c r="B1640" s="2683"/>
      <c r="C1640" s="2683"/>
      <c r="D1640" s="2683"/>
      <c r="E1640" s="2684"/>
      <c r="F1640" s="928">
        <f>F1616+F1622+F1630+F1635+F1628+F1618+F1626+F1633+F1638</f>
        <v>6439</v>
      </c>
      <c r="G1640" s="928">
        <f>G1616+G1622+G1630+G1635+G1628+G1618+G1626+G1633+G1638</f>
        <v>20557</v>
      </c>
      <c r="H1640" s="928">
        <f>H1616+H1622+H1630+H1635+H1628+H1618+H1626+H1633+H1638</f>
        <v>20557</v>
      </c>
      <c r="I1640" s="929">
        <f>(H1640/G1640)*100</f>
        <v>100</v>
      </c>
      <c r="R1640" s="383">
        <f>F1640</f>
        <v>6439</v>
      </c>
      <c r="S1640" s="383">
        <f>G1640</f>
        <v>20557</v>
      </c>
      <c r="T1640" s="383">
        <f>H1640</f>
        <v>20557</v>
      </c>
    </row>
    <row r="1641" spans="1:20" ht="15.75" thickTop="1" x14ac:dyDescent="0.25">
      <c r="A1641" s="369"/>
      <c r="B1641" s="369"/>
      <c r="C1641" s="369"/>
      <c r="D1641" s="369"/>
      <c r="E1641" s="369"/>
      <c r="F1641" s="960"/>
      <c r="G1641" s="960"/>
      <c r="H1641" s="960"/>
      <c r="I1641" s="1485"/>
      <c r="R1641" s="383"/>
      <c r="S1641" s="383"/>
      <c r="T1641" s="383"/>
    </row>
    <row r="1642" spans="1:20" ht="15" x14ac:dyDescent="0.25">
      <c r="A1642" s="369"/>
      <c r="B1642" s="369"/>
      <c r="C1642" s="369"/>
      <c r="D1642" s="369"/>
      <c r="E1642" s="369"/>
      <c r="F1642" s="960"/>
      <c r="G1642" s="960"/>
      <c r="H1642" s="960"/>
      <c r="I1642" s="1485"/>
      <c r="R1642" s="383"/>
      <c r="S1642" s="383"/>
      <c r="T1642" s="383"/>
    </row>
    <row r="1643" spans="1:20" ht="13.5" thickBot="1" x14ac:dyDescent="0.25">
      <c r="A1643" s="433" t="s">
        <v>378</v>
      </c>
      <c r="I1643" s="1465" t="s">
        <v>173</v>
      </c>
    </row>
    <row r="1644" spans="1:20" s="107" customFormat="1" thickTop="1" thickBot="1" x14ac:dyDescent="0.25">
      <c r="A1644" s="633" t="s">
        <v>661</v>
      </c>
      <c r="B1644" s="810" t="s">
        <v>174</v>
      </c>
      <c r="C1644" s="634" t="s">
        <v>175</v>
      </c>
      <c r="D1644" s="636" t="s">
        <v>744</v>
      </c>
      <c r="E1644" s="636" t="s">
        <v>176</v>
      </c>
      <c r="F1644" s="636" t="s">
        <v>177</v>
      </c>
      <c r="G1644" s="636" t="s">
        <v>922</v>
      </c>
      <c r="H1644" s="636" t="s">
        <v>923</v>
      </c>
      <c r="I1644" s="856" t="s">
        <v>924</v>
      </c>
    </row>
    <row r="1645" spans="1:20" s="384" customFormat="1" ht="13.5" thickTop="1" thickBot="1" x14ac:dyDescent="0.25">
      <c r="A1645" s="568">
        <v>1</v>
      </c>
      <c r="B1645" s="569">
        <v>2</v>
      </c>
      <c r="C1645" s="569">
        <v>3</v>
      </c>
      <c r="D1645" s="569">
        <v>4</v>
      </c>
      <c r="E1645" s="569">
        <v>5</v>
      </c>
      <c r="F1645" s="543">
        <v>6</v>
      </c>
      <c r="G1645" s="543">
        <v>7</v>
      </c>
      <c r="H1645" s="544">
        <v>8</v>
      </c>
      <c r="I1645" s="638" t="s">
        <v>801</v>
      </c>
    </row>
    <row r="1646" spans="1:20" ht="12.75" customHeight="1" thickTop="1" x14ac:dyDescent="0.25">
      <c r="A1646" s="1477">
        <v>1173</v>
      </c>
      <c r="B1646" s="885">
        <v>3122</v>
      </c>
      <c r="C1646" s="885">
        <v>5331</v>
      </c>
      <c r="D1646" s="890"/>
      <c r="E1646" s="924" t="s">
        <v>996</v>
      </c>
      <c r="F1646" s="883">
        <v>1988</v>
      </c>
      <c r="G1646" s="883">
        <v>1988</v>
      </c>
      <c r="H1646" s="883">
        <v>1988</v>
      </c>
      <c r="I1646" s="887">
        <f t="shared" ref="I1646:I1672" si="75">(H1646/G1646)*100</f>
        <v>100</v>
      </c>
    </row>
    <row r="1647" spans="1:20" ht="14.25" x14ac:dyDescent="0.2">
      <c r="A1647" s="432"/>
      <c r="B1647" s="681"/>
      <c r="C1647" s="681"/>
      <c r="D1647" s="554" t="s">
        <v>606</v>
      </c>
      <c r="E1647" s="456" t="s">
        <v>72</v>
      </c>
      <c r="F1647" s="865">
        <v>1988</v>
      </c>
      <c r="G1647" s="865">
        <v>1988</v>
      </c>
      <c r="H1647" s="865">
        <v>1988</v>
      </c>
      <c r="I1647" s="861">
        <f t="shared" si="75"/>
        <v>100</v>
      </c>
    </row>
    <row r="1648" spans="1:20" ht="15" x14ac:dyDescent="0.25">
      <c r="A1648" s="432">
        <v>1173</v>
      </c>
      <c r="B1648" s="681">
        <v>3122</v>
      </c>
      <c r="C1648" s="681">
        <v>5336</v>
      </c>
      <c r="D1648" s="2255"/>
      <c r="E1648" s="1479" t="s">
        <v>1269</v>
      </c>
      <c r="F1648" s="865"/>
      <c r="G1648" s="884">
        <v>4042</v>
      </c>
      <c r="H1648" s="889">
        <v>4042</v>
      </c>
      <c r="I1648" s="891">
        <f t="shared" si="75"/>
        <v>100</v>
      </c>
    </row>
    <row r="1649" spans="1:9" ht="14.25" x14ac:dyDescent="0.2">
      <c r="A1649" s="432"/>
      <c r="B1649" s="681"/>
      <c r="C1649" s="1467"/>
      <c r="D1649" s="554" t="s">
        <v>1182</v>
      </c>
      <c r="E1649" s="456" t="s">
        <v>832</v>
      </c>
      <c r="F1649" s="865"/>
      <c r="G1649" s="871">
        <v>4042</v>
      </c>
      <c r="H1649" s="865">
        <v>4042</v>
      </c>
      <c r="I1649" s="861">
        <f t="shared" si="75"/>
        <v>100</v>
      </c>
    </row>
    <row r="1650" spans="1:9" ht="15" x14ac:dyDescent="0.25">
      <c r="A1650" s="432">
        <v>1173</v>
      </c>
      <c r="B1650" s="783">
        <v>3123</v>
      </c>
      <c r="C1650" s="783">
        <v>5331</v>
      </c>
      <c r="D1650" s="897"/>
      <c r="E1650" s="680" t="s">
        <v>996</v>
      </c>
      <c r="F1650" s="873">
        <f>F1651+F1652+F1653+F1654</f>
        <v>7028</v>
      </c>
      <c r="G1650" s="873">
        <f>G1651+G1652+G1653+G1654</f>
        <v>7615</v>
      </c>
      <c r="H1650" s="873">
        <f>H1651+H1652+H1653+H1654</f>
        <v>7615</v>
      </c>
      <c r="I1650" s="874">
        <f t="shared" si="75"/>
        <v>100</v>
      </c>
    </row>
    <row r="1651" spans="1:9" ht="14.25" x14ac:dyDescent="0.2">
      <c r="A1651" s="432"/>
      <c r="B1651" s="783"/>
      <c r="C1651" s="783"/>
      <c r="D1651" s="719" t="s">
        <v>611</v>
      </c>
      <c r="E1651" s="1569" t="s">
        <v>833</v>
      </c>
      <c r="F1651" s="871">
        <v>2860</v>
      </c>
      <c r="G1651" s="871">
        <v>2860</v>
      </c>
      <c r="H1651" s="871">
        <v>2860</v>
      </c>
      <c r="I1651" s="866">
        <f t="shared" si="75"/>
        <v>100</v>
      </c>
    </row>
    <row r="1652" spans="1:9" ht="14.25" x14ac:dyDescent="0.2">
      <c r="A1652" s="432"/>
      <c r="B1652" s="783"/>
      <c r="C1652" s="783"/>
      <c r="D1652" s="554" t="s">
        <v>606</v>
      </c>
      <c r="E1652" s="456" t="s">
        <v>72</v>
      </c>
      <c r="F1652" s="871">
        <v>4068</v>
      </c>
      <c r="G1652" s="871">
        <v>4068</v>
      </c>
      <c r="H1652" s="871">
        <v>4068</v>
      </c>
      <c r="I1652" s="866">
        <f t="shared" si="75"/>
        <v>100</v>
      </c>
    </row>
    <row r="1653" spans="1:9" ht="14.25" x14ac:dyDescent="0.2">
      <c r="A1653" s="432"/>
      <c r="B1653" s="783"/>
      <c r="C1653" s="783"/>
      <c r="D1653" s="554" t="s">
        <v>703</v>
      </c>
      <c r="E1653" s="456" t="s">
        <v>75</v>
      </c>
      <c r="F1653" s="871">
        <v>100</v>
      </c>
      <c r="G1653" s="871">
        <v>100</v>
      </c>
      <c r="H1653" s="871">
        <v>100</v>
      </c>
      <c r="I1653" s="866">
        <f t="shared" si="75"/>
        <v>100</v>
      </c>
    </row>
    <row r="1654" spans="1:9" ht="14.25" x14ac:dyDescent="0.2">
      <c r="A1654" s="432"/>
      <c r="B1654" s="783"/>
      <c r="C1654" s="783"/>
      <c r="D1654" s="1120" t="s">
        <v>968</v>
      </c>
      <c r="E1654" s="1215" t="s">
        <v>1274</v>
      </c>
      <c r="F1654" s="871"/>
      <c r="G1654" s="871">
        <v>587</v>
      </c>
      <c r="H1654" s="871">
        <v>587</v>
      </c>
      <c r="I1654" s="866">
        <f t="shared" si="75"/>
        <v>100</v>
      </c>
    </row>
    <row r="1655" spans="1:9" ht="15" x14ac:dyDescent="0.25">
      <c r="A1655" s="432">
        <v>1173</v>
      </c>
      <c r="B1655" s="783">
        <v>3123</v>
      </c>
      <c r="C1655" s="783">
        <v>5336</v>
      </c>
      <c r="D1655" s="1120"/>
      <c r="E1655" s="1479" t="s">
        <v>1269</v>
      </c>
      <c r="F1655" s="871"/>
      <c r="G1655" s="884">
        <f>G1656+G1657+G1658</f>
        <v>20615</v>
      </c>
      <c r="H1655" s="884">
        <f>H1656+H1657+H1658</f>
        <v>20615</v>
      </c>
      <c r="I1655" s="876">
        <f t="shared" si="75"/>
        <v>100</v>
      </c>
    </row>
    <row r="1656" spans="1:9" ht="14.25" x14ac:dyDescent="0.2">
      <c r="A1656" s="432"/>
      <c r="B1656" s="783"/>
      <c r="C1656" s="783"/>
      <c r="D1656" s="554" t="s">
        <v>1182</v>
      </c>
      <c r="E1656" s="456" t="s">
        <v>832</v>
      </c>
      <c r="F1656" s="871"/>
      <c r="G1656" s="871">
        <v>19889</v>
      </c>
      <c r="H1656" s="871">
        <v>19889</v>
      </c>
      <c r="I1656" s="866">
        <f t="shared" si="75"/>
        <v>100</v>
      </c>
    </row>
    <row r="1657" spans="1:9" ht="14.25" x14ac:dyDescent="0.2">
      <c r="A1657" s="432"/>
      <c r="B1657" s="783"/>
      <c r="C1657" s="783"/>
      <c r="D1657" s="1481" t="s">
        <v>1608</v>
      </c>
      <c r="E1657" s="1476" t="s">
        <v>1717</v>
      </c>
      <c r="F1657" s="871"/>
      <c r="G1657" s="871">
        <v>109</v>
      </c>
      <c r="H1657" s="871">
        <v>109</v>
      </c>
      <c r="I1657" s="866">
        <f t="shared" si="75"/>
        <v>100</v>
      </c>
    </row>
    <row r="1658" spans="1:9" ht="14.25" x14ac:dyDescent="0.2">
      <c r="A1658" s="432"/>
      <c r="B1658" s="783"/>
      <c r="C1658" s="783"/>
      <c r="D1658" s="1481" t="s">
        <v>1610</v>
      </c>
      <c r="E1658" s="1476" t="s">
        <v>1717</v>
      </c>
      <c r="F1658" s="871"/>
      <c r="G1658" s="871">
        <v>617</v>
      </c>
      <c r="H1658" s="871">
        <v>617</v>
      </c>
      <c r="I1658" s="866">
        <f t="shared" si="75"/>
        <v>100</v>
      </c>
    </row>
    <row r="1659" spans="1:9" ht="15" x14ac:dyDescent="0.25">
      <c r="A1659" s="432">
        <v>1173</v>
      </c>
      <c r="B1659" s="783">
        <v>3124</v>
      </c>
      <c r="C1659" s="783">
        <v>5331</v>
      </c>
      <c r="D1659" s="570"/>
      <c r="E1659" s="680" t="s">
        <v>996</v>
      </c>
      <c r="F1659" s="884"/>
      <c r="G1659" s="884">
        <v>127</v>
      </c>
      <c r="H1659" s="884">
        <v>127</v>
      </c>
      <c r="I1659" s="876">
        <f t="shared" si="75"/>
        <v>100</v>
      </c>
    </row>
    <row r="1660" spans="1:9" ht="15" x14ac:dyDescent="0.25">
      <c r="A1660" s="432"/>
      <c r="B1660" s="783"/>
      <c r="C1660" s="783"/>
      <c r="D1660" s="1120" t="s">
        <v>968</v>
      </c>
      <c r="E1660" s="1215" t="s">
        <v>1274</v>
      </c>
      <c r="F1660" s="884"/>
      <c r="G1660" s="875">
        <v>127</v>
      </c>
      <c r="H1660" s="875">
        <v>127</v>
      </c>
      <c r="I1660" s="377">
        <f t="shared" si="75"/>
        <v>100</v>
      </c>
    </row>
    <row r="1661" spans="1:9" ht="15" x14ac:dyDescent="0.25">
      <c r="A1661" s="432">
        <v>1173</v>
      </c>
      <c r="B1661" s="783">
        <v>3124</v>
      </c>
      <c r="C1661" s="783">
        <v>5336</v>
      </c>
      <c r="D1661" s="1120"/>
      <c r="E1661" s="1479" t="s">
        <v>1269</v>
      </c>
      <c r="F1661" s="884"/>
      <c r="G1661" s="884">
        <v>3461</v>
      </c>
      <c r="H1661" s="884">
        <v>3461</v>
      </c>
      <c r="I1661" s="876">
        <f t="shared" si="75"/>
        <v>100</v>
      </c>
    </row>
    <row r="1662" spans="1:9" ht="14.25" x14ac:dyDescent="0.2">
      <c r="A1662" s="432"/>
      <c r="B1662" s="783"/>
      <c r="C1662" s="783"/>
      <c r="D1662" s="554" t="s">
        <v>1182</v>
      </c>
      <c r="E1662" s="456" t="s">
        <v>832</v>
      </c>
      <c r="F1662" s="871"/>
      <c r="G1662" s="871">
        <v>3461</v>
      </c>
      <c r="H1662" s="871">
        <v>3461</v>
      </c>
      <c r="I1662" s="866">
        <f t="shared" si="75"/>
        <v>100</v>
      </c>
    </row>
    <row r="1663" spans="1:9" ht="15" x14ac:dyDescent="0.25">
      <c r="A1663" s="432">
        <v>1173</v>
      </c>
      <c r="B1663" s="783">
        <v>3141</v>
      </c>
      <c r="C1663" s="783">
        <v>5331</v>
      </c>
      <c r="D1663" s="897"/>
      <c r="E1663" s="680" t="s">
        <v>996</v>
      </c>
      <c r="F1663" s="873"/>
      <c r="G1663" s="873">
        <v>245</v>
      </c>
      <c r="H1663" s="873">
        <v>245</v>
      </c>
      <c r="I1663" s="874">
        <f>(H1663/G1663)*100</f>
        <v>100</v>
      </c>
    </row>
    <row r="1664" spans="1:9" ht="14.25" x14ac:dyDescent="0.2">
      <c r="A1664" s="432"/>
      <c r="B1664" s="783"/>
      <c r="C1664" s="783"/>
      <c r="D1664" s="554" t="s">
        <v>1182</v>
      </c>
      <c r="E1664" s="456" t="s">
        <v>832</v>
      </c>
      <c r="F1664" s="871"/>
      <c r="G1664" s="871">
        <v>245</v>
      </c>
      <c r="H1664" s="871">
        <v>245</v>
      </c>
      <c r="I1664" s="866">
        <f>(H1664/G1664)*100</f>
        <v>100</v>
      </c>
    </row>
    <row r="1665" spans="1:20" ht="15" x14ac:dyDescent="0.25">
      <c r="A1665" s="432">
        <v>1173</v>
      </c>
      <c r="B1665" s="783">
        <v>3142</v>
      </c>
      <c r="C1665" s="783">
        <v>5331</v>
      </c>
      <c r="D1665" s="897"/>
      <c r="E1665" s="680" t="s">
        <v>996</v>
      </c>
      <c r="F1665" s="873">
        <v>917</v>
      </c>
      <c r="G1665" s="873">
        <v>917</v>
      </c>
      <c r="H1665" s="873">
        <v>917</v>
      </c>
      <c r="I1665" s="874">
        <f t="shared" si="75"/>
        <v>100</v>
      </c>
    </row>
    <row r="1666" spans="1:20" ht="14.25" x14ac:dyDescent="0.2">
      <c r="A1666" s="432"/>
      <c r="B1666" s="783"/>
      <c r="C1666" s="783"/>
      <c r="D1666" s="554" t="s">
        <v>606</v>
      </c>
      <c r="E1666" s="456" t="s">
        <v>72</v>
      </c>
      <c r="F1666" s="871">
        <v>917</v>
      </c>
      <c r="G1666" s="871">
        <v>917</v>
      </c>
      <c r="H1666" s="871">
        <v>917</v>
      </c>
      <c r="I1666" s="866">
        <f t="shared" si="75"/>
        <v>100</v>
      </c>
    </row>
    <row r="1667" spans="1:20" ht="15" x14ac:dyDescent="0.25">
      <c r="A1667" s="432">
        <v>1173</v>
      </c>
      <c r="B1667" s="783">
        <v>3142</v>
      </c>
      <c r="C1667" s="783">
        <v>5336</v>
      </c>
      <c r="D1667" s="554"/>
      <c r="E1667" s="1479" t="s">
        <v>1269</v>
      </c>
      <c r="F1667" s="871"/>
      <c r="G1667" s="884">
        <v>1915</v>
      </c>
      <c r="H1667" s="884">
        <v>1915</v>
      </c>
      <c r="I1667" s="876">
        <f t="shared" si="75"/>
        <v>100</v>
      </c>
    </row>
    <row r="1668" spans="1:20" ht="14.25" x14ac:dyDescent="0.2">
      <c r="A1668" s="432"/>
      <c r="B1668" s="783"/>
      <c r="C1668" s="783"/>
      <c r="D1668" s="554" t="s">
        <v>1182</v>
      </c>
      <c r="E1668" s="456" t="s">
        <v>832</v>
      </c>
      <c r="F1668" s="871"/>
      <c r="G1668" s="871">
        <v>1915</v>
      </c>
      <c r="H1668" s="871">
        <v>1915</v>
      </c>
      <c r="I1668" s="866">
        <f t="shared" si="75"/>
        <v>100</v>
      </c>
    </row>
    <row r="1669" spans="1:20" ht="15" x14ac:dyDescent="0.25">
      <c r="A1669" s="432">
        <v>1173</v>
      </c>
      <c r="B1669" s="681">
        <v>3147</v>
      </c>
      <c r="C1669" s="1468">
        <v>5331</v>
      </c>
      <c r="D1669" s="867"/>
      <c r="E1669" s="829" t="s">
        <v>996</v>
      </c>
      <c r="F1669" s="858">
        <v>868</v>
      </c>
      <c r="G1669" s="873">
        <v>868</v>
      </c>
      <c r="H1669" s="873">
        <v>868</v>
      </c>
      <c r="I1669" s="859">
        <f t="shared" si="75"/>
        <v>100</v>
      </c>
    </row>
    <row r="1670" spans="1:20" ht="14.25" x14ac:dyDescent="0.2">
      <c r="A1670" s="432"/>
      <c r="B1670" s="681"/>
      <c r="C1670" s="1467"/>
      <c r="D1670" s="554" t="s">
        <v>606</v>
      </c>
      <c r="E1670" s="456" t="s">
        <v>72</v>
      </c>
      <c r="F1670" s="357">
        <v>868</v>
      </c>
      <c r="G1670" s="865">
        <v>868</v>
      </c>
      <c r="H1670" s="865">
        <v>868</v>
      </c>
      <c r="I1670" s="861">
        <f t="shared" si="75"/>
        <v>100</v>
      </c>
    </row>
    <row r="1671" spans="1:20" ht="15" x14ac:dyDescent="0.25">
      <c r="A1671" s="432">
        <v>1173</v>
      </c>
      <c r="B1671" s="681">
        <v>3147</v>
      </c>
      <c r="C1671" s="1468">
        <v>5336</v>
      </c>
      <c r="D1671" s="554"/>
      <c r="E1671" s="1479" t="s">
        <v>1269</v>
      </c>
      <c r="F1671" s="357"/>
      <c r="G1671" s="884">
        <v>4506</v>
      </c>
      <c r="H1671" s="884">
        <v>4506</v>
      </c>
      <c r="I1671" s="891">
        <f t="shared" si="75"/>
        <v>100</v>
      </c>
    </row>
    <row r="1672" spans="1:20" ht="15" thickBot="1" x14ac:dyDescent="0.25">
      <c r="A1672" s="432"/>
      <c r="B1672" s="681"/>
      <c r="C1672" s="1468"/>
      <c r="D1672" s="554" t="s">
        <v>1182</v>
      </c>
      <c r="E1672" s="456" t="s">
        <v>832</v>
      </c>
      <c r="F1672" s="357"/>
      <c r="G1672" s="871">
        <v>4506</v>
      </c>
      <c r="H1672" s="871">
        <v>4506</v>
      </c>
      <c r="I1672" s="861">
        <f t="shared" si="75"/>
        <v>100</v>
      </c>
    </row>
    <row r="1673" spans="1:20" ht="18" customHeight="1" thickTop="1" thickBot="1" x14ac:dyDescent="0.3">
      <c r="A1673" s="2685" t="s">
        <v>1162</v>
      </c>
      <c r="B1673" s="2686"/>
      <c r="C1673" s="2686"/>
      <c r="D1673" s="2686"/>
      <c r="E1673" s="2686"/>
      <c r="F1673" s="862">
        <f>F1646+F1650+F1665+F1669</f>
        <v>10801</v>
      </c>
      <c r="G1673" s="862">
        <f>G1646+G1648+G1650+G1655+G1659+G1661+G1663+G1665+G1667+G1669+G1671</f>
        <v>46299</v>
      </c>
      <c r="H1673" s="862">
        <f>H1646+H1648+H1650+H1655+H1659+H1661+H1663+H1665+H1667+H1669+H1671</f>
        <v>46299</v>
      </c>
      <c r="I1673" s="863">
        <f>(H1673/G1673)*100</f>
        <v>100</v>
      </c>
      <c r="R1673" s="383">
        <f>F1673</f>
        <v>10801</v>
      </c>
      <c r="S1673" s="383">
        <f>G1673</f>
        <v>46299</v>
      </c>
      <c r="T1673" s="383">
        <f>H1673</f>
        <v>46299</v>
      </c>
    </row>
    <row r="1674" spans="1:20" s="107" customFormat="1" ht="15.75" thickTop="1" x14ac:dyDescent="0.25">
      <c r="A1674" s="369"/>
      <c r="B1674" s="369"/>
      <c r="C1674" s="369"/>
      <c r="D1674" s="369"/>
      <c r="E1674" s="369"/>
      <c r="F1674" s="181"/>
      <c r="G1674" s="181"/>
      <c r="H1674" s="181"/>
      <c r="I1674" s="210"/>
    </row>
    <row r="1675" spans="1:20" ht="13.5" thickBot="1" x14ac:dyDescent="0.25">
      <c r="A1675" s="433" t="s">
        <v>140</v>
      </c>
      <c r="I1675" s="1465" t="s">
        <v>173</v>
      </c>
    </row>
    <row r="1676" spans="1:20" ht="14.25" thickTop="1" thickBot="1" x14ac:dyDescent="0.25">
      <c r="A1676" s="633" t="s">
        <v>661</v>
      </c>
      <c r="B1676" s="810" t="s">
        <v>174</v>
      </c>
      <c r="C1676" s="634" t="s">
        <v>175</v>
      </c>
      <c r="D1676" s="636" t="s">
        <v>744</v>
      </c>
      <c r="E1676" s="636" t="s">
        <v>176</v>
      </c>
      <c r="F1676" s="636" t="s">
        <v>177</v>
      </c>
      <c r="G1676" s="636" t="s">
        <v>922</v>
      </c>
      <c r="H1676" s="636" t="s">
        <v>923</v>
      </c>
      <c r="I1676" s="856" t="s">
        <v>924</v>
      </c>
    </row>
    <row r="1677" spans="1:20" ht="14.25" thickTop="1" thickBot="1" x14ac:dyDescent="0.25">
      <c r="A1677" s="568">
        <v>1</v>
      </c>
      <c r="B1677" s="569">
        <v>2</v>
      </c>
      <c r="C1677" s="569">
        <v>3</v>
      </c>
      <c r="D1677" s="569">
        <v>4</v>
      </c>
      <c r="E1677" s="569">
        <v>5</v>
      </c>
      <c r="F1677" s="543">
        <v>6</v>
      </c>
      <c r="G1677" s="543">
        <v>7</v>
      </c>
      <c r="H1677" s="544">
        <v>8</v>
      </c>
      <c r="I1677" s="638" t="s">
        <v>801</v>
      </c>
    </row>
    <row r="1678" spans="1:20" ht="15.75" thickTop="1" x14ac:dyDescent="0.25">
      <c r="A1678" s="1477">
        <v>1174</v>
      </c>
      <c r="B1678" s="885">
        <v>3122</v>
      </c>
      <c r="C1678" s="885">
        <v>5336</v>
      </c>
      <c r="D1678" s="890"/>
      <c r="E1678" s="1479" t="s">
        <v>1269</v>
      </c>
      <c r="F1678" s="883"/>
      <c r="G1678" s="883">
        <v>3684</v>
      </c>
      <c r="H1678" s="883">
        <v>3684</v>
      </c>
      <c r="I1678" s="887">
        <f t="shared" ref="I1678:I1701" si="76">(H1678/G1678)*100</f>
        <v>100</v>
      </c>
    </row>
    <row r="1679" spans="1:20" ht="14.25" x14ac:dyDescent="0.2">
      <c r="A1679" s="432"/>
      <c r="B1679" s="681"/>
      <c r="C1679" s="1467"/>
      <c r="D1679" s="554" t="s">
        <v>1182</v>
      </c>
      <c r="E1679" s="456" t="s">
        <v>832</v>
      </c>
      <c r="F1679" s="865"/>
      <c r="G1679" s="865">
        <v>3684</v>
      </c>
      <c r="H1679" s="865">
        <v>3684</v>
      </c>
      <c r="I1679" s="861">
        <f t="shared" si="76"/>
        <v>100</v>
      </c>
    </row>
    <row r="1680" spans="1:20" ht="15" x14ac:dyDescent="0.25">
      <c r="A1680" s="432">
        <v>1174</v>
      </c>
      <c r="B1680" s="783">
        <v>3123</v>
      </c>
      <c r="C1680" s="783">
        <v>5331</v>
      </c>
      <c r="D1680" s="897"/>
      <c r="E1680" s="680" t="s">
        <v>996</v>
      </c>
      <c r="F1680" s="873">
        <f>F1681+F1682+F1683+F1684</f>
        <v>5193</v>
      </c>
      <c r="G1680" s="873">
        <f>G1681+G1682+G1683+G1684</f>
        <v>5657</v>
      </c>
      <c r="H1680" s="873">
        <f>H1681+H1682+H1683+H1684</f>
        <v>5657</v>
      </c>
      <c r="I1680" s="874">
        <f>(H1680/G1680)*100</f>
        <v>100</v>
      </c>
    </row>
    <row r="1681" spans="1:9" ht="14.25" x14ac:dyDescent="0.2">
      <c r="A1681" s="432"/>
      <c r="B1681" s="783"/>
      <c r="C1681" s="783"/>
      <c r="D1681" s="719" t="s">
        <v>611</v>
      </c>
      <c r="E1681" s="1569" t="s">
        <v>833</v>
      </c>
      <c r="F1681" s="875">
        <v>699</v>
      </c>
      <c r="G1681" s="875">
        <v>714</v>
      </c>
      <c r="H1681" s="875">
        <v>714</v>
      </c>
      <c r="I1681" s="861">
        <f t="shared" si="76"/>
        <v>100</v>
      </c>
    </row>
    <row r="1682" spans="1:9" ht="14.25" x14ac:dyDescent="0.2">
      <c r="A1682" s="432"/>
      <c r="B1682" s="783"/>
      <c r="C1682" s="783"/>
      <c r="D1682" s="781" t="s">
        <v>369</v>
      </c>
      <c r="E1682" s="456" t="s">
        <v>873</v>
      </c>
      <c r="F1682" s="875"/>
      <c r="G1682" s="875">
        <v>10</v>
      </c>
      <c r="H1682" s="875">
        <v>10</v>
      </c>
      <c r="I1682" s="861">
        <f t="shared" si="76"/>
        <v>100</v>
      </c>
    </row>
    <row r="1683" spans="1:9" ht="14.25" x14ac:dyDescent="0.2">
      <c r="A1683" s="432"/>
      <c r="B1683" s="783"/>
      <c r="C1683" s="783"/>
      <c r="D1683" s="554" t="s">
        <v>606</v>
      </c>
      <c r="E1683" s="456" t="s">
        <v>72</v>
      </c>
      <c r="F1683" s="875">
        <v>4494</v>
      </c>
      <c r="G1683" s="875">
        <v>4494</v>
      </c>
      <c r="H1683" s="875">
        <v>4494</v>
      </c>
      <c r="I1683" s="861">
        <f t="shared" si="76"/>
        <v>100</v>
      </c>
    </row>
    <row r="1684" spans="1:9" ht="15" thickBot="1" x14ac:dyDescent="0.25">
      <c r="A1684" s="1469"/>
      <c r="B1684" s="930"/>
      <c r="C1684" s="930"/>
      <c r="D1684" s="1132" t="s">
        <v>968</v>
      </c>
      <c r="E1684" s="1483" t="s">
        <v>1274</v>
      </c>
      <c r="F1684" s="944"/>
      <c r="G1684" s="944">
        <v>439</v>
      </c>
      <c r="H1684" s="944">
        <v>439</v>
      </c>
      <c r="I1684" s="910">
        <f t="shared" si="76"/>
        <v>100</v>
      </c>
    </row>
    <row r="1685" spans="1:9" ht="14.25" thickTop="1" thickBot="1" x14ac:dyDescent="0.25">
      <c r="A1685" s="433"/>
      <c r="I1685" s="1465" t="s">
        <v>173</v>
      </c>
    </row>
    <row r="1686" spans="1:9" ht="14.25" thickTop="1" thickBot="1" x14ac:dyDescent="0.25">
      <c r="A1686" s="633" t="s">
        <v>661</v>
      </c>
      <c r="B1686" s="810" t="s">
        <v>174</v>
      </c>
      <c r="C1686" s="634" t="s">
        <v>175</v>
      </c>
      <c r="D1686" s="636" t="s">
        <v>744</v>
      </c>
      <c r="E1686" s="636" t="s">
        <v>176</v>
      </c>
      <c r="F1686" s="636" t="s">
        <v>177</v>
      </c>
      <c r="G1686" s="636" t="s">
        <v>922</v>
      </c>
      <c r="H1686" s="636" t="s">
        <v>923</v>
      </c>
      <c r="I1686" s="856" t="s">
        <v>924</v>
      </c>
    </row>
    <row r="1687" spans="1:9" ht="14.25" thickTop="1" thickBot="1" x14ac:dyDescent="0.25">
      <c r="A1687" s="568">
        <v>1</v>
      </c>
      <c r="B1687" s="569">
        <v>2</v>
      </c>
      <c r="C1687" s="569">
        <v>3</v>
      </c>
      <c r="D1687" s="569">
        <v>4</v>
      </c>
      <c r="E1687" s="569">
        <v>5</v>
      </c>
      <c r="F1687" s="543">
        <v>6</v>
      </c>
      <c r="G1687" s="543">
        <v>7</v>
      </c>
      <c r="H1687" s="544">
        <v>8</v>
      </c>
      <c r="I1687" s="638" t="s">
        <v>801</v>
      </c>
    </row>
    <row r="1688" spans="1:9" ht="15.75" thickTop="1" x14ac:dyDescent="0.25">
      <c r="A1688" s="432">
        <v>1174</v>
      </c>
      <c r="B1688" s="783">
        <v>3123</v>
      </c>
      <c r="C1688" s="783">
        <v>5336</v>
      </c>
      <c r="D1688" s="1120"/>
      <c r="E1688" s="1479" t="s">
        <v>1269</v>
      </c>
      <c r="F1688" s="875"/>
      <c r="G1688" s="884">
        <f>G1689+G1690+G1691</f>
        <v>15799</v>
      </c>
      <c r="H1688" s="884">
        <f>H1689+H1690+H1691</f>
        <v>15799</v>
      </c>
      <c r="I1688" s="876">
        <f>(H1688/G1688)*100</f>
        <v>100</v>
      </c>
    </row>
    <row r="1689" spans="1:9" ht="14.25" x14ac:dyDescent="0.2">
      <c r="A1689" s="432"/>
      <c r="B1689" s="783"/>
      <c r="C1689" s="1468"/>
      <c r="D1689" s="554" t="s">
        <v>1182</v>
      </c>
      <c r="E1689" s="456" t="s">
        <v>832</v>
      </c>
      <c r="F1689" s="871"/>
      <c r="G1689" s="871">
        <v>15102</v>
      </c>
      <c r="H1689" s="871">
        <v>15102</v>
      </c>
      <c r="I1689" s="866">
        <f>(H1689/G1689)*100</f>
        <v>100</v>
      </c>
    </row>
    <row r="1690" spans="1:9" ht="14.25" x14ac:dyDescent="0.2">
      <c r="A1690" s="432"/>
      <c r="B1690" s="783"/>
      <c r="C1690" s="1468"/>
      <c r="D1690" s="1481" t="s">
        <v>1608</v>
      </c>
      <c r="E1690" s="1476" t="s">
        <v>1717</v>
      </c>
      <c r="F1690" s="871"/>
      <c r="G1690" s="871">
        <v>105</v>
      </c>
      <c r="H1690" s="871">
        <v>105</v>
      </c>
      <c r="I1690" s="866">
        <f>(H1690/G1690)*100</f>
        <v>100</v>
      </c>
    </row>
    <row r="1691" spans="1:9" ht="14.25" x14ac:dyDescent="0.2">
      <c r="A1691" s="432"/>
      <c r="B1691" s="783"/>
      <c r="C1691" s="1468"/>
      <c r="D1691" s="1481" t="s">
        <v>1610</v>
      </c>
      <c r="E1691" s="1476" t="s">
        <v>1717</v>
      </c>
      <c r="F1691" s="871"/>
      <c r="G1691" s="871">
        <v>592</v>
      </c>
      <c r="H1691" s="871">
        <v>592</v>
      </c>
      <c r="I1691" s="866">
        <f>(H1691/G1691)*100</f>
        <v>100</v>
      </c>
    </row>
    <row r="1692" spans="1:9" ht="15.75" customHeight="1" x14ac:dyDescent="0.25">
      <c r="A1692" s="432">
        <v>1174</v>
      </c>
      <c r="B1692" s="783">
        <v>3124</v>
      </c>
      <c r="C1692" s="783">
        <v>5336</v>
      </c>
      <c r="D1692" s="897"/>
      <c r="E1692" s="1479" t="s">
        <v>1269</v>
      </c>
      <c r="F1692" s="873"/>
      <c r="G1692" s="873">
        <v>1042</v>
      </c>
      <c r="H1692" s="873">
        <v>1042</v>
      </c>
      <c r="I1692" s="874">
        <f t="shared" si="76"/>
        <v>100</v>
      </c>
    </row>
    <row r="1693" spans="1:9" ht="14.25" x14ac:dyDescent="0.2">
      <c r="A1693" s="432"/>
      <c r="B1693" s="783"/>
      <c r="C1693" s="783"/>
      <c r="D1693" s="554" t="s">
        <v>1182</v>
      </c>
      <c r="E1693" s="456" t="s">
        <v>832</v>
      </c>
      <c r="F1693" s="871"/>
      <c r="G1693" s="871">
        <v>1042</v>
      </c>
      <c r="H1693" s="871">
        <v>1042</v>
      </c>
      <c r="I1693" s="866">
        <f t="shared" si="76"/>
        <v>100</v>
      </c>
    </row>
    <row r="1694" spans="1:9" ht="18" customHeight="1" x14ac:dyDescent="0.25">
      <c r="A1694" s="432">
        <v>1174</v>
      </c>
      <c r="B1694" s="783">
        <v>3142</v>
      </c>
      <c r="C1694" s="783">
        <v>5331</v>
      </c>
      <c r="D1694" s="880"/>
      <c r="E1694" s="680" t="s">
        <v>996</v>
      </c>
      <c r="F1694" s="884">
        <v>350</v>
      </c>
      <c r="G1694" s="884">
        <v>350</v>
      </c>
      <c r="H1694" s="884">
        <v>350</v>
      </c>
      <c r="I1694" s="876">
        <f t="shared" si="76"/>
        <v>100</v>
      </c>
    </row>
    <row r="1695" spans="1:9" ht="14.25" x14ac:dyDescent="0.2">
      <c r="A1695" s="432"/>
      <c r="B1695" s="783"/>
      <c r="C1695" s="783"/>
      <c r="D1695" s="554" t="s">
        <v>606</v>
      </c>
      <c r="E1695" s="456" t="s">
        <v>72</v>
      </c>
      <c r="F1695" s="871">
        <v>350</v>
      </c>
      <c r="G1695" s="871">
        <v>350</v>
      </c>
      <c r="H1695" s="871">
        <v>350</v>
      </c>
      <c r="I1695" s="866">
        <f t="shared" si="76"/>
        <v>100</v>
      </c>
    </row>
    <row r="1696" spans="1:9" ht="15" x14ac:dyDescent="0.25">
      <c r="A1696" s="432">
        <v>1174</v>
      </c>
      <c r="B1696" s="783">
        <v>3142</v>
      </c>
      <c r="C1696" s="783">
        <v>5336</v>
      </c>
      <c r="D1696" s="554"/>
      <c r="E1696" s="1479" t="s">
        <v>1269</v>
      </c>
      <c r="F1696" s="871"/>
      <c r="G1696" s="884">
        <v>566</v>
      </c>
      <c r="H1696" s="884">
        <v>566</v>
      </c>
      <c r="I1696" s="876">
        <f t="shared" si="76"/>
        <v>100</v>
      </c>
    </row>
    <row r="1697" spans="1:20" ht="18" customHeight="1" x14ac:dyDescent="0.2">
      <c r="A1697" s="432"/>
      <c r="B1697" s="783"/>
      <c r="C1697" s="783"/>
      <c r="D1697" s="554" t="s">
        <v>1182</v>
      </c>
      <c r="E1697" s="456" t="s">
        <v>832</v>
      </c>
      <c r="F1697" s="871"/>
      <c r="G1697" s="871">
        <v>566</v>
      </c>
      <c r="H1697" s="871">
        <v>566</v>
      </c>
      <c r="I1697" s="866">
        <f t="shared" si="76"/>
        <v>100</v>
      </c>
    </row>
    <row r="1698" spans="1:20" ht="18" customHeight="1" x14ac:dyDescent="0.25">
      <c r="A1698" s="432">
        <v>1174</v>
      </c>
      <c r="B1698" s="783">
        <v>3147</v>
      </c>
      <c r="C1698" s="783">
        <v>5331</v>
      </c>
      <c r="D1698" s="554"/>
      <c r="E1698" s="680" t="s">
        <v>996</v>
      </c>
      <c r="F1698" s="884">
        <v>750</v>
      </c>
      <c r="G1698" s="884">
        <v>750</v>
      </c>
      <c r="H1698" s="884">
        <v>750</v>
      </c>
      <c r="I1698" s="876">
        <f t="shared" si="76"/>
        <v>100</v>
      </c>
    </row>
    <row r="1699" spans="1:20" ht="18" customHeight="1" x14ac:dyDescent="0.2">
      <c r="A1699" s="432"/>
      <c r="B1699" s="783"/>
      <c r="C1699" s="783"/>
      <c r="D1699" s="554" t="s">
        <v>606</v>
      </c>
      <c r="E1699" s="456" t="s">
        <v>72</v>
      </c>
      <c r="F1699" s="871">
        <v>750</v>
      </c>
      <c r="G1699" s="871">
        <v>750</v>
      </c>
      <c r="H1699" s="871">
        <v>750</v>
      </c>
      <c r="I1699" s="866">
        <f t="shared" si="76"/>
        <v>100</v>
      </c>
    </row>
    <row r="1700" spans="1:20" ht="15" x14ac:dyDescent="0.25">
      <c r="A1700" s="432">
        <v>1174</v>
      </c>
      <c r="B1700" s="783">
        <v>3147</v>
      </c>
      <c r="C1700" s="783">
        <v>5336</v>
      </c>
      <c r="D1700" s="554"/>
      <c r="E1700" s="1479" t="s">
        <v>1269</v>
      </c>
      <c r="F1700" s="871"/>
      <c r="G1700" s="884">
        <v>1554</v>
      </c>
      <c r="H1700" s="884">
        <v>1554</v>
      </c>
      <c r="I1700" s="876">
        <f t="shared" si="76"/>
        <v>100</v>
      </c>
    </row>
    <row r="1701" spans="1:20" ht="15" thickBot="1" x14ac:dyDescent="0.25">
      <c r="A1701" s="432"/>
      <c r="B1701" s="783"/>
      <c r="C1701" s="783"/>
      <c r="D1701" s="554" t="s">
        <v>1182</v>
      </c>
      <c r="E1701" s="456" t="s">
        <v>832</v>
      </c>
      <c r="F1701" s="871"/>
      <c r="G1701" s="871">
        <v>1554</v>
      </c>
      <c r="H1701" s="871">
        <v>1554</v>
      </c>
      <c r="I1701" s="866">
        <f t="shared" si="76"/>
        <v>100</v>
      </c>
    </row>
    <row r="1702" spans="1:20" ht="16.5" thickTop="1" thickBot="1" x14ac:dyDescent="0.3">
      <c r="A1702" s="2685" t="s">
        <v>1162</v>
      </c>
      <c r="B1702" s="2686"/>
      <c r="C1702" s="2686"/>
      <c r="D1702" s="2686"/>
      <c r="E1702" s="2686"/>
      <c r="F1702" s="862">
        <f>F1680+F1694+F1698</f>
        <v>6293</v>
      </c>
      <c r="G1702" s="862">
        <f>G1678+G1680+G1688+G1692+G1694+G1696+G1700+G1698</f>
        <v>29402</v>
      </c>
      <c r="H1702" s="862">
        <f>H1678+H1680+H1688+H1692+H1694+H1696+H1700+H1698</f>
        <v>29402</v>
      </c>
      <c r="I1702" s="863">
        <f>(H1702/G1702)*100</f>
        <v>100</v>
      </c>
      <c r="R1702" s="383">
        <f>F1702</f>
        <v>6293</v>
      </c>
      <c r="S1702" s="383">
        <f>G1702</f>
        <v>29402</v>
      </c>
      <c r="T1702" s="383">
        <f>H1702</f>
        <v>29402</v>
      </c>
    </row>
    <row r="1703" spans="1:20" s="384" customFormat="1" ht="13.5" thickTop="1" x14ac:dyDescent="0.2">
      <c r="A1703" s="382"/>
      <c r="B1703" s="645"/>
      <c r="C1703" s="382"/>
      <c r="D1703" s="852"/>
      <c r="E1703" s="382"/>
      <c r="F1703" s="383"/>
      <c r="G1703" s="383"/>
      <c r="H1703" s="383"/>
      <c r="I1703" s="1465"/>
    </row>
    <row r="1704" spans="1:20" s="384" customFormat="1" x14ac:dyDescent="0.2">
      <c r="A1704" s="382"/>
      <c r="B1704" s="645"/>
      <c r="C1704" s="382"/>
      <c r="D1704" s="852"/>
      <c r="E1704" s="382"/>
      <c r="F1704" s="383"/>
      <c r="G1704" s="383"/>
      <c r="H1704" s="383"/>
      <c r="I1704" s="1465"/>
    </row>
    <row r="1705" spans="1:20" s="384" customFormat="1" x14ac:dyDescent="0.2">
      <c r="A1705" s="382"/>
      <c r="B1705" s="645"/>
      <c r="C1705" s="382"/>
      <c r="D1705" s="852"/>
      <c r="E1705" s="382"/>
      <c r="F1705" s="383"/>
      <c r="G1705" s="383"/>
      <c r="H1705" s="383"/>
      <c r="I1705" s="1465"/>
    </row>
    <row r="1706" spans="1:20" ht="13.5" thickBot="1" x14ac:dyDescent="0.25">
      <c r="A1706" s="433" t="s">
        <v>420</v>
      </c>
      <c r="I1706" s="1465" t="s">
        <v>173</v>
      </c>
    </row>
    <row r="1707" spans="1:20" ht="14.25" thickTop="1" thickBot="1" x14ac:dyDescent="0.25">
      <c r="A1707" s="633" t="s">
        <v>661</v>
      </c>
      <c r="B1707" s="810" t="s">
        <v>174</v>
      </c>
      <c r="C1707" s="634" t="s">
        <v>175</v>
      </c>
      <c r="D1707" s="636" t="s">
        <v>744</v>
      </c>
      <c r="E1707" s="636" t="s">
        <v>176</v>
      </c>
      <c r="F1707" s="636" t="s">
        <v>177</v>
      </c>
      <c r="G1707" s="636" t="s">
        <v>922</v>
      </c>
      <c r="H1707" s="636" t="s">
        <v>923</v>
      </c>
      <c r="I1707" s="856" t="s">
        <v>924</v>
      </c>
    </row>
    <row r="1708" spans="1:20" ht="14.25" thickTop="1" thickBot="1" x14ac:dyDescent="0.25">
      <c r="A1708" s="568">
        <v>1</v>
      </c>
      <c r="B1708" s="569">
        <v>2</v>
      </c>
      <c r="C1708" s="569">
        <v>3</v>
      </c>
      <c r="D1708" s="569">
        <v>4</v>
      </c>
      <c r="E1708" s="569">
        <v>5</v>
      </c>
      <c r="F1708" s="543">
        <v>6</v>
      </c>
      <c r="G1708" s="543">
        <v>7</v>
      </c>
      <c r="H1708" s="544">
        <v>8</v>
      </c>
      <c r="I1708" s="638" t="s">
        <v>801</v>
      </c>
    </row>
    <row r="1709" spans="1:20" ht="15.75" thickTop="1" x14ac:dyDescent="0.25">
      <c r="A1709" s="1477">
        <v>1175</v>
      </c>
      <c r="B1709" s="885">
        <v>3122</v>
      </c>
      <c r="C1709" s="885">
        <v>5331</v>
      </c>
      <c r="D1709" s="890"/>
      <c r="E1709" s="924" t="s">
        <v>996</v>
      </c>
      <c r="F1709" s="883">
        <f>F1710+F1712</f>
        <v>2233</v>
      </c>
      <c r="G1709" s="883">
        <f>G1710+G1712+G1713+G1711</f>
        <v>2760</v>
      </c>
      <c r="H1709" s="883">
        <f>H1710+H1712+H1713+H1711</f>
        <v>2760</v>
      </c>
      <c r="I1709" s="887">
        <f>(H1709/G1709)*100</f>
        <v>100</v>
      </c>
    </row>
    <row r="1710" spans="1:20" ht="14.25" x14ac:dyDescent="0.2">
      <c r="A1710" s="432"/>
      <c r="B1710" s="681"/>
      <c r="C1710" s="681"/>
      <c r="D1710" s="719" t="s">
        <v>611</v>
      </c>
      <c r="E1710" s="1569" t="s">
        <v>833</v>
      </c>
      <c r="F1710" s="865">
        <v>377</v>
      </c>
      <c r="G1710" s="865">
        <v>367</v>
      </c>
      <c r="H1710" s="865">
        <v>367</v>
      </c>
      <c r="I1710" s="861">
        <f>(H1710/G1710)*100</f>
        <v>100</v>
      </c>
    </row>
    <row r="1711" spans="1:20" ht="14.25" x14ac:dyDescent="0.2">
      <c r="A1711" s="432"/>
      <c r="B1711" s="681"/>
      <c r="C1711" s="681"/>
      <c r="D1711" s="1110" t="s">
        <v>196</v>
      </c>
      <c r="E1711" s="1215" t="s">
        <v>751</v>
      </c>
      <c r="F1711" s="865"/>
      <c r="G1711" s="865">
        <v>489</v>
      </c>
      <c r="H1711" s="865">
        <v>489</v>
      </c>
      <c r="I1711" s="861">
        <v>100</v>
      </c>
    </row>
    <row r="1712" spans="1:20" ht="14.25" x14ac:dyDescent="0.2">
      <c r="A1712" s="432"/>
      <c r="B1712" s="681"/>
      <c r="C1712" s="681"/>
      <c r="D1712" s="554" t="s">
        <v>606</v>
      </c>
      <c r="E1712" s="456" t="s">
        <v>72</v>
      </c>
      <c r="F1712" s="865">
        <v>1856</v>
      </c>
      <c r="G1712" s="865">
        <v>1856</v>
      </c>
      <c r="H1712" s="865">
        <v>1856</v>
      </c>
      <c r="I1712" s="861">
        <v>100</v>
      </c>
    </row>
    <row r="1713" spans="1:20" ht="14.25" x14ac:dyDescent="0.2">
      <c r="A1713" s="432"/>
      <c r="B1713" s="681"/>
      <c r="C1713" s="681"/>
      <c r="D1713" s="2671" t="s">
        <v>1510</v>
      </c>
      <c r="E1713" s="2688" t="s">
        <v>1531</v>
      </c>
      <c r="F1713" s="865"/>
      <c r="G1713" s="865">
        <v>48</v>
      </c>
      <c r="H1713" s="865">
        <v>48</v>
      </c>
      <c r="I1713" s="861">
        <v>100</v>
      </c>
    </row>
    <row r="1714" spans="1:20" ht="14.25" x14ac:dyDescent="0.2">
      <c r="A1714" s="432"/>
      <c r="B1714" s="681"/>
      <c r="C1714" s="681"/>
      <c r="D1714" s="2672"/>
      <c r="E1714" s="2689"/>
      <c r="F1714" s="865"/>
      <c r="G1714" s="865"/>
      <c r="H1714" s="865"/>
      <c r="I1714" s="861"/>
    </row>
    <row r="1715" spans="1:20" ht="14.25" x14ac:dyDescent="0.2">
      <c r="A1715" s="432"/>
      <c r="B1715" s="681"/>
      <c r="C1715" s="681"/>
      <c r="D1715" s="2672"/>
      <c r="E1715" s="2689"/>
      <c r="F1715" s="865"/>
      <c r="G1715" s="865"/>
      <c r="H1715" s="865"/>
      <c r="I1715" s="861"/>
    </row>
    <row r="1716" spans="1:20" ht="15" x14ac:dyDescent="0.25">
      <c r="A1716" s="432">
        <v>1175</v>
      </c>
      <c r="B1716" s="681">
        <v>3122</v>
      </c>
      <c r="C1716" s="681">
        <v>5336</v>
      </c>
      <c r="D1716" s="2605"/>
      <c r="E1716" s="1479" t="s">
        <v>1269</v>
      </c>
      <c r="F1716" s="865"/>
      <c r="G1716" s="889">
        <f>G1717+G1718+G1719</f>
        <v>11815</v>
      </c>
      <c r="H1716" s="889">
        <f>H1717+H1718+H1719</f>
        <v>11815</v>
      </c>
      <c r="I1716" s="891">
        <v>100</v>
      </c>
    </row>
    <row r="1717" spans="1:20" ht="14.25" x14ac:dyDescent="0.2">
      <c r="A1717" s="432"/>
      <c r="B1717" s="681"/>
      <c r="C1717" s="681"/>
      <c r="D1717" s="554" t="s">
        <v>1182</v>
      </c>
      <c r="E1717" s="456" t="s">
        <v>832</v>
      </c>
      <c r="F1717" s="865"/>
      <c r="G1717" s="865">
        <v>11313</v>
      </c>
      <c r="H1717" s="865">
        <v>11313</v>
      </c>
      <c r="I1717" s="861">
        <v>100</v>
      </c>
    </row>
    <row r="1718" spans="1:20" ht="14.25" x14ac:dyDescent="0.2">
      <c r="A1718" s="432"/>
      <c r="B1718" s="783"/>
      <c r="C1718" s="783"/>
      <c r="D1718" s="1481" t="s">
        <v>1608</v>
      </c>
      <c r="E1718" s="1476" t="s">
        <v>1717</v>
      </c>
      <c r="F1718" s="871"/>
      <c r="G1718" s="871">
        <v>75</v>
      </c>
      <c r="H1718" s="871">
        <v>75</v>
      </c>
      <c r="I1718" s="861">
        <v>100</v>
      </c>
    </row>
    <row r="1719" spans="1:20" ht="13.5" customHeight="1" x14ac:dyDescent="0.2">
      <c r="A1719" s="432"/>
      <c r="B1719" s="783"/>
      <c r="C1719" s="783"/>
      <c r="D1719" s="1481" t="s">
        <v>1610</v>
      </c>
      <c r="E1719" s="1476" t="s">
        <v>1717</v>
      </c>
      <c r="F1719" s="871"/>
      <c r="G1719" s="871">
        <v>427</v>
      </c>
      <c r="H1719" s="871">
        <v>427</v>
      </c>
      <c r="I1719" s="861">
        <v>100</v>
      </c>
    </row>
    <row r="1720" spans="1:20" ht="15" x14ac:dyDescent="0.25">
      <c r="A1720" s="432">
        <v>1175</v>
      </c>
      <c r="B1720" s="783">
        <v>3142</v>
      </c>
      <c r="C1720" s="783">
        <v>5331</v>
      </c>
      <c r="D1720" s="897"/>
      <c r="E1720" s="680" t="s">
        <v>996</v>
      </c>
      <c r="F1720" s="873">
        <f>F1721+F1722</f>
        <v>737</v>
      </c>
      <c r="G1720" s="873">
        <f>G1721+G1722</f>
        <v>753</v>
      </c>
      <c r="H1720" s="873">
        <f>H1721+H1722</f>
        <v>753</v>
      </c>
      <c r="I1720" s="874">
        <f t="shared" ref="I1720:I1726" si="77">(H1720/G1720)*100</f>
        <v>100</v>
      </c>
    </row>
    <row r="1721" spans="1:20" ht="14.25" x14ac:dyDescent="0.2">
      <c r="A1721" s="432"/>
      <c r="B1721" s="783"/>
      <c r="C1721" s="783"/>
      <c r="D1721" s="719" t="s">
        <v>611</v>
      </c>
      <c r="E1721" s="1569" t="s">
        <v>833</v>
      </c>
      <c r="F1721" s="871">
        <v>237</v>
      </c>
      <c r="G1721" s="871">
        <v>253</v>
      </c>
      <c r="H1721" s="871">
        <v>253</v>
      </c>
      <c r="I1721" s="866">
        <f t="shared" si="77"/>
        <v>100</v>
      </c>
    </row>
    <row r="1722" spans="1:20" ht="14.25" x14ac:dyDescent="0.2">
      <c r="A1722" s="432"/>
      <c r="B1722" s="783"/>
      <c r="C1722" s="1468"/>
      <c r="D1722" s="554" t="s">
        <v>606</v>
      </c>
      <c r="E1722" s="456" t="s">
        <v>72</v>
      </c>
      <c r="F1722" s="871">
        <v>500</v>
      </c>
      <c r="G1722" s="871">
        <v>500</v>
      </c>
      <c r="H1722" s="871">
        <v>500</v>
      </c>
      <c r="I1722" s="866">
        <f t="shared" si="77"/>
        <v>100</v>
      </c>
    </row>
    <row r="1723" spans="1:20" ht="15" x14ac:dyDescent="0.25">
      <c r="A1723" s="432">
        <v>1175</v>
      </c>
      <c r="B1723" s="783">
        <v>3142</v>
      </c>
      <c r="C1723" s="1468">
        <v>5336</v>
      </c>
      <c r="D1723" s="554"/>
      <c r="E1723" s="1479" t="s">
        <v>1269</v>
      </c>
      <c r="F1723" s="871"/>
      <c r="G1723" s="884">
        <v>431</v>
      </c>
      <c r="H1723" s="884">
        <v>431</v>
      </c>
      <c r="I1723" s="876">
        <f t="shared" si="77"/>
        <v>100</v>
      </c>
    </row>
    <row r="1724" spans="1:20" ht="14.25" x14ac:dyDescent="0.2">
      <c r="A1724" s="432"/>
      <c r="B1724" s="783"/>
      <c r="C1724" s="1468"/>
      <c r="D1724" s="554" t="s">
        <v>1182</v>
      </c>
      <c r="E1724" s="456" t="s">
        <v>832</v>
      </c>
      <c r="F1724" s="871"/>
      <c r="G1724" s="871">
        <v>431</v>
      </c>
      <c r="H1724" s="871">
        <v>431</v>
      </c>
      <c r="I1724" s="866">
        <f t="shared" si="77"/>
        <v>100</v>
      </c>
    </row>
    <row r="1725" spans="1:20" ht="15" x14ac:dyDescent="0.25">
      <c r="A1725" s="432">
        <v>1175</v>
      </c>
      <c r="B1725" s="681">
        <v>3298</v>
      </c>
      <c r="C1725" s="1467">
        <v>5331</v>
      </c>
      <c r="D1725" s="867"/>
      <c r="E1725" s="829" t="s">
        <v>996</v>
      </c>
      <c r="F1725" s="858"/>
      <c r="G1725" s="858">
        <v>6</v>
      </c>
      <c r="H1725" s="858">
        <v>6</v>
      </c>
      <c r="I1725" s="874">
        <f t="shared" si="77"/>
        <v>100</v>
      </c>
    </row>
    <row r="1726" spans="1:20" ht="15.75" thickBot="1" x14ac:dyDescent="0.3">
      <c r="A1726" s="432"/>
      <c r="B1726" s="681"/>
      <c r="C1726" s="1467"/>
      <c r="D1726" s="1391" t="s">
        <v>1185</v>
      </c>
      <c r="E1726" s="1354" t="s">
        <v>1718</v>
      </c>
      <c r="F1726" s="858"/>
      <c r="G1726" s="357">
        <v>6</v>
      </c>
      <c r="H1726" s="357">
        <v>6</v>
      </c>
      <c r="I1726" s="866">
        <f t="shared" si="77"/>
        <v>100</v>
      </c>
    </row>
    <row r="1727" spans="1:20" ht="16.5" thickTop="1" thickBot="1" x14ac:dyDescent="0.3">
      <c r="A1727" s="2685" t="s">
        <v>1162</v>
      </c>
      <c r="B1727" s="2686"/>
      <c r="C1727" s="2686"/>
      <c r="D1727" s="2686"/>
      <c r="E1727" s="2686"/>
      <c r="F1727" s="862">
        <f>F1709+F1720</f>
        <v>2970</v>
      </c>
      <c r="G1727" s="862">
        <f>G1709+G1716+G1720+G1723+G1725</f>
        <v>15765</v>
      </c>
      <c r="H1727" s="862">
        <f>H1709+H1716+H1720+H1723+H1725</f>
        <v>15765</v>
      </c>
      <c r="I1727" s="863">
        <f>(H1727/G1727)*100</f>
        <v>100</v>
      </c>
      <c r="R1727" s="383">
        <f>F1727</f>
        <v>2970</v>
      </c>
      <c r="S1727" s="383">
        <f>G1727</f>
        <v>15765</v>
      </c>
      <c r="T1727" s="383">
        <f>H1727</f>
        <v>15765</v>
      </c>
    </row>
    <row r="1728" spans="1:20" s="384" customFormat="1" ht="13.5" thickTop="1" x14ac:dyDescent="0.2">
      <c r="A1728" s="382"/>
      <c r="B1728" s="645"/>
      <c r="C1728" s="382"/>
      <c r="D1728" s="852"/>
      <c r="E1728" s="382"/>
      <c r="F1728" s="383"/>
      <c r="G1728" s="383"/>
      <c r="H1728" s="383"/>
      <c r="I1728" s="1465"/>
    </row>
    <row r="1729" spans="1:9" s="384" customFormat="1" x14ac:dyDescent="0.2">
      <c r="A1729" s="382"/>
      <c r="B1729" s="645"/>
      <c r="C1729" s="382"/>
      <c r="D1729" s="852"/>
      <c r="E1729" s="382"/>
      <c r="F1729" s="383"/>
      <c r="G1729" s="383"/>
      <c r="H1729" s="383"/>
      <c r="I1729" s="1465"/>
    </row>
    <row r="1730" spans="1:9" s="384" customFormat="1" x14ac:dyDescent="0.2">
      <c r="A1730" s="382"/>
      <c r="B1730" s="645"/>
      <c r="C1730" s="382"/>
      <c r="D1730" s="852"/>
      <c r="E1730" s="382"/>
      <c r="F1730" s="383"/>
      <c r="G1730" s="383"/>
      <c r="H1730" s="383"/>
      <c r="I1730" s="1465"/>
    </row>
    <row r="1731" spans="1:9" ht="13.5" thickBot="1" x14ac:dyDescent="0.25">
      <c r="A1731" s="433" t="s">
        <v>899</v>
      </c>
      <c r="I1731" s="1465" t="s">
        <v>173</v>
      </c>
    </row>
    <row r="1732" spans="1:9" ht="14.25" thickTop="1" thickBot="1" x14ac:dyDescent="0.25">
      <c r="A1732" s="633" t="s">
        <v>661</v>
      </c>
      <c r="B1732" s="810" t="s">
        <v>174</v>
      </c>
      <c r="C1732" s="634" t="s">
        <v>175</v>
      </c>
      <c r="D1732" s="636" t="s">
        <v>744</v>
      </c>
      <c r="E1732" s="636" t="s">
        <v>176</v>
      </c>
      <c r="F1732" s="636" t="s">
        <v>177</v>
      </c>
      <c r="G1732" s="636" t="s">
        <v>922</v>
      </c>
      <c r="H1732" s="636" t="s">
        <v>923</v>
      </c>
      <c r="I1732" s="856" t="s">
        <v>924</v>
      </c>
    </row>
    <row r="1733" spans="1:9" ht="14.25" thickTop="1" thickBot="1" x14ac:dyDescent="0.25">
      <c r="A1733" s="568">
        <v>1</v>
      </c>
      <c r="B1733" s="569">
        <v>2</v>
      </c>
      <c r="C1733" s="569">
        <v>3</v>
      </c>
      <c r="D1733" s="569">
        <v>4</v>
      </c>
      <c r="E1733" s="569">
        <v>5</v>
      </c>
      <c r="F1733" s="543">
        <v>6</v>
      </c>
      <c r="G1733" s="543">
        <v>7</v>
      </c>
      <c r="H1733" s="544">
        <v>8</v>
      </c>
      <c r="I1733" s="638" t="s">
        <v>801</v>
      </c>
    </row>
    <row r="1734" spans="1:9" ht="15.75" thickTop="1" x14ac:dyDescent="0.25">
      <c r="A1734" s="1477">
        <v>1200</v>
      </c>
      <c r="B1734" s="885">
        <v>3122</v>
      </c>
      <c r="C1734" s="885">
        <v>5336</v>
      </c>
      <c r="D1734" s="890"/>
      <c r="E1734" s="1479" t="s">
        <v>1269</v>
      </c>
      <c r="F1734" s="1486"/>
      <c r="G1734" s="414">
        <v>1259</v>
      </c>
      <c r="H1734" s="414">
        <v>1259</v>
      </c>
      <c r="I1734" s="887">
        <f>(H1734/G1734)*100</f>
        <v>100</v>
      </c>
    </row>
    <row r="1735" spans="1:9" ht="14.25" x14ac:dyDescent="0.2">
      <c r="A1735" s="904"/>
      <c r="B1735" s="1376"/>
      <c r="C1735" s="1376"/>
      <c r="D1735" s="554" t="s">
        <v>1182</v>
      </c>
      <c r="E1735" s="456" t="s">
        <v>832</v>
      </c>
      <c r="F1735" s="1582"/>
      <c r="G1735" s="1462">
        <v>1259</v>
      </c>
      <c r="H1735" s="1581">
        <v>1259</v>
      </c>
      <c r="I1735" s="861">
        <f>(H1735/G1735)*100</f>
        <v>100</v>
      </c>
    </row>
    <row r="1736" spans="1:9" ht="14.25" customHeight="1" x14ac:dyDescent="0.25">
      <c r="A1736" s="432">
        <v>1200</v>
      </c>
      <c r="B1736" s="681">
        <v>3123</v>
      </c>
      <c r="C1736" s="681">
        <v>5331</v>
      </c>
      <c r="D1736" s="857"/>
      <c r="E1736" s="829" t="s">
        <v>996</v>
      </c>
      <c r="F1736" s="858">
        <f>F1737+F1738+F1739+F1740</f>
        <v>3739</v>
      </c>
      <c r="G1736" s="858">
        <f>G1737+G1738+G1739+G1740</f>
        <v>4122</v>
      </c>
      <c r="H1736" s="858">
        <f>H1737+H1738+H1739+H1740</f>
        <v>4122</v>
      </c>
      <c r="I1736" s="859">
        <f t="shared" ref="I1736:I1749" si="78">(H1736/G1736)*100</f>
        <v>100</v>
      </c>
    </row>
    <row r="1737" spans="1:9" ht="14.25" x14ac:dyDescent="0.2">
      <c r="A1737" s="432"/>
      <c r="B1737" s="681"/>
      <c r="C1737" s="681"/>
      <c r="D1737" s="719" t="s">
        <v>611</v>
      </c>
      <c r="E1737" s="1569" t="s">
        <v>833</v>
      </c>
      <c r="F1737" s="865">
        <v>233</v>
      </c>
      <c r="G1737" s="865">
        <v>276</v>
      </c>
      <c r="H1737" s="865">
        <v>276</v>
      </c>
      <c r="I1737" s="861">
        <f t="shared" si="78"/>
        <v>100</v>
      </c>
    </row>
    <row r="1738" spans="1:9" ht="14.25" x14ac:dyDescent="0.2">
      <c r="A1738" s="432"/>
      <c r="B1738" s="681"/>
      <c r="C1738" s="681"/>
      <c r="D1738" s="1110" t="s">
        <v>196</v>
      </c>
      <c r="E1738" s="1215" t="s">
        <v>751</v>
      </c>
      <c r="F1738" s="865"/>
      <c r="G1738" s="865">
        <v>200</v>
      </c>
      <c r="H1738" s="865">
        <v>200</v>
      </c>
      <c r="I1738" s="861">
        <f t="shared" si="78"/>
        <v>100</v>
      </c>
    </row>
    <row r="1739" spans="1:9" ht="14.25" x14ac:dyDescent="0.2">
      <c r="A1739" s="432"/>
      <c r="B1739" s="681"/>
      <c r="C1739" s="681"/>
      <c r="D1739" s="554" t="s">
        <v>606</v>
      </c>
      <c r="E1739" s="456" t="s">
        <v>72</v>
      </c>
      <c r="F1739" s="865">
        <v>3506</v>
      </c>
      <c r="G1739" s="865">
        <v>3506</v>
      </c>
      <c r="H1739" s="865">
        <v>3506</v>
      </c>
      <c r="I1739" s="861">
        <f t="shared" si="78"/>
        <v>100</v>
      </c>
    </row>
    <row r="1740" spans="1:9" ht="14.25" x14ac:dyDescent="0.2">
      <c r="A1740" s="432"/>
      <c r="B1740" s="681"/>
      <c r="C1740" s="681"/>
      <c r="D1740" s="1120" t="s">
        <v>968</v>
      </c>
      <c r="E1740" s="1215" t="s">
        <v>1274</v>
      </c>
      <c r="F1740" s="865"/>
      <c r="G1740" s="865">
        <v>140</v>
      </c>
      <c r="H1740" s="865">
        <v>140</v>
      </c>
      <c r="I1740" s="861">
        <f t="shared" si="78"/>
        <v>100</v>
      </c>
    </row>
    <row r="1741" spans="1:9" ht="15" x14ac:dyDescent="0.25">
      <c r="A1741" s="432">
        <v>1200</v>
      </c>
      <c r="B1741" s="681">
        <v>3123</v>
      </c>
      <c r="C1741" s="681">
        <v>5336</v>
      </c>
      <c r="D1741" s="1120"/>
      <c r="E1741" s="1479" t="s">
        <v>1269</v>
      </c>
      <c r="F1741" s="865"/>
      <c r="G1741" s="889">
        <f>G1742+G1743+G1744</f>
        <v>8643</v>
      </c>
      <c r="H1741" s="889">
        <f>H1742+H1743+H1744</f>
        <v>8643</v>
      </c>
      <c r="I1741" s="891">
        <f t="shared" si="78"/>
        <v>100</v>
      </c>
    </row>
    <row r="1742" spans="1:9" ht="14.25" x14ac:dyDescent="0.2">
      <c r="A1742" s="432"/>
      <c r="B1742" s="681"/>
      <c r="C1742" s="1467"/>
      <c r="D1742" s="554" t="s">
        <v>1182</v>
      </c>
      <c r="E1742" s="456" t="s">
        <v>832</v>
      </c>
      <c r="F1742" s="865"/>
      <c r="G1742" s="865">
        <v>8320</v>
      </c>
      <c r="H1742" s="865">
        <v>8320</v>
      </c>
      <c r="I1742" s="861">
        <f t="shared" si="78"/>
        <v>100</v>
      </c>
    </row>
    <row r="1743" spans="1:9" ht="14.25" x14ac:dyDescent="0.2">
      <c r="A1743" s="432"/>
      <c r="B1743" s="783"/>
      <c r="C1743" s="1468"/>
      <c r="D1743" s="1481" t="s">
        <v>1608</v>
      </c>
      <c r="E1743" s="1476" t="s">
        <v>1717</v>
      </c>
      <c r="F1743" s="871"/>
      <c r="G1743" s="871">
        <v>49</v>
      </c>
      <c r="H1743" s="871">
        <v>49</v>
      </c>
      <c r="I1743" s="866">
        <f t="shared" si="78"/>
        <v>100</v>
      </c>
    </row>
    <row r="1744" spans="1:9" ht="14.25" x14ac:dyDescent="0.2">
      <c r="A1744" s="432"/>
      <c r="B1744" s="783"/>
      <c r="C1744" s="1468"/>
      <c r="D1744" s="1481" t="s">
        <v>1610</v>
      </c>
      <c r="E1744" s="1476" t="s">
        <v>1717</v>
      </c>
      <c r="F1744" s="871"/>
      <c r="G1744" s="871">
        <v>274</v>
      </c>
      <c r="H1744" s="871">
        <v>274</v>
      </c>
      <c r="I1744" s="866">
        <f t="shared" si="78"/>
        <v>100</v>
      </c>
    </row>
    <row r="1745" spans="1:20" ht="15" x14ac:dyDescent="0.25">
      <c r="A1745" s="432">
        <v>1200</v>
      </c>
      <c r="B1745" s="783">
        <v>3147</v>
      </c>
      <c r="C1745" s="783">
        <v>5331</v>
      </c>
      <c r="D1745" s="897"/>
      <c r="E1745" s="680" t="s">
        <v>996</v>
      </c>
      <c r="F1745" s="873">
        <f>F1746+F1747+F1749</f>
        <v>539</v>
      </c>
      <c r="G1745" s="873">
        <f>G1746+G1747</f>
        <v>539</v>
      </c>
      <c r="H1745" s="873">
        <f>H1746+H1747</f>
        <v>539</v>
      </c>
      <c r="I1745" s="874">
        <f t="shared" si="78"/>
        <v>100</v>
      </c>
    </row>
    <row r="1746" spans="1:20" ht="14.25" x14ac:dyDescent="0.2">
      <c r="A1746" s="432"/>
      <c r="B1746" s="783"/>
      <c r="C1746" s="783"/>
      <c r="D1746" s="719" t="s">
        <v>611</v>
      </c>
      <c r="E1746" s="1569" t="s">
        <v>833</v>
      </c>
      <c r="F1746" s="871">
        <v>299</v>
      </c>
      <c r="G1746" s="871">
        <v>299</v>
      </c>
      <c r="H1746" s="871">
        <v>299</v>
      </c>
      <c r="I1746" s="866">
        <f t="shared" si="78"/>
        <v>100</v>
      </c>
    </row>
    <row r="1747" spans="1:20" ht="13.5" customHeight="1" x14ac:dyDescent="0.2">
      <c r="A1747" s="432"/>
      <c r="B1747" s="783"/>
      <c r="C1747" s="783"/>
      <c r="D1747" s="554" t="s">
        <v>606</v>
      </c>
      <c r="E1747" s="456" t="s">
        <v>72</v>
      </c>
      <c r="F1747" s="871">
        <v>240</v>
      </c>
      <c r="G1747" s="871">
        <v>240</v>
      </c>
      <c r="H1747" s="871">
        <v>240</v>
      </c>
      <c r="I1747" s="866">
        <f t="shared" si="78"/>
        <v>100</v>
      </c>
    </row>
    <row r="1748" spans="1:20" ht="15" x14ac:dyDescent="0.25">
      <c r="A1748" s="432">
        <v>1200</v>
      </c>
      <c r="B1748" s="783">
        <v>3147</v>
      </c>
      <c r="C1748" s="783">
        <v>5336</v>
      </c>
      <c r="D1748" s="554"/>
      <c r="E1748" s="1479" t="s">
        <v>1269</v>
      </c>
      <c r="F1748" s="871"/>
      <c r="G1748" s="884">
        <v>1068</v>
      </c>
      <c r="H1748" s="884">
        <v>1068</v>
      </c>
      <c r="I1748" s="876">
        <f t="shared" si="78"/>
        <v>100</v>
      </c>
    </row>
    <row r="1749" spans="1:20" ht="12.75" customHeight="1" thickBot="1" x14ac:dyDescent="0.25">
      <c r="A1749" s="432"/>
      <c r="B1749" s="783"/>
      <c r="C1749" s="1468"/>
      <c r="D1749" s="554" t="s">
        <v>1182</v>
      </c>
      <c r="E1749" s="456" t="s">
        <v>832</v>
      </c>
      <c r="F1749" s="871"/>
      <c r="G1749" s="871">
        <v>1068</v>
      </c>
      <c r="H1749" s="871">
        <v>1068</v>
      </c>
      <c r="I1749" s="866">
        <f t="shared" si="78"/>
        <v>100</v>
      </c>
    </row>
    <row r="1750" spans="1:20" s="107" customFormat="1" ht="16.5" thickTop="1" thickBot="1" x14ac:dyDescent="0.3">
      <c r="A1750" s="2685" t="s">
        <v>1162</v>
      </c>
      <c r="B1750" s="2686"/>
      <c r="C1750" s="2686"/>
      <c r="D1750" s="2686"/>
      <c r="E1750" s="2686"/>
      <c r="F1750" s="862">
        <f>F1736+F1745</f>
        <v>4278</v>
      </c>
      <c r="G1750" s="862">
        <f>G1734+G1736+G1741+G1745+G1748</f>
        <v>15631</v>
      </c>
      <c r="H1750" s="862">
        <f>H1734+H1736+H1741+H1745+H1748</f>
        <v>15631</v>
      </c>
      <c r="I1750" s="863">
        <f>(H1750/G1750)*100</f>
        <v>100</v>
      </c>
      <c r="R1750" s="383">
        <f>F1750</f>
        <v>4278</v>
      </c>
      <c r="S1750" s="383">
        <f>G1750</f>
        <v>15631</v>
      </c>
      <c r="T1750" s="383">
        <f>H1750</f>
        <v>15631</v>
      </c>
    </row>
    <row r="1751" spans="1:20" s="384" customFormat="1" ht="13.5" thickTop="1" x14ac:dyDescent="0.2">
      <c r="A1751" s="382"/>
      <c r="B1751" s="645"/>
      <c r="C1751" s="382"/>
      <c r="D1751" s="852"/>
      <c r="E1751" s="382"/>
      <c r="F1751" s="383"/>
      <c r="G1751" s="383"/>
      <c r="H1751" s="383"/>
      <c r="I1751" s="1465"/>
    </row>
    <row r="1752" spans="1:20" s="384" customFormat="1" x14ac:dyDescent="0.2">
      <c r="A1752" s="382"/>
      <c r="B1752" s="645"/>
      <c r="C1752" s="382"/>
      <c r="D1752" s="852"/>
      <c r="E1752" s="382"/>
      <c r="F1752" s="383"/>
      <c r="G1752" s="383"/>
      <c r="H1752" s="383"/>
      <c r="I1752" s="1465"/>
    </row>
    <row r="1753" spans="1:20" s="384" customFormat="1" x14ac:dyDescent="0.2">
      <c r="A1753" s="382"/>
      <c r="B1753" s="645"/>
      <c r="C1753" s="382"/>
      <c r="D1753" s="852"/>
      <c r="E1753" s="382"/>
      <c r="F1753" s="383"/>
      <c r="G1753" s="383"/>
      <c r="H1753" s="383"/>
      <c r="I1753" s="1465"/>
    </row>
    <row r="1754" spans="1:20" s="384" customFormat="1" x14ac:dyDescent="0.2">
      <c r="A1754" s="382"/>
      <c r="B1754" s="645"/>
      <c r="C1754" s="382"/>
      <c r="D1754" s="852"/>
      <c r="E1754" s="382"/>
      <c r="F1754" s="383"/>
      <c r="G1754" s="383"/>
      <c r="H1754" s="383"/>
      <c r="I1754" s="1465"/>
    </row>
    <row r="1755" spans="1:20" s="384" customFormat="1" x14ac:dyDescent="0.2">
      <c r="A1755" s="382"/>
      <c r="B1755" s="645"/>
      <c r="C1755" s="382"/>
      <c r="D1755" s="852"/>
      <c r="E1755" s="382"/>
      <c r="F1755" s="383"/>
      <c r="G1755" s="383"/>
      <c r="H1755" s="383"/>
      <c r="I1755" s="1465"/>
    </row>
    <row r="1756" spans="1:20" s="384" customFormat="1" x14ac:dyDescent="0.2">
      <c r="A1756" s="382"/>
      <c r="B1756" s="645"/>
      <c r="C1756" s="382"/>
      <c r="D1756" s="852"/>
      <c r="E1756" s="382"/>
      <c r="F1756" s="383"/>
      <c r="G1756" s="383"/>
      <c r="H1756" s="383"/>
      <c r="I1756" s="1465"/>
    </row>
    <row r="1757" spans="1:20" ht="13.5" thickBot="1" x14ac:dyDescent="0.25">
      <c r="A1757" s="433" t="s">
        <v>141</v>
      </c>
      <c r="I1757" s="1465" t="s">
        <v>173</v>
      </c>
    </row>
    <row r="1758" spans="1:20" ht="25.5" customHeight="1" thickTop="1" thickBot="1" x14ac:dyDescent="0.25">
      <c r="A1758" s="633" t="s">
        <v>661</v>
      </c>
      <c r="B1758" s="810" t="s">
        <v>174</v>
      </c>
      <c r="C1758" s="634" t="s">
        <v>175</v>
      </c>
      <c r="D1758" s="636" t="s">
        <v>744</v>
      </c>
      <c r="E1758" s="636" t="s">
        <v>176</v>
      </c>
      <c r="F1758" s="636" t="s">
        <v>177</v>
      </c>
      <c r="G1758" s="636" t="s">
        <v>922</v>
      </c>
      <c r="H1758" s="636" t="s">
        <v>923</v>
      </c>
      <c r="I1758" s="856" t="s">
        <v>924</v>
      </c>
    </row>
    <row r="1759" spans="1:20" ht="14.25" thickTop="1" thickBot="1" x14ac:dyDescent="0.25">
      <c r="A1759" s="568">
        <v>1</v>
      </c>
      <c r="B1759" s="569">
        <v>2</v>
      </c>
      <c r="C1759" s="569">
        <v>3</v>
      </c>
      <c r="D1759" s="569">
        <v>4</v>
      </c>
      <c r="E1759" s="569">
        <v>5</v>
      </c>
      <c r="F1759" s="543">
        <v>6</v>
      </c>
      <c r="G1759" s="543">
        <v>7</v>
      </c>
      <c r="H1759" s="544">
        <v>8</v>
      </c>
      <c r="I1759" s="638" t="s">
        <v>801</v>
      </c>
    </row>
    <row r="1760" spans="1:20" ht="15.75" thickTop="1" x14ac:dyDescent="0.25">
      <c r="A1760" s="432">
        <v>1201</v>
      </c>
      <c r="B1760" s="681">
        <v>3122</v>
      </c>
      <c r="C1760" s="681">
        <v>5336</v>
      </c>
      <c r="D1760" s="857"/>
      <c r="E1760" s="1479" t="s">
        <v>1269</v>
      </c>
      <c r="F1760" s="858"/>
      <c r="G1760" s="858">
        <v>1562</v>
      </c>
      <c r="H1760" s="858">
        <v>1562</v>
      </c>
      <c r="I1760" s="859">
        <f>(H1760/G1760)*100</f>
        <v>100</v>
      </c>
    </row>
    <row r="1761" spans="1:9" ht="14.25" x14ac:dyDescent="0.2">
      <c r="A1761" s="904"/>
      <c r="B1761" s="1376"/>
      <c r="C1761" s="1376"/>
      <c r="D1761" s="554" t="s">
        <v>1182</v>
      </c>
      <c r="E1761" s="456" t="s">
        <v>832</v>
      </c>
      <c r="F1761" s="865"/>
      <c r="G1761" s="865">
        <v>1562</v>
      </c>
      <c r="H1761" s="865">
        <v>1562</v>
      </c>
      <c r="I1761" s="861">
        <f>(H1761/G1761)*100</f>
        <v>100</v>
      </c>
    </row>
    <row r="1762" spans="1:9" ht="15" x14ac:dyDescent="0.25">
      <c r="A1762" s="432">
        <v>1201</v>
      </c>
      <c r="B1762" s="681">
        <v>3123</v>
      </c>
      <c r="C1762" s="681">
        <v>5331</v>
      </c>
      <c r="D1762" s="857"/>
      <c r="E1762" s="829" t="s">
        <v>996</v>
      </c>
      <c r="F1762" s="858">
        <f>F1763+F1764+F1767</f>
        <v>5196</v>
      </c>
      <c r="G1762" s="858">
        <f>G1763+G1764+G1767+G1765+G1766</f>
        <v>6384</v>
      </c>
      <c r="H1762" s="858">
        <f>H1763+H1764+H1767+H1765+H1766</f>
        <v>6384</v>
      </c>
      <c r="I1762" s="859">
        <f t="shared" ref="I1762:I1780" si="79">(H1762/G1762)*100</f>
        <v>100</v>
      </c>
    </row>
    <row r="1763" spans="1:9" ht="14.25" x14ac:dyDescent="0.2">
      <c r="A1763" s="432"/>
      <c r="B1763" s="681"/>
      <c r="C1763" s="681"/>
      <c r="D1763" s="719" t="s">
        <v>611</v>
      </c>
      <c r="E1763" s="1569" t="s">
        <v>833</v>
      </c>
      <c r="F1763" s="865">
        <v>2554</v>
      </c>
      <c r="G1763" s="865">
        <v>2603</v>
      </c>
      <c r="H1763" s="865">
        <v>2603</v>
      </c>
      <c r="I1763" s="861">
        <f t="shared" si="79"/>
        <v>100</v>
      </c>
    </row>
    <row r="1764" spans="1:9" ht="14.25" x14ac:dyDescent="0.2">
      <c r="A1764" s="432"/>
      <c r="B1764" s="681"/>
      <c r="C1764" s="681"/>
      <c r="D1764" s="554" t="s">
        <v>606</v>
      </c>
      <c r="E1764" s="456" t="s">
        <v>72</v>
      </c>
      <c r="F1764" s="865">
        <v>2642</v>
      </c>
      <c r="G1764" s="865">
        <v>2633</v>
      </c>
      <c r="H1764" s="865">
        <v>2633</v>
      </c>
      <c r="I1764" s="861">
        <f t="shared" si="79"/>
        <v>100</v>
      </c>
    </row>
    <row r="1765" spans="1:9" ht="14.25" x14ac:dyDescent="0.2">
      <c r="A1765" s="432"/>
      <c r="B1765" s="681"/>
      <c r="C1765" s="681"/>
      <c r="D1765" s="1480" t="s">
        <v>22</v>
      </c>
      <c r="E1765" s="1215" t="s">
        <v>1263</v>
      </c>
      <c r="F1765" s="865"/>
      <c r="G1765" s="865">
        <v>500</v>
      </c>
      <c r="H1765" s="865">
        <v>500</v>
      </c>
      <c r="I1765" s="861">
        <f t="shared" si="79"/>
        <v>100</v>
      </c>
    </row>
    <row r="1766" spans="1:9" ht="14.25" x14ac:dyDescent="0.2">
      <c r="A1766" s="432"/>
      <c r="B1766" s="681"/>
      <c r="C1766" s="681"/>
      <c r="D1766" s="1110" t="s">
        <v>703</v>
      </c>
      <c r="E1766" s="1334" t="s">
        <v>1357</v>
      </c>
      <c r="F1766" s="865"/>
      <c r="G1766" s="865">
        <v>9</v>
      </c>
      <c r="H1766" s="865">
        <v>9</v>
      </c>
      <c r="I1766" s="861">
        <f t="shared" si="79"/>
        <v>100</v>
      </c>
    </row>
    <row r="1767" spans="1:9" ht="14.25" x14ac:dyDescent="0.2">
      <c r="A1767" s="432"/>
      <c r="B1767" s="681"/>
      <c r="C1767" s="681"/>
      <c r="D1767" s="1120" t="s">
        <v>968</v>
      </c>
      <c r="E1767" s="1215" t="s">
        <v>1274</v>
      </c>
      <c r="F1767" s="865"/>
      <c r="G1767" s="865">
        <v>639</v>
      </c>
      <c r="H1767" s="865">
        <v>639</v>
      </c>
      <c r="I1767" s="861">
        <f t="shared" si="79"/>
        <v>100</v>
      </c>
    </row>
    <row r="1768" spans="1:9" ht="15" x14ac:dyDescent="0.25">
      <c r="A1768" s="432">
        <v>1201</v>
      </c>
      <c r="B1768" s="681">
        <v>3123</v>
      </c>
      <c r="C1768" s="681">
        <v>5336</v>
      </c>
      <c r="D1768" s="1120"/>
      <c r="E1768" s="1479" t="s">
        <v>1269</v>
      </c>
      <c r="F1768" s="865"/>
      <c r="G1768" s="889">
        <f>G1769+G1770+G1771</f>
        <v>17257</v>
      </c>
      <c r="H1768" s="889">
        <f>H1769+H1770+H1771</f>
        <v>17257</v>
      </c>
      <c r="I1768" s="891">
        <f t="shared" si="79"/>
        <v>100</v>
      </c>
    </row>
    <row r="1769" spans="1:9" ht="14.25" x14ac:dyDescent="0.2">
      <c r="A1769" s="432"/>
      <c r="B1769" s="681"/>
      <c r="C1769" s="681"/>
      <c r="D1769" s="554" t="s">
        <v>1182</v>
      </c>
      <c r="E1769" s="456" t="s">
        <v>832</v>
      </c>
      <c r="F1769" s="865"/>
      <c r="G1769" s="865">
        <v>16785</v>
      </c>
      <c r="H1769" s="865">
        <v>16785</v>
      </c>
      <c r="I1769" s="861">
        <f t="shared" si="79"/>
        <v>100</v>
      </c>
    </row>
    <row r="1770" spans="1:9" ht="14.25" x14ac:dyDescent="0.2">
      <c r="A1770" s="432"/>
      <c r="B1770" s="783"/>
      <c r="C1770" s="783"/>
      <c r="D1770" s="1481" t="s">
        <v>1608</v>
      </c>
      <c r="E1770" s="1476" t="s">
        <v>1717</v>
      </c>
      <c r="F1770" s="871"/>
      <c r="G1770" s="871">
        <v>71</v>
      </c>
      <c r="H1770" s="871">
        <v>71</v>
      </c>
      <c r="I1770" s="866">
        <f t="shared" si="79"/>
        <v>100</v>
      </c>
    </row>
    <row r="1771" spans="1:9" ht="12.75" customHeight="1" x14ac:dyDescent="0.2">
      <c r="A1771" s="432"/>
      <c r="B1771" s="783"/>
      <c r="C1771" s="783"/>
      <c r="D1771" s="1481" t="s">
        <v>1610</v>
      </c>
      <c r="E1771" s="1476" t="s">
        <v>1717</v>
      </c>
      <c r="F1771" s="871"/>
      <c r="G1771" s="871">
        <v>401</v>
      </c>
      <c r="H1771" s="871">
        <v>401</v>
      </c>
      <c r="I1771" s="866">
        <f t="shared" si="79"/>
        <v>100</v>
      </c>
    </row>
    <row r="1772" spans="1:9" ht="15" x14ac:dyDescent="0.25">
      <c r="A1772" s="432">
        <v>1201</v>
      </c>
      <c r="B1772" s="783">
        <v>3142</v>
      </c>
      <c r="C1772" s="1468">
        <v>5331</v>
      </c>
      <c r="D1772" s="880"/>
      <c r="E1772" s="680" t="s">
        <v>996</v>
      </c>
      <c r="F1772" s="873">
        <v>200</v>
      </c>
      <c r="G1772" s="873">
        <v>200</v>
      </c>
      <c r="H1772" s="873">
        <v>200</v>
      </c>
      <c r="I1772" s="874">
        <f t="shared" si="79"/>
        <v>100</v>
      </c>
    </row>
    <row r="1773" spans="1:9" ht="14.25" x14ac:dyDescent="0.2">
      <c r="A1773" s="432"/>
      <c r="B1773" s="783"/>
      <c r="C1773" s="1468"/>
      <c r="D1773" s="554" t="s">
        <v>606</v>
      </c>
      <c r="E1773" s="456" t="s">
        <v>72</v>
      </c>
      <c r="F1773" s="871">
        <v>200</v>
      </c>
      <c r="G1773" s="871">
        <v>200</v>
      </c>
      <c r="H1773" s="871">
        <v>200</v>
      </c>
      <c r="I1773" s="866">
        <f t="shared" si="79"/>
        <v>100</v>
      </c>
    </row>
    <row r="1774" spans="1:9" ht="15" x14ac:dyDescent="0.25">
      <c r="A1774" s="432">
        <v>1201</v>
      </c>
      <c r="B1774" s="783">
        <v>3147</v>
      </c>
      <c r="C1774" s="783">
        <v>5331</v>
      </c>
      <c r="D1774" s="897"/>
      <c r="E1774" s="680" t="s">
        <v>996</v>
      </c>
      <c r="F1774" s="873">
        <f>F1775+F1777</f>
        <v>400</v>
      </c>
      <c r="G1774" s="873">
        <v>400</v>
      </c>
      <c r="H1774" s="873">
        <v>400</v>
      </c>
      <c r="I1774" s="874">
        <f t="shared" si="79"/>
        <v>100</v>
      </c>
    </row>
    <row r="1775" spans="1:9" ht="14.25" x14ac:dyDescent="0.2">
      <c r="A1775" s="432"/>
      <c r="B1775" s="783"/>
      <c r="C1775" s="783"/>
      <c r="D1775" s="554" t="s">
        <v>606</v>
      </c>
      <c r="E1775" s="456" t="s">
        <v>72</v>
      </c>
      <c r="F1775" s="871">
        <v>400</v>
      </c>
      <c r="G1775" s="871">
        <v>400</v>
      </c>
      <c r="H1775" s="871">
        <v>400</v>
      </c>
      <c r="I1775" s="866">
        <f t="shared" si="79"/>
        <v>100</v>
      </c>
    </row>
    <row r="1776" spans="1:9" ht="15" x14ac:dyDescent="0.25">
      <c r="A1776" s="432">
        <v>1201</v>
      </c>
      <c r="B1776" s="783">
        <v>3147</v>
      </c>
      <c r="C1776" s="783">
        <v>5336</v>
      </c>
      <c r="D1776" s="554"/>
      <c r="E1776" s="1479" t="s">
        <v>1269</v>
      </c>
      <c r="F1776" s="871"/>
      <c r="G1776" s="884">
        <v>1265</v>
      </c>
      <c r="H1776" s="884">
        <v>1265</v>
      </c>
      <c r="I1776" s="876">
        <f t="shared" si="79"/>
        <v>100</v>
      </c>
    </row>
    <row r="1777" spans="1:20" ht="14.25" x14ac:dyDescent="0.2">
      <c r="A1777" s="432"/>
      <c r="B1777" s="783"/>
      <c r="C1777" s="1468"/>
      <c r="D1777" s="554" t="s">
        <v>1182</v>
      </c>
      <c r="E1777" s="456" t="s">
        <v>832</v>
      </c>
      <c r="F1777" s="871"/>
      <c r="G1777" s="871">
        <v>1265</v>
      </c>
      <c r="H1777" s="871">
        <v>1265</v>
      </c>
      <c r="I1777" s="866">
        <f t="shared" si="79"/>
        <v>100</v>
      </c>
    </row>
    <row r="1778" spans="1:20" ht="15" x14ac:dyDescent="0.25">
      <c r="A1778" s="432">
        <v>1201</v>
      </c>
      <c r="B1778" s="783">
        <v>3299</v>
      </c>
      <c r="C1778" s="1468">
        <v>5331</v>
      </c>
      <c r="D1778" s="554"/>
      <c r="E1778" s="680" t="s">
        <v>996</v>
      </c>
      <c r="F1778" s="871"/>
      <c r="G1778" s="884">
        <v>15</v>
      </c>
      <c r="H1778" s="884">
        <v>15</v>
      </c>
      <c r="I1778" s="876">
        <f t="shared" si="79"/>
        <v>100</v>
      </c>
    </row>
    <row r="1779" spans="1:20" ht="15" thickBot="1" x14ac:dyDescent="0.25">
      <c r="A1779" s="432"/>
      <c r="B1779" s="783"/>
      <c r="C1779" s="1468"/>
      <c r="D1779" s="1110" t="s">
        <v>513</v>
      </c>
      <c r="E1779" s="1215" t="s">
        <v>1303</v>
      </c>
      <c r="F1779" s="871"/>
      <c r="G1779" s="871">
        <v>15</v>
      </c>
      <c r="H1779" s="871">
        <v>15</v>
      </c>
      <c r="I1779" s="866">
        <f t="shared" si="79"/>
        <v>100</v>
      </c>
    </row>
    <row r="1780" spans="1:20" ht="16.5" thickTop="1" thickBot="1" x14ac:dyDescent="0.3">
      <c r="A1780" s="2685" t="s">
        <v>1162</v>
      </c>
      <c r="B1780" s="2686"/>
      <c r="C1780" s="2686"/>
      <c r="D1780" s="2686"/>
      <c r="E1780" s="2686"/>
      <c r="F1780" s="862">
        <f>F1762+F1772+F1774</f>
        <v>5796</v>
      </c>
      <c r="G1780" s="862">
        <f>G1760+G1762+G1768+G1772+G1774+G1776+G1778</f>
        <v>27083</v>
      </c>
      <c r="H1780" s="862">
        <f>H1760+H1762+H1768+H1772+H1774+H1776+H1778</f>
        <v>27083</v>
      </c>
      <c r="I1780" s="863">
        <f t="shared" si="79"/>
        <v>100</v>
      </c>
      <c r="R1780" s="383">
        <f>F1780</f>
        <v>5796</v>
      </c>
      <c r="S1780" s="383">
        <f>G1780</f>
        <v>27083</v>
      </c>
      <c r="T1780" s="383">
        <f>H1780</f>
        <v>27083</v>
      </c>
    </row>
    <row r="1781" spans="1:20" ht="14.25" customHeight="1" thickTop="1" x14ac:dyDescent="0.25">
      <c r="A1781" s="369"/>
      <c r="B1781" s="369"/>
      <c r="C1781" s="369"/>
      <c r="D1781" s="369"/>
      <c r="E1781" s="369"/>
      <c r="F1781" s="181"/>
      <c r="G1781" s="181"/>
      <c r="H1781" s="181"/>
      <c r="I1781" s="210"/>
      <c r="R1781" s="383"/>
      <c r="S1781" s="383"/>
      <c r="T1781" s="383"/>
    </row>
    <row r="1782" spans="1:20" ht="15" x14ac:dyDescent="0.25">
      <c r="A1782" s="369"/>
      <c r="B1782" s="369"/>
      <c r="C1782" s="369"/>
      <c r="D1782" s="369"/>
      <c r="E1782" s="369"/>
      <c r="F1782" s="181"/>
      <c r="G1782" s="181"/>
      <c r="H1782" s="181"/>
      <c r="I1782" s="210"/>
      <c r="R1782" s="383"/>
      <c r="S1782" s="383"/>
      <c r="T1782" s="383"/>
    </row>
    <row r="1783" spans="1:20" ht="15.75" customHeight="1" thickBot="1" x14ac:dyDescent="0.25">
      <c r="A1783" s="433" t="s">
        <v>1533</v>
      </c>
      <c r="I1783" s="1465" t="s">
        <v>173</v>
      </c>
    </row>
    <row r="1784" spans="1:20" ht="14.25" thickTop="1" thickBot="1" x14ac:dyDescent="0.25">
      <c r="A1784" s="633" t="s">
        <v>661</v>
      </c>
      <c r="B1784" s="810" t="s">
        <v>174</v>
      </c>
      <c r="C1784" s="634" t="s">
        <v>175</v>
      </c>
      <c r="D1784" s="636" t="s">
        <v>744</v>
      </c>
      <c r="E1784" s="636" t="s">
        <v>176</v>
      </c>
      <c r="F1784" s="636" t="s">
        <v>177</v>
      </c>
      <c r="G1784" s="636" t="s">
        <v>922</v>
      </c>
      <c r="H1784" s="636" t="s">
        <v>923</v>
      </c>
      <c r="I1784" s="856" t="s">
        <v>924</v>
      </c>
    </row>
    <row r="1785" spans="1:20" ht="14.25" thickTop="1" thickBot="1" x14ac:dyDescent="0.25">
      <c r="A1785" s="568">
        <v>1</v>
      </c>
      <c r="B1785" s="569">
        <v>2</v>
      </c>
      <c r="C1785" s="569">
        <v>3</v>
      </c>
      <c r="D1785" s="569">
        <v>4</v>
      </c>
      <c r="E1785" s="569">
        <v>5</v>
      </c>
      <c r="F1785" s="543">
        <v>6</v>
      </c>
      <c r="G1785" s="543">
        <v>7</v>
      </c>
      <c r="H1785" s="544">
        <v>8</v>
      </c>
      <c r="I1785" s="638" t="s">
        <v>801</v>
      </c>
    </row>
    <row r="1786" spans="1:20" ht="15.75" thickTop="1" x14ac:dyDescent="0.25">
      <c r="A1786" s="1477">
        <v>1202</v>
      </c>
      <c r="B1786" s="885">
        <v>3122</v>
      </c>
      <c r="C1786" s="885">
        <v>5331</v>
      </c>
      <c r="D1786" s="890"/>
      <c r="E1786" s="924" t="s">
        <v>996</v>
      </c>
      <c r="F1786" s="883">
        <f>F1787+F1788</f>
        <v>3344</v>
      </c>
      <c r="G1786" s="883">
        <f>G1787+G1788+G1789</f>
        <v>3440</v>
      </c>
      <c r="H1786" s="883">
        <f>H1787+H1788+H1789</f>
        <v>3440</v>
      </c>
      <c r="I1786" s="887">
        <f t="shared" ref="I1786:I1805" si="80">(H1786/G1786)*100</f>
        <v>100</v>
      </c>
    </row>
    <row r="1787" spans="1:20" ht="14.25" x14ac:dyDescent="0.2">
      <c r="A1787" s="432"/>
      <c r="B1787" s="681"/>
      <c r="C1787" s="681"/>
      <c r="D1787" s="719" t="s">
        <v>611</v>
      </c>
      <c r="E1787" s="1569" t="s">
        <v>833</v>
      </c>
      <c r="F1787" s="865">
        <v>924</v>
      </c>
      <c r="G1787" s="865">
        <v>937</v>
      </c>
      <c r="H1787" s="865">
        <v>937</v>
      </c>
      <c r="I1787" s="861">
        <f t="shared" si="80"/>
        <v>100</v>
      </c>
    </row>
    <row r="1788" spans="1:20" ht="14.25" x14ac:dyDescent="0.2">
      <c r="A1788" s="432"/>
      <c r="B1788" s="681"/>
      <c r="C1788" s="681"/>
      <c r="D1788" s="554" t="s">
        <v>606</v>
      </c>
      <c r="E1788" s="456" t="s">
        <v>72</v>
      </c>
      <c r="F1788" s="865">
        <v>2420</v>
      </c>
      <c r="G1788" s="865">
        <v>2420</v>
      </c>
      <c r="H1788" s="865">
        <v>2420</v>
      </c>
      <c r="I1788" s="861">
        <f t="shared" si="80"/>
        <v>100</v>
      </c>
    </row>
    <row r="1789" spans="1:20" ht="14.25" x14ac:dyDescent="0.2">
      <c r="A1789" s="432"/>
      <c r="B1789" s="681"/>
      <c r="C1789" s="681"/>
      <c r="D1789" s="2671" t="s">
        <v>1510</v>
      </c>
      <c r="E1789" s="2687" t="s">
        <v>1531</v>
      </c>
      <c r="F1789" s="865"/>
      <c r="G1789" s="865">
        <v>83</v>
      </c>
      <c r="H1789" s="865">
        <v>83</v>
      </c>
      <c r="I1789" s="861">
        <f t="shared" si="80"/>
        <v>100</v>
      </c>
    </row>
    <row r="1790" spans="1:20" ht="14.25" x14ac:dyDescent="0.2">
      <c r="A1790" s="432"/>
      <c r="B1790" s="681"/>
      <c r="C1790" s="681"/>
      <c r="D1790" s="2672"/>
      <c r="E1790" s="2672"/>
      <c r="F1790" s="865"/>
      <c r="G1790" s="865"/>
      <c r="H1790" s="865"/>
      <c r="I1790" s="861"/>
    </row>
    <row r="1791" spans="1:20" ht="14.25" x14ac:dyDescent="0.2">
      <c r="A1791" s="432"/>
      <c r="B1791" s="681"/>
      <c r="C1791" s="681"/>
      <c r="D1791" s="2672"/>
      <c r="E1791" s="2672"/>
      <c r="F1791" s="865"/>
      <c r="G1791" s="865"/>
      <c r="H1791" s="865"/>
      <c r="I1791" s="861"/>
    </row>
    <row r="1792" spans="1:20" ht="15" x14ac:dyDescent="0.25">
      <c r="A1792" s="432">
        <v>1202</v>
      </c>
      <c r="B1792" s="681">
        <v>3122</v>
      </c>
      <c r="C1792" s="681">
        <v>5336</v>
      </c>
      <c r="D1792" s="2605"/>
      <c r="E1792" s="1479" t="s">
        <v>1269</v>
      </c>
      <c r="F1792" s="865"/>
      <c r="G1792" s="889">
        <f>G1793+G1794+G1795</f>
        <v>14902</v>
      </c>
      <c r="H1792" s="889">
        <f>H1793+H1794+H1795</f>
        <v>14902</v>
      </c>
      <c r="I1792" s="891">
        <f t="shared" si="80"/>
        <v>100</v>
      </c>
    </row>
    <row r="1793" spans="1:20" ht="14.25" x14ac:dyDescent="0.2">
      <c r="A1793" s="432"/>
      <c r="B1793" s="681"/>
      <c r="C1793" s="1467"/>
      <c r="D1793" s="554" t="s">
        <v>1182</v>
      </c>
      <c r="E1793" s="456" t="s">
        <v>832</v>
      </c>
      <c r="F1793" s="865"/>
      <c r="G1793" s="865">
        <v>14462</v>
      </c>
      <c r="H1793" s="865">
        <v>14462</v>
      </c>
      <c r="I1793" s="861">
        <f t="shared" si="80"/>
        <v>100</v>
      </c>
    </row>
    <row r="1794" spans="1:20" ht="14.25" x14ac:dyDescent="0.2">
      <c r="A1794" s="432"/>
      <c r="B1794" s="783"/>
      <c r="C1794" s="1468"/>
      <c r="D1794" s="1481" t="s">
        <v>1608</v>
      </c>
      <c r="E1794" s="1476" t="s">
        <v>1717</v>
      </c>
      <c r="F1794" s="871"/>
      <c r="G1794" s="871">
        <v>66</v>
      </c>
      <c r="H1794" s="871">
        <v>66</v>
      </c>
      <c r="I1794" s="861">
        <f t="shared" si="80"/>
        <v>100</v>
      </c>
    </row>
    <row r="1795" spans="1:20" ht="14.25" x14ac:dyDescent="0.2">
      <c r="A1795" s="432"/>
      <c r="B1795" s="783"/>
      <c r="C1795" s="1468"/>
      <c r="D1795" s="1481" t="s">
        <v>1610</v>
      </c>
      <c r="E1795" s="1476" t="s">
        <v>1717</v>
      </c>
      <c r="F1795" s="871"/>
      <c r="G1795" s="871">
        <v>374</v>
      </c>
      <c r="H1795" s="871">
        <v>374</v>
      </c>
      <c r="I1795" s="861">
        <f t="shared" si="80"/>
        <v>100</v>
      </c>
    </row>
    <row r="1796" spans="1:20" ht="15" x14ac:dyDescent="0.25">
      <c r="A1796" s="432">
        <v>1202</v>
      </c>
      <c r="B1796" s="783">
        <v>3123</v>
      </c>
      <c r="C1796" s="783">
        <v>5331</v>
      </c>
      <c r="D1796" s="897"/>
      <c r="E1796" s="680" t="s">
        <v>996</v>
      </c>
      <c r="F1796" s="873">
        <v>805</v>
      </c>
      <c r="G1796" s="873">
        <v>805</v>
      </c>
      <c r="H1796" s="873">
        <v>805</v>
      </c>
      <c r="I1796" s="874">
        <f t="shared" si="80"/>
        <v>100</v>
      </c>
    </row>
    <row r="1797" spans="1:20" ht="14.25" x14ac:dyDescent="0.2">
      <c r="A1797" s="432"/>
      <c r="B1797" s="783"/>
      <c r="C1797" s="783"/>
      <c r="D1797" s="554" t="s">
        <v>606</v>
      </c>
      <c r="E1797" s="456" t="s">
        <v>72</v>
      </c>
      <c r="F1797" s="875">
        <v>805</v>
      </c>
      <c r="G1797" s="871">
        <v>805</v>
      </c>
      <c r="H1797" s="871">
        <v>805</v>
      </c>
      <c r="I1797" s="866">
        <f t="shared" si="80"/>
        <v>100</v>
      </c>
    </row>
    <row r="1798" spans="1:20" ht="15" x14ac:dyDescent="0.25">
      <c r="A1798" s="432">
        <v>1202</v>
      </c>
      <c r="B1798" s="783">
        <v>3123</v>
      </c>
      <c r="C1798" s="783">
        <v>5336</v>
      </c>
      <c r="D1798" s="554"/>
      <c r="E1798" s="1479" t="s">
        <v>1269</v>
      </c>
      <c r="F1798" s="875"/>
      <c r="G1798" s="884">
        <v>883</v>
      </c>
      <c r="H1798" s="884">
        <v>883</v>
      </c>
      <c r="I1798" s="876">
        <f t="shared" si="80"/>
        <v>100</v>
      </c>
    </row>
    <row r="1799" spans="1:20" ht="14.25" x14ac:dyDescent="0.2">
      <c r="A1799" s="432"/>
      <c r="B1799" s="783"/>
      <c r="C1799" s="783"/>
      <c r="D1799" s="554" t="s">
        <v>1182</v>
      </c>
      <c r="E1799" s="456" t="s">
        <v>832</v>
      </c>
      <c r="F1799" s="871"/>
      <c r="G1799" s="871">
        <v>883</v>
      </c>
      <c r="H1799" s="871">
        <v>883</v>
      </c>
      <c r="I1799" s="866">
        <f t="shared" si="80"/>
        <v>100</v>
      </c>
    </row>
    <row r="1800" spans="1:20" ht="15" x14ac:dyDescent="0.25">
      <c r="A1800" s="432">
        <v>1202</v>
      </c>
      <c r="B1800" s="783">
        <v>3142</v>
      </c>
      <c r="C1800" s="783">
        <v>5336</v>
      </c>
      <c r="D1800" s="554"/>
      <c r="E1800" s="1479" t="s">
        <v>1269</v>
      </c>
      <c r="F1800" s="871"/>
      <c r="G1800" s="884">
        <v>122</v>
      </c>
      <c r="H1800" s="884">
        <v>122</v>
      </c>
      <c r="I1800" s="876">
        <f t="shared" si="80"/>
        <v>100</v>
      </c>
    </row>
    <row r="1801" spans="1:20" ht="14.25" x14ac:dyDescent="0.2">
      <c r="A1801" s="432"/>
      <c r="B1801" s="783"/>
      <c r="C1801" s="783"/>
      <c r="D1801" s="554" t="s">
        <v>1182</v>
      </c>
      <c r="E1801" s="456" t="s">
        <v>832</v>
      </c>
      <c r="F1801" s="871"/>
      <c r="G1801" s="871">
        <v>122</v>
      </c>
      <c r="H1801" s="871">
        <v>122</v>
      </c>
      <c r="I1801" s="866">
        <f t="shared" si="80"/>
        <v>100</v>
      </c>
    </row>
    <row r="1802" spans="1:20" ht="15" x14ac:dyDescent="0.25">
      <c r="A1802" s="432">
        <v>1202</v>
      </c>
      <c r="B1802" s="783">
        <v>3147</v>
      </c>
      <c r="C1802" s="1468">
        <v>5331</v>
      </c>
      <c r="D1802" s="880"/>
      <c r="E1802" s="680" t="s">
        <v>996</v>
      </c>
      <c r="F1802" s="884">
        <v>1610</v>
      </c>
      <c r="G1802" s="884">
        <f>G1803+G1804</f>
        <v>1835</v>
      </c>
      <c r="H1802" s="884">
        <f>H1803+H1804</f>
        <v>1835</v>
      </c>
      <c r="I1802" s="874">
        <f t="shared" si="80"/>
        <v>100</v>
      </c>
    </row>
    <row r="1803" spans="1:20" ht="15" x14ac:dyDescent="0.25">
      <c r="A1803" s="432"/>
      <c r="B1803" s="783"/>
      <c r="C1803" s="1468"/>
      <c r="D1803" s="1110" t="s">
        <v>196</v>
      </c>
      <c r="E1803" s="1215" t="s">
        <v>751</v>
      </c>
      <c r="F1803" s="884"/>
      <c r="G1803" s="875">
        <v>225</v>
      </c>
      <c r="H1803" s="875">
        <v>225</v>
      </c>
      <c r="I1803" s="377">
        <f t="shared" si="80"/>
        <v>100</v>
      </c>
    </row>
    <row r="1804" spans="1:20" ht="15" customHeight="1" x14ac:dyDescent="0.2">
      <c r="A1804" s="432"/>
      <c r="B1804" s="783"/>
      <c r="C1804" s="1468"/>
      <c r="D1804" s="554" t="s">
        <v>606</v>
      </c>
      <c r="E1804" s="456" t="s">
        <v>72</v>
      </c>
      <c r="F1804" s="871">
        <v>1610</v>
      </c>
      <c r="G1804" s="871">
        <v>1610</v>
      </c>
      <c r="H1804" s="871">
        <v>1610</v>
      </c>
      <c r="I1804" s="866">
        <f t="shared" si="80"/>
        <v>100</v>
      </c>
    </row>
    <row r="1805" spans="1:20" ht="15" x14ac:dyDescent="0.25">
      <c r="A1805" s="432">
        <v>1202</v>
      </c>
      <c r="B1805" s="783">
        <v>3147</v>
      </c>
      <c r="C1805" s="1468">
        <v>5336</v>
      </c>
      <c r="D1805" s="554"/>
      <c r="E1805" s="1479" t="s">
        <v>1269</v>
      </c>
      <c r="F1805" s="884"/>
      <c r="G1805" s="884">
        <v>4128</v>
      </c>
      <c r="H1805" s="884">
        <v>4128</v>
      </c>
      <c r="I1805" s="874">
        <f t="shared" si="80"/>
        <v>100</v>
      </c>
    </row>
    <row r="1806" spans="1:20" ht="15" thickBot="1" x14ac:dyDescent="0.25">
      <c r="A1806" s="432"/>
      <c r="B1806" s="783"/>
      <c r="C1806" s="1468"/>
      <c r="D1806" s="554" t="s">
        <v>1182</v>
      </c>
      <c r="E1806" s="456" t="s">
        <v>832</v>
      </c>
      <c r="F1806" s="871"/>
      <c r="G1806" s="871">
        <v>4128</v>
      </c>
      <c r="H1806" s="871">
        <v>4128</v>
      </c>
      <c r="I1806" s="866">
        <f>(H1806/G1806)*100</f>
        <v>100</v>
      </c>
    </row>
    <row r="1807" spans="1:20" ht="16.5" thickTop="1" thickBot="1" x14ac:dyDescent="0.3">
      <c r="A1807" s="2685" t="s">
        <v>1162</v>
      </c>
      <c r="B1807" s="2686"/>
      <c r="C1807" s="2686"/>
      <c r="D1807" s="2686"/>
      <c r="E1807" s="2686"/>
      <c r="F1807" s="862">
        <f>F1786+F1796+F1802</f>
        <v>5759</v>
      </c>
      <c r="G1807" s="862">
        <f>G1786+G1792+G1796+G1798+G1800+G1802+G1805</f>
        <v>26115</v>
      </c>
      <c r="H1807" s="862">
        <f>H1786+H1792+H1796+H1798+H1800+H1802+H1805</f>
        <v>26115</v>
      </c>
      <c r="I1807" s="863">
        <f>(H1807/G1807)*100</f>
        <v>100</v>
      </c>
      <c r="R1807" s="383">
        <f>F1807</f>
        <v>5759</v>
      </c>
      <c r="S1807" s="383">
        <f>G1807</f>
        <v>26115</v>
      </c>
      <c r="T1807" s="383">
        <f>H1807</f>
        <v>26115</v>
      </c>
    </row>
    <row r="1808" spans="1:20" ht="12.75" customHeight="1" thickTop="1" x14ac:dyDescent="0.25">
      <c r="A1808" s="369"/>
      <c r="B1808" s="369"/>
      <c r="C1808" s="369"/>
      <c r="D1808" s="369"/>
      <c r="E1808" s="369"/>
      <c r="F1808" s="181"/>
      <c r="G1808" s="181"/>
      <c r="H1808" s="181"/>
      <c r="I1808" s="210"/>
      <c r="R1808" s="383"/>
      <c r="S1808" s="383"/>
      <c r="T1808" s="383"/>
    </row>
    <row r="1809" spans="1:20" ht="12.75" customHeight="1" x14ac:dyDescent="0.25">
      <c r="A1809" s="369"/>
      <c r="B1809" s="369"/>
      <c r="C1809" s="369"/>
      <c r="D1809" s="369"/>
      <c r="E1809" s="369"/>
      <c r="F1809" s="181"/>
      <c r="G1809" s="181"/>
      <c r="H1809" s="181"/>
      <c r="I1809" s="210"/>
      <c r="R1809" s="383"/>
      <c r="S1809" s="383"/>
      <c r="T1809" s="383"/>
    </row>
    <row r="1810" spans="1:20" ht="12.75" customHeight="1" x14ac:dyDescent="0.25">
      <c r="A1810" s="369"/>
      <c r="B1810" s="369"/>
      <c r="C1810" s="369"/>
      <c r="D1810" s="369"/>
      <c r="E1810" s="369"/>
      <c r="F1810" s="181"/>
      <c r="G1810" s="181"/>
      <c r="H1810" s="181"/>
      <c r="I1810" s="210"/>
      <c r="R1810" s="383"/>
      <c r="S1810" s="383"/>
      <c r="T1810" s="383"/>
    </row>
    <row r="1811" spans="1:20" ht="13.5" thickBot="1" x14ac:dyDescent="0.25">
      <c r="A1811" s="433" t="s">
        <v>334</v>
      </c>
      <c r="I1811" s="1465" t="s">
        <v>173</v>
      </c>
    </row>
    <row r="1812" spans="1:20" ht="14.25" thickTop="1" thickBot="1" x14ac:dyDescent="0.25">
      <c r="A1812" s="633" t="s">
        <v>661</v>
      </c>
      <c r="B1812" s="810" t="s">
        <v>174</v>
      </c>
      <c r="C1812" s="634" t="s">
        <v>175</v>
      </c>
      <c r="D1812" s="636" t="s">
        <v>744</v>
      </c>
      <c r="E1812" s="636" t="s">
        <v>176</v>
      </c>
      <c r="F1812" s="636" t="s">
        <v>177</v>
      </c>
      <c r="G1812" s="636" t="s">
        <v>922</v>
      </c>
      <c r="H1812" s="636" t="s">
        <v>923</v>
      </c>
      <c r="I1812" s="856" t="s">
        <v>924</v>
      </c>
    </row>
    <row r="1813" spans="1:20" ht="14.25" thickTop="1" thickBot="1" x14ac:dyDescent="0.25">
      <c r="A1813" s="568">
        <v>1</v>
      </c>
      <c r="B1813" s="569">
        <v>2</v>
      </c>
      <c r="C1813" s="569">
        <v>3</v>
      </c>
      <c r="D1813" s="569">
        <v>4</v>
      </c>
      <c r="E1813" s="569">
        <v>5</v>
      </c>
      <c r="F1813" s="543">
        <v>6</v>
      </c>
      <c r="G1813" s="543">
        <v>7</v>
      </c>
      <c r="H1813" s="544">
        <v>8</v>
      </c>
      <c r="I1813" s="638" t="s">
        <v>801</v>
      </c>
    </row>
    <row r="1814" spans="1:20" ht="15.75" thickTop="1" x14ac:dyDescent="0.25">
      <c r="A1814" s="1477">
        <v>1204</v>
      </c>
      <c r="B1814" s="885">
        <v>3122</v>
      </c>
      <c r="C1814" s="885">
        <v>5336</v>
      </c>
      <c r="D1814" s="890"/>
      <c r="E1814" s="1479" t="s">
        <v>1269</v>
      </c>
      <c r="F1814" s="883"/>
      <c r="G1814" s="883">
        <v>4795</v>
      </c>
      <c r="H1814" s="883">
        <v>4795</v>
      </c>
      <c r="I1814" s="887">
        <f>(H1814/G1814)*100</f>
        <v>100</v>
      </c>
    </row>
    <row r="1815" spans="1:20" ht="14.25" x14ac:dyDescent="0.2">
      <c r="A1815" s="432"/>
      <c r="B1815" s="681"/>
      <c r="C1815" s="1467"/>
      <c r="D1815" s="554" t="s">
        <v>1182</v>
      </c>
      <c r="E1815" s="456" t="s">
        <v>832</v>
      </c>
      <c r="F1815" s="865"/>
      <c r="G1815" s="865">
        <v>4795</v>
      </c>
      <c r="H1815" s="865">
        <v>4795</v>
      </c>
      <c r="I1815" s="861">
        <f t="shared" ref="I1815:I1845" si="81">(H1815/G1815)*100</f>
        <v>100</v>
      </c>
    </row>
    <row r="1816" spans="1:20" ht="15" x14ac:dyDescent="0.25">
      <c r="A1816" s="432">
        <v>1204</v>
      </c>
      <c r="B1816" s="783">
        <v>3123</v>
      </c>
      <c r="C1816" s="1468">
        <v>5331</v>
      </c>
      <c r="D1816" s="570"/>
      <c r="E1816" s="680" t="s">
        <v>996</v>
      </c>
      <c r="F1816" s="884">
        <f>F1817+F1819+F1820+F1821</f>
        <v>9857</v>
      </c>
      <c r="G1816" s="884">
        <f>G1817+G1819+G1820+G1821+G1818</f>
        <v>10530</v>
      </c>
      <c r="H1816" s="884">
        <f>H1817+H1819+H1820+H1821+H1818</f>
        <v>10530</v>
      </c>
      <c r="I1816" s="874">
        <f t="shared" si="81"/>
        <v>100</v>
      </c>
    </row>
    <row r="1817" spans="1:20" ht="14.25" x14ac:dyDescent="0.2">
      <c r="A1817" s="432"/>
      <c r="B1817" s="783"/>
      <c r="C1817" s="1468"/>
      <c r="D1817" s="719" t="s">
        <v>611</v>
      </c>
      <c r="E1817" s="1569" t="s">
        <v>833</v>
      </c>
      <c r="F1817" s="871">
        <v>2965</v>
      </c>
      <c r="G1817" s="871">
        <v>2965</v>
      </c>
      <c r="H1817" s="871">
        <v>2965</v>
      </c>
      <c r="I1817" s="866">
        <f t="shared" si="81"/>
        <v>100</v>
      </c>
    </row>
    <row r="1818" spans="1:20" ht="14.25" x14ac:dyDescent="0.2">
      <c r="A1818" s="432"/>
      <c r="B1818" s="783"/>
      <c r="C1818" s="1468"/>
      <c r="D1818" s="1110" t="s">
        <v>369</v>
      </c>
      <c r="E1818" s="1215" t="s">
        <v>933</v>
      </c>
      <c r="F1818" s="871"/>
      <c r="G1818" s="871">
        <v>5</v>
      </c>
      <c r="H1818" s="871">
        <v>5</v>
      </c>
      <c r="I1818" s="866">
        <f t="shared" si="81"/>
        <v>100</v>
      </c>
    </row>
    <row r="1819" spans="1:20" ht="14.25" x14ac:dyDescent="0.2">
      <c r="A1819" s="432"/>
      <c r="B1819" s="783"/>
      <c r="C1819" s="1468"/>
      <c r="D1819" s="554" t="s">
        <v>606</v>
      </c>
      <c r="E1819" s="456" t="s">
        <v>72</v>
      </c>
      <c r="F1819" s="871">
        <v>6892</v>
      </c>
      <c r="G1819" s="871">
        <v>6892</v>
      </c>
      <c r="H1819" s="871">
        <v>6892</v>
      </c>
      <c r="I1819" s="866">
        <f t="shared" si="81"/>
        <v>100</v>
      </c>
    </row>
    <row r="1820" spans="1:20" ht="14.25" x14ac:dyDescent="0.2">
      <c r="A1820" s="432"/>
      <c r="B1820" s="783"/>
      <c r="C1820" s="1468"/>
      <c r="D1820" s="1120" t="s">
        <v>968</v>
      </c>
      <c r="E1820" s="1215" t="s">
        <v>1274</v>
      </c>
      <c r="F1820" s="871"/>
      <c r="G1820" s="871">
        <v>658</v>
      </c>
      <c r="H1820" s="871">
        <v>658</v>
      </c>
      <c r="I1820" s="866">
        <f t="shared" si="81"/>
        <v>100</v>
      </c>
    </row>
    <row r="1821" spans="1:20" ht="14.25" x14ac:dyDescent="0.2">
      <c r="A1821" s="432"/>
      <c r="B1821" s="783"/>
      <c r="C1821" s="1468"/>
      <c r="D1821" s="1119" t="s">
        <v>1604</v>
      </c>
      <c r="E1821" s="2273" t="s">
        <v>1719</v>
      </c>
      <c r="F1821" s="871"/>
      <c r="G1821" s="871">
        <v>10</v>
      </c>
      <c r="H1821" s="871">
        <v>10</v>
      </c>
      <c r="I1821" s="866">
        <f t="shared" si="81"/>
        <v>100</v>
      </c>
    </row>
    <row r="1822" spans="1:20" ht="15" x14ac:dyDescent="0.25">
      <c r="A1822" s="432">
        <v>1204</v>
      </c>
      <c r="B1822" s="783">
        <v>3123</v>
      </c>
      <c r="C1822" s="1468">
        <v>5336</v>
      </c>
      <c r="D1822" s="2255"/>
      <c r="E1822" s="1479" t="s">
        <v>1269</v>
      </c>
      <c r="F1822" s="871"/>
      <c r="G1822" s="884">
        <f>G1823+G1824+G1825</f>
        <v>35539</v>
      </c>
      <c r="H1822" s="884">
        <f>H1823+H1824+H1825</f>
        <v>35539</v>
      </c>
      <c r="I1822" s="876">
        <f t="shared" si="81"/>
        <v>100</v>
      </c>
    </row>
    <row r="1823" spans="1:20" ht="14.25" x14ac:dyDescent="0.2">
      <c r="A1823" s="432"/>
      <c r="B1823" s="783"/>
      <c r="C1823" s="1468"/>
      <c r="D1823" s="554" t="s">
        <v>1182</v>
      </c>
      <c r="E1823" s="456" t="s">
        <v>832</v>
      </c>
      <c r="F1823" s="871"/>
      <c r="G1823" s="871">
        <v>34524</v>
      </c>
      <c r="H1823" s="871">
        <v>34524</v>
      </c>
      <c r="I1823" s="866">
        <f t="shared" si="81"/>
        <v>100</v>
      </c>
    </row>
    <row r="1824" spans="1:20" ht="14.25" x14ac:dyDescent="0.2">
      <c r="A1824" s="432"/>
      <c r="B1824" s="783"/>
      <c r="C1824" s="1468"/>
      <c r="D1824" s="1481" t="s">
        <v>1608</v>
      </c>
      <c r="E1824" s="1476" t="s">
        <v>1717</v>
      </c>
      <c r="F1824" s="871"/>
      <c r="G1824" s="871">
        <v>152</v>
      </c>
      <c r="H1824" s="871">
        <v>152</v>
      </c>
      <c r="I1824" s="866">
        <f t="shared" si="81"/>
        <v>100</v>
      </c>
    </row>
    <row r="1825" spans="1:9" ht="14.25" x14ac:dyDescent="0.2">
      <c r="A1825" s="432"/>
      <c r="B1825" s="783"/>
      <c r="C1825" s="1468"/>
      <c r="D1825" s="1481" t="s">
        <v>1610</v>
      </c>
      <c r="E1825" s="1476" t="s">
        <v>1717</v>
      </c>
      <c r="F1825" s="871"/>
      <c r="G1825" s="871">
        <v>863</v>
      </c>
      <c r="H1825" s="871">
        <v>863</v>
      </c>
      <c r="I1825" s="866">
        <f t="shared" si="81"/>
        <v>100</v>
      </c>
    </row>
    <row r="1826" spans="1:9" ht="15" x14ac:dyDescent="0.25">
      <c r="A1826" s="432">
        <v>1204</v>
      </c>
      <c r="B1826" s="783">
        <v>3124</v>
      </c>
      <c r="C1826" s="783">
        <v>5331</v>
      </c>
      <c r="D1826" s="897"/>
      <c r="E1826" s="680" t="s">
        <v>996</v>
      </c>
      <c r="F1826" s="873"/>
      <c r="G1826" s="873">
        <v>57</v>
      </c>
      <c r="H1826" s="873">
        <v>57</v>
      </c>
      <c r="I1826" s="874">
        <f t="shared" si="81"/>
        <v>100</v>
      </c>
    </row>
    <row r="1827" spans="1:9" ht="15" thickBot="1" x14ac:dyDescent="0.25">
      <c r="A1827" s="1469"/>
      <c r="B1827" s="930"/>
      <c r="C1827" s="1470"/>
      <c r="D1827" s="1132" t="s">
        <v>968</v>
      </c>
      <c r="E1827" s="1483" t="s">
        <v>1274</v>
      </c>
      <c r="F1827" s="931"/>
      <c r="G1827" s="944">
        <v>57</v>
      </c>
      <c r="H1827" s="944">
        <v>57</v>
      </c>
      <c r="I1827" s="945">
        <f t="shared" si="81"/>
        <v>100</v>
      </c>
    </row>
    <row r="1828" spans="1:9" ht="14.25" thickTop="1" thickBot="1" x14ac:dyDescent="0.25">
      <c r="A1828" s="433"/>
      <c r="I1828" s="1465" t="s">
        <v>173</v>
      </c>
    </row>
    <row r="1829" spans="1:9" ht="14.25" thickTop="1" thickBot="1" x14ac:dyDescent="0.25">
      <c r="A1829" s="633" t="s">
        <v>661</v>
      </c>
      <c r="B1829" s="810" t="s">
        <v>174</v>
      </c>
      <c r="C1829" s="634" t="s">
        <v>175</v>
      </c>
      <c r="D1829" s="636" t="s">
        <v>744</v>
      </c>
      <c r="E1829" s="636" t="s">
        <v>176</v>
      </c>
      <c r="F1829" s="636" t="s">
        <v>177</v>
      </c>
      <c r="G1829" s="636" t="s">
        <v>922</v>
      </c>
      <c r="H1829" s="636" t="s">
        <v>923</v>
      </c>
      <c r="I1829" s="856" t="s">
        <v>924</v>
      </c>
    </row>
    <row r="1830" spans="1:9" ht="14.25" thickTop="1" thickBot="1" x14ac:dyDescent="0.25">
      <c r="A1830" s="568">
        <v>1</v>
      </c>
      <c r="B1830" s="569">
        <v>2</v>
      </c>
      <c r="C1830" s="569">
        <v>3</v>
      </c>
      <c r="D1830" s="569">
        <v>4</v>
      </c>
      <c r="E1830" s="569">
        <v>5</v>
      </c>
      <c r="F1830" s="543">
        <v>6</v>
      </c>
      <c r="G1830" s="543">
        <v>7</v>
      </c>
      <c r="H1830" s="544">
        <v>8</v>
      </c>
      <c r="I1830" s="638" t="s">
        <v>801</v>
      </c>
    </row>
    <row r="1831" spans="1:9" ht="15.75" thickTop="1" x14ac:dyDescent="0.25">
      <c r="A1831" s="432">
        <v>1204</v>
      </c>
      <c r="B1831" s="783">
        <v>3124</v>
      </c>
      <c r="C1831" s="1468">
        <v>5336</v>
      </c>
      <c r="D1831" s="1120"/>
      <c r="E1831" s="1479" t="s">
        <v>1269</v>
      </c>
      <c r="F1831" s="871"/>
      <c r="G1831" s="884">
        <v>875</v>
      </c>
      <c r="H1831" s="884">
        <v>875</v>
      </c>
      <c r="I1831" s="876">
        <f t="shared" si="81"/>
        <v>100</v>
      </c>
    </row>
    <row r="1832" spans="1:9" ht="14.25" x14ac:dyDescent="0.2">
      <c r="A1832" s="432"/>
      <c r="B1832" s="783"/>
      <c r="C1832" s="1468"/>
      <c r="D1832" s="554" t="s">
        <v>1182</v>
      </c>
      <c r="E1832" s="456" t="s">
        <v>832</v>
      </c>
      <c r="F1832" s="871"/>
      <c r="G1832" s="871">
        <v>875</v>
      </c>
      <c r="H1832" s="871">
        <v>875</v>
      </c>
      <c r="I1832" s="866">
        <f t="shared" si="81"/>
        <v>100</v>
      </c>
    </row>
    <row r="1833" spans="1:9" ht="15" x14ac:dyDescent="0.25">
      <c r="A1833" s="432">
        <v>1204</v>
      </c>
      <c r="B1833" s="783">
        <v>3141</v>
      </c>
      <c r="C1833" s="1468">
        <v>5336</v>
      </c>
      <c r="D1833" s="570"/>
      <c r="E1833" s="1479" t="s">
        <v>1269</v>
      </c>
      <c r="F1833" s="884"/>
      <c r="G1833" s="884">
        <v>96</v>
      </c>
      <c r="H1833" s="884">
        <v>96</v>
      </c>
      <c r="I1833" s="876">
        <f t="shared" si="81"/>
        <v>100</v>
      </c>
    </row>
    <row r="1834" spans="1:9" ht="14.25" x14ac:dyDescent="0.2">
      <c r="A1834" s="432"/>
      <c r="B1834" s="783"/>
      <c r="C1834" s="1468"/>
      <c r="D1834" s="554" t="s">
        <v>1182</v>
      </c>
      <c r="E1834" s="456" t="s">
        <v>832</v>
      </c>
      <c r="F1834" s="871"/>
      <c r="G1834" s="871">
        <v>96</v>
      </c>
      <c r="H1834" s="871">
        <v>96</v>
      </c>
      <c r="I1834" s="866">
        <f t="shared" si="81"/>
        <v>100</v>
      </c>
    </row>
    <row r="1835" spans="1:9" ht="15" x14ac:dyDescent="0.25">
      <c r="A1835" s="432">
        <v>1204</v>
      </c>
      <c r="B1835" s="783">
        <v>3142</v>
      </c>
      <c r="C1835" s="783">
        <v>5331</v>
      </c>
      <c r="D1835" s="897"/>
      <c r="E1835" s="680" t="s">
        <v>996</v>
      </c>
      <c r="F1835" s="873">
        <f>SUM(F1836:F1836)</f>
        <v>400</v>
      </c>
      <c r="G1835" s="873">
        <v>1713</v>
      </c>
      <c r="H1835" s="873">
        <v>1713</v>
      </c>
      <c r="I1835" s="874">
        <f t="shared" si="81"/>
        <v>100</v>
      </c>
    </row>
    <row r="1836" spans="1:9" ht="14.25" x14ac:dyDescent="0.2">
      <c r="A1836" s="432"/>
      <c r="B1836" s="783"/>
      <c r="C1836" s="783"/>
      <c r="D1836" s="554" t="s">
        <v>606</v>
      </c>
      <c r="E1836" s="456" t="s">
        <v>72</v>
      </c>
      <c r="F1836" s="871">
        <v>400</v>
      </c>
      <c r="G1836" s="871">
        <v>400</v>
      </c>
      <c r="H1836" s="871">
        <v>400</v>
      </c>
      <c r="I1836" s="866">
        <f t="shared" si="81"/>
        <v>100</v>
      </c>
    </row>
    <row r="1837" spans="1:9" ht="14.25" x14ac:dyDescent="0.2">
      <c r="A1837" s="432"/>
      <c r="B1837" s="783"/>
      <c r="C1837" s="783"/>
      <c r="D1837" s="1120" t="s">
        <v>1419</v>
      </c>
      <c r="E1837" s="1591" t="s">
        <v>1420</v>
      </c>
      <c r="F1837" s="871"/>
      <c r="G1837" s="871">
        <v>1313</v>
      </c>
      <c r="H1837" s="871">
        <v>1313</v>
      </c>
      <c r="I1837" s="866">
        <f t="shared" si="81"/>
        <v>100</v>
      </c>
    </row>
    <row r="1838" spans="1:9" ht="15" x14ac:dyDescent="0.25">
      <c r="A1838" s="432">
        <v>1204</v>
      </c>
      <c r="B1838" s="783">
        <v>3142</v>
      </c>
      <c r="C1838" s="783">
        <v>5336</v>
      </c>
      <c r="D1838" s="554"/>
      <c r="E1838" s="1479" t="s">
        <v>1269</v>
      </c>
      <c r="F1838" s="871"/>
      <c r="G1838" s="884">
        <v>1634</v>
      </c>
      <c r="H1838" s="884">
        <v>1634</v>
      </c>
      <c r="I1838" s="876">
        <f t="shared" si="81"/>
        <v>100</v>
      </c>
    </row>
    <row r="1839" spans="1:9" ht="14.25" x14ac:dyDescent="0.2">
      <c r="A1839" s="432"/>
      <c r="B1839" s="783"/>
      <c r="C1839" s="1468"/>
      <c r="D1839" s="554" t="s">
        <v>1182</v>
      </c>
      <c r="E1839" s="456" t="s">
        <v>832</v>
      </c>
      <c r="F1839" s="871"/>
      <c r="G1839" s="871">
        <v>1634</v>
      </c>
      <c r="H1839" s="871">
        <v>1634</v>
      </c>
      <c r="I1839" s="866">
        <f t="shared" si="81"/>
        <v>100</v>
      </c>
    </row>
    <row r="1840" spans="1:9" ht="15" x14ac:dyDescent="0.25">
      <c r="A1840" s="432">
        <v>1204</v>
      </c>
      <c r="B1840" s="681">
        <v>3147</v>
      </c>
      <c r="C1840" s="783">
        <v>5331</v>
      </c>
      <c r="D1840" s="857"/>
      <c r="E1840" s="829" t="s">
        <v>996</v>
      </c>
      <c r="F1840" s="858">
        <v>480</v>
      </c>
      <c r="G1840" s="858">
        <v>480</v>
      </c>
      <c r="H1840" s="858">
        <v>480</v>
      </c>
      <c r="I1840" s="859">
        <f t="shared" si="81"/>
        <v>100</v>
      </c>
    </row>
    <row r="1841" spans="1:27" ht="14.25" x14ac:dyDescent="0.2">
      <c r="A1841" s="432"/>
      <c r="B1841" s="681"/>
      <c r="C1841" s="681"/>
      <c r="D1841" s="554" t="s">
        <v>606</v>
      </c>
      <c r="E1841" s="456" t="s">
        <v>72</v>
      </c>
      <c r="F1841" s="865">
        <v>480</v>
      </c>
      <c r="G1841" s="865">
        <v>480</v>
      </c>
      <c r="H1841" s="865">
        <v>480</v>
      </c>
      <c r="I1841" s="861">
        <f t="shared" si="81"/>
        <v>100</v>
      </c>
    </row>
    <row r="1842" spans="1:27" ht="15" x14ac:dyDescent="0.25">
      <c r="A1842" s="432">
        <v>1204</v>
      </c>
      <c r="B1842" s="681">
        <v>3147</v>
      </c>
      <c r="C1842" s="681">
        <v>5336</v>
      </c>
      <c r="D1842" s="554"/>
      <c r="E1842" s="1479" t="s">
        <v>1269</v>
      </c>
      <c r="F1842" s="865"/>
      <c r="G1842" s="889">
        <v>3900</v>
      </c>
      <c r="H1842" s="889">
        <v>3900</v>
      </c>
      <c r="I1842" s="891">
        <f t="shared" si="81"/>
        <v>100</v>
      </c>
    </row>
    <row r="1843" spans="1:27" ht="14.25" x14ac:dyDescent="0.2">
      <c r="A1843" s="432"/>
      <c r="B1843" s="681"/>
      <c r="C1843" s="1467"/>
      <c r="D1843" s="554" t="s">
        <v>1182</v>
      </c>
      <c r="E1843" s="456" t="s">
        <v>832</v>
      </c>
      <c r="F1843" s="865"/>
      <c r="G1843" s="865">
        <v>3900</v>
      </c>
      <c r="H1843" s="865">
        <v>3900</v>
      </c>
      <c r="I1843" s="861">
        <f t="shared" si="81"/>
        <v>100</v>
      </c>
    </row>
    <row r="1844" spans="1:27" ht="15" x14ac:dyDescent="0.25">
      <c r="A1844" s="432">
        <v>1204</v>
      </c>
      <c r="B1844" s="681">
        <v>3293</v>
      </c>
      <c r="C1844" s="1467">
        <v>5331</v>
      </c>
      <c r="D1844" s="912"/>
      <c r="E1844" s="829" t="s">
        <v>996</v>
      </c>
      <c r="F1844" s="873"/>
      <c r="G1844" s="858">
        <v>6</v>
      </c>
      <c r="H1844" s="858">
        <v>6</v>
      </c>
      <c r="I1844" s="859">
        <f t="shared" si="81"/>
        <v>100</v>
      </c>
      <c r="R1844" s="383"/>
      <c r="S1844" s="383"/>
      <c r="T1844" s="383"/>
    </row>
    <row r="1845" spans="1:27" ht="15.75" thickBot="1" x14ac:dyDescent="0.3">
      <c r="A1845" s="432"/>
      <c r="B1845" s="681"/>
      <c r="C1845" s="1467"/>
      <c r="D1845" s="781" t="s">
        <v>1185</v>
      </c>
      <c r="E1845" s="1584" t="s">
        <v>62</v>
      </c>
      <c r="F1845" s="873"/>
      <c r="G1845" s="865">
        <v>6</v>
      </c>
      <c r="H1845" s="865">
        <v>6</v>
      </c>
      <c r="I1845" s="861">
        <f t="shared" si="81"/>
        <v>100</v>
      </c>
      <c r="R1845" s="383"/>
      <c r="S1845" s="383"/>
      <c r="T1845" s="383"/>
    </row>
    <row r="1846" spans="1:27" ht="16.5" thickTop="1" thickBot="1" x14ac:dyDescent="0.3">
      <c r="A1846" s="2685" t="s">
        <v>1162</v>
      </c>
      <c r="B1846" s="2686"/>
      <c r="C1846" s="2686"/>
      <c r="D1846" s="2686"/>
      <c r="E1846" s="2686"/>
      <c r="F1846" s="862">
        <f>F1816+F1835+F1840</f>
        <v>10737</v>
      </c>
      <c r="G1846" s="862">
        <f>G1814+G1816+G1822+G1826+G1831+G1833+G1835+G1838+G1840+G1842+G1844</f>
        <v>59625</v>
      </c>
      <c r="H1846" s="862">
        <f>H1814+H1816+H1822+H1826+H1831+H1833+H1835+H1838+H1840+H1842+H1844</f>
        <v>59625</v>
      </c>
      <c r="I1846" s="863">
        <f>(H1846/G1846)*100</f>
        <v>100</v>
      </c>
      <c r="J1846" s="383">
        <f>F1846</f>
        <v>10737</v>
      </c>
      <c r="K1846" s="383" t="e">
        <f>G1846+#REF!</f>
        <v>#REF!</v>
      </c>
      <c r="L1846" s="383" t="e">
        <f>H1846+#REF!</f>
        <v>#REF!</v>
      </c>
      <c r="R1846" s="383">
        <f>F1846</f>
        <v>10737</v>
      </c>
      <c r="S1846" s="383">
        <f>G1846</f>
        <v>59625</v>
      </c>
      <c r="T1846" s="383">
        <f>H1846</f>
        <v>59625</v>
      </c>
      <c r="U1846" s="383"/>
      <c r="V1846" s="383"/>
      <c r="W1846" s="383"/>
      <c r="Y1846" s="383"/>
      <c r="Z1846" s="383"/>
      <c r="AA1846" s="383"/>
    </row>
    <row r="1847" spans="1:27" s="107" customFormat="1" ht="13.5" thickTop="1" x14ac:dyDescent="0.2">
      <c r="A1847" s="382"/>
      <c r="B1847" s="645"/>
      <c r="C1847" s="382"/>
      <c r="D1847" s="852"/>
      <c r="E1847" s="382"/>
      <c r="F1847" s="383"/>
      <c r="G1847" s="383"/>
      <c r="H1847" s="383"/>
      <c r="I1847" s="1465"/>
    </row>
    <row r="1848" spans="1:27" s="107" customFormat="1" x14ac:dyDescent="0.2">
      <c r="A1848" s="382"/>
      <c r="B1848" s="645"/>
      <c r="C1848" s="382"/>
      <c r="D1848" s="852"/>
      <c r="E1848" s="382"/>
      <c r="F1848" s="383"/>
      <c r="G1848" s="383"/>
      <c r="H1848" s="383"/>
      <c r="I1848" s="1465"/>
    </row>
    <row r="1849" spans="1:27" s="107" customFormat="1" x14ac:dyDescent="0.2">
      <c r="A1849" s="382"/>
      <c r="B1849" s="645"/>
      <c r="C1849" s="382"/>
      <c r="D1849" s="852"/>
      <c r="E1849" s="382"/>
      <c r="F1849" s="383"/>
      <c r="G1849" s="383"/>
      <c r="H1849" s="383"/>
      <c r="I1849" s="1465"/>
    </row>
    <row r="1850" spans="1:27" s="107" customFormat="1" x14ac:dyDescent="0.2">
      <c r="A1850" s="382"/>
      <c r="B1850" s="645"/>
      <c r="C1850" s="382"/>
      <c r="D1850" s="852"/>
      <c r="E1850" s="382"/>
      <c r="F1850" s="383"/>
      <c r="G1850" s="383"/>
      <c r="H1850" s="383"/>
      <c r="I1850" s="1465"/>
    </row>
    <row r="1851" spans="1:27" ht="13.5" thickBot="1" x14ac:dyDescent="0.25">
      <c r="A1851" s="433" t="s">
        <v>335</v>
      </c>
      <c r="I1851" s="1465" t="s">
        <v>173</v>
      </c>
    </row>
    <row r="1852" spans="1:27" ht="14.25" thickTop="1" thickBot="1" x14ac:dyDescent="0.25">
      <c r="A1852" s="633" t="s">
        <v>661</v>
      </c>
      <c r="B1852" s="810" t="s">
        <v>174</v>
      </c>
      <c r="C1852" s="634" t="s">
        <v>175</v>
      </c>
      <c r="D1852" s="636" t="s">
        <v>744</v>
      </c>
      <c r="E1852" s="636" t="s">
        <v>176</v>
      </c>
      <c r="F1852" s="636" t="s">
        <v>177</v>
      </c>
      <c r="G1852" s="636" t="s">
        <v>922</v>
      </c>
      <c r="H1852" s="636" t="s">
        <v>923</v>
      </c>
      <c r="I1852" s="856" t="s">
        <v>924</v>
      </c>
    </row>
    <row r="1853" spans="1:27" ht="14.25" thickTop="1" thickBot="1" x14ac:dyDescent="0.25">
      <c r="A1853" s="568">
        <v>1</v>
      </c>
      <c r="B1853" s="569">
        <v>2</v>
      </c>
      <c r="C1853" s="569">
        <v>3</v>
      </c>
      <c r="D1853" s="569">
        <v>4</v>
      </c>
      <c r="E1853" s="569">
        <v>5</v>
      </c>
      <c r="F1853" s="543">
        <v>6</v>
      </c>
      <c r="G1853" s="543">
        <v>7</v>
      </c>
      <c r="H1853" s="544">
        <v>8</v>
      </c>
      <c r="I1853" s="638" t="s">
        <v>801</v>
      </c>
    </row>
    <row r="1854" spans="1:27" ht="15.75" thickTop="1" x14ac:dyDescent="0.25">
      <c r="A1854" s="1477">
        <v>1205</v>
      </c>
      <c r="B1854" s="885">
        <v>3122</v>
      </c>
      <c r="C1854" s="885">
        <v>5331</v>
      </c>
      <c r="D1854" s="890"/>
      <c r="E1854" s="924" t="s">
        <v>996</v>
      </c>
      <c r="F1854" s="883"/>
      <c r="G1854" s="883">
        <v>2226</v>
      </c>
      <c r="H1854" s="883">
        <v>2226</v>
      </c>
      <c r="I1854" s="887">
        <f t="shared" ref="I1854:I1868" si="82">(H1854/G1854)*100</f>
        <v>100</v>
      </c>
    </row>
    <row r="1855" spans="1:27" ht="15" x14ac:dyDescent="0.25">
      <c r="A1855" s="432"/>
      <c r="B1855" s="681"/>
      <c r="C1855" s="681"/>
      <c r="D1855" s="554" t="s">
        <v>1182</v>
      </c>
      <c r="E1855" s="456" t="s">
        <v>832</v>
      </c>
      <c r="F1855" s="858"/>
      <c r="G1855" s="865">
        <v>2226</v>
      </c>
      <c r="H1855" s="865">
        <v>2226</v>
      </c>
      <c r="I1855" s="861">
        <f t="shared" si="82"/>
        <v>100</v>
      </c>
    </row>
    <row r="1856" spans="1:27" ht="18" customHeight="1" x14ac:dyDescent="0.25">
      <c r="A1856" s="432">
        <v>1205</v>
      </c>
      <c r="B1856" s="783">
        <v>3123</v>
      </c>
      <c r="C1856" s="783">
        <v>5331</v>
      </c>
      <c r="D1856" s="897"/>
      <c r="E1856" s="680" t="s">
        <v>996</v>
      </c>
      <c r="F1856" s="873">
        <f>F1857+F1858</f>
        <v>4845</v>
      </c>
      <c r="G1856" s="873">
        <f>G1857+G1858+G1859+G1860</f>
        <v>4938</v>
      </c>
      <c r="H1856" s="873">
        <f>H1857+H1858+H1859+H1860</f>
        <v>4938</v>
      </c>
      <c r="I1856" s="891">
        <f t="shared" si="82"/>
        <v>100</v>
      </c>
    </row>
    <row r="1857" spans="1:27" ht="15.75" customHeight="1" x14ac:dyDescent="0.2">
      <c r="A1857" s="432"/>
      <c r="B1857" s="783"/>
      <c r="C1857" s="783"/>
      <c r="D1857" s="719" t="s">
        <v>611</v>
      </c>
      <c r="E1857" s="1569" t="s">
        <v>833</v>
      </c>
      <c r="F1857" s="875">
        <v>994</v>
      </c>
      <c r="G1857" s="871">
        <v>1079</v>
      </c>
      <c r="H1857" s="871">
        <v>1079</v>
      </c>
      <c r="I1857" s="861">
        <f t="shared" si="82"/>
        <v>100</v>
      </c>
    </row>
    <row r="1858" spans="1:27" ht="15.75" customHeight="1" x14ac:dyDescent="0.2">
      <c r="A1858" s="432"/>
      <c r="B1858" s="783"/>
      <c r="C1858" s="783"/>
      <c r="D1858" s="554" t="s">
        <v>606</v>
      </c>
      <c r="E1858" s="456" t="s">
        <v>72</v>
      </c>
      <c r="F1858" s="875">
        <v>3851</v>
      </c>
      <c r="G1858" s="871">
        <v>3716</v>
      </c>
      <c r="H1858" s="871">
        <v>3716</v>
      </c>
      <c r="I1858" s="861">
        <f t="shared" si="82"/>
        <v>100</v>
      </c>
    </row>
    <row r="1859" spans="1:27" ht="15.75" customHeight="1" x14ac:dyDescent="0.2">
      <c r="A1859" s="432"/>
      <c r="B1859" s="783"/>
      <c r="C1859" s="783"/>
      <c r="D1859" s="1110" t="s">
        <v>703</v>
      </c>
      <c r="E1859" s="1334" t="s">
        <v>1357</v>
      </c>
      <c r="F1859" s="875"/>
      <c r="G1859" s="871">
        <v>135</v>
      </c>
      <c r="H1859" s="871">
        <v>135</v>
      </c>
      <c r="I1859" s="861">
        <f t="shared" si="82"/>
        <v>100</v>
      </c>
    </row>
    <row r="1860" spans="1:27" ht="15.75" customHeight="1" x14ac:dyDescent="0.2">
      <c r="A1860" s="432"/>
      <c r="B1860" s="783"/>
      <c r="C1860" s="783"/>
      <c r="D1860" s="1119" t="s">
        <v>1604</v>
      </c>
      <c r="E1860" s="2273" t="s">
        <v>1719</v>
      </c>
      <c r="F1860" s="875"/>
      <c r="G1860" s="871">
        <v>8</v>
      </c>
      <c r="H1860" s="871">
        <v>8</v>
      </c>
      <c r="I1860" s="861">
        <f t="shared" si="82"/>
        <v>100</v>
      </c>
    </row>
    <row r="1861" spans="1:27" ht="15" x14ac:dyDescent="0.25">
      <c r="A1861" s="432">
        <v>1205</v>
      </c>
      <c r="B1861" s="783">
        <v>3123</v>
      </c>
      <c r="C1861" s="783">
        <v>5336</v>
      </c>
      <c r="D1861" s="554"/>
      <c r="E1861" s="1479" t="s">
        <v>1269</v>
      </c>
      <c r="F1861" s="875"/>
      <c r="G1861" s="884">
        <f>G1862+G1863+G1864</f>
        <v>14532</v>
      </c>
      <c r="H1861" s="884">
        <f>H1862+H1863+H1864</f>
        <v>14532</v>
      </c>
      <c r="I1861" s="891">
        <f t="shared" si="82"/>
        <v>100</v>
      </c>
    </row>
    <row r="1862" spans="1:27" ht="16.5" customHeight="1" x14ac:dyDescent="0.25">
      <c r="A1862" s="432"/>
      <c r="B1862" s="783"/>
      <c r="C1862" s="783"/>
      <c r="D1862" s="554" t="s">
        <v>1182</v>
      </c>
      <c r="E1862" s="456" t="s">
        <v>832</v>
      </c>
      <c r="F1862" s="873"/>
      <c r="G1862" s="871">
        <v>14144</v>
      </c>
      <c r="H1862" s="871">
        <v>14144</v>
      </c>
      <c r="I1862" s="861">
        <f t="shared" si="82"/>
        <v>100</v>
      </c>
    </row>
    <row r="1863" spans="1:27" ht="15" x14ac:dyDescent="0.25">
      <c r="A1863" s="432"/>
      <c r="B1863" s="783"/>
      <c r="C1863" s="783"/>
      <c r="D1863" s="1481" t="s">
        <v>1608</v>
      </c>
      <c r="E1863" s="1476" t="s">
        <v>1717</v>
      </c>
      <c r="F1863" s="873"/>
      <c r="G1863" s="871">
        <v>58</v>
      </c>
      <c r="H1863" s="871">
        <v>58</v>
      </c>
      <c r="I1863" s="866">
        <f t="shared" si="82"/>
        <v>100</v>
      </c>
    </row>
    <row r="1864" spans="1:27" ht="15" x14ac:dyDescent="0.25">
      <c r="A1864" s="432"/>
      <c r="B1864" s="783"/>
      <c r="C1864" s="783"/>
      <c r="D1864" s="1481" t="s">
        <v>1610</v>
      </c>
      <c r="E1864" s="1476" t="s">
        <v>1717</v>
      </c>
      <c r="F1864" s="873"/>
      <c r="G1864" s="871">
        <v>330</v>
      </c>
      <c r="H1864" s="871">
        <v>330</v>
      </c>
      <c r="I1864" s="866">
        <f t="shared" si="82"/>
        <v>100</v>
      </c>
    </row>
    <row r="1865" spans="1:27" ht="15" x14ac:dyDescent="0.25">
      <c r="A1865" s="432">
        <v>1205</v>
      </c>
      <c r="B1865" s="783">
        <v>3142</v>
      </c>
      <c r="C1865" s="783">
        <v>5331</v>
      </c>
      <c r="D1865" s="897"/>
      <c r="E1865" s="680" t="s">
        <v>996</v>
      </c>
      <c r="F1865" s="873">
        <v>240</v>
      </c>
      <c r="G1865" s="873">
        <v>240</v>
      </c>
      <c r="H1865" s="873">
        <v>240</v>
      </c>
      <c r="I1865" s="874">
        <f t="shared" si="82"/>
        <v>100</v>
      </c>
    </row>
    <row r="1866" spans="1:27" ht="14.25" x14ac:dyDescent="0.2">
      <c r="A1866" s="432"/>
      <c r="B1866" s="783"/>
      <c r="C1866" s="783"/>
      <c r="D1866" s="554" t="s">
        <v>606</v>
      </c>
      <c r="E1866" s="456" t="s">
        <v>72</v>
      </c>
      <c r="F1866" s="871">
        <v>240</v>
      </c>
      <c r="G1866" s="871">
        <v>240</v>
      </c>
      <c r="H1866" s="871">
        <v>240</v>
      </c>
      <c r="I1866" s="866">
        <f t="shared" si="82"/>
        <v>100</v>
      </c>
    </row>
    <row r="1867" spans="1:27" ht="15" x14ac:dyDescent="0.25">
      <c r="A1867" s="432">
        <v>1205</v>
      </c>
      <c r="B1867" s="783">
        <v>3142</v>
      </c>
      <c r="C1867" s="783">
        <v>5336</v>
      </c>
      <c r="D1867" s="554"/>
      <c r="E1867" s="1479" t="s">
        <v>1269</v>
      </c>
      <c r="F1867" s="871"/>
      <c r="G1867" s="884">
        <v>162</v>
      </c>
      <c r="H1867" s="884">
        <v>162</v>
      </c>
      <c r="I1867" s="876">
        <f t="shared" si="82"/>
        <v>100</v>
      </c>
    </row>
    <row r="1868" spans="1:27" ht="15" thickBot="1" x14ac:dyDescent="0.25">
      <c r="A1868" s="432"/>
      <c r="B1868" s="783"/>
      <c r="C1868" s="1468"/>
      <c r="D1868" s="554" t="s">
        <v>1182</v>
      </c>
      <c r="E1868" s="456" t="s">
        <v>832</v>
      </c>
      <c r="F1868" s="871"/>
      <c r="G1868" s="871">
        <v>162</v>
      </c>
      <c r="H1868" s="871">
        <v>162</v>
      </c>
      <c r="I1868" s="866">
        <f t="shared" si="82"/>
        <v>100</v>
      </c>
    </row>
    <row r="1869" spans="1:27" ht="16.5" thickTop="1" thickBot="1" x14ac:dyDescent="0.3">
      <c r="A1869" s="2685" t="s">
        <v>1162</v>
      </c>
      <c r="B1869" s="2686"/>
      <c r="C1869" s="2686"/>
      <c r="D1869" s="2686"/>
      <c r="E1869" s="2686"/>
      <c r="F1869" s="862">
        <f>F1856+F1865</f>
        <v>5085</v>
      </c>
      <c r="G1869" s="862">
        <f>G1854+G1856+G1861+G1865+G1867</f>
        <v>22098</v>
      </c>
      <c r="H1869" s="862">
        <f>H1854+H1856+H1861+H1865+H1867</f>
        <v>22098</v>
      </c>
      <c r="I1869" s="863">
        <f>(H1869/G1869)*100</f>
        <v>100</v>
      </c>
      <c r="J1869" s="383">
        <f>F1869</f>
        <v>5085</v>
      </c>
      <c r="K1869" s="383" t="e">
        <f>G1869+#REF!</f>
        <v>#REF!</v>
      </c>
      <c r="L1869" s="383" t="e">
        <f>H1869+#REF!</f>
        <v>#REF!</v>
      </c>
      <c r="R1869" s="383">
        <f>F1869</f>
        <v>5085</v>
      </c>
      <c r="S1869" s="383">
        <f>G1869</f>
        <v>22098</v>
      </c>
      <c r="T1869" s="383">
        <f>H1869</f>
        <v>22098</v>
      </c>
      <c r="U1869" s="383"/>
      <c r="V1869" s="383"/>
      <c r="W1869" s="383"/>
      <c r="Y1869" s="383"/>
      <c r="Z1869" s="383"/>
      <c r="AA1869" s="383"/>
    </row>
    <row r="1870" spans="1:27" s="384" customFormat="1" ht="13.5" thickTop="1" x14ac:dyDescent="0.2">
      <c r="A1870" s="382"/>
      <c r="B1870" s="645"/>
      <c r="C1870" s="382"/>
      <c r="D1870" s="852"/>
      <c r="E1870" s="382"/>
      <c r="F1870" s="383"/>
      <c r="G1870" s="383"/>
      <c r="H1870" s="383"/>
      <c r="I1870" s="1465"/>
    </row>
    <row r="1871" spans="1:27" s="384" customFormat="1" x14ac:dyDescent="0.2">
      <c r="A1871" s="382"/>
      <c r="B1871" s="645"/>
      <c r="C1871" s="382"/>
      <c r="D1871" s="852"/>
      <c r="E1871" s="382"/>
      <c r="F1871" s="383"/>
      <c r="G1871" s="383"/>
      <c r="H1871" s="383"/>
      <c r="I1871" s="1465"/>
    </row>
    <row r="1872" spans="1:27" s="384" customFormat="1" x14ac:dyDescent="0.2">
      <c r="A1872" s="382"/>
      <c r="B1872" s="645"/>
      <c r="C1872" s="382"/>
      <c r="D1872" s="852"/>
      <c r="E1872" s="382"/>
      <c r="F1872" s="383"/>
      <c r="G1872" s="383"/>
      <c r="H1872" s="383"/>
      <c r="I1872" s="1465"/>
    </row>
    <row r="1873" spans="1:9" s="384" customFormat="1" x14ac:dyDescent="0.2">
      <c r="A1873" s="382"/>
      <c r="B1873" s="645"/>
      <c r="C1873" s="382"/>
      <c r="D1873" s="852"/>
      <c r="E1873" s="382"/>
      <c r="F1873" s="383"/>
      <c r="G1873" s="383"/>
      <c r="H1873" s="383"/>
      <c r="I1873" s="1465"/>
    </row>
    <row r="1874" spans="1:9" ht="13.5" thickBot="1" x14ac:dyDescent="0.25">
      <c r="A1874" s="433" t="s">
        <v>336</v>
      </c>
      <c r="I1874" s="1465" t="s">
        <v>173</v>
      </c>
    </row>
    <row r="1875" spans="1:9" ht="14.25" thickTop="1" thickBot="1" x14ac:dyDescent="0.25">
      <c r="A1875" s="633" t="s">
        <v>661</v>
      </c>
      <c r="B1875" s="810" t="s">
        <v>174</v>
      </c>
      <c r="C1875" s="634" t="s">
        <v>175</v>
      </c>
      <c r="D1875" s="636" t="s">
        <v>744</v>
      </c>
      <c r="E1875" s="636" t="s">
        <v>176</v>
      </c>
      <c r="F1875" s="636" t="s">
        <v>177</v>
      </c>
      <c r="G1875" s="636" t="s">
        <v>922</v>
      </c>
      <c r="H1875" s="636" t="s">
        <v>923</v>
      </c>
      <c r="I1875" s="856" t="s">
        <v>924</v>
      </c>
    </row>
    <row r="1876" spans="1:9" ht="14.25" thickTop="1" thickBot="1" x14ac:dyDescent="0.25">
      <c r="A1876" s="568">
        <v>1</v>
      </c>
      <c r="B1876" s="569">
        <v>2</v>
      </c>
      <c r="C1876" s="569">
        <v>3</v>
      </c>
      <c r="D1876" s="569">
        <v>4</v>
      </c>
      <c r="E1876" s="569">
        <v>5</v>
      </c>
      <c r="F1876" s="543">
        <v>6</v>
      </c>
      <c r="G1876" s="543">
        <v>7</v>
      </c>
      <c r="H1876" s="544">
        <v>8</v>
      </c>
      <c r="I1876" s="638" t="s">
        <v>801</v>
      </c>
    </row>
    <row r="1877" spans="1:9" ht="15.75" thickTop="1" x14ac:dyDescent="0.25">
      <c r="A1877" s="1477">
        <v>1206</v>
      </c>
      <c r="B1877" s="885">
        <v>3122</v>
      </c>
      <c r="C1877" s="885">
        <v>5336</v>
      </c>
      <c r="D1877" s="890"/>
      <c r="E1877" s="924" t="s">
        <v>996</v>
      </c>
      <c r="F1877" s="883"/>
      <c r="G1877" s="883">
        <v>3974</v>
      </c>
      <c r="H1877" s="883">
        <v>3974</v>
      </c>
      <c r="I1877" s="887">
        <f t="shared" ref="I1877:I1893" si="83">(H1877/G1877)*100</f>
        <v>100</v>
      </c>
    </row>
    <row r="1878" spans="1:9" ht="14.25" x14ac:dyDescent="0.2">
      <c r="A1878" s="432"/>
      <c r="B1878" s="681"/>
      <c r="C1878" s="681"/>
      <c r="D1878" s="554" t="s">
        <v>1182</v>
      </c>
      <c r="E1878" s="456" t="s">
        <v>832</v>
      </c>
      <c r="F1878" s="865"/>
      <c r="G1878" s="865">
        <v>3974</v>
      </c>
      <c r="H1878" s="865">
        <v>3974</v>
      </c>
      <c r="I1878" s="861">
        <f t="shared" si="83"/>
        <v>100</v>
      </c>
    </row>
    <row r="1879" spans="1:9" ht="18" customHeight="1" x14ac:dyDescent="0.25">
      <c r="A1879" s="432">
        <v>1206</v>
      </c>
      <c r="B1879" s="681">
        <v>3123</v>
      </c>
      <c r="C1879" s="681">
        <v>5331</v>
      </c>
      <c r="D1879" s="857"/>
      <c r="E1879" s="829" t="s">
        <v>996</v>
      </c>
      <c r="F1879" s="858">
        <f>F1880+F1881+F1882+F1883</f>
        <v>3562</v>
      </c>
      <c r="G1879" s="858">
        <f>G1880+G1881+G1882+G1883</f>
        <v>3691</v>
      </c>
      <c r="H1879" s="858">
        <f>H1880+H1881+H1882+H1883</f>
        <v>3691</v>
      </c>
      <c r="I1879" s="859">
        <f t="shared" si="83"/>
        <v>100</v>
      </c>
    </row>
    <row r="1880" spans="1:9" ht="16.5" customHeight="1" x14ac:dyDescent="0.2">
      <c r="A1880" s="432"/>
      <c r="B1880" s="681"/>
      <c r="C1880" s="681"/>
      <c r="D1880" s="719" t="s">
        <v>611</v>
      </c>
      <c r="E1880" s="1569" t="s">
        <v>833</v>
      </c>
      <c r="F1880" s="357">
        <v>225</v>
      </c>
      <c r="G1880" s="865">
        <v>245</v>
      </c>
      <c r="H1880" s="865">
        <v>245</v>
      </c>
      <c r="I1880" s="861">
        <f t="shared" si="83"/>
        <v>100</v>
      </c>
    </row>
    <row r="1881" spans="1:9" ht="14.25" x14ac:dyDescent="0.2">
      <c r="A1881" s="432"/>
      <c r="B1881" s="681"/>
      <c r="C1881" s="681"/>
      <c r="D1881" s="554" t="s">
        <v>606</v>
      </c>
      <c r="E1881" s="456" t="s">
        <v>72</v>
      </c>
      <c r="F1881" s="865">
        <v>3307</v>
      </c>
      <c r="G1881" s="865">
        <v>3336</v>
      </c>
      <c r="H1881" s="865">
        <v>3336</v>
      </c>
      <c r="I1881" s="861">
        <f t="shared" si="83"/>
        <v>100</v>
      </c>
    </row>
    <row r="1882" spans="1:9" ht="14.25" x14ac:dyDescent="0.2">
      <c r="A1882" s="432"/>
      <c r="B1882" s="681"/>
      <c r="C1882" s="681"/>
      <c r="D1882" s="554" t="s">
        <v>703</v>
      </c>
      <c r="E1882" s="456" t="s">
        <v>75</v>
      </c>
      <c r="F1882" s="865">
        <v>30</v>
      </c>
      <c r="G1882" s="865">
        <v>1</v>
      </c>
      <c r="H1882" s="865">
        <v>1</v>
      </c>
      <c r="I1882" s="861">
        <v>0</v>
      </c>
    </row>
    <row r="1883" spans="1:9" ht="14.25" x14ac:dyDescent="0.2">
      <c r="A1883" s="432"/>
      <c r="B1883" s="681"/>
      <c r="C1883" s="681"/>
      <c r="D1883" s="1120" t="s">
        <v>968</v>
      </c>
      <c r="E1883" s="1215" t="s">
        <v>1274</v>
      </c>
      <c r="F1883" s="865"/>
      <c r="G1883" s="865">
        <v>109</v>
      </c>
      <c r="H1883" s="865">
        <v>109</v>
      </c>
      <c r="I1883" s="861">
        <f t="shared" si="83"/>
        <v>100</v>
      </c>
    </row>
    <row r="1884" spans="1:9" ht="15" x14ac:dyDescent="0.25">
      <c r="A1884" s="432">
        <v>1206</v>
      </c>
      <c r="B1884" s="681">
        <v>3123</v>
      </c>
      <c r="C1884" s="681">
        <v>5336</v>
      </c>
      <c r="D1884" s="1120"/>
      <c r="E1884" s="1479" t="s">
        <v>1269</v>
      </c>
      <c r="F1884" s="865"/>
      <c r="G1884" s="889">
        <f>G1885+G1886+G1887</f>
        <v>23758</v>
      </c>
      <c r="H1884" s="889">
        <f>H1885+H1886+H1887</f>
        <v>23758</v>
      </c>
      <c r="I1884" s="891">
        <f t="shared" si="83"/>
        <v>100</v>
      </c>
    </row>
    <row r="1885" spans="1:9" ht="14.25" x14ac:dyDescent="0.2">
      <c r="A1885" s="432"/>
      <c r="B1885" s="681"/>
      <c r="C1885" s="681"/>
      <c r="D1885" s="554" t="s">
        <v>1182</v>
      </c>
      <c r="E1885" s="456" t="s">
        <v>832</v>
      </c>
      <c r="F1885" s="865"/>
      <c r="G1885" s="865">
        <v>22992</v>
      </c>
      <c r="H1885" s="865">
        <v>22992</v>
      </c>
      <c r="I1885" s="861">
        <f t="shared" si="83"/>
        <v>100</v>
      </c>
    </row>
    <row r="1886" spans="1:9" ht="14.25" x14ac:dyDescent="0.2">
      <c r="A1886" s="432"/>
      <c r="B1886" s="783"/>
      <c r="C1886" s="783"/>
      <c r="D1886" s="1481" t="s">
        <v>1608</v>
      </c>
      <c r="E1886" s="1476" t="s">
        <v>1717</v>
      </c>
      <c r="F1886" s="871"/>
      <c r="G1886" s="871">
        <v>115</v>
      </c>
      <c r="H1886" s="871">
        <v>115</v>
      </c>
      <c r="I1886" s="861">
        <f t="shared" si="83"/>
        <v>100</v>
      </c>
    </row>
    <row r="1887" spans="1:9" ht="14.25" x14ac:dyDescent="0.2">
      <c r="A1887" s="432"/>
      <c r="B1887" s="783"/>
      <c r="C1887" s="783"/>
      <c r="D1887" s="1481" t="s">
        <v>1610</v>
      </c>
      <c r="E1887" s="1476" t="s">
        <v>1717</v>
      </c>
      <c r="F1887" s="871"/>
      <c r="G1887" s="871">
        <v>651</v>
      </c>
      <c r="H1887" s="871">
        <v>651</v>
      </c>
      <c r="I1887" s="861">
        <f t="shared" si="83"/>
        <v>100</v>
      </c>
    </row>
    <row r="1888" spans="1:9" ht="15" x14ac:dyDescent="0.25">
      <c r="A1888" s="432">
        <v>1206</v>
      </c>
      <c r="B1888" s="783">
        <v>3142</v>
      </c>
      <c r="C1888" s="783">
        <v>5331</v>
      </c>
      <c r="D1888" s="897"/>
      <c r="E1888" s="680" t="s">
        <v>996</v>
      </c>
      <c r="F1888" s="873">
        <v>400</v>
      </c>
      <c r="G1888" s="873">
        <v>400</v>
      </c>
      <c r="H1888" s="873">
        <v>400</v>
      </c>
      <c r="I1888" s="874">
        <f t="shared" si="83"/>
        <v>100</v>
      </c>
    </row>
    <row r="1889" spans="1:20" ht="14.25" x14ac:dyDescent="0.2">
      <c r="A1889" s="432"/>
      <c r="B1889" s="783"/>
      <c r="C1889" s="783"/>
      <c r="D1889" s="554" t="s">
        <v>606</v>
      </c>
      <c r="E1889" s="456" t="s">
        <v>72</v>
      </c>
      <c r="F1889" s="871">
        <v>400</v>
      </c>
      <c r="G1889" s="871">
        <v>400</v>
      </c>
      <c r="H1889" s="871">
        <v>400</v>
      </c>
      <c r="I1889" s="866">
        <f t="shared" si="83"/>
        <v>100</v>
      </c>
    </row>
    <row r="1890" spans="1:20" ht="15" x14ac:dyDescent="0.25">
      <c r="A1890" s="432">
        <v>1206</v>
      </c>
      <c r="B1890" s="783">
        <v>3142</v>
      </c>
      <c r="C1890" s="783">
        <v>5336</v>
      </c>
      <c r="D1890" s="554"/>
      <c r="E1890" s="1479" t="s">
        <v>1269</v>
      </c>
      <c r="F1890" s="871"/>
      <c r="G1890" s="884">
        <v>812</v>
      </c>
      <c r="H1890" s="884">
        <v>812</v>
      </c>
      <c r="I1890" s="876">
        <f t="shared" si="83"/>
        <v>100</v>
      </c>
    </row>
    <row r="1891" spans="1:20" ht="14.25" x14ac:dyDescent="0.2">
      <c r="A1891" s="432"/>
      <c r="B1891" s="783"/>
      <c r="C1891" s="1468"/>
      <c r="D1891" s="554" t="s">
        <v>1182</v>
      </c>
      <c r="E1891" s="456" t="s">
        <v>832</v>
      </c>
      <c r="F1891" s="871"/>
      <c r="G1891" s="871">
        <v>812</v>
      </c>
      <c r="H1891" s="871">
        <v>812</v>
      </c>
      <c r="I1891" s="866">
        <f t="shared" si="83"/>
        <v>100</v>
      </c>
    </row>
    <row r="1892" spans="1:20" ht="15" x14ac:dyDescent="0.25">
      <c r="A1892" s="432">
        <v>1206</v>
      </c>
      <c r="B1892" s="681">
        <v>3293</v>
      </c>
      <c r="C1892" s="1467">
        <v>5331</v>
      </c>
      <c r="D1892" s="880"/>
      <c r="E1892" s="829" t="s">
        <v>996</v>
      </c>
      <c r="F1892" s="884"/>
      <c r="G1892" s="884">
        <v>2</v>
      </c>
      <c r="H1892" s="884">
        <v>2</v>
      </c>
      <c r="I1892" s="876">
        <f t="shared" si="83"/>
        <v>100</v>
      </c>
    </row>
    <row r="1893" spans="1:20" ht="15" thickBot="1" x14ac:dyDescent="0.25">
      <c r="A1893" s="432"/>
      <c r="B1893" s="783"/>
      <c r="C1893" s="1468"/>
      <c r="D1893" s="781" t="s">
        <v>1185</v>
      </c>
      <c r="E1893" s="1584" t="s">
        <v>62</v>
      </c>
      <c r="F1893" s="871"/>
      <c r="G1893" s="871">
        <v>2</v>
      </c>
      <c r="H1893" s="871">
        <v>2</v>
      </c>
      <c r="I1893" s="866">
        <f t="shared" si="83"/>
        <v>100</v>
      </c>
    </row>
    <row r="1894" spans="1:20" s="107" customFormat="1" ht="16.5" thickTop="1" thickBot="1" x14ac:dyDescent="0.3">
      <c r="A1894" s="2685" t="s">
        <v>1162</v>
      </c>
      <c r="B1894" s="2686"/>
      <c r="C1894" s="2686"/>
      <c r="D1894" s="2686"/>
      <c r="E1894" s="2686"/>
      <c r="F1894" s="862">
        <f>F1879+F1888</f>
        <v>3962</v>
      </c>
      <c r="G1894" s="862">
        <f>G1877+G1879+G1884+G1888+G1890+G1892</f>
        <v>32637</v>
      </c>
      <c r="H1894" s="862">
        <f>H1877+H1879+H1884+H1888+H1890+H1892</f>
        <v>32637</v>
      </c>
      <c r="I1894" s="863">
        <f>(H1894/G1894)*100</f>
        <v>100</v>
      </c>
      <c r="R1894" s="383">
        <f>F1894</f>
        <v>3962</v>
      </c>
      <c r="S1894" s="383">
        <f>G1894</f>
        <v>32637</v>
      </c>
      <c r="T1894" s="383">
        <f>H1894</f>
        <v>32637</v>
      </c>
    </row>
    <row r="1895" spans="1:20" s="384" customFormat="1" ht="13.5" thickTop="1" x14ac:dyDescent="0.2">
      <c r="A1895" s="382"/>
      <c r="B1895" s="645"/>
      <c r="C1895" s="382"/>
      <c r="D1895" s="852"/>
      <c r="E1895" s="382"/>
      <c r="F1895" s="383"/>
      <c r="G1895" s="383"/>
      <c r="H1895" s="383"/>
      <c r="I1895" s="1465"/>
    </row>
    <row r="1896" spans="1:20" s="384" customFormat="1" x14ac:dyDescent="0.2">
      <c r="A1896" s="382"/>
      <c r="B1896" s="645"/>
      <c r="C1896" s="382"/>
      <c r="D1896" s="852"/>
      <c r="E1896" s="382"/>
      <c r="F1896" s="383"/>
      <c r="G1896" s="383"/>
      <c r="H1896" s="383"/>
      <c r="I1896" s="1465"/>
    </row>
    <row r="1897" spans="1:20" s="384" customFormat="1" x14ac:dyDescent="0.2">
      <c r="A1897" s="382"/>
      <c r="B1897" s="645"/>
      <c r="C1897" s="382"/>
      <c r="D1897" s="852"/>
      <c r="E1897" s="382"/>
      <c r="F1897" s="383"/>
      <c r="G1897" s="383"/>
      <c r="H1897" s="383"/>
      <c r="I1897" s="1465"/>
    </row>
    <row r="1898" spans="1:20" s="384" customFormat="1" x14ac:dyDescent="0.2">
      <c r="A1898" s="382"/>
      <c r="B1898" s="645"/>
      <c r="C1898" s="382"/>
      <c r="D1898" s="852"/>
      <c r="E1898" s="382"/>
      <c r="F1898" s="383"/>
      <c r="G1898" s="383"/>
      <c r="H1898" s="383"/>
      <c r="I1898" s="1465"/>
    </row>
    <row r="1899" spans="1:20" ht="13.5" thickBot="1" x14ac:dyDescent="0.25">
      <c r="A1899" s="433" t="s">
        <v>337</v>
      </c>
      <c r="I1899" s="1465" t="s">
        <v>173</v>
      </c>
    </row>
    <row r="1900" spans="1:20" ht="14.25" thickTop="1" thickBot="1" x14ac:dyDescent="0.25">
      <c r="A1900" s="633" t="s">
        <v>661</v>
      </c>
      <c r="B1900" s="810" t="s">
        <v>174</v>
      </c>
      <c r="C1900" s="634" t="s">
        <v>175</v>
      </c>
      <c r="D1900" s="636" t="s">
        <v>744</v>
      </c>
      <c r="E1900" s="636" t="s">
        <v>176</v>
      </c>
      <c r="F1900" s="636" t="s">
        <v>177</v>
      </c>
      <c r="G1900" s="636" t="s">
        <v>922</v>
      </c>
      <c r="H1900" s="636" t="s">
        <v>923</v>
      </c>
      <c r="I1900" s="856" t="s">
        <v>924</v>
      </c>
    </row>
    <row r="1901" spans="1:20" ht="14.25" thickTop="1" thickBot="1" x14ac:dyDescent="0.25">
      <c r="A1901" s="568">
        <v>1</v>
      </c>
      <c r="B1901" s="569">
        <v>2</v>
      </c>
      <c r="C1901" s="569">
        <v>3</v>
      </c>
      <c r="D1901" s="569">
        <v>4</v>
      </c>
      <c r="E1901" s="569">
        <v>5</v>
      </c>
      <c r="F1901" s="543">
        <v>6</v>
      </c>
      <c r="G1901" s="543">
        <v>7</v>
      </c>
      <c r="H1901" s="544">
        <v>8</v>
      </c>
      <c r="I1901" s="638" t="s">
        <v>801</v>
      </c>
    </row>
    <row r="1902" spans="1:20" ht="15.75" thickTop="1" x14ac:dyDescent="0.25">
      <c r="A1902" s="432">
        <v>1207</v>
      </c>
      <c r="B1902" s="783">
        <v>3122</v>
      </c>
      <c r="C1902" s="783">
        <v>5331</v>
      </c>
      <c r="D1902" s="897"/>
      <c r="E1902" s="680" t="s">
        <v>996</v>
      </c>
      <c r="F1902" s="883"/>
      <c r="G1902" s="883">
        <v>100</v>
      </c>
      <c r="H1902" s="883">
        <v>100</v>
      </c>
      <c r="I1902" s="887">
        <f>(H1902/G1902)*100</f>
        <v>100</v>
      </c>
    </row>
    <row r="1903" spans="1:20" ht="15" x14ac:dyDescent="0.25">
      <c r="A1903" s="432"/>
      <c r="B1903" s="783"/>
      <c r="C1903" s="783"/>
      <c r="D1903" s="2671" t="s">
        <v>1510</v>
      </c>
      <c r="E1903" s="2688" t="s">
        <v>1531</v>
      </c>
      <c r="F1903" s="858"/>
      <c r="G1903" s="357">
        <v>100</v>
      </c>
      <c r="H1903" s="357">
        <v>100</v>
      </c>
      <c r="I1903" s="861">
        <f>(H1903/G1903)*100</f>
        <v>100</v>
      </c>
    </row>
    <row r="1904" spans="1:20" ht="18" customHeight="1" x14ac:dyDescent="0.25">
      <c r="A1904" s="432"/>
      <c r="B1904" s="783"/>
      <c r="C1904" s="783"/>
      <c r="D1904" s="2672"/>
      <c r="E1904" s="2689"/>
      <c r="F1904" s="858"/>
      <c r="G1904" s="357"/>
      <c r="H1904" s="357"/>
      <c r="I1904" s="861"/>
    </row>
    <row r="1905" spans="1:9" ht="13.5" customHeight="1" x14ac:dyDescent="0.2">
      <c r="A1905" s="432"/>
      <c r="B1905" s="783"/>
      <c r="C1905" s="783"/>
      <c r="D1905" s="2672"/>
      <c r="E1905" s="2689"/>
      <c r="F1905" s="865"/>
      <c r="G1905" s="865"/>
      <c r="H1905" s="865"/>
      <c r="I1905" s="861"/>
    </row>
    <row r="1906" spans="1:9" ht="12" customHeight="1" x14ac:dyDescent="0.25">
      <c r="A1906" s="432">
        <v>1207</v>
      </c>
      <c r="B1906" s="783">
        <v>3122</v>
      </c>
      <c r="C1906" s="783">
        <v>5336</v>
      </c>
      <c r="D1906" s="2605"/>
      <c r="E1906" s="1479" t="s">
        <v>1269</v>
      </c>
      <c r="F1906" s="865"/>
      <c r="G1906" s="889">
        <v>5599</v>
      </c>
      <c r="H1906" s="889">
        <v>5599</v>
      </c>
      <c r="I1906" s="859">
        <f t="shared" ref="I1906:I1926" si="84">(H1906/G1906)*100</f>
        <v>100</v>
      </c>
    </row>
    <row r="1907" spans="1:9" ht="14.25" x14ac:dyDescent="0.2">
      <c r="A1907" s="432"/>
      <c r="B1907" s="783"/>
      <c r="C1907" s="783"/>
      <c r="D1907" s="554" t="s">
        <v>1182</v>
      </c>
      <c r="E1907" s="456" t="s">
        <v>832</v>
      </c>
      <c r="F1907" s="865"/>
      <c r="G1907" s="865">
        <v>5599</v>
      </c>
      <c r="H1907" s="865">
        <v>5599</v>
      </c>
      <c r="I1907" s="861">
        <f t="shared" si="84"/>
        <v>100</v>
      </c>
    </row>
    <row r="1908" spans="1:9" ht="15" x14ac:dyDescent="0.25">
      <c r="A1908" s="432">
        <v>1207</v>
      </c>
      <c r="B1908" s="681">
        <v>3123</v>
      </c>
      <c r="C1908" s="681">
        <v>5331</v>
      </c>
      <c r="D1908" s="857"/>
      <c r="E1908" s="829" t="s">
        <v>996</v>
      </c>
      <c r="F1908" s="858">
        <f>F1909+F1910+F1911</f>
        <v>3343</v>
      </c>
      <c r="G1908" s="858">
        <f>G1909+G1910+G1911+G1912</f>
        <v>3544</v>
      </c>
      <c r="H1908" s="858">
        <f>H1909+H1910+H1911+H1912</f>
        <v>3544</v>
      </c>
      <c r="I1908" s="859">
        <f t="shared" si="84"/>
        <v>100</v>
      </c>
    </row>
    <row r="1909" spans="1:9" ht="14.25" x14ac:dyDescent="0.2">
      <c r="A1909" s="432"/>
      <c r="B1909" s="681"/>
      <c r="C1909" s="681"/>
      <c r="D1909" s="719" t="s">
        <v>611</v>
      </c>
      <c r="E1909" s="1569" t="s">
        <v>833</v>
      </c>
      <c r="F1909" s="865">
        <v>758</v>
      </c>
      <c r="G1909" s="865">
        <v>747</v>
      </c>
      <c r="H1909" s="865">
        <v>747</v>
      </c>
      <c r="I1909" s="861">
        <f t="shared" si="84"/>
        <v>100</v>
      </c>
    </row>
    <row r="1910" spans="1:9" ht="14.25" x14ac:dyDescent="0.2">
      <c r="A1910" s="432"/>
      <c r="B1910" s="681"/>
      <c r="C1910" s="681"/>
      <c r="D1910" s="554" t="s">
        <v>606</v>
      </c>
      <c r="E1910" s="456" t="s">
        <v>72</v>
      </c>
      <c r="F1910" s="865">
        <v>2585</v>
      </c>
      <c r="G1910" s="865">
        <v>2585</v>
      </c>
      <c r="H1910" s="865">
        <v>2585</v>
      </c>
      <c r="I1910" s="861">
        <f t="shared" si="84"/>
        <v>100</v>
      </c>
    </row>
    <row r="1911" spans="1:9" ht="14.25" x14ac:dyDescent="0.2">
      <c r="A1911" s="432"/>
      <c r="B1911" s="681"/>
      <c r="C1911" s="681"/>
      <c r="D1911" s="1120" t="s">
        <v>968</v>
      </c>
      <c r="E1911" s="1215" t="s">
        <v>1274</v>
      </c>
      <c r="F1911" s="865"/>
      <c r="G1911" s="865">
        <v>202</v>
      </c>
      <c r="H1911" s="865">
        <v>202</v>
      </c>
      <c r="I1911" s="861">
        <f t="shared" si="84"/>
        <v>100</v>
      </c>
    </row>
    <row r="1912" spans="1:9" ht="14.25" x14ac:dyDescent="0.2">
      <c r="A1912" s="432"/>
      <c r="B1912" s="681"/>
      <c r="C1912" s="681"/>
      <c r="D1912" s="1119" t="s">
        <v>1604</v>
      </c>
      <c r="E1912" s="2273" t="s">
        <v>1719</v>
      </c>
      <c r="F1912" s="865"/>
      <c r="G1912" s="865">
        <v>10</v>
      </c>
      <c r="H1912" s="865">
        <v>10</v>
      </c>
      <c r="I1912" s="861">
        <f t="shared" si="84"/>
        <v>100</v>
      </c>
    </row>
    <row r="1913" spans="1:9" ht="15" x14ac:dyDescent="0.25">
      <c r="A1913" s="432">
        <v>1207</v>
      </c>
      <c r="B1913" s="681">
        <v>3123</v>
      </c>
      <c r="C1913" s="681">
        <v>5336</v>
      </c>
      <c r="D1913" s="2256"/>
      <c r="E1913" s="1479" t="s">
        <v>1269</v>
      </c>
      <c r="F1913" s="865"/>
      <c r="G1913" s="889">
        <f>G1914+G1915+G1916</f>
        <v>21144</v>
      </c>
      <c r="H1913" s="889">
        <f>H1914+H1915+H1916</f>
        <v>21144</v>
      </c>
      <c r="I1913" s="891">
        <f t="shared" si="84"/>
        <v>100</v>
      </c>
    </row>
    <row r="1914" spans="1:9" ht="14.25" x14ac:dyDescent="0.2">
      <c r="A1914" s="432"/>
      <c r="B1914" s="681"/>
      <c r="C1914" s="1467"/>
      <c r="D1914" s="554" t="s">
        <v>1182</v>
      </c>
      <c r="E1914" s="456" t="s">
        <v>832</v>
      </c>
      <c r="F1914" s="865"/>
      <c r="G1914" s="865">
        <v>20356</v>
      </c>
      <c r="H1914" s="865">
        <v>20356</v>
      </c>
      <c r="I1914" s="861">
        <f t="shared" si="84"/>
        <v>100</v>
      </c>
    </row>
    <row r="1915" spans="1:9" ht="14.25" x14ac:dyDescent="0.2">
      <c r="A1915" s="432"/>
      <c r="B1915" s="783"/>
      <c r="C1915" s="1468"/>
      <c r="D1915" s="1481" t="s">
        <v>1608</v>
      </c>
      <c r="E1915" s="1476" t="s">
        <v>1717</v>
      </c>
      <c r="F1915" s="871"/>
      <c r="G1915" s="871">
        <v>118</v>
      </c>
      <c r="H1915" s="871">
        <v>118</v>
      </c>
      <c r="I1915" s="866">
        <f t="shared" si="84"/>
        <v>100</v>
      </c>
    </row>
    <row r="1916" spans="1:9" ht="14.25" x14ac:dyDescent="0.2">
      <c r="A1916" s="432"/>
      <c r="B1916" s="783"/>
      <c r="C1916" s="1468"/>
      <c r="D1916" s="1481" t="s">
        <v>1610</v>
      </c>
      <c r="E1916" s="1476" t="s">
        <v>1717</v>
      </c>
      <c r="F1916" s="871"/>
      <c r="G1916" s="871">
        <v>670</v>
      </c>
      <c r="H1916" s="871">
        <v>670</v>
      </c>
      <c r="I1916" s="866">
        <f t="shared" si="84"/>
        <v>100</v>
      </c>
    </row>
    <row r="1917" spans="1:9" ht="15" x14ac:dyDescent="0.25">
      <c r="A1917" s="432">
        <v>1207</v>
      </c>
      <c r="B1917" s="783">
        <v>3142</v>
      </c>
      <c r="C1917" s="783">
        <v>5331</v>
      </c>
      <c r="D1917" s="897"/>
      <c r="E1917" s="680" t="s">
        <v>996</v>
      </c>
      <c r="F1917" s="873">
        <f>F1918+F1919</f>
        <v>73</v>
      </c>
      <c r="G1917" s="873">
        <f>G1918+G1919</f>
        <v>73</v>
      </c>
      <c r="H1917" s="873">
        <f>H1918+H1919</f>
        <v>73</v>
      </c>
      <c r="I1917" s="874">
        <f t="shared" si="84"/>
        <v>100</v>
      </c>
    </row>
    <row r="1918" spans="1:9" ht="14.25" x14ac:dyDescent="0.2">
      <c r="A1918" s="432"/>
      <c r="B1918" s="783"/>
      <c r="C1918" s="783"/>
      <c r="D1918" s="719" t="s">
        <v>611</v>
      </c>
      <c r="E1918" s="1569" t="s">
        <v>833</v>
      </c>
      <c r="F1918" s="875">
        <v>6</v>
      </c>
      <c r="G1918" s="875">
        <v>6</v>
      </c>
      <c r="H1918" s="875">
        <v>6</v>
      </c>
      <c r="I1918" s="866">
        <f t="shared" si="84"/>
        <v>100</v>
      </c>
    </row>
    <row r="1919" spans="1:9" ht="14.25" x14ac:dyDescent="0.2">
      <c r="A1919" s="432"/>
      <c r="B1919" s="783"/>
      <c r="C1919" s="783"/>
      <c r="D1919" s="554" t="s">
        <v>606</v>
      </c>
      <c r="E1919" s="456" t="s">
        <v>72</v>
      </c>
      <c r="F1919" s="871">
        <v>67</v>
      </c>
      <c r="G1919" s="871">
        <v>67</v>
      </c>
      <c r="H1919" s="871">
        <v>67</v>
      </c>
      <c r="I1919" s="866">
        <f t="shared" si="84"/>
        <v>100</v>
      </c>
    </row>
    <row r="1920" spans="1:9" ht="18" customHeight="1" x14ac:dyDescent="0.25">
      <c r="A1920" s="432">
        <v>1207</v>
      </c>
      <c r="B1920" s="783">
        <v>3142</v>
      </c>
      <c r="C1920" s="783">
        <v>5336</v>
      </c>
      <c r="D1920" s="554"/>
      <c r="E1920" s="1479" t="s">
        <v>1269</v>
      </c>
      <c r="F1920" s="871"/>
      <c r="G1920" s="884">
        <v>25</v>
      </c>
      <c r="H1920" s="884">
        <v>25</v>
      </c>
      <c r="I1920" s="876">
        <f t="shared" si="84"/>
        <v>100</v>
      </c>
    </row>
    <row r="1921" spans="1:20" ht="18" customHeight="1" x14ac:dyDescent="0.2">
      <c r="A1921" s="432"/>
      <c r="B1921" s="783"/>
      <c r="C1921" s="1468"/>
      <c r="D1921" s="554" t="s">
        <v>1182</v>
      </c>
      <c r="E1921" s="456" t="s">
        <v>832</v>
      </c>
      <c r="F1921" s="871"/>
      <c r="G1921" s="871">
        <v>25</v>
      </c>
      <c r="H1921" s="871">
        <v>25</v>
      </c>
      <c r="I1921" s="866">
        <f t="shared" si="84"/>
        <v>100</v>
      </c>
    </row>
    <row r="1922" spans="1:20" ht="15" customHeight="1" x14ac:dyDescent="0.25">
      <c r="A1922" s="432">
        <v>1207</v>
      </c>
      <c r="B1922" s="783">
        <v>3147</v>
      </c>
      <c r="C1922" s="783">
        <v>5331</v>
      </c>
      <c r="D1922" s="897"/>
      <c r="E1922" s="680" t="s">
        <v>996</v>
      </c>
      <c r="F1922" s="873">
        <f>F1923+F1924</f>
        <v>724</v>
      </c>
      <c r="G1922" s="873">
        <f>G1923+G1924</f>
        <v>724</v>
      </c>
      <c r="H1922" s="873">
        <f>H1923+H1924</f>
        <v>724</v>
      </c>
      <c r="I1922" s="874">
        <f t="shared" si="84"/>
        <v>100</v>
      </c>
    </row>
    <row r="1923" spans="1:20" ht="14.25" x14ac:dyDescent="0.2">
      <c r="A1923" s="432"/>
      <c r="B1923" s="783"/>
      <c r="C1923" s="783"/>
      <c r="D1923" s="719" t="s">
        <v>611</v>
      </c>
      <c r="E1923" s="1569" t="s">
        <v>833</v>
      </c>
      <c r="F1923" s="871">
        <v>116</v>
      </c>
      <c r="G1923" s="871">
        <v>116</v>
      </c>
      <c r="H1923" s="871">
        <v>116</v>
      </c>
      <c r="I1923" s="866">
        <f t="shared" si="84"/>
        <v>100</v>
      </c>
    </row>
    <row r="1924" spans="1:20" ht="14.25" x14ac:dyDescent="0.2">
      <c r="A1924" s="432"/>
      <c r="B1924" s="783"/>
      <c r="C1924" s="783"/>
      <c r="D1924" s="554" t="s">
        <v>606</v>
      </c>
      <c r="E1924" s="456" t="s">
        <v>72</v>
      </c>
      <c r="F1924" s="871">
        <v>608</v>
      </c>
      <c r="G1924" s="871">
        <v>608</v>
      </c>
      <c r="H1924" s="871">
        <v>608</v>
      </c>
      <c r="I1924" s="866">
        <f t="shared" si="84"/>
        <v>100</v>
      </c>
    </row>
    <row r="1925" spans="1:20" ht="15" x14ac:dyDescent="0.25">
      <c r="A1925" s="432">
        <v>1207</v>
      </c>
      <c r="B1925" s="783">
        <v>3147</v>
      </c>
      <c r="C1925" s="783">
        <v>5336</v>
      </c>
      <c r="D1925" s="554"/>
      <c r="E1925" s="1479" t="s">
        <v>1269</v>
      </c>
      <c r="F1925" s="871"/>
      <c r="G1925" s="884">
        <v>1696</v>
      </c>
      <c r="H1925" s="884">
        <v>1696</v>
      </c>
      <c r="I1925" s="876">
        <f t="shared" si="84"/>
        <v>100</v>
      </c>
    </row>
    <row r="1926" spans="1:20" ht="15" thickBot="1" x14ac:dyDescent="0.25">
      <c r="A1926" s="432"/>
      <c r="B1926" s="783"/>
      <c r="C1926" s="1468"/>
      <c r="D1926" s="554" t="s">
        <v>1182</v>
      </c>
      <c r="E1926" s="456" t="s">
        <v>832</v>
      </c>
      <c r="F1926" s="871"/>
      <c r="G1926" s="871">
        <v>1696</v>
      </c>
      <c r="H1926" s="871">
        <v>1696</v>
      </c>
      <c r="I1926" s="866">
        <f t="shared" si="84"/>
        <v>100</v>
      </c>
    </row>
    <row r="1927" spans="1:20" s="107" customFormat="1" ht="16.5" thickTop="1" thickBot="1" x14ac:dyDescent="0.3">
      <c r="A1927" s="2685" t="s">
        <v>1162</v>
      </c>
      <c r="B1927" s="2686"/>
      <c r="C1927" s="2686"/>
      <c r="D1927" s="2686"/>
      <c r="E1927" s="2686"/>
      <c r="F1927" s="862">
        <f>F1908+F1917+F1922</f>
        <v>4140</v>
      </c>
      <c r="G1927" s="862">
        <f>G1902+G1906+G1908+G1913+G1917+G1920+G1922+G1925</f>
        <v>32905</v>
      </c>
      <c r="H1927" s="862">
        <f>H1902+H1906+H1908+H1913+H1917+H1920+H1922+H1925</f>
        <v>32905</v>
      </c>
      <c r="I1927" s="863">
        <f>(H1927/G1927)*100</f>
        <v>100</v>
      </c>
      <c r="R1927" s="383">
        <f>F1927</f>
        <v>4140</v>
      </c>
      <c r="S1927" s="383">
        <f>G1927</f>
        <v>32905</v>
      </c>
      <c r="T1927" s="383">
        <f>H1927</f>
        <v>32905</v>
      </c>
    </row>
    <row r="1928" spans="1:20" s="384" customFormat="1" ht="15.75" thickTop="1" x14ac:dyDescent="0.25">
      <c r="A1928" s="369"/>
      <c r="B1928" s="369"/>
      <c r="C1928" s="369"/>
      <c r="D1928" s="369"/>
      <c r="E1928" s="369"/>
      <c r="F1928" s="181"/>
      <c r="G1928" s="181"/>
      <c r="H1928" s="181"/>
      <c r="I1928" s="210"/>
    </row>
    <row r="1929" spans="1:20" s="384" customFormat="1" ht="15" x14ac:dyDescent="0.25">
      <c r="A1929" s="369"/>
      <c r="B1929" s="369"/>
      <c r="C1929" s="369"/>
      <c r="D1929" s="369"/>
      <c r="E1929" s="369"/>
      <c r="F1929" s="181"/>
      <c r="G1929" s="181"/>
      <c r="H1929" s="181"/>
      <c r="I1929" s="210"/>
    </row>
    <row r="1930" spans="1:20" s="384" customFormat="1" ht="15" x14ac:dyDescent="0.25">
      <c r="A1930" s="369"/>
      <c r="B1930" s="369"/>
      <c r="C1930" s="369"/>
      <c r="D1930" s="369"/>
      <c r="E1930" s="369"/>
      <c r="F1930" s="181"/>
      <c r="G1930" s="181"/>
      <c r="H1930" s="181"/>
      <c r="I1930" s="210"/>
    </row>
    <row r="1931" spans="1:20" s="384" customFormat="1" ht="15" x14ac:dyDescent="0.25">
      <c r="A1931" s="369"/>
      <c r="B1931" s="369"/>
      <c r="C1931" s="369"/>
      <c r="D1931" s="369"/>
      <c r="E1931" s="369"/>
      <c r="F1931" s="181"/>
      <c r="G1931" s="181"/>
      <c r="H1931" s="181"/>
      <c r="I1931" s="210"/>
    </row>
    <row r="1932" spans="1:20" ht="13.5" thickBot="1" x14ac:dyDescent="0.25">
      <c r="A1932" s="433" t="s">
        <v>1534</v>
      </c>
      <c r="I1932" s="1465" t="s">
        <v>173</v>
      </c>
    </row>
    <row r="1933" spans="1:20" ht="14.25" thickTop="1" thickBot="1" x14ac:dyDescent="0.25">
      <c r="A1933" s="633" t="s">
        <v>661</v>
      </c>
      <c r="B1933" s="810" t="s">
        <v>174</v>
      </c>
      <c r="C1933" s="634" t="s">
        <v>175</v>
      </c>
      <c r="D1933" s="636" t="s">
        <v>744</v>
      </c>
      <c r="E1933" s="636" t="s">
        <v>176</v>
      </c>
      <c r="F1933" s="636" t="s">
        <v>177</v>
      </c>
      <c r="G1933" s="636" t="s">
        <v>922</v>
      </c>
      <c r="H1933" s="636" t="s">
        <v>923</v>
      </c>
      <c r="I1933" s="856" t="s">
        <v>924</v>
      </c>
    </row>
    <row r="1934" spans="1:20" ht="14.25" thickTop="1" thickBot="1" x14ac:dyDescent="0.25">
      <c r="A1934" s="568">
        <v>1</v>
      </c>
      <c r="B1934" s="569">
        <v>2</v>
      </c>
      <c r="C1934" s="569">
        <v>3</v>
      </c>
      <c r="D1934" s="569">
        <v>4</v>
      </c>
      <c r="E1934" s="569">
        <v>5</v>
      </c>
      <c r="F1934" s="543">
        <v>6</v>
      </c>
      <c r="G1934" s="543">
        <v>7</v>
      </c>
      <c r="H1934" s="544">
        <v>8</v>
      </c>
      <c r="I1934" s="638" t="s">
        <v>801</v>
      </c>
    </row>
    <row r="1935" spans="1:20" ht="15.75" thickTop="1" x14ac:dyDescent="0.25">
      <c r="A1935" s="1477">
        <v>1208</v>
      </c>
      <c r="B1935" s="885">
        <v>3122</v>
      </c>
      <c r="C1935" s="885">
        <v>5336</v>
      </c>
      <c r="D1935" s="890"/>
      <c r="E1935" s="1479" t="s">
        <v>1269</v>
      </c>
      <c r="F1935" s="883"/>
      <c r="G1935" s="883">
        <v>1724</v>
      </c>
      <c r="H1935" s="883">
        <v>1724</v>
      </c>
      <c r="I1935" s="887">
        <f>(H1935/G1935)*100</f>
        <v>100</v>
      </c>
    </row>
    <row r="1936" spans="1:20" ht="14.25" x14ac:dyDescent="0.2">
      <c r="A1936" s="432"/>
      <c r="B1936" s="681"/>
      <c r="C1936" s="681"/>
      <c r="D1936" s="554" t="s">
        <v>1182</v>
      </c>
      <c r="E1936" s="456" t="s">
        <v>832</v>
      </c>
      <c r="F1936" s="865"/>
      <c r="G1936" s="865">
        <v>1724</v>
      </c>
      <c r="H1936" s="865">
        <v>1724</v>
      </c>
      <c r="I1936" s="861">
        <f>(H1936/G1936)*100</f>
        <v>100</v>
      </c>
    </row>
    <row r="1937" spans="1:9" ht="15" x14ac:dyDescent="0.25">
      <c r="A1937" s="432">
        <v>1208</v>
      </c>
      <c r="B1937" s="681">
        <v>3123</v>
      </c>
      <c r="C1937" s="681">
        <v>5331</v>
      </c>
      <c r="D1937" s="857"/>
      <c r="E1937" s="829" t="s">
        <v>996</v>
      </c>
      <c r="F1937" s="858">
        <f>F1938+F1939+F1940</f>
        <v>4423</v>
      </c>
      <c r="G1937" s="858">
        <f>G1938+G1939+G1940</f>
        <v>4572</v>
      </c>
      <c r="H1937" s="858">
        <f>H1938+H1939+H1940</f>
        <v>4572</v>
      </c>
      <c r="I1937" s="859">
        <f t="shared" ref="I1937:I1947" si="85">(H1937/G1937)*100</f>
        <v>100</v>
      </c>
    </row>
    <row r="1938" spans="1:9" ht="14.25" x14ac:dyDescent="0.2">
      <c r="A1938" s="432"/>
      <c r="B1938" s="681"/>
      <c r="C1938" s="681"/>
      <c r="D1938" s="719" t="s">
        <v>611</v>
      </c>
      <c r="E1938" s="1569" t="s">
        <v>833</v>
      </c>
      <c r="F1938" s="865">
        <v>332</v>
      </c>
      <c r="G1938" s="865">
        <v>381</v>
      </c>
      <c r="H1938" s="865">
        <v>381</v>
      </c>
      <c r="I1938" s="861">
        <f t="shared" si="85"/>
        <v>100</v>
      </c>
    </row>
    <row r="1939" spans="1:9" ht="14.25" x14ac:dyDescent="0.2">
      <c r="A1939" s="432"/>
      <c r="B1939" s="681"/>
      <c r="C1939" s="681"/>
      <c r="D1939" s="554" t="s">
        <v>606</v>
      </c>
      <c r="E1939" s="456" t="s">
        <v>72</v>
      </c>
      <c r="F1939" s="865">
        <v>4091</v>
      </c>
      <c r="G1939" s="865">
        <v>4091</v>
      </c>
      <c r="H1939" s="865">
        <v>4091</v>
      </c>
      <c r="I1939" s="861">
        <f t="shared" si="85"/>
        <v>100</v>
      </c>
    </row>
    <row r="1940" spans="1:9" ht="14.25" x14ac:dyDescent="0.2">
      <c r="A1940" s="432"/>
      <c r="B1940" s="783"/>
      <c r="C1940" s="783"/>
      <c r="D1940" s="1120" t="s">
        <v>968</v>
      </c>
      <c r="E1940" s="1215" t="s">
        <v>1274</v>
      </c>
      <c r="F1940" s="871"/>
      <c r="G1940" s="871">
        <v>100</v>
      </c>
      <c r="H1940" s="871">
        <v>100</v>
      </c>
      <c r="I1940" s="866">
        <f t="shared" si="85"/>
        <v>100</v>
      </c>
    </row>
    <row r="1941" spans="1:9" ht="15" x14ac:dyDescent="0.25">
      <c r="A1941" s="432">
        <v>1208</v>
      </c>
      <c r="B1941" s="783">
        <v>3123</v>
      </c>
      <c r="C1941" s="783">
        <v>5336</v>
      </c>
      <c r="D1941" s="1120"/>
      <c r="E1941" s="1479" t="s">
        <v>1269</v>
      </c>
      <c r="F1941" s="871"/>
      <c r="G1941" s="884">
        <f>G1942+G1943+G1944</f>
        <v>12144</v>
      </c>
      <c r="H1941" s="884">
        <f>H1942+H1943+H1944</f>
        <v>12144</v>
      </c>
      <c r="I1941" s="876">
        <f t="shared" si="85"/>
        <v>100</v>
      </c>
    </row>
    <row r="1942" spans="1:9" ht="14.25" x14ac:dyDescent="0.2">
      <c r="A1942" s="432"/>
      <c r="B1942" s="783"/>
      <c r="C1942" s="1468"/>
      <c r="D1942" s="554" t="s">
        <v>1182</v>
      </c>
      <c r="E1942" s="456" t="s">
        <v>832</v>
      </c>
      <c r="F1942" s="871"/>
      <c r="G1942" s="871">
        <v>11811</v>
      </c>
      <c r="H1942" s="871">
        <v>11811</v>
      </c>
      <c r="I1942" s="866">
        <f t="shared" si="85"/>
        <v>100</v>
      </c>
    </row>
    <row r="1943" spans="1:9" ht="14.25" x14ac:dyDescent="0.2">
      <c r="A1943" s="432"/>
      <c r="B1943" s="783"/>
      <c r="C1943" s="1468"/>
      <c r="D1943" s="1481" t="s">
        <v>1608</v>
      </c>
      <c r="E1943" s="1476" t="s">
        <v>1717</v>
      </c>
      <c r="F1943" s="871"/>
      <c r="G1943" s="871">
        <v>50</v>
      </c>
      <c r="H1943" s="871">
        <v>50</v>
      </c>
      <c r="I1943" s="866">
        <f t="shared" si="85"/>
        <v>100</v>
      </c>
    </row>
    <row r="1944" spans="1:9" ht="14.25" customHeight="1" x14ac:dyDescent="0.2">
      <c r="A1944" s="432"/>
      <c r="B1944" s="783"/>
      <c r="C1944" s="1468"/>
      <c r="D1944" s="1481" t="s">
        <v>1610</v>
      </c>
      <c r="E1944" s="1476" t="s">
        <v>1717</v>
      </c>
      <c r="F1944" s="871"/>
      <c r="G1944" s="871">
        <v>283</v>
      </c>
      <c r="H1944" s="871">
        <v>283</v>
      </c>
      <c r="I1944" s="866">
        <f t="shared" si="85"/>
        <v>100</v>
      </c>
    </row>
    <row r="1945" spans="1:9" ht="14.25" customHeight="1" x14ac:dyDescent="0.25">
      <c r="A1945" s="432">
        <v>1208</v>
      </c>
      <c r="B1945" s="783">
        <v>3141</v>
      </c>
      <c r="C1945" s="1468">
        <v>5336</v>
      </c>
      <c r="D1945" s="570"/>
      <c r="E1945" s="1479" t="s">
        <v>1269</v>
      </c>
      <c r="F1945" s="884"/>
      <c r="G1945" s="884">
        <v>643</v>
      </c>
      <c r="H1945" s="884">
        <v>643</v>
      </c>
      <c r="I1945" s="876">
        <f t="shared" si="85"/>
        <v>100</v>
      </c>
    </row>
    <row r="1946" spans="1:9" ht="14.25" x14ac:dyDescent="0.2">
      <c r="A1946" s="432"/>
      <c r="B1946" s="783"/>
      <c r="C1946" s="1468"/>
      <c r="D1946" s="554" t="s">
        <v>1182</v>
      </c>
      <c r="E1946" s="456" t="s">
        <v>832</v>
      </c>
      <c r="F1946" s="871"/>
      <c r="G1946" s="871">
        <v>643</v>
      </c>
      <c r="H1946" s="871">
        <v>643</v>
      </c>
      <c r="I1946" s="866">
        <f t="shared" si="85"/>
        <v>100</v>
      </c>
    </row>
    <row r="1947" spans="1:9" ht="15" x14ac:dyDescent="0.25">
      <c r="A1947" s="432">
        <v>1208</v>
      </c>
      <c r="B1947" s="783">
        <v>3142</v>
      </c>
      <c r="C1947" s="1468">
        <v>5331</v>
      </c>
      <c r="D1947" s="880"/>
      <c r="E1947" s="680" t="s">
        <v>996</v>
      </c>
      <c r="F1947" s="873">
        <f>F1948+F1949</f>
        <v>711</v>
      </c>
      <c r="G1947" s="873">
        <f>G1948+G1949</f>
        <v>711</v>
      </c>
      <c r="H1947" s="873">
        <f>H1948+H1949</f>
        <v>711</v>
      </c>
      <c r="I1947" s="874">
        <f t="shared" si="85"/>
        <v>100</v>
      </c>
    </row>
    <row r="1948" spans="1:9" ht="14.25" x14ac:dyDescent="0.2">
      <c r="A1948" s="432"/>
      <c r="B1948" s="783"/>
      <c r="C1948" s="1468"/>
      <c r="D1948" s="719" t="s">
        <v>611</v>
      </c>
      <c r="E1948" s="1569" t="s">
        <v>833</v>
      </c>
      <c r="F1948" s="871">
        <v>261</v>
      </c>
      <c r="G1948" s="871">
        <v>261</v>
      </c>
      <c r="H1948" s="871">
        <v>261</v>
      </c>
      <c r="I1948" s="866">
        <v>100</v>
      </c>
    </row>
    <row r="1949" spans="1:9" ht="14.25" x14ac:dyDescent="0.2">
      <c r="A1949" s="432"/>
      <c r="B1949" s="783"/>
      <c r="C1949" s="1468"/>
      <c r="D1949" s="554" t="s">
        <v>606</v>
      </c>
      <c r="E1949" s="456" t="s">
        <v>72</v>
      </c>
      <c r="F1949" s="871">
        <v>450</v>
      </c>
      <c r="G1949" s="871">
        <v>450</v>
      </c>
      <c r="H1949" s="871">
        <v>450</v>
      </c>
      <c r="I1949" s="866">
        <v>100</v>
      </c>
    </row>
    <row r="1950" spans="1:9" ht="15" x14ac:dyDescent="0.25">
      <c r="A1950" s="432">
        <v>1208</v>
      </c>
      <c r="B1950" s="783">
        <v>3142</v>
      </c>
      <c r="C1950" s="1468">
        <v>5336</v>
      </c>
      <c r="D1950" s="554"/>
      <c r="E1950" s="1479" t="s">
        <v>1269</v>
      </c>
      <c r="F1950" s="871"/>
      <c r="G1950" s="884">
        <v>1044</v>
      </c>
      <c r="H1950" s="884">
        <v>1044</v>
      </c>
      <c r="I1950" s="874">
        <f>(H1950/G1950)*100</f>
        <v>100</v>
      </c>
    </row>
    <row r="1951" spans="1:9" ht="14.25" x14ac:dyDescent="0.2">
      <c r="A1951" s="432"/>
      <c r="B1951" s="783"/>
      <c r="C1951" s="1468"/>
      <c r="D1951" s="554" t="s">
        <v>1182</v>
      </c>
      <c r="E1951" s="456" t="s">
        <v>832</v>
      </c>
      <c r="F1951" s="871"/>
      <c r="G1951" s="871">
        <v>1044</v>
      </c>
      <c r="H1951" s="871">
        <v>1044</v>
      </c>
      <c r="I1951" s="866">
        <v>100</v>
      </c>
    </row>
    <row r="1952" spans="1:9" ht="15" x14ac:dyDescent="0.25">
      <c r="A1952" s="432">
        <v>1208</v>
      </c>
      <c r="B1952" s="783">
        <v>3147</v>
      </c>
      <c r="C1952" s="783">
        <v>5331</v>
      </c>
      <c r="D1952" s="897"/>
      <c r="E1952" s="680" t="s">
        <v>996</v>
      </c>
      <c r="F1952" s="873">
        <f>F1953+F1954</f>
        <v>750</v>
      </c>
      <c r="G1952" s="873">
        <f>G1953+G1954</f>
        <v>732</v>
      </c>
      <c r="H1952" s="873">
        <f>H1953+H1954</f>
        <v>732</v>
      </c>
      <c r="I1952" s="874">
        <f t="shared" ref="I1952:I1960" si="86">(H1952/G1952)*100</f>
        <v>100</v>
      </c>
    </row>
    <row r="1953" spans="1:20" ht="14.25" x14ac:dyDescent="0.2">
      <c r="A1953" s="432"/>
      <c r="B1953" s="783"/>
      <c r="C1953" s="783"/>
      <c r="D1953" s="719" t="s">
        <v>611</v>
      </c>
      <c r="E1953" s="1569" t="s">
        <v>833</v>
      </c>
      <c r="F1953" s="871">
        <v>250</v>
      </c>
      <c r="G1953" s="871">
        <v>232</v>
      </c>
      <c r="H1953" s="871">
        <v>232</v>
      </c>
      <c r="I1953" s="866">
        <f t="shared" si="86"/>
        <v>100</v>
      </c>
    </row>
    <row r="1954" spans="1:20" ht="14.25" x14ac:dyDescent="0.2">
      <c r="A1954" s="432"/>
      <c r="B1954" s="783"/>
      <c r="C1954" s="783"/>
      <c r="D1954" s="554" t="s">
        <v>606</v>
      </c>
      <c r="E1954" s="456" t="s">
        <v>72</v>
      </c>
      <c r="F1954" s="871">
        <v>500</v>
      </c>
      <c r="G1954" s="871">
        <v>500</v>
      </c>
      <c r="H1954" s="871">
        <v>500</v>
      </c>
      <c r="I1954" s="866">
        <f t="shared" si="86"/>
        <v>100</v>
      </c>
    </row>
    <row r="1955" spans="1:20" ht="18" customHeight="1" x14ac:dyDescent="0.25">
      <c r="A1955" s="432">
        <v>1208</v>
      </c>
      <c r="B1955" s="783">
        <v>3147</v>
      </c>
      <c r="C1955" s="783">
        <v>5336</v>
      </c>
      <c r="D1955" s="1480"/>
      <c r="E1955" s="1479" t="s">
        <v>1269</v>
      </c>
      <c r="F1955" s="871"/>
      <c r="G1955" s="884">
        <v>2893</v>
      </c>
      <c r="H1955" s="884">
        <v>2893</v>
      </c>
      <c r="I1955" s="876">
        <f t="shared" si="86"/>
        <v>100</v>
      </c>
    </row>
    <row r="1956" spans="1:20" ht="18" customHeight="1" x14ac:dyDescent="0.2">
      <c r="A1956" s="432"/>
      <c r="B1956" s="783"/>
      <c r="C1956" s="783"/>
      <c r="D1956" s="554" t="s">
        <v>1182</v>
      </c>
      <c r="E1956" s="456" t="s">
        <v>832</v>
      </c>
      <c r="F1956" s="871"/>
      <c r="G1956" s="871">
        <v>2893</v>
      </c>
      <c r="H1956" s="871">
        <v>2893</v>
      </c>
      <c r="I1956" s="866">
        <f t="shared" si="86"/>
        <v>100</v>
      </c>
    </row>
    <row r="1957" spans="1:20" ht="18" customHeight="1" x14ac:dyDescent="0.25">
      <c r="A1957" s="432">
        <v>1208</v>
      </c>
      <c r="B1957" s="681">
        <v>3293</v>
      </c>
      <c r="C1957" s="1467">
        <v>5331</v>
      </c>
      <c r="D1957" s="867"/>
      <c r="E1957" s="829" t="s">
        <v>996</v>
      </c>
      <c r="F1957" s="884"/>
      <c r="G1957" s="884">
        <v>19</v>
      </c>
      <c r="H1957" s="884">
        <v>19</v>
      </c>
      <c r="I1957" s="876">
        <f t="shared" si="86"/>
        <v>100</v>
      </c>
    </row>
    <row r="1958" spans="1:20" ht="14.25" x14ac:dyDescent="0.2">
      <c r="A1958" s="432"/>
      <c r="B1958" s="783"/>
      <c r="C1958" s="783"/>
      <c r="D1958" s="781" t="s">
        <v>1185</v>
      </c>
      <c r="E1958" s="1584" t="s">
        <v>62</v>
      </c>
      <c r="F1958" s="871"/>
      <c r="G1958" s="871">
        <v>19</v>
      </c>
      <c r="H1958" s="871">
        <v>19</v>
      </c>
      <c r="I1958" s="866">
        <f t="shared" si="86"/>
        <v>100</v>
      </c>
    </row>
    <row r="1959" spans="1:20" ht="15.75" customHeight="1" x14ac:dyDescent="0.25">
      <c r="A1959" s="432">
        <v>1208</v>
      </c>
      <c r="B1959" s="681">
        <v>3792</v>
      </c>
      <c r="C1959" s="1467">
        <v>5331</v>
      </c>
      <c r="D1959" s="867"/>
      <c r="E1959" s="829" t="s">
        <v>996</v>
      </c>
      <c r="F1959" s="858"/>
      <c r="G1959" s="858">
        <v>20</v>
      </c>
      <c r="H1959" s="858">
        <v>20</v>
      </c>
      <c r="I1959" s="859">
        <v>25</v>
      </c>
    </row>
    <row r="1960" spans="1:20" ht="15.75" customHeight="1" thickBot="1" x14ac:dyDescent="0.3">
      <c r="A1960" s="432"/>
      <c r="B1960" s="681"/>
      <c r="C1960" s="1467"/>
      <c r="D1960" s="1132" t="s">
        <v>1382</v>
      </c>
      <c r="E1960" s="1222" t="s">
        <v>1174</v>
      </c>
      <c r="F1960" s="858"/>
      <c r="G1960" s="357">
        <v>20</v>
      </c>
      <c r="H1960" s="875">
        <v>20</v>
      </c>
      <c r="I1960" s="866">
        <f t="shared" si="86"/>
        <v>100</v>
      </c>
    </row>
    <row r="1961" spans="1:20" ht="16.5" thickTop="1" thickBot="1" x14ac:dyDescent="0.3">
      <c r="A1961" s="2685" t="s">
        <v>1162</v>
      </c>
      <c r="B1961" s="2686"/>
      <c r="C1961" s="2686"/>
      <c r="D1961" s="2686"/>
      <c r="E1961" s="2686"/>
      <c r="F1961" s="862">
        <f>F1937+F1947+F1952</f>
        <v>5884</v>
      </c>
      <c r="G1961" s="862">
        <f>G1935+G1937+G1941+G1945+G1947+G1950+G1952+G1955+G1957+G1959</f>
        <v>24502</v>
      </c>
      <c r="H1961" s="862">
        <f>H1935+H1937+H1941+H1945+H1947+H1950+H1952+H1955+H1957+H1959</f>
        <v>24502</v>
      </c>
      <c r="I1961" s="863">
        <f>(H1961/G1961)*100</f>
        <v>100</v>
      </c>
      <c r="R1961" s="383">
        <f>F1961</f>
        <v>5884</v>
      </c>
      <c r="S1961" s="383">
        <f>G1961</f>
        <v>24502</v>
      </c>
      <c r="T1961" s="383">
        <f>H1961</f>
        <v>24502</v>
      </c>
    </row>
    <row r="1962" spans="1:20" s="384" customFormat="1" ht="12" customHeight="1" thickTop="1" x14ac:dyDescent="0.2">
      <c r="A1962" s="382"/>
      <c r="B1962" s="645"/>
      <c r="C1962" s="382"/>
      <c r="D1962" s="852"/>
      <c r="E1962" s="382"/>
      <c r="F1962" s="383"/>
      <c r="G1962" s="383"/>
      <c r="H1962" s="383"/>
      <c r="I1962" s="1465"/>
    </row>
    <row r="1963" spans="1:20" s="384" customFormat="1" ht="12" customHeight="1" x14ac:dyDescent="0.2">
      <c r="A1963" s="382"/>
      <c r="B1963" s="645"/>
      <c r="C1963" s="382"/>
      <c r="D1963" s="852"/>
      <c r="E1963" s="382"/>
      <c r="F1963" s="383"/>
      <c r="G1963" s="383"/>
      <c r="H1963" s="383"/>
      <c r="I1963" s="1465"/>
    </row>
    <row r="1964" spans="1:20" s="384" customFormat="1" ht="12" customHeight="1" x14ac:dyDescent="0.2">
      <c r="A1964" s="382"/>
      <c r="B1964" s="645"/>
      <c r="C1964" s="382"/>
      <c r="D1964" s="852"/>
      <c r="E1964" s="382"/>
      <c r="F1964" s="383"/>
      <c r="G1964" s="383"/>
      <c r="H1964" s="383"/>
      <c r="I1964" s="1465"/>
    </row>
    <row r="1965" spans="1:20" s="384" customFormat="1" ht="12" customHeight="1" x14ac:dyDescent="0.2">
      <c r="A1965" s="382"/>
      <c r="B1965" s="645"/>
      <c r="C1965" s="382"/>
      <c r="D1965" s="852"/>
      <c r="E1965" s="382"/>
      <c r="F1965" s="383"/>
      <c r="G1965" s="383"/>
      <c r="H1965" s="383"/>
      <c r="I1965" s="1465"/>
    </row>
    <row r="1966" spans="1:20" s="384" customFormat="1" ht="12" customHeight="1" x14ac:dyDescent="0.2">
      <c r="A1966" s="382"/>
      <c r="B1966" s="645"/>
      <c r="C1966" s="382"/>
      <c r="D1966" s="852"/>
      <c r="E1966" s="382"/>
      <c r="F1966" s="383"/>
      <c r="G1966" s="383"/>
      <c r="H1966" s="383"/>
      <c r="I1966" s="1465"/>
    </row>
    <row r="1967" spans="1:20" s="384" customFormat="1" ht="12" customHeight="1" x14ac:dyDescent="0.2">
      <c r="A1967" s="382"/>
      <c r="B1967" s="645"/>
      <c r="C1967" s="382"/>
      <c r="D1967" s="852"/>
      <c r="E1967" s="382"/>
      <c r="F1967" s="383"/>
      <c r="G1967" s="383"/>
      <c r="H1967" s="383"/>
      <c r="I1967" s="1465"/>
    </row>
    <row r="1968" spans="1:20" s="384" customFormat="1" ht="12" customHeight="1" x14ac:dyDescent="0.2">
      <c r="A1968" s="382"/>
      <c r="B1968" s="645"/>
      <c r="C1968" s="382"/>
      <c r="D1968" s="852"/>
      <c r="E1968" s="382"/>
      <c r="F1968" s="383"/>
      <c r="G1968" s="383"/>
      <c r="H1968" s="383"/>
      <c r="I1968" s="1465"/>
    </row>
    <row r="1969" spans="1:9" s="384" customFormat="1" ht="12" customHeight="1" x14ac:dyDescent="0.2">
      <c r="A1969" s="382"/>
      <c r="B1969" s="645"/>
      <c r="C1969" s="382"/>
      <c r="D1969" s="852"/>
      <c r="E1969" s="382"/>
      <c r="F1969" s="383"/>
      <c r="G1969" s="383"/>
      <c r="H1969" s="383"/>
      <c r="I1969" s="1465"/>
    </row>
    <row r="1970" spans="1:9" s="384" customFormat="1" ht="12" customHeight="1" x14ac:dyDescent="0.2">
      <c r="A1970" s="382"/>
      <c r="B1970" s="645"/>
      <c r="C1970" s="382"/>
      <c r="D1970" s="852"/>
      <c r="E1970" s="382"/>
      <c r="F1970" s="383"/>
      <c r="G1970" s="383"/>
      <c r="H1970" s="383"/>
      <c r="I1970" s="1465"/>
    </row>
    <row r="1971" spans="1:9" ht="13.5" thickBot="1" x14ac:dyDescent="0.25">
      <c r="A1971" s="433" t="s">
        <v>355</v>
      </c>
      <c r="I1971" s="1465" t="s">
        <v>173</v>
      </c>
    </row>
    <row r="1972" spans="1:9" ht="14.25" thickTop="1" thickBot="1" x14ac:dyDescent="0.25">
      <c r="A1972" s="633" t="s">
        <v>661</v>
      </c>
      <c r="B1972" s="810" t="s">
        <v>174</v>
      </c>
      <c r="C1972" s="634" t="s">
        <v>175</v>
      </c>
      <c r="D1972" s="636" t="s">
        <v>744</v>
      </c>
      <c r="E1972" s="636" t="s">
        <v>176</v>
      </c>
      <c r="F1972" s="636" t="s">
        <v>177</v>
      </c>
      <c r="G1972" s="636" t="s">
        <v>922</v>
      </c>
      <c r="H1972" s="636" t="s">
        <v>923</v>
      </c>
      <c r="I1972" s="856" t="s">
        <v>924</v>
      </c>
    </row>
    <row r="1973" spans="1:9" ht="14.25" thickTop="1" thickBot="1" x14ac:dyDescent="0.25">
      <c r="A1973" s="568">
        <v>1</v>
      </c>
      <c r="B1973" s="569">
        <v>2</v>
      </c>
      <c r="C1973" s="569">
        <v>3</v>
      </c>
      <c r="D1973" s="569">
        <v>4</v>
      </c>
      <c r="E1973" s="569">
        <v>5</v>
      </c>
      <c r="F1973" s="543">
        <v>6</v>
      </c>
      <c r="G1973" s="543">
        <v>7</v>
      </c>
      <c r="H1973" s="544">
        <v>8</v>
      </c>
      <c r="I1973" s="638" t="s">
        <v>801</v>
      </c>
    </row>
    <row r="1974" spans="1:9" ht="15.75" thickTop="1" x14ac:dyDescent="0.25">
      <c r="A1974" s="1477">
        <v>1212</v>
      </c>
      <c r="B1974" s="885">
        <v>3122</v>
      </c>
      <c r="C1974" s="885">
        <v>5336</v>
      </c>
      <c r="D1974" s="890"/>
      <c r="E1974" s="1479" t="s">
        <v>1269</v>
      </c>
      <c r="F1974" s="883"/>
      <c r="G1974" s="883">
        <v>2284</v>
      </c>
      <c r="H1974" s="883">
        <v>2284</v>
      </c>
      <c r="I1974" s="887">
        <f>(H1974/G1974)*100</f>
        <v>100</v>
      </c>
    </row>
    <row r="1975" spans="1:9" ht="14.25" x14ac:dyDescent="0.2">
      <c r="A1975" s="432"/>
      <c r="B1975" s="681"/>
      <c r="C1975" s="681"/>
      <c r="D1975" s="554" t="s">
        <v>1182</v>
      </c>
      <c r="E1975" s="456" t="s">
        <v>832</v>
      </c>
      <c r="F1975" s="865"/>
      <c r="G1975" s="865">
        <v>2284</v>
      </c>
      <c r="H1975" s="865">
        <v>2284</v>
      </c>
      <c r="I1975" s="861">
        <f>(H1975/G1975)*100</f>
        <v>100</v>
      </c>
    </row>
    <row r="1976" spans="1:9" ht="15" x14ac:dyDescent="0.25">
      <c r="A1976" s="432">
        <v>1212</v>
      </c>
      <c r="B1976" s="681">
        <v>3123</v>
      </c>
      <c r="C1976" s="681">
        <v>5331</v>
      </c>
      <c r="D1976" s="857"/>
      <c r="E1976" s="829" t="s">
        <v>996</v>
      </c>
      <c r="F1976" s="858">
        <f>F1977+F1978+F1979</f>
        <v>3172</v>
      </c>
      <c r="G1976" s="858">
        <f>G1977+G1978+G1979</f>
        <v>3257</v>
      </c>
      <c r="H1976" s="858">
        <f>H1977+H1978+H1979</f>
        <v>3257</v>
      </c>
      <c r="I1976" s="859">
        <f t="shared" ref="I1976:I1987" si="87">(H1976/G1976)*100</f>
        <v>100</v>
      </c>
    </row>
    <row r="1977" spans="1:9" ht="14.25" x14ac:dyDescent="0.2">
      <c r="A1977" s="432"/>
      <c r="B1977" s="681"/>
      <c r="C1977" s="681"/>
      <c r="D1977" s="719" t="s">
        <v>611</v>
      </c>
      <c r="E1977" s="1569" t="s">
        <v>833</v>
      </c>
      <c r="F1977" s="865">
        <v>281</v>
      </c>
      <c r="G1977" s="865">
        <v>295</v>
      </c>
      <c r="H1977" s="865">
        <v>295</v>
      </c>
      <c r="I1977" s="861">
        <f t="shared" si="87"/>
        <v>100</v>
      </c>
    </row>
    <row r="1978" spans="1:9" ht="14.25" x14ac:dyDescent="0.2">
      <c r="A1978" s="432"/>
      <c r="B1978" s="681"/>
      <c r="C1978" s="681"/>
      <c r="D1978" s="554" t="s">
        <v>606</v>
      </c>
      <c r="E1978" s="456" t="s">
        <v>72</v>
      </c>
      <c r="F1978" s="865">
        <v>2891</v>
      </c>
      <c r="G1978" s="865">
        <v>2891</v>
      </c>
      <c r="H1978" s="865">
        <v>2891</v>
      </c>
      <c r="I1978" s="861">
        <f t="shared" si="87"/>
        <v>100</v>
      </c>
    </row>
    <row r="1979" spans="1:9" ht="14.25" x14ac:dyDescent="0.2">
      <c r="A1979" s="432"/>
      <c r="B1979" s="681"/>
      <c r="C1979" s="681"/>
      <c r="D1979" s="1120" t="s">
        <v>968</v>
      </c>
      <c r="E1979" s="1215" t="s">
        <v>1274</v>
      </c>
      <c r="F1979" s="865"/>
      <c r="G1979" s="865">
        <v>71</v>
      </c>
      <c r="H1979" s="865">
        <v>71</v>
      </c>
      <c r="I1979" s="861">
        <f t="shared" si="87"/>
        <v>100</v>
      </c>
    </row>
    <row r="1980" spans="1:9" ht="15" x14ac:dyDescent="0.25">
      <c r="A1980" s="432">
        <v>1212</v>
      </c>
      <c r="B1980" s="681">
        <v>3123</v>
      </c>
      <c r="C1980" s="681">
        <v>5336</v>
      </c>
      <c r="D1980" s="1120"/>
      <c r="E1980" s="1479" t="s">
        <v>1269</v>
      </c>
      <c r="F1980" s="865"/>
      <c r="G1980" s="889">
        <f>G1981+G1982+G1983</f>
        <v>16973</v>
      </c>
      <c r="H1980" s="889">
        <f>H1981+H1982+H1983</f>
        <v>16973</v>
      </c>
      <c r="I1980" s="891">
        <f t="shared" si="87"/>
        <v>100</v>
      </c>
    </row>
    <row r="1981" spans="1:9" ht="14.25" x14ac:dyDescent="0.2">
      <c r="A1981" s="432"/>
      <c r="B1981" s="681"/>
      <c r="C1981" s="681"/>
      <c r="D1981" s="554" t="s">
        <v>1182</v>
      </c>
      <c r="E1981" s="456" t="s">
        <v>832</v>
      </c>
      <c r="F1981" s="865"/>
      <c r="G1981" s="865">
        <v>16408</v>
      </c>
      <c r="H1981" s="865">
        <v>16408</v>
      </c>
      <c r="I1981" s="861">
        <f t="shared" si="87"/>
        <v>100</v>
      </c>
    </row>
    <row r="1982" spans="1:9" ht="14.25" x14ac:dyDescent="0.2">
      <c r="A1982" s="432"/>
      <c r="B1982" s="783"/>
      <c r="C1982" s="783"/>
      <c r="D1982" s="1481" t="s">
        <v>1608</v>
      </c>
      <c r="E1982" s="1476" t="s">
        <v>1717</v>
      </c>
      <c r="F1982" s="871"/>
      <c r="G1982" s="871">
        <v>85</v>
      </c>
      <c r="H1982" s="871">
        <v>85</v>
      </c>
      <c r="I1982" s="866">
        <f t="shared" si="87"/>
        <v>100</v>
      </c>
    </row>
    <row r="1983" spans="1:9" ht="14.25" x14ac:dyDescent="0.2">
      <c r="A1983" s="432"/>
      <c r="B1983" s="783"/>
      <c r="C1983" s="783"/>
      <c r="D1983" s="1481" t="s">
        <v>1610</v>
      </c>
      <c r="E1983" s="1476" t="s">
        <v>1717</v>
      </c>
      <c r="F1983" s="871"/>
      <c r="G1983" s="871">
        <v>480</v>
      </c>
      <c r="H1983" s="871">
        <v>480</v>
      </c>
      <c r="I1983" s="866">
        <f t="shared" si="87"/>
        <v>100</v>
      </c>
    </row>
    <row r="1984" spans="1:9" ht="15" x14ac:dyDescent="0.25">
      <c r="A1984" s="432">
        <v>1212</v>
      </c>
      <c r="B1984" s="783">
        <v>3142</v>
      </c>
      <c r="C1984" s="783">
        <v>5331</v>
      </c>
      <c r="D1984" s="897"/>
      <c r="E1984" s="680" t="s">
        <v>996</v>
      </c>
      <c r="F1984" s="873">
        <v>200</v>
      </c>
      <c r="G1984" s="873">
        <v>200</v>
      </c>
      <c r="H1984" s="873">
        <v>200</v>
      </c>
      <c r="I1984" s="874">
        <f t="shared" si="87"/>
        <v>100</v>
      </c>
    </row>
    <row r="1985" spans="1:20" ht="14.25" x14ac:dyDescent="0.2">
      <c r="A1985" s="432"/>
      <c r="B1985" s="783"/>
      <c r="C1985" s="783"/>
      <c r="D1985" s="554" t="s">
        <v>606</v>
      </c>
      <c r="E1985" s="456" t="s">
        <v>72</v>
      </c>
      <c r="F1985" s="871">
        <v>200</v>
      </c>
      <c r="G1985" s="871">
        <v>200</v>
      </c>
      <c r="H1985" s="871">
        <v>200</v>
      </c>
      <c r="I1985" s="866">
        <f t="shared" si="87"/>
        <v>100</v>
      </c>
    </row>
    <row r="1986" spans="1:20" ht="15" x14ac:dyDescent="0.25">
      <c r="A1986" s="432">
        <v>1212</v>
      </c>
      <c r="B1986" s="783">
        <v>3293</v>
      </c>
      <c r="C1986" s="783">
        <v>5331</v>
      </c>
      <c r="D1986" s="554"/>
      <c r="E1986" s="680" t="s">
        <v>996</v>
      </c>
      <c r="F1986" s="884"/>
      <c r="G1986" s="884">
        <v>7</v>
      </c>
      <c r="H1986" s="884">
        <v>7</v>
      </c>
      <c r="I1986" s="876">
        <f t="shared" si="87"/>
        <v>100</v>
      </c>
    </row>
    <row r="1987" spans="1:20" ht="13.5" customHeight="1" thickBot="1" x14ac:dyDescent="0.25">
      <c r="A1987" s="432"/>
      <c r="B1987" s="783"/>
      <c r="C1987" s="783"/>
      <c r="D1987" s="781" t="s">
        <v>1185</v>
      </c>
      <c r="E1987" s="1584" t="s">
        <v>62</v>
      </c>
      <c r="F1987" s="871"/>
      <c r="G1987" s="871">
        <v>7</v>
      </c>
      <c r="H1987" s="871">
        <v>7</v>
      </c>
      <c r="I1987" s="866">
        <f t="shared" si="87"/>
        <v>100</v>
      </c>
    </row>
    <row r="1988" spans="1:20" ht="16.5" thickTop="1" thickBot="1" x14ac:dyDescent="0.3">
      <c r="A1988" s="2685" t="s">
        <v>1162</v>
      </c>
      <c r="B1988" s="2686"/>
      <c r="C1988" s="2686"/>
      <c r="D1988" s="2686"/>
      <c r="E1988" s="2686"/>
      <c r="F1988" s="862">
        <f>F1976+F1984</f>
        <v>3372</v>
      </c>
      <c r="G1988" s="862">
        <f>G1974+G1976+G1980+G1984+G1986</f>
        <v>22721</v>
      </c>
      <c r="H1988" s="862">
        <f>H1974+H1976+H1980+H1984+H1986</f>
        <v>22721</v>
      </c>
      <c r="I1988" s="863">
        <f>(H1988/G1988)*100</f>
        <v>100</v>
      </c>
      <c r="R1988" s="383">
        <f>F1988</f>
        <v>3372</v>
      </c>
      <c r="S1988" s="383">
        <f>G1988</f>
        <v>22721</v>
      </c>
      <c r="T1988" s="383">
        <f>H1988</f>
        <v>22721</v>
      </c>
    </row>
    <row r="1989" spans="1:20" s="107" customFormat="1" ht="13.5" thickTop="1" x14ac:dyDescent="0.2">
      <c r="A1989" s="382"/>
      <c r="B1989" s="645"/>
      <c r="C1989" s="382"/>
      <c r="D1989" s="852"/>
      <c r="E1989" s="382"/>
      <c r="F1989" s="383"/>
      <c r="G1989" s="383"/>
      <c r="H1989" s="383"/>
      <c r="I1989" s="1465"/>
    </row>
    <row r="1991" spans="1:20" ht="13.5" thickBot="1" x14ac:dyDescent="0.25">
      <c r="A1991" s="433" t="s">
        <v>338</v>
      </c>
      <c r="I1991" s="1465" t="s">
        <v>173</v>
      </c>
    </row>
    <row r="1992" spans="1:20" ht="14.25" thickTop="1" thickBot="1" x14ac:dyDescent="0.25">
      <c r="A1992" s="633" t="s">
        <v>661</v>
      </c>
      <c r="B1992" s="810" t="s">
        <v>174</v>
      </c>
      <c r="C1992" s="634" t="s">
        <v>175</v>
      </c>
      <c r="D1992" s="636" t="s">
        <v>744</v>
      </c>
      <c r="E1992" s="636" t="s">
        <v>176</v>
      </c>
      <c r="F1992" s="636" t="s">
        <v>177</v>
      </c>
      <c r="G1992" s="636" t="s">
        <v>922</v>
      </c>
      <c r="H1992" s="636" t="s">
        <v>923</v>
      </c>
      <c r="I1992" s="856" t="s">
        <v>924</v>
      </c>
    </row>
    <row r="1993" spans="1:20" ht="14.25" thickTop="1" thickBot="1" x14ac:dyDescent="0.25">
      <c r="A1993" s="568">
        <v>1</v>
      </c>
      <c r="B1993" s="569">
        <v>2</v>
      </c>
      <c r="C1993" s="569">
        <v>3</v>
      </c>
      <c r="D1993" s="569">
        <v>4</v>
      </c>
      <c r="E1993" s="569">
        <v>5</v>
      </c>
      <c r="F1993" s="543">
        <v>6</v>
      </c>
      <c r="G1993" s="543">
        <v>7</v>
      </c>
      <c r="H1993" s="544">
        <v>8</v>
      </c>
      <c r="I1993" s="638" t="s">
        <v>801</v>
      </c>
    </row>
    <row r="1994" spans="1:20" ht="15.75" thickTop="1" x14ac:dyDescent="0.25">
      <c r="A1994" s="1477">
        <v>1216</v>
      </c>
      <c r="B1994" s="885">
        <v>3123</v>
      </c>
      <c r="C1994" s="885">
        <v>5331</v>
      </c>
      <c r="D1994" s="890"/>
      <c r="E1994" s="924" t="s">
        <v>996</v>
      </c>
      <c r="F1994" s="883">
        <f>F1995+F1997+F1998</f>
        <v>1782</v>
      </c>
      <c r="G1994" s="883">
        <f>G1995+G1997+G1998+G1996</f>
        <v>2410</v>
      </c>
      <c r="H1994" s="883">
        <f>H1995+H1997+H1998+H1996</f>
        <v>2410</v>
      </c>
      <c r="I1994" s="887">
        <f t="shared" ref="I1994:I2011" si="88">(H1994/G1994)*100</f>
        <v>100</v>
      </c>
    </row>
    <row r="1995" spans="1:20" ht="14.25" x14ac:dyDescent="0.2">
      <c r="A1995" s="432"/>
      <c r="B1995" s="681"/>
      <c r="C1995" s="681"/>
      <c r="D1995" s="719" t="s">
        <v>611</v>
      </c>
      <c r="E1995" s="1569" t="s">
        <v>833</v>
      </c>
      <c r="F1995" s="865">
        <v>318</v>
      </c>
      <c r="G1995" s="865">
        <v>327</v>
      </c>
      <c r="H1995" s="865">
        <v>327</v>
      </c>
      <c r="I1995" s="861">
        <f t="shared" si="88"/>
        <v>100</v>
      </c>
    </row>
    <row r="1996" spans="1:20" ht="14.25" x14ac:dyDescent="0.2">
      <c r="A1996" s="432"/>
      <c r="B1996" s="681"/>
      <c r="C1996" s="681"/>
      <c r="D1996" s="1110" t="s">
        <v>196</v>
      </c>
      <c r="E1996" s="1215" t="s">
        <v>751</v>
      </c>
      <c r="F1996" s="865"/>
      <c r="G1996" s="865">
        <v>210</v>
      </c>
      <c r="H1996" s="865">
        <v>210</v>
      </c>
      <c r="I1996" s="861">
        <f t="shared" si="88"/>
        <v>100</v>
      </c>
    </row>
    <row r="1997" spans="1:20" ht="14.25" x14ac:dyDescent="0.2">
      <c r="A1997" s="432"/>
      <c r="B1997" s="681"/>
      <c r="C1997" s="681"/>
      <c r="D1997" s="554" t="s">
        <v>606</v>
      </c>
      <c r="E1997" s="456" t="s">
        <v>72</v>
      </c>
      <c r="F1997" s="865">
        <v>1464</v>
      </c>
      <c r="G1997" s="865">
        <v>1629</v>
      </c>
      <c r="H1997" s="865">
        <v>1629</v>
      </c>
      <c r="I1997" s="861">
        <f t="shared" si="88"/>
        <v>100</v>
      </c>
    </row>
    <row r="1998" spans="1:20" ht="14.25" x14ac:dyDescent="0.2">
      <c r="A1998" s="432"/>
      <c r="B1998" s="681"/>
      <c r="C1998" s="681"/>
      <c r="D1998" s="1120" t="s">
        <v>968</v>
      </c>
      <c r="E1998" s="1215" t="s">
        <v>1274</v>
      </c>
      <c r="F1998" s="865"/>
      <c r="G1998" s="865">
        <v>244</v>
      </c>
      <c r="H1998" s="865">
        <v>244</v>
      </c>
      <c r="I1998" s="861">
        <f t="shared" si="88"/>
        <v>100</v>
      </c>
    </row>
    <row r="1999" spans="1:20" ht="15" x14ac:dyDescent="0.25">
      <c r="A1999" s="432">
        <v>1216</v>
      </c>
      <c r="B1999" s="681">
        <v>3123</v>
      </c>
      <c r="C1999" s="681">
        <v>5336</v>
      </c>
      <c r="D1999" s="2255"/>
      <c r="E1999" s="1479" t="s">
        <v>1269</v>
      </c>
      <c r="F1999" s="865"/>
      <c r="G1999" s="889">
        <f>G2000+G2001+G2002</f>
        <v>9418</v>
      </c>
      <c r="H1999" s="889">
        <f>H2000+H2001+H2002</f>
        <v>9418</v>
      </c>
      <c r="I1999" s="891">
        <f t="shared" si="88"/>
        <v>100</v>
      </c>
    </row>
    <row r="2000" spans="1:20" ht="14.25" x14ac:dyDescent="0.2">
      <c r="A2000" s="432"/>
      <c r="B2000" s="681"/>
      <c r="C2000" s="681"/>
      <c r="D2000" s="554" t="s">
        <v>1182</v>
      </c>
      <c r="E2000" s="456" t="s">
        <v>832</v>
      </c>
      <c r="F2000" s="865"/>
      <c r="G2000" s="865">
        <v>9124</v>
      </c>
      <c r="H2000" s="865">
        <v>9124</v>
      </c>
      <c r="I2000" s="861">
        <f t="shared" si="88"/>
        <v>100</v>
      </c>
    </row>
    <row r="2001" spans="1:23" ht="14.25" x14ac:dyDescent="0.2">
      <c r="A2001" s="432"/>
      <c r="B2001" s="783"/>
      <c r="C2001" s="783"/>
      <c r="D2001" s="1481" t="s">
        <v>1608</v>
      </c>
      <c r="E2001" s="1476" t="s">
        <v>1717</v>
      </c>
      <c r="F2001" s="871"/>
      <c r="G2001" s="871">
        <v>44</v>
      </c>
      <c r="H2001" s="871">
        <v>44</v>
      </c>
      <c r="I2001" s="866">
        <f t="shared" si="88"/>
        <v>100</v>
      </c>
    </row>
    <row r="2002" spans="1:23" ht="14.25" x14ac:dyDescent="0.2">
      <c r="A2002" s="432"/>
      <c r="B2002" s="783"/>
      <c r="C2002" s="783"/>
      <c r="D2002" s="1481" t="s">
        <v>1610</v>
      </c>
      <c r="E2002" s="1476" t="s">
        <v>1717</v>
      </c>
      <c r="F2002" s="871"/>
      <c r="G2002" s="871">
        <v>250</v>
      </c>
      <c r="H2002" s="871">
        <v>250</v>
      </c>
      <c r="I2002" s="866">
        <f t="shared" si="88"/>
        <v>100</v>
      </c>
    </row>
    <row r="2003" spans="1:23" ht="15" x14ac:dyDescent="0.25">
      <c r="A2003" s="432">
        <v>1216</v>
      </c>
      <c r="B2003" s="783">
        <v>3124</v>
      </c>
      <c r="C2003" s="783">
        <v>5331</v>
      </c>
      <c r="D2003" s="897"/>
      <c r="E2003" s="680" t="s">
        <v>996</v>
      </c>
      <c r="F2003" s="873">
        <f>SUM(F2004:F2007)</f>
        <v>244</v>
      </c>
      <c r="G2003" s="873">
        <f>G2004+G2005</f>
        <v>362</v>
      </c>
      <c r="H2003" s="873">
        <f>H2004+H2005</f>
        <v>362</v>
      </c>
      <c r="I2003" s="874">
        <f t="shared" si="88"/>
        <v>100</v>
      </c>
    </row>
    <row r="2004" spans="1:23" ht="14.25" x14ac:dyDescent="0.2">
      <c r="A2004" s="432"/>
      <c r="B2004" s="783"/>
      <c r="C2004" s="783"/>
      <c r="D2004" s="554" t="s">
        <v>606</v>
      </c>
      <c r="E2004" s="456" t="s">
        <v>72</v>
      </c>
      <c r="F2004" s="871">
        <v>244</v>
      </c>
      <c r="G2004" s="871">
        <v>244</v>
      </c>
      <c r="H2004" s="871">
        <v>244</v>
      </c>
      <c r="I2004" s="866">
        <f t="shared" si="88"/>
        <v>100</v>
      </c>
    </row>
    <row r="2005" spans="1:23" ht="14.25" x14ac:dyDescent="0.2">
      <c r="A2005" s="432"/>
      <c r="B2005" s="783"/>
      <c r="C2005" s="783"/>
      <c r="D2005" s="1120" t="s">
        <v>968</v>
      </c>
      <c r="E2005" s="1215" t="s">
        <v>1274</v>
      </c>
      <c r="F2005" s="871"/>
      <c r="G2005" s="871">
        <v>118</v>
      </c>
      <c r="H2005" s="871">
        <v>118</v>
      </c>
      <c r="I2005" s="866">
        <f t="shared" si="88"/>
        <v>100</v>
      </c>
    </row>
    <row r="2006" spans="1:23" ht="15" x14ac:dyDescent="0.25">
      <c r="A2006" s="432">
        <v>1216</v>
      </c>
      <c r="B2006" s="783">
        <v>3124</v>
      </c>
      <c r="C2006" s="783">
        <v>5336</v>
      </c>
      <c r="D2006" s="1120"/>
      <c r="E2006" s="1479" t="s">
        <v>1269</v>
      </c>
      <c r="F2006" s="871"/>
      <c r="G2006" s="884">
        <v>2642</v>
      </c>
      <c r="H2006" s="884">
        <v>2642</v>
      </c>
      <c r="I2006" s="876">
        <f t="shared" si="88"/>
        <v>100</v>
      </c>
    </row>
    <row r="2007" spans="1:23" ht="14.25" x14ac:dyDescent="0.2">
      <c r="A2007" s="432"/>
      <c r="B2007" s="783"/>
      <c r="C2007" s="1468"/>
      <c r="D2007" s="554" t="s">
        <v>1182</v>
      </c>
      <c r="E2007" s="456" t="s">
        <v>832</v>
      </c>
      <c r="F2007" s="871"/>
      <c r="G2007" s="871">
        <v>2642</v>
      </c>
      <c r="H2007" s="871">
        <v>2642</v>
      </c>
      <c r="I2007" s="866">
        <f t="shared" si="88"/>
        <v>100</v>
      </c>
    </row>
    <row r="2008" spans="1:23" ht="15" x14ac:dyDescent="0.25">
      <c r="A2008" s="432">
        <v>1216</v>
      </c>
      <c r="B2008" s="783">
        <v>3142</v>
      </c>
      <c r="C2008" s="783">
        <v>5331</v>
      </c>
      <c r="D2008" s="897"/>
      <c r="E2008" s="680" t="s">
        <v>996</v>
      </c>
      <c r="F2008" s="873">
        <v>175</v>
      </c>
      <c r="G2008" s="873">
        <v>175</v>
      </c>
      <c r="H2008" s="873">
        <v>175</v>
      </c>
      <c r="I2008" s="874">
        <f t="shared" si="88"/>
        <v>100</v>
      </c>
    </row>
    <row r="2009" spans="1:23" ht="14.25" x14ac:dyDescent="0.2">
      <c r="A2009" s="432"/>
      <c r="B2009" s="783"/>
      <c r="C2009" s="783"/>
      <c r="D2009" s="554" t="s">
        <v>606</v>
      </c>
      <c r="E2009" s="456" t="s">
        <v>72</v>
      </c>
      <c r="F2009" s="871">
        <v>175</v>
      </c>
      <c r="G2009" s="871">
        <v>175</v>
      </c>
      <c r="H2009" s="871">
        <v>175</v>
      </c>
      <c r="I2009" s="866">
        <f t="shared" si="88"/>
        <v>100</v>
      </c>
    </row>
    <row r="2010" spans="1:23" ht="15.75" customHeight="1" x14ac:dyDescent="0.25">
      <c r="A2010" s="432">
        <v>1216</v>
      </c>
      <c r="B2010" s="783">
        <v>3142</v>
      </c>
      <c r="C2010" s="783">
        <v>5336</v>
      </c>
      <c r="D2010" s="554"/>
      <c r="E2010" s="1479" t="s">
        <v>1269</v>
      </c>
      <c r="F2010" s="871"/>
      <c r="G2010" s="884">
        <v>51</v>
      </c>
      <c r="H2010" s="884">
        <v>51</v>
      </c>
      <c r="I2010" s="876">
        <f t="shared" si="88"/>
        <v>100</v>
      </c>
    </row>
    <row r="2011" spans="1:23" ht="15.75" customHeight="1" thickBot="1" x14ac:dyDescent="0.25">
      <c r="A2011" s="432"/>
      <c r="B2011" s="783"/>
      <c r="C2011" s="783"/>
      <c r="D2011" s="554" t="s">
        <v>1182</v>
      </c>
      <c r="E2011" s="456" t="s">
        <v>832</v>
      </c>
      <c r="F2011" s="871"/>
      <c r="G2011" s="871">
        <v>51</v>
      </c>
      <c r="H2011" s="871">
        <v>51</v>
      </c>
      <c r="I2011" s="866">
        <f t="shared" si="88"/>
        <v>100</v>
      </c>
    </row>
    <row r="2012" spans="1:23" ht="16.5" thickTop="1" thickBot="1" x14ac:dyDescent="0.3">
      <c r="A2012" s="2685" t="s">
        <v>1162</v>
      </c>
      <c r="B2012" s="2686"/>
      <c r="C2012" s="2686"/>
      <c r="D2012" s="2686"/>
      <c r="E2012" s="2686"/>
      <c r="F2012" s="862">
        <f>F1994+F2003+F2008</f>
        <v>2201</v>
      </c>
      <c r="G2012" s="862">
        <f>G1994+G1999+G2003+G2006+G2008+G2010</f>
        <v>15058</v>
      </c>
      <c r="H2012" s="862">
        <f>H1994+H1999+H2003+H2006+H2008+H2010</f>
        <v>15058</v>
      </c>
      <c r="I2012" s="863">
        <f>(H2012/G2012)*100</f>
        <v>100</v>
      </c>
      <c r="J2012" s="383">
        <f>F2012</f>
        <v>2201</v>
      </c>
      <c r="K2012" s="383" t="e">
        <f>G2012+#REF!</f>
        <v>#REF!</v>
      </c>
      <c r="L2012" s="383" t="e">
        <f>H2012+#REF!</f>
        <v>#REF!</v>
      </c>
      <c r="R2012" s="383">
        <f>F2012</f>
        <v>2201</v>
      </c>
      <c r="S2012" s="383">
        <f>G2012</f>
        <v>15058</v>
      </c>
      <c r="T2012" s="383">
        <f>H2012</f>
        <v>15058</v>
      </c>
      <c r="U2012" s="383"/>
      <c r="V2012" s="383"/>
      <c r="W2012" s="383"/>
    </row>
    <row r="2013" spans="1:23" s="384" customFormat="1" ht="13.5" thickTop="1" x14ac:dyDescent="0.2">
      <c r="A2013" s="382"/>
      <c r="B2013" s="645"/>
      <c r="C2013" s="382"/>
      <c r="D2013" s="852"/>
      <c r="E2013" s="382"/>
      <c r="F2013" s="383"/>
      <c r="G2013" s="383"/>
      <c r="H2013" s="383"/>
      <c r="I2013" s="1465"/>
    </row>
    <row r="2014" spans="1:23" s="384" customFormat="1" x14ac:dyDescent="0.2">
      <c r="A2014" s="382"/>
      <c r="B2014" s="645"/>
      <c r="C2014" s="382"/>
      <c r="D2014" s="852"/>
      <c r="E2014" s="382"/>
      <c r="F2014" s="383"/>
      <c r="G2014" s="383"/>
      <c r="H2014" s="383"/>
      <c r="I2014" s="1465"/>
    </row>
    <row r="2015" spans="1:23" ht="13.5" thickBot="1" x14ac:dyDescent="0.25">
      <c r="A2015" s="433" t="s">
        <v>1314</v>
      </c>
      <c r="I2015" s="1465" t="s">
        <v>173</v>
      </c>
    </row>
    <row r="2016" spans="1:23" ht="14.25" thickTop="1" thickBot="1" x14ac:dyDescent="0.25">
      <c r="A2016" s="633" t="s">
        <v>661</v>
      </c>
      <c r="B2016" s="810" t="s">
        <v>174</v>
      </c>
      <c r="C2016" s="634" t="s">
        <v>175</v>
      </c>
      <c r="D2016" s="636" t="s">
        <v>744</v>
      </c>
      <c r="E2016" s="636" t="s">
        <v>176</v>
      </c>
      <c r="F2016" s="636" t="s">
        <v>177</v>
      </c>
      <c r="G2016" s="636" t="s">
        <v>922</v>
      </c>
      <c r="H2016" s="636" t="s">
        <v>923</v>
      </c>
      <c r="I2016" s="856" t="s">
        <v>924</v>
      </c>
    </row>
    <row r="2017" spans="1:9" ht="14.25" thickTop="1" thickBot="1" x14ac:dyDescent="0.25">
      <c r="A2017" s="568">
        <v>1</v>
      </c>
      <c r="B2017" s="569">
        <v>2</v>
      </c>
      <c r="C2017" s="569">
        <v>3</v>
      </c>
      <c r="D2017" s="569">
        <v>4</v>
      </c>
      <c r="E2017" s="569">
        <v>5</v>
      </c>
      <c r="F2017" s="543">
        <v>6</v>
      </c>
      <c r="G2017" s="543">
        <v>7</v>
      </c>
      <c r="H2017" s="544">
        <v>8</v>
      </c>
      <c r="I2017" s="638" t="s">
        <v>801</v>
      </c>
    </row>
    <row r="2018" spans="1:9" ht="15.75" thickTop="1" x14ac:dyDescent="0.25">
      <c r="A2018" s="1477">
        <v>1218</v>
      </c>
      <c r="B2018" s="885">
        <v>3124</v>
      </c>
      <c r="C2018" s="885">
        <v>5331</v>
      </c>
      <c r="D2018" s="890"/>
      <c r="E2018" s="924" t="s">
        <v>996</v>
      </c>
      <c r="F2018" s="883">
        <f>F2019+F2020+F2021</f>
        <v>1267</v>
      </c>
      <c r="G2018" s="883">
        <f>G2019+G2020+G2021</f>
        <v>1345</v>
      </c>
      <c r="H2018" s="883">
        <f>H2019+H2020+H2021</f>
        <v>1345</v>
      </c>
      <c r="I2018" s="887">
        <f t="shared" ref="I2018:I2039" si="89">(H2018/G2018)*100</f>
        <v>100</v>
      </c>
    </row>
    <row r="2019" spans="1:9" ht="14.25" x14ac:dyDescent="0.2">
      <c r="A2019" s="432"/>
      <c r="B2019" s="681"/>
      <c r="C2019" s="681"/>
      <c r="D2019" s="719" t="s">
        <v>611</v>
      </c>
      <c r="E2019" s="1569" t="s">
        <v>833</v>
      </c>
      <c r="F2019" s="865">
        <v>140</v>
      </c>
      <c r="G2019" s="865">
        <v>148</v>
      </c>
      <c r="H2019" s="865">
        <v>148</v>
      </c>
      <c r="I2019" s="866">
        <f t="shared" si="89"/>
        <v>100</v>
      </c>
    </row>
    <row r="2020" spans="1:9" ht="14.25" x14ac:dyDescent="0.2">
      <c r="A2020" s="432"/>
      <c r="B2020" s="681"/>
      <c r="C2020" s="681"/>
      <c r="D2020" s="554" t="s">
        <v>606</v>
      </c>
      <c r="E2020" s="456" t="s">
        <v>72</v>
      </c>
      <c r="F2020" s="865">
        <v>1127</v>
      </c>
      <c r="G2020" s="865">
        <v>1127</v>
      </c>
      <c r="H2020" s="865">
        <v>1127</v>
      </c>
      <c r="I2020" s="866">
        <f t="shared" si="89"/>
        <v>100</v>
      </c>
    </row>
    <row r="2021" spans="1:9" ht="14.25" x14ac:dyDescent="0.2">
      <c r="A2021" s="432"/>
      <c r="B2021" s="681"/>
      <c r="C2021" s="681"/>
      <c r="D2021" s="1120" t="s">
        <v>968</v>
      </c>
      <c r="E2021" s="1215" t="s">
        <v>1274</v>
      </c>
      <c r="F2021" s="865"/>
      <c r="G2021" s="865">
        <v>70</v>
      </c>
      <c r="H2021" s="865">
        <v>70</v>
      </c>
      <c r="I2021" s="866">
        <f t="shared" si="89"/>
        <v>100</v>
      </c>
    </row>
    <row r="2022" spans="1:9" ht="15" x14ac:dyDescent="0.25">
      <c r="A2022" s="432">
        <v>1218</v>
      </c>
      <c r="B2022" s="681">
        <v>3124</v>
      </c>
      <c r="C2022" s="681">
        <v>5336</v>
      </c>
      <c r="D2022" s="1119"/>
      <c r="E2022" s="1479" t="s">
        <v>1269</v>
      </c>
      <c r="F2022" s="865"/>
      <c r="G2022" s="889">
        <f>G2023+G2024+G2025</f>
        <v>14664</v>
      </c>
      <c r="H2022" s="889">
        <f>H2023+H2024+H2025</f>
        <v>14664</v>
      </c>
      <c r="I2022" s="876">
        <f t="shared" si="89"/>
        <v>100</v>
      </c>
    </row>
    <row r="2023" spans="1:9" ht="14.25" x14ac:dyDescent="0.2">
      <c r="A2023" s="432"/>
      <c r="B2023" s="681"/>
      <c r="C2023" s="681"/>
      <c r="D2023" s="554" t="s">
        <v>1182</v>
      </c>
      <c r="E2023" s="456" t="s">
        <v>832</v>
      </c>
      <c r="F2023" s="865"/>
      <c r="G2023" s="865">
        <v>14432</v>
      </c>
      <c r="H2023" s="865">
        <v>14432</v>
      </c>
      <c r="I2023" s="866">
        <f t="shared" si="89"/>
        <v>100</v>
      </c>
    </row>
    <row r="2024" spans="1:9" ht="14.25" x14ac:dyDescent="0.2">
      <c r="A2024" s="432"/>
      <c r="B2024" s="783"/>
      <c r="C2024" s="783"/>
      <c r="D2024" s="1481" t="s">
        <v>1608</v>
      </c>
      <c r="E2024" s="1476" t="s">
        <v>1717</v>
      </c>
      <c r="F2024" s="871"/>
      <c r="G2024" s="871">
        <v>35</v>
      </c>
      <c r="H2024" s="871">
        <v>35</v>
      </c>
      <c r="I2024" s="866">
        <f t="shared" si="89"/>
        <v>100</v>
      </c>
    </row>
    <row r="2025" spans="1:9" ht="14.25" x14ac:dyDescent="0.2">
      <c r="A2025" s="432"/>
      <c r="B2025" s="783"/>
      <c r="C2025" s="783"/>
      <c r="D2025" s="1481" t="s">
        <v>1610</v>
      </c>
      <c r="E2025" s="1476" t="s">
        <v>1717</v>
      </c>
      <c r="F2025" s="871"/>
      <c r="G2025" s="871">
        <v>197</v>
      </c>
      <c r="H2025" s="871">
        <v>197</v>
      </c>
      <c r="I2025" s="866">
        <f t="shared" si="89"/>
        <v>100</v>
      </c>
    </row>
    <row r="2026" spans="1:9" ht="15" x14ac:dyDescent="0.25">
      <c r="A2026" s="432">
        <v>1218</v>
      </c>
      <c r="B2026" s="783">
        <v>3141</v>
      </c>
      <c r="C2026" s="783">
        <v>5336</v>
      </c>
      <c r="D2026" s="570"/>
      <c r="E2026" s="1479" t="s">
        <v>1269</v>
      </c>
      <c r="F2026" s="884"/>
      <c r="G2026" s="884">
        <v>353</v>
      </c>
      <c r="H2026" s="884">
        <v>353</v>
      </c>
      <c r="I2026" s="876">
        <f t="shared" si="89"/>
        <v>100</v>
      </c>
    </row>
    <row r="2027" spans="1:9" ht="14.25" x14ac:dyDescent="0.2">
      <c r="A2027" s="432"/>
      <c r="B2027" s="783"/>
      <c r="C2027" s="783"/>
      <c r="D2027" s="554" t="s">
        <v>1182</v>
      </c>
      <c r="E2027" s="456" t="s">
        <v>832</v>
      </c>
      <c r="F2027" s="871"/>
      <c r="G2027" s="871">
        <v>353</v>
      </c>
      <c r="H2027" s="871">
        <v>353</v>
      </c>
      <c r="I2027" s="866">
        <f t="shared" si="89"/>
        <v>100</v>
      </c>
    </row>
    <row r="2028" spans="1:9" ht="15" x14ac:dyDescent="0.25">
      <c r="A2028" s="432">
        <v>1218</v>
      </c>
      <c r="B2028" s="783">
        <v>3142</v>
      </c>
      <c r="C2028" s="783">
        <v>5331</v>
      </c>
      <c r="D2028" s="897"/>
      <c r="E2028" s="680" t="s">
        <v>996</v>
      </c>
      <c r="F2028" s="873">
        <f>F2029+F2030</f>
        <v>247</v>
      </c>
      <c r="G2028" s="873">
        <f>G2029+G2030</f>
        <v>268</v>
      </c>
      <c r="H2028" s="873">
        <f>H2029+H2030</f>
        <v>268</v>
      </c>
      <c r="I2028" s="866">
        <f t="shared" si="89"/>
        <v>100</v>
      </c>
    </row>
    <row r="2029" spans="1:9" ht="14.25" x14ac:dyDescent="0.2">
      <c r="A2029" s="432"/>
      <c r="B2029" s="783"/>
      <c r="C2029" s="783"/>
      <c r="D2029" s="719" t="s">
        <v>611</v>
      </c>
      <c r="E2029" s="1569" t="s">
        <v>833</v>
      </c>
      <c r="F2029" s="871">
        <v>47</v>
      </c>
      <c r="G2029" s="871">
        <v>68</v>
      </c>
      <c r="H2029" s="871">
        <v>68</v>
      </c>
      <c r="I2029" s="866">
        <f t="shared" si="89"/>
        <v>100</v>
      </c>
    </row>
    <row r="2030" spans="1:9" ht="14.25" x14ac:dyDescent="0.2">
      <c r="A2030" s="432"/>
      <c r="B2030" s="783"/>
      <c r="C2030" s="783"/>
      <c r="D2030" s="554" t="s">
        <v>606</v>
      </c>
      <c r="E2030" s="456" t="s">
        <v>72</v>
      </c>
      <c r="F2030" s="871">
        <v>200</v>
      </c>
      <c r="G2030" s="871">
        <v>200</v>
      </c>
      <c r="H2030" s="871">
        <v>200</v>
      </c>
      <c r="I2030" s="866">
        <f t="shared" si="89"/>
        <v>100</v>
      </c>
    </row>
    <row r="2031" spans="1:9" ht="15" x14ac:dyDescent="0.25">
      <c r="A2031" s="432">
        <v>1218</v>
      </c>
      <c r="B2031" s="783">
        <v>3142</v>
      </c>
      <c r="C2031" s="783">
        <v>5336</v>
      </c>
      <c r="D2031" s="554"/>
      <c r="E2031" s="1479" t="s">
        <v>1269</v>
      </c>
      <c r="F2031" s="871"/>
      <c r="G2031" s="884">
        <v>241</v>
      </c>
      <c r="H2031" s="884">
        <v>241</v>
      </c>
      <c r="I2031" s="876">
        <f t="shared" si="89"/>
        <v>100</v>
      </c>
    </row>
    <row r="2032" spans="1:9" ht="14.25" x14ac:dyDescent="0.2">
      <c r="A2032" s="432"/>
      <c r="B2032" s="783"/>
      <c r="C2032" s="783"/>
      <c r="D2032" s="554" t="s">
        <v>1182</v>
      </c>
      <c r="E2032" s="456" t="s">
        <v>832</v>
      </c>
      <c r="F2032" s="871"/>
      <c r="G2032" s="871">
        <v>241</v>
      </c>
      <c r="H2032" s="871">
        <v>241</v>
      </c>
      <c r="I2032" s="866">
        <v>135</v>
      </c>
    </row>
    <row r="2033" spans="1:20" ht="15" x14ac:dyDescent="0.25">
      <c r="A2033" s="432">
        <v>1218</v>
      </c>
      <c r="B2033" s="783">
        <v>3145</v>
      </c>
      <c r="C2033" s="783">
        <v>5331</v>
      </c>
      <c r="D2033" s="897"/>
      <c r="E2033" s="680" t="s">
        <v>996</v>
      </c>
      <c r="F2033" s="873">
        <f>F2034+F2035</f>
        <v>416</v>
      </c>
      <c r="G2033" s="873">
        <f>G2034+G2035</f>
        <v>419</v>
      </c>
      <c r="H2033" s="873">
        <f>H2034+H2035</f>
        <v>419</v>
      </c>
      <c r="I2033" s="866">
        <f t="shared" si="89"/>
        <v>100</v>
      </c>
    </row>
    <row r="2034" spans="1:20" ht="15.75" customHeight="1" x14ac:dyDescent="0.2">
      <c r="A2034" s="432"/>
      <c r="B2034" s="783"/>
      <c r="C2034" s="783"/>
      <c r="D2034" s="719" t="s">
        <v>611</v>
      </c>
      <c r="E2034" s="1569" t="s">
        <v>833</v>
      </c>
      <c r="F2034" s="871">
        <v>126</v>
      </c>
      <c r="G2034" s="871">
        <v>129</v>
      </c>
      <c r="H2034" s="871">
        <v>129</v>
      </c>
      <c r="I2034" s="866">
        <f t="shared" si="89"/>
        <v>100</v>
      </c>
    </row>
    <row r="2035" spans="1:20" ht="14.25" x14ac:dyDescent="0.2">
      <c r="A2035" s="432"/>
      <c r="B2035" s="783"/>
      <c r="C2035" s="783"/>
      <c r="D2035" s="554" t="s">
        <v>606</v>
      </c>
      <c r="E2035" s="456" t="s">
        <v>72</v>
      </c>
      <c r="F2035" s="871">
        <v>290</v>
      </c>
      <c r="G2035" s="871">
        <v>290</v>
      </c>
      <c r="H2035" s="871">
        <v>290</v>
      </c>
      <c r="I2035" s="866">
        <f t="shared" si="89"/>
        <v>100</v>
      </c>
    </row>
    <row r="2036" spans="1:20" ht="15" x14ac:dyDescent="0.25">
      <c r="A2036" s="432">
        <v>1218</v>
      </c>
      <c r="B2036" s="783">
        <v>3145</v>
      </c>
      <c r="C2036" s="783">
        <v>5336</v>
      </c>
      <c r="D2036" s="554"/>
      <c r="E2036" s="1479" t="s">
        <v>1269</v>
      </c>
      <c r="F2036" s="871"/>
      <c r="G2036" s="884">
        <v>2267</v>
      </c>
      <c r="H2036" s="884">
        <v>2267</v>
      </c>
      <c r="I2036" s="876">
        <f t="shared" si="89"/>
        <v>100</v>
      </c>
    </row>
    <row r="2037" spans="1:20" ht="14.25" x14ac:dyDescent="0.2">
      <c r="A2037" s="432"/>
      <c r="B2037" s="783"/>
      <c r="C2037" s="783"/>
      <c r="D2037" s="554" t="s">
        <v>1182</v>
      </c>
      <c r="E2037" s="456" t="s">
        <v>832</v>
      </c>
      <c r="F2037" s="871"/>
      <c r="G2037" s="871">
        <v>2267</v>
      </c>
      <c r="H2037" s="871">
        <v>2267</v>
      </c>
      <c r="I2037" s="866">
        <f t="shared" si="89"/>
        <v>100</v>
      </c>
    </row>
    <row r="2038" spans="1:20" ht="15" x14ac:dyDescent="0.25">
      <c r="A2038" s="432">
        <v>1218</v>
      </c>
      <c r="B2038" s="681">
        <v>3293</v>
      </c>
      <c r="C2038" s="1467">
        <v>5331</v>
      </c>
      <c r="D2038" s="867"/>
      <c r="E2038" s="829" t="s">
        <v>996</v>
      </c>
      <c r="F2038" s="884"/>
      <c r="G2038" s="884">
        <v>82</v>
      </c>
      <c r="H2038" s="884">
        <v>82</v>
      </c>
      <c r="I2038" s="876">
        <f t="shared" si="89"/>
        <v>100</v>
      </c>
    </row>
    <row r="2039" spans="1:20" ht="15" thickBot="1" x14ac:dyDescent="0.25">
      <c r="A2039" s="432"/>
      <c r="B2039" s="783"/>
      <c r="C2039" s="783"/>
      <c r="D2039" s="781" t="s">
        <v>1185</v>
      </c>
      <c r="E2039" s="1584" t="s">
        <v>62</v>
      </c>
      <c r="F2039" s="871"/>
      <c r="G2039" s="871">
        <v>82</v>
      </c>
      <c r="H2039" s="871">
        <v>82</v>
      </c>
      <c r="I2039" s="866">
        <f t="shared" si="89"/>
        <v>100</v>
      </c>
    </row>
    <row r="2040" spans="1:20" ht="16.5" thickTop="1" thickBot="1" x14ac:dyDescent="0.3">
      <c r="A2040" s="2685" t="s">
        <v>1162</v>
      </c>
      <c r="B2040" s="2686"/>
      <c r="C2040" s="2686"/>
      <c r="D2040" s="2686"/>
      <c r="E2040" s="2686"/>
      <c r="F2040" s="862">
        <f>F2018+F2028+F2033</f>
        <v>1930</v>
      </c>
      <c r="G2040" s="862">
        <f>G2018+G2022+G2026+G2028+G2031+G2033+G2036+G2038</f>
        <v>19639</v>
      </c>
      <c r="H2040" s="862">
        <f>H2018+H2022+H2026+H2028+H2031+H2033+H2036+H2038</f>
        <v>19639</v>
      </c>
      <c r="I2040" s="863">
        <f>(H2040/G2040)*100</f>
        <v>100</v>
      </c>
      <c r="R2040" s="383">
        <f>F2040</f>
        <v>1930</v>
      </c>
      <c r="S2040" s="383">
        <f>G2040</f>
        <v>19639</v>
      </c>
      <c r="T2040" s="383">
        <f>H2040</f>
        <v>19639</v>
      </c>
    </row>
    <row r="2041" spans="1:20" ht="15.75" thickTop="1" x14ac:dyDescent="0.25">
      <c r="A2041" s="369"/>
      <c r="B2041" s="369"/>
      <c r="C2041" s="369"/>
      <c r="D2041" s="369"/>
      <c r="E2041" s="369"/>
      <c r="F2041" s="183"/>
      <c r="G2041" s="183"/>
      <c r="H2041" s="183"/>
      <c r="I2041" s="214"/>
    </row>
    <row r="2042" spans="1:20" ht="15" x14ac:dyDescent="0.25">
      <c r="A2042" s="369"/>
      <c r="B2042" s="369"/>
      <c r="C2042" s="369"/>
      <c r="D2042" s="369"/>
      <c r="E2042" s="369"/>
      <c r="F2042" s="183"/>
      <c r="G2042" s="183"/>
      <c r="H2042" s="183"/>
      <c r="I2042" s="214"/>
    </row>
    <row r="2043" spans="1:20" ht="16.5" customHeight="1" thickBot="1" x14ac:dyDescent="0.25">
      <c r="A2043" s="433" t="s">
        <v>1535</v>
      </c>
      <c r="I2043" s="1465" t="s">
        <v>173</v>
      </c>
    </row>
    <row r="2044" spans="1:20" ht="14.25" thickTop="1" thickBot="1" x14ac:dyDescent="0.25">
      <c r="A2044" s="633" t="s">
        <v>661</v>
      </c>
      <c r="B2044" s="810" t="s">
        <v>174</v>
      </c>
      <c r="C2044" s="634" t="s">
        <v>175</v>
      </c>
      <c r="D2044" s="636" t="s">
        <v>744</v>
      </c>
      <c r="E2044" s="636" t="s">
        <v>176</v>
      </c>
      <c r="F2044" s="636" t="s">
        <v>177</v>
      </c>
      <c r="G2044" s="636" t="s">
        <v>922</v>
      </c>
      <c r="H2044" s="636" t="s">
        <v>923</v>
      </c>
      <c r="I2044" s="856" t="s">
        <v>924</v>
      </c>
    </row>
    <row r="2045" spans="1:20" ht="14.25" thickTop="1" thickBot="1" x14ac:dyDescent="0.25">
      <c r="A2045" s="568">
        <v>1</v>
      </c>
      <c r="B2045" s="569">
        <v>2</v>
      </c>
      <c r="C2045" s="569">
        <v>3</v>
      </c>
      <c r="D2045" s="569">
        <v>4</v>
      </c>
      <c r="E2045" s="569">
        <v>5</v>
      </c>
      <c r="F2045" s="543">
        <v>6</v>
      </c>
      <c r="G2045" s="543">
        <v>7</v>
      </c>
      <c r="H2045" s="544">
        <v>8</v>
      </c>
      <c r="I2045" s="638" t="s">
        <v>801</v>
      </c>
    </row>
    <row r="2046" spans="1:20" ht="15.75" thickTop="1" x14ac:dyDescent="0.25">
      <c r="A2046" s="1477">
        <v>1221</v>
      </c>
      <c r="B2046" s="885">
        <v>3122</v>
      </c>
      <c r="C2046" s="885">
        <v>5331</v>
      </c>
      <c r="D2046" s="890"/>
      <c r="E2046" s="924" t="s">
        <v>996</v>
      </c>
      <c r="F2046" s="883">
        <f>F2047+F2049</f>
        <v>1595</v>
      </c>
      <c r="G2046" s="883">
        <f>G2047+G2049+G2048</f>
        <v>1995</v>
      </c>
      <c r="H2046" s="883">
        <f>H2047+H2049+H2048</f>
        <v>1995</v>
      </c>
      <c r="I2046" s="887">
        <v>100</v>
      </c>
    </row>
    <row r="2047" spans="1:20" ht="14.25" x14ac:dyDescent="0.2">
      <c r="A2047" s="432"/>
      <c r="B2047" s="681"/>
      <c r="C2047" s="681"/>
      <c r="D2047" s="719" t="s">
        <v>611</v>
      </c>
      <c r="E2047" s="1569" t="s">
        <v>833</v>
      </c>
      <c r="F2047" s="865">
        <v>9</v>
      </c>
      <c r="G2047" s="865">
        <v>9</v>
      </c>
      <c r="H2047" s="865">
        <v>9</v>
      </c>
      <c r="I2047" s="861">
        <f>(H2047/G2047)*100</f>
        <v>100</v>
      </c>
    </row>
    <row r="2048" spans="1:20" ht="14.25" x14ac:dyDescent="0.2">
      <c r="A2048" s="432"/>
      <c r="B2048" s="681"/>
      <c r="C2048" s="681"/>
      <c r="D2048" s="1110" t="s">
        <v>196</v>
      </c>
      <c r="E2048" s="1215" t="s">
        <v>751</v>
      </c>
      <c r="F2048" s="865"/>
      <c r="G2048" s="865">
        <v>400</v>
      </c>
      <c r="H2048" s="865">
        <v>400</v>
      </c>
      <c r="I2048" s="861">
        <f>(H2048/G2048)*100</f>
        <v>100</v>
      </c>
    </row>
    <row r="2049" spans="1:9" ht="14.25" x14ac:dyDescent="0.2">
      <c r="A2049" s="432"/>
      <c r="B2049" s="681"/>
      <c r="C2049" s="681"/>
      <c r="D2049" s="554" t="s">
        <v>606</v>
      </c>
      <c r="E2049" s="456" t="s">
        <v>72</v>
      </c>
      <c r="F2049" s="865">
        <v>1586</v>
      </c>
      <c r="G2049" s="865">
        <v>1586</v>
      </c>
      <c r="H2049" s="865">
        <v>1586</v>
      </c>
      <c r="I2049" s="861">
        <f>(H2049/G2049)*100</f>
        <v>100</v>
      </c>
    </row>
    <row r="2050" spans="1:9" ht="15" x14ac:dyDescent="0.25">
      <c r="A2050" s="432">
        <v>1221</v>
      </c>
      <c r="B2050" s="783">
        <v>3122</v>
      </c>
      <c r="C2050" s="783">
        <v>5336</v>
      </c>
      <c r="D2050" s="2255"/>
      <c r="E2050" s="1479" t="s">
        <v>1269</v>
      </c>
      <c r="F2050" s="871"/>
      <c r="G2050" s="884">
        <v>8289</v>
      </c>
      <c r="H2050" s="884">
        <v>8289</v>
      </c>
      <c r="I2050" s="891">
        <f>(H2050/G2050)*100</f>
        <v>100</v>
      </c>
    </row>
    <row r="2051" spans="1:9" ht="14.25" x14ac:dyDescent="0.2">
      <c r="A2051" s="432"/>
      <c r="B2051" s="783"/>
      <c r="C2051" s="1468"/>
      <c r="D2051" s="554" t="s">
        <v>1182</v>
      </c>
      <c r="E2051" s="456" t="s">
        <v>832</v>
      </c>
      <c r="F2051" s="871"/>
      <c r="G2051" s="871">
        <v>8289</v>
      </c>
      <c r="H2051" s="871">
        <v>8289</v>
      </c>
      <c r="I2051" s="861">
        <f t="shared" ref="I2051:I2066" si="90">(H2051/G2051)*100</f>
        <v>100</v>
      </c>
    </row>
    <row r="2052" spans="1:9" ht="18" customHeight="1" x14ac:dyDescent="0.25">
      <c r="A2052" s="432">
        <v>1221</v>
      </c>
      <c r="B2052" s="783">
        <v>3123</v>
      </c>
      <c r="C2052" s="783">
        <v>5331</v>
      </c>
      <c r="D2052" s="897"/>
      <c r="E2052" s="680" t="s">
        <v>996</v>
      </c>
      <c r="F2052" s="873">
        <f>F2053+F2054+F2055</f>
        <v>3592</v>
      </c>
      <c r="G2052" s="873">
        <f>G2053+G2054+G2055</f>
        <v>4079</v>
      </c>
      <c r="H2052" s="873">
        <f>H2053+H2054+H2055</f>
        <v>4079</v>
      </c>
      <c r="I2052" s="874">
        <f t="shared" si="90"/>
        <v>100</v>
      </c>
    </row>
    <row r="2053" spans="1:9" ht="14.25" x14ac:dyDescent="0.2">
      <c r="A2053" s="432"/>
      <c r="B2053" s="783"/>
      <c r="C2053" s="783"/>
      <c r="D2053" s="719" t="s">
        <v>611</v>
      </c>
      <c r="E2053" s="1569" t="s">
        <v>833</v>
      </c>
      <c r="F2053" s="871">
        <v>1267</v>
      </c>
      <c r="G2053" s="871">
        <v>1287</v>
      </c>
      <c r="H2053" s="871">
        <v>1287</v>
      </c>
      <c r="I2053" s="866">
        <f t="shared" si="90"/>
        <v>100</v>
      </c>
    </row>
    <row r="2054" spans="1:9" ht="15" customHeight="1" x14ac:dyDescent="0.2">
      <c r="A2054" s="432"/>
      <c r="B2054" s="783"/>
      <c r="C2054" s="783"/>
      <c r="D2054" s="554" t="s">
        <v>606</v>
      </c>
      <c r="E2054" s="456" t="s">
        <v>72</v>
      </c>
      <c r="F2054" s="871">
        <v>2325</v>
      </c>
      <c r="G2054" s="871">
        <v>2325</v>
      </c>
      <c r="H2054" s="871">
        <v>2325</v>
      </c>
      <c r="I2054" s="866">
        <f t="shared" si="90"/>
        <v>100</v>
      </c>
    </row>
    <row r="2055" spans="1:9" ht="14.25" x14ac:dyDescent="0.2">
      <c r="A2055" s="904"/>
      <c r="B2055" s="905"/>
      <c r="C2055" s="905"/>
      <c r="D2055" s="1120" t="s">
        <v>968</v>
      </c>
      <c r="E2055" s="1215" t="s">
        <v>1274</v>
      </c>
      <c r="F2055" s="1487"/>
      <c r="G2055" s="871">
        <v>467</v>
      </c>
      <c r="H2055" s="871">
        <v>467</v>
      </c>
      <c r="I2055" s="866">
        <v>0</v>
      </c>
    </row>
    <row r="2056" spans="1:9" ht="15" x14ac:dyDescent="0.25">
      <c r="A2056" s="432">
        <v>1221</v>
      </c>
      <c r="B2056" s="783">
        <v>3123</v>
      </c>
      <c r="C2056" s="783">
        <v>5336</v>
      </c>
      <c r="D2056" s="2255"/>
      <c r="E2056" s="1479" t="s">
        <v>1269</v>
      </c>
      <c r="F2056" s="871"/>
      <c r="G2056" s="884">
        <f>G2057+G2058+G2059</f>
        <v>13197</v>
      </c>
      <c r="H2056" s="884">
        <f>H2057+H2058+H2059</f>
        <v>13197</v>
      </c>
      <c r="I2056" s="876">
        <f t="shared" si="90"/>
        <v>100</v>
      </c>
    </row>
    <row r="2057" spans="1:9" ht="14.25" x14ac:dyDescent="0.2">
      <c r="A2057" s="432"/>
      <c r="B2057" s="783"/>
      <c r="C2057" s="783"/>
      <c r="D2057" s="554" t="s">
        <v>1182</v>
      </c>
      <c r="E2057" s="456" t="s">
        <v>832</v>
      </c>
      <c r="F2057" s="871"/>
      <c r="G2057" s="871">
        <v>12552</v>
      </c>
      <c r="H2057" s="871">
        <v>12552</v>
      </c>
      <c r="I2057" s="866">
        <f t="shared" si="90"/>
        <v>100</v>
      </c>
    </row>
    <row r="2058" spans="1:9" ht="14.25" x14ac:dyDescent="0.2">
      <c r="A2058" s="432"/>
      <c r="B2058" s="783"/>
      <c r="C2058" s="783"/>
      <c r="D2058" s="1481" t="s">
        <v>1608</v>
      </c>
      <c r="E2058" s="1476" t="s">
        <v>1717</v>
      </c>
      <c r="F2058" s="871"/>
      <c r="G2058" s="871">
        <v>97</v>
      </c>
      <c r="H2058" s="871">
        <v>97</v>
      </c>
      <c r="I2058" s="866">
        <f t="shared" si="90"/>
        <v>100</v>
      </c>
    </row>
    <row r="2059" spans="1:9" ht="14.25" x14ac:dyDescent="0.2">
      <c r="A2059" s="432"/>
      <c r="B2059" s="783"/>
      <c r="C2059" s="783"/>
      <c r="D2059" s="1481" t="s">
        <v>1610</v>
      </c>
      <c r="E2059" s="1476" t="s">
        <v>1717</v>
      </c>
      <c r="F2059" s="871"/>
      <c r="G2059" s="871">
        <v>548</v>
      </c>
      <c r="H2059" s="871">
        <v>548</v>
      </c>
      <c r="I2059" s="866">
        <f t="shared" si="90"/>
        <v>100</v>
      </c>
    </row>
    <row r="2060" spans="1:9" ht="15" x14ac:dyDescent="0.25">
      <c r="A2060" s="432">
        <v>1221</v>
      </c>
      <c r="B2060" s="783">
        <v>3141</v>
      </c>
      <c r="C2060" s="783">
        <v>5336</v>
      </c>
      <c r="D2060" s="570"/>
      <c r="E2060" s="1479" t="s">
        <v>1269</v>
      </c>
      <c r="F2060" s="884"/>
      <c r="G2060" s="884">
        <v>399</v>
      </c>
      <c r="H2060" s="884">
        <v>399</v>
      </c>
      <c r="I2060" s="874">
        <f t="shared" si="90"/>
        <v>100</v>
      </c>
    </row>
    <row r="2061" spans="1:9" ht="14.25" x14ac:dyDescent="0.2">
      <c r="A2061" s="432"/>
      <c r="B2061" s="783"/>
      <c r="C2061" s="783"/>
      <c r="D2061" s="554" t="s">
        <v>1182</v>
      </c>
      <c r="E2061" s="456" t="s">
        <v>832</v>
      </c>
      <c r="F2061" s="871"/>
      <c r="G2061" s="871">
        <v>399</v>
      </c>
      <c r="H2061" s="871">
        <v>399</v>
      </c>
      <c r="I2061" s="866">
        <f t="shared" si="90"/>
        <v>100</v>
      </c>
    </row>
    <row r="2062" spans="1:9" ht="15" x14ac:dyDescent="0.25">
      <c r="A2062" s="432">
        <v>1221</v>
      </c>
      <c r="B2062" s="783">
        <v>3142</v>
      </c>
      <c r="C2062" s="783">
        <v>5331</v>
      </c>
      <c r="D2062" s="897"/>
      <c r="E2062" s="680" t="s">
        <v>996</v>
      </c>
      <c r="F2062" s="873">
        <f>F2063+F2064</f>
        <v>723</v>
      </c>
      <c r="G2062" s="873">
        <f>G2063+G2064</f>
        <v>723</v>
      </c>
      <c r="H2062" s="873">
        <f>H2063+H2064</f>
        <v>723</v>
      </c>
      <c r="I2062" s="874">
        <f t="shared" si="90"/>
        <v>100</v>
      </c>
    </row>
    <row r="2063" spans="1:9" ht="14.25" x14ac:dyDescent="0.2">
      <c r="A2063" s="432"/>
      <c r="B2063" s="783"/>
      <c r="C2063" s="783"/>
      <c r="D2063" s="719" t="s">
        <v>611</v>
      </c>
      <c r="E2063" s="1569" t="s">
        <v>833</v>
      </c>
      <c r="F2063" s="871">
        <v>16</v>
      </c>
      <c r="G2063" s="871">
        <v>16</v>
      </c>
      <c r="H2063" s="871">
        <v>16</v>
      </c>
      <c r="I2063" s="866">
        <f t="shared" si="90"/>
        <v>100</v>
      </c>
    </row>
    <row r="2064" spans="1:9" ht="14.25" x14ac:dyDescent="0.2">
      <c r="A2064" s="432"/>
      <c r="B2064" s="783"/>
      <c r="C2064" s="783"/>
      <c r="D2064" s="554" t="s">
        <v>606</v>
      </c>
      <c r="E2064" s="456" t="s">
        <v>72</v>
      </c>
      <c r="F2064" s="871">
        <v>707</v>
      </c>
      <c r="G2064" s="871">
        <v>707</v>
      </c>
      <c r="H2064" s="871">
        <v>707</v>
      </c>
      <c r="I2064" s="866">
        <f t="shared" si="90"/>
        <v>100</v>
      </c>
    </row>
    <row r="2065" spans="1:23" ht="18.75" customHeight="1" x14ac:dyDescent="0.25">
      <c r="A2065" s="432">
        <v>1221</v>
      </c>
      <c r="B2065" s="783">
        <v>3142</v>
      </c>
      <c r="C2065" s="783">
        <v>5336</v>
      </c>
      <c r="D2065" s="554"/>
      <c r="E2065" s="1479" t="s">
        <v>1269</v>
      </c>
      <c r="F2065" s="871"/>
      <c r="G2065" s="884">
        <v>362</v>
      </c>
      <c r="H2065" s="884">
        <v>362</v>
      </c>
      <c r="I2065" s="876">
        <f t="shared" si="90"/>
        <v>100</v>
      </c>
    </row>
    <row r="2066" spans="1:23" ht="15" thickBot="1" x14ac:dyDescent="0.25">
      <c r="A2066" s="432"/>
      <c r="B2066" s="783"/>
      <c r="C2066" s="1468"/>
      <c r="D2066" s="554" t="s">
        <v>1182</v>
      </c>
      <c r="E2066" s="456" t="s">
        <v>832</v>
      </c>
      <c r="F2066" s="871"/>
      <c r="G2066" s="871">
        <v>362</v>
      </c>
      <c r="H2066" s="871">
        <v>362</v>
      </c>
      <c r="I2066" s="866">
        <f t="shared" si="90"/>
        <v>100</v>
      </c>
    </row>
    <row r="2067" spans="1:23" ht="16.5" thickTop="1" thickBot="1" x14ac:dyDescent="0.3">
      <c r="A2067" s="2685" t="s">
        <v>1162</v>
      </c>
      <c r="B2067" s="2686"/>
      <c r="C2067" s="2686"/>
      <c r="D2067" s="2686"/>
      <c r="E2067" s="2686"/>
      <c r="F2067" s="862">
        <f>F2046+F2052+F2062</f>
        <v>5910</v>
      </c>
      <c r="G2067" s="862">
        <f>G2046+G2050+G2052+G2056+G2060+G2062+G2065</f>
        <v>29044</v>
      </c>
      <c r="H2067" s="862">
        <f>H2046+H2050+H2052+H2056+H2060+H2062+H2065</f>
        <v>29044</v>
      </c>
      <c r="I2067" s="863">
        <f>(H2067/G2067)*100</f>
        <v>100</v>
      </c>
      <c r="J2067" s="383">
        <f>F2067</f>
        <v>5910</v>
      </c>
      <c r="K2067" s="383" t="e">
        <f>G2067+#REF!</f>
        <v>#REF!</v>
      </c>
      <c r="L2067" s="383" t="e">
        <f>H2067+#REF!</f>
        <v>#REF!</v>
      </c>
      <c r="R2067" s="383">
        <f>F2067</f>
        <v>5910</v>
      </c>
      <c r="S2067" s="383">
        <f>G2067</f>
        <v>29044</v>
      </c>
      <c r="T2067" s="383">
        <f>H2067</f>
        <v>29044</v>
      </c>
      <c r="U2067" s="383"/>
      <c r="V2067" s="383"/>
      <c r="W2067" s="383"/>
    </row>
    <row r="2068" spans="1:23" ht="15.75" thickTop="1" x14ac:dyDescent="0.25">
      <c r="A2068" s="432">
        <v>1221</v>
      </c>
      <c r="B2068" s="681">
        <v>3122</v>
      </c>
      <c r="C2068" s="681">
        <v>6351</v>
      </c>
      <c r="D2068" s="554"/>
      <c r="E2068" s="427" t="s">
        <v>1231</v>
      </c>
      <c r="F2068" s="858"/>
      <c r="G2068" s="858">
        <f>G2069+G2070</f>
        <v>966</v>
      </c>
      <c r="H2068" s="858">
        <f>H2069+H2070</f>
        <v>966</v>
      </c>
      <c r="I2068" s="859">
        <v>100</v>
      </c>
    </row>
    <row r="2069" spans="1:23" ht="15" x14ac:dyDescent="0.25">
      <c r="A2069" s="432"/>
      <c r="B2069" s="681"/>
      <c r="C2069" s="681"/>
      <c r="D2069" s="1110" t="s">
        <v>196</v>
      </c>
      <c r="E2069" s="1215" t="s">
        <v>751</v>
      </c>
      <c r="F2069" s="858"/>
      <c r="G2069" s="357">
        <v>300</v>
      </c>
      <c r="H2069" s="357">
        <v>300</v>
      </c>
      <c r="I2069" s="866">
        <f t="shared" ref="I2069" si="91">(H2069/G2069)*100</f>
        <v>100</v>
      </c>
    </row>
    <row r="2070" spans="1:23" ht="15" x14ac:dyDescent="0.25">
      <c r="A2070" s="432"/>
      <c r="B2070" s="681"/>
      <c r="C2070" s="681"/>
      <c r="D2070" s="1120" t="s">
        <v>1419</v>
      </c>
      <c r="E2070" s="2604" t="s">
        <v>1420</v>
      </c>
      <c r="F2070" s="858"/>
      <c r="G2070" s="865">
        <v>666</v>
      </c>
      <c r="H2070" s="865">
        <v>666</v>
      </c>
      <c r="I2070" s="861">
        <v>100</v>
      </c>
    </row>
    <row r="2071" spans="1:23" ht="15" x14ac:dyDescent="0.25">
      <c r="A2071" s="432">
        <v>1221</v>
      </c>
      <c r="B2071" s="681">
        <v>3123</v>
      </c>
      <c r="C2071" s="681">
        <v>6351</v>
      </c>
      <c r="D2071" s="1120"/>
      <c r="E2071" s="427" t="s">
        <v>1231</v>
      </c>
      <c r="F2071" s="858"/>
      <c r="G2071" s="889">
        <v>540</v>
      </c>
      <c r="H2071" s="889">
        <v>540</v>
      </c>
      <c r="I2071" s="891">
        <v>100</v>
      </c>
    </row>
    <row r="2072" spans="1:23" ht="15.75" thickBot="1" x14ac:dyDescent="0.3">
      <c r="A2072" s="432"/>
      <c r="B2072" s="681"/>
      <c r="C2072" s="681"/>
      <c r="D2072" s="1110" t="s">
        <v>196</v>
      </c>
      <c r="E2072" s="1215" t="s">
        <v>751</v>
      </c>
      <c r="F2072" s="858"/>
      <c r="G2072" s="865">
        <v>540</v>
      </c>
      <c r="H2072" s="865">
        <v>540</v>
      </c>
      <c r="I2072" s="861">
        <v>100</v>
      </c>
    </row>
    <row r="2073" spans="1:23" ht="18" customHeight="1" thickTop="1" thickBot="1" x14ac:dyDescent="0.3">
      <c r="A2073" s="2685" t="s">
        <v>1163</v>
      </c>
      <c r="B2073" s="2686"/>
      <c r="C2073" s="2686"/>
      <c r="D2073" s="2686"/>
      <c r="E2073" s="2686"/>
      <c r="F2073" s="862">
        <v>0</v>
      </c>
      <c r="G2073" s="862">
        <f>G2068+G2071</f>
        <v>1506</v>
      </c>
      <c r="H2073" s="862">
        <f>H2068+H2071</f>
        <v>1506</v>
      </c>
      <c r="I2073" s="863">
        <f>(H2073/G2073)*100</f>
        <v>100</v>
      </c>
      <c r="U2073" s="383">
        <f>F2073</f>
        <v>0</v>
      </c>
      <c r="V2073" s="383">
        <f>G2073</f>
        <v>1506</v>
      </c>
      <c r="W2073" s="383">
        <f>H2073</f>
        <v>1506</v>
      </c>
    </row>
    <row r="2074" spans="1:23" s="1574" customFormat="1" ht="15.75" thickTop="1" x14ac:dyDescent="0.2">
      <c r="A2074" s="1571"/>
      <c r="B2074" s="1571"/>
      <c r="C2074" s="1571"/>
      <c r="D2074" s="1571"/>
      <c r="E2074" s="1571"/>
      <c r="F2074" s="1614"/>
      <c r="G2074" s="1614"/>
      <c r="H2074" s="1614"/>
      <c r="I2074" s="1615"/>
      <c r="J2074" s="1587"/>
      <c r="K2074" s="1587"/>
      <c r="L2074" s="1587"/>
      <c r="R2074" s="1587"/>
      <c r="S2074" s="1587"/>
      <c r="T2074" s="1587"/>
      <c r="U2074" s="1587"/>
      <c r="V2074" s="1587"/>
      <c r="W2074" s="1587"/>
    </row>
    <row r="2075" spans="1:23" s="1574" customFormat="1" ht="15" x14ac:dyDescent="0.2">
      <c r="A2075" s="1571"/>
      <c r="B2075" s="1571"/>
      <c r="C2075" s="1571"/>
      <c r="D2075" s="1571"/>
      <c r="E2075" s="1571"/>
      <c r="F2075" s="1614"/>
      <c r="G2075" s="1614"/>
      <c r="H2075" s="1614"/>
      <c r="I2075" s="1615"/>
      <c r="J2075" s="1587"/>
      <c r="K2075" s="1587"/>
      <c r="L2075" s="1587"/>
      <c r="R2075" s="1587"/>
      <c r="S2075" s="1587"/>
      <c r="T2075" s="1587"/>
      <c r="U2075" s="1587"/>
      <c r="V2075" s="1587"/>
      <c r="W2075" s="1587"/>
    </row>
    <row r="2076" spans="1:23" ht="13.5" thickBot="1" x14ac:dyDescent="0.25">
      <c r="A2076" s="433" t="s">
        <v>147</v>
      </c>
      <c r="I2076" s="1465" t="s">
        <v>173</v>
      </c>
    </row>
    <row r="2077" spans="1:23" ht="14.25" thickTop="1" thickBot="1" x14ac:dyDescent="0.25">
      <c r="A2077" s="633" t="s">
        <v>661</v>
      </c>
      <c r="B2077" s="810" t="s">
        <v>174</v>
      </c>
      <c r="C2077" s="634" t="s">
        <v>175</v>
      </c>
      <c r="D2077" s="636" t="s">
        <v>744</v>
      </c>
      <c r="E2077" s="636" t="s">
        <v>176</v>
      </c>
      <c r="F2077" s="636" t="s">
        <v>177</v>
      </c>
      <c r="G2077" s="636" t="s">
        <v>922</v>
      </c>
      <c r="H2077" s="636" t="s">
        <v>923</v>
      </c>
      <c r="I2077" s="856" t="s">
        <v>924</v>
      </c>
    </row>
    <row r="2078" spans="1:23" ht="14.25" thickTop="1" thickBot="1" x14ac:dyDescent="0.25">
      <c r="A2078" s="568">
        <v>1</v>
      </c>
      <c r="B2078" s="569">
        <v>2</v>
      </c>
      <c r="C2078" s="569">
        <v>3</v>
      </c>
      <c r="D2078" s="569">
        <v>4</v>
      </c>
      <c r="E2078" s="569">
        <v>5</v>
      </c>
      <c r="F2078" s="543">
        <v>6</v>
      </c>
      <c r="G2078" s="543">
        <v>7</v>
      </c>
      <c r="H2078" s="544">
        <v>8</v>
      </c>
      <c r="I2078" s="638" t="s">
        <v>801</v>
      </c>
    </row>
    <row r="2079" spans="1:23" ht="15.75" thickTop="1" x14ac:dyDescent="0.25">
      <c r="A2079" s="1477">
        <v>1222</v>
      </c>
      <c r="B2079" s="885">
        <v>3124</v>
      </c>
      <c r="C2079" s="885">
        <v>5331</v>
      </c>
      <c r="D2079" s="890"/>
      <c r="E2079" s="924" t="s">
        <v>996</v>
      </c>
      <c r="F2079" s="883">
        <f>F2080+F2081+F2082</f>
        <v>1222</v>
      </c>
      <c r="G2079" s="883">
        <f>G2080+G2081+G2082</f>
        <v>1282</v>
      </c>
      <c r="H2079" s="883">
        <f>H2080+H2081+H2082</f>
        <v>1282</v>
      </c>
      <c r="I2079" s="887">
        <f t="shared" ref="I2079:I2086" si="92">(H2079/G2079)*100</f>
        <v>100</v>
      </c>
    </row>
    <row r="2080" spans="1:23" ht="14.25" x14ac:dyDescent="0.2">
      <c r="A2080" s="432"/>
      <c r="B2080" s="681"/>
      <c r="C2080" s="681"/>
      <c r="D2080" s="719" t="s">
        <v>611</v>
      </c>
      <c r="E2080" s="1569" t="s">
        <v>833</v>
      </c>
      <c r="F2080" s="865">
        <v>105</v>
      </c>
      <c r="G2080" s="865">
        <v>105</v>
      </c>
      <c r="H2080" s="865">
        <v>105</v>
      </c>
      <c r="I2080" s="861">
        <f t="shared" si="92"/>
        <v>100</v>
      </c>
    </row>
    <row r="2081" spans="1:20" ht="14.25" x14ac:dyDescent="0.2">
      <c r="A2081" s="432"/>
      <c r="B2081" s="681"/>
      <c r="C2081" s="681"/>
      <c r="D2081" s="554" t="s">
        <v>606</v>
      </c>
      <c r="E2081" s="456" t="s">
        <v>72</v>
      </c>
      <c r="F2081" s="865">
        <v>1117</v>
      </c>
      <c r="G2081" s="865">
        <v>1117</v>
      </c>
      <c r="H2081" s="865">
        <v>1117</v>
      </c>
      <c r="I2081" s="861">
        <f t="shared" si="92"/>
        <v>100</v>
      </c>
    </row>
    <row r="2082" spans="1:20" ht="17.25" customHeight="1" x14ac:dyDescent="0.2">
      <c r="A2082" s="432"/>
      <c r="B2082" s="681"/>
      <c r="C2082" s="681"/>
      <c r="D2082" s="1120" t="s">
        <v>968</v>
      </c>
      <c r="E2082" s="1215" t="s">
        <v>1274</v>
      </c>
      <c r="F2082" s="865"/>
      <c r="G2082" s="865">
        <v>60</v>
      </c>
      <c r="H2082" s="865">
        <v>60</v>
      </c>
      <c r="I2082" s="861">
        <f t="shared" si="92"/>
        <v>100</v>
      </c>
    </row>
    <row r="2083" spans="1:20" ht="15" x14ac:dyDescent="0.25">
      <c r="A2083" s="432">
        <v>1222</v>
      </c>
      <c r="B2083" s="681">
        <v>3124</v>
      </c>
      <c r="C2083" s="681">
        <v>5336</v>
      </c>
      <c r="D2083" s="1119"/>
      <c r="E2083" s="1479" t="s">
        <v>1269</v>
      </c>
      <c r="F2083" s="865"/>
      <c r="G2083" s="889">
        <f>G2084+G2085+G2086</f>
        <v>12526</v>
      </c>
      <c r="H2083" s="889">
        <f>H2084+H2085+H2086</f>
        <v>12526</v>
      </c>
      <c r="I2083" s="891">
        <f t="shared" si="92"/>
        <v>100</v>
      </c>
    </row>
    <row r="2084" spans="1:20" ht="14.25" x14ac:dyDescent="0.2">
      <c r="A2084" s="432"/>
      <c r="B2084" s="681"/>
      <c r="C2084" s="681"/>
      <c r="D2084" s="554" t="s">
        <v>1182</v>
      </c>
      <c r="E2084" s="456" t="s">
        <v>832</v>
      </c>
      <c r="F2084" s="865"/>
      <c r="G2084" s="865">
        <v>12253</v>
      </c>
      <c r="H2084" s="865">
        <v>12253</v>
      </c>
      <c r="I2084" s="861">
        <f t="shared" si="92"/>
        <v>100</v>
      </c>
    </row>
    <row r="2085" spans="1:20" ht="14.25" x14ac:dyDescent="0.2">
      <c r="A2085" s="432"/>
      <c r="B2085" s="681"/>
      <c r="C2085" s="681"/>
      <c r="D2085" s="1481" t="s">
        <v>1608</v>
      </c>
      <c r="E2085" s="1476" t="s">
        <v>1717</v>
      </c>
      <c r="F2085" s="871"/>
      <c r="G2085" s="865">
        <v>41</v>
      </c>
      <c r="H2085" s="865">
        <v>41</v>
      </c>
      <c r="I2085" s="861">
        <f t="shared" si="92"/>
        <v>100</v>
      </c>
    </row>
    <row r="2086" spans="1:20" ht="15" thickBot="1" x14ac:dyDescent="0.25">
      <c r="A2086" s="432"/>
      <c r="B2086" s="681"/>
      <c r="C2086" s="681"/>
      <c r="D2086" s="1481" t="s">
        <v>1610</v>
      </c>
      <c r="E2086" s="1476" t="s">
        <v>1717</v>
      </c>
      <c r="F2086" s="871"/>
      <c r="G2086" s="865">
        <v>232</v>
      </c>
      <c r="H2086" s="865">
        <v>232</v>
      </c>
      <c r="I2086" s="861">
        <f t="shared" si="92"/>
        <v>100</v>
      </c>
    </row>
    <row r="2087" spans="1:20" ht="16.5" thickTop="1" thickBot="1" x14ac:dyDescent="0.3">
      <c r="A2087" s="2685" t="s">
        <v>1162</v>
      </c>
      <c r="B2087" s="2686"/>
      <c r="C2087" s="2686"/>
      <c r="D2087" s="2686"/>
      <c r="E2087" s="2686"/>
      <c r="F2087" s="862">
        <f>F2079</f>
        <v>1222</v>
      </c>
      <c r="G2087" s="862">
        <f>G2079+G2083</f>
        <v>13808</v>
      </c>
      <c r="H2087" s="862">
        <f>H2079+H2083</f>
        <v>13808</v>
      </c>
      <c r="I2087" s="863">
        <f>(H2087/G2087)*100</f>
        <v>100</v>
      </c>
      <c r="R2087" s="383">
        <f>F2087</f>
        <v>1222</v>
      </c>
      <c r="S2087" s="383">
        <f>G2087</f>
        <v>13808</v>
      </c>
      <c r="T2087" s="383">
        <f>H2087</f>
        <v>13808</v>
      </c>
    </row>
    <row r="2088" spans="1:20" ht="13.5" thickTop="1" x14ac:dyDescent="0.2"/>
    <row r="2090" spans="1:20" ht="13.5" thickBot="1" x14ac:dyDescent="0.25">
      <c r="A2090" s="433" t="s">
        <v>148</v>
      </c>
      <c r="I2090" s="1465" t="s">
        <v>173</v>
      </c>
    </row>
    <row r="2091" spans="1:20" ht="18" customHeight="1" thickTop="1" thickBot="1" x14ac:dyDescent="0.25">
      <c r="A2091" s="633" t="s">
        <v>661</v>
      </c>
      <c r="B2091" s="810" t="s">
        <v>174</v>
      </c>
      <c r="C2091" s="634" t="s">
        <v>175</v>
      </c>
      <c r="D2091" s="636" t="s">
        <v>744</v>
      </c>
      <c r="E2091" s="636" t="s">
        <v>176</v>
      </c>
      <c r="F2091" s="636" t="s">
        <v>177</v>
      </c>
      <c r="G2091" s="636" t="s">
        <v>922</v>
      </c>
      <c r="H2091" s="636" t="s">
        <v>923</v>
      </c>
      <c r="I2091" s="856" t="s">
        <v>924</v>
      </c>
    </row>
    <row r="2092" spans="1:20" ht="14.25" thickTop="1" thickBot="1" x14ac:dyDescent="0.25">
      <c r="A2092" s="568">
        <v>1</v>
      </c>
      <c r="B2092" s="569">
        <v>2</v>
      </c>
      <c r="C2092" s="569">
        <v>3</v>
      </c>
      <c r="D2092" s="569">
        <v>4</v>
      </c>
      <c r="E2092" s="569">
        <v>5</v>
      </c>
      <c r="F2092" s="543">
        <v>6</v>
      </c>
      <c r="G2092" s="543">
        <v>7</v>
      </c>
      <c r="H2092" s="544">
        <v>8</v>
      </c>
      <c r="I2092" s="638" t="s">
        <v>801</v>
      </c>
    </row>
    <row r="2093" spans="1:20" ht="15.75" thickTop="1" x14ac:dyDescent="0.25">
      <c r="A2093" s="1477">
        <v>1223</v>
      </c>
      <c r="B2093" s="885">
        <v>3122</v>
      </c>
      <c r="C2093" s="885">
        <v>5331</v>
      </c>
      <c r="D2093" s="890"/>
      <c r="E2093" s="924" t="s">
        <v>996</v>
      </c>
      <c r="F2093" s="883">
        <f>SUM(F2094:F2097)</f>
        <v>1685</v>
      </c>
      <c r="G2093" s="883">
        <f>G2094+G2095</f>
        <v>1753</v>
      </c>
      <c r="H2093" s="883">
        <f>H2094+H2095</f>
        <v>1753</v>
      </c>
      <c r="I2093" s="887">
        <f t="shared" ref="I2093:I2123" si="93">(H2093/G2093)*100</f>
        <v>100</v>
      </c>
    </row>
    <row r="2094" spans="1:20" ht="14.25" x14ac:dyDescent="0.2">
      <c r="A2094" s="432"/>
      <c r="B2094" s="681"/>
      <c r="C2094" s="681"/>
      <c r="D2094" s="554" t="s">
        <v>606</v>
      </c>
      <c r="E2094" s="456" t="s">
        <v>72</v>
      </c>
      <c r="F2094" s="357">
        <v>1685</v>
      </c>
      <c r="G2094" s="865">
        <v>1685</v>
      </c>
      <c r="H2094" s="865">
        <v>1685</v>
      </c>
      <c r="I2094" s="861">
        <f t="shared" si="93"/>
        <v>100</v>
      </c>
    </row>
    <row r="2095" spans="1:20" ht="14.25" x14ac:dyDescent="0.2">
      <c r="A2095" s="432"/>
      <c r="B2095" s="783"/>
      <c r="C2095" s="783"/>
      <c r="D2095" s="2671" t="s">
        <v>1510</v>
      </c>
      <c r="E2095" s="2688" t="s">
        <v>1531</v>
      </c>
      <c r="F2095" s="357"/>
      <c r="G2095" s="871">
        <v>68</v>
      </c>
      <c r="H2095" s="865">
        <v>68</v>
      </c>
      <c r="I2095" s="861">
        <f t="shared" si="93"/>
        <v>100</v>
      </c>
    </row>
    <row r="2096" spans="1:20" ht="13.5" customHeight="1" x14ac:dyDescent="0.2">
      <c r="A2096" s="432"/>
      <c r="B2096" s="783"/>
      <c r="C2096" s="783"/>
      <c r="D2096" s="2672"/>
      <c r="E2096" s="2689"/>
      <c r="F2096" s="357"/>
      <c r="G2096" s="871"/>
      <c r="H2096" s="865"/>
      <c r="I2096" s="861"/>
    </row>
    <row r="2097" spans="1:19" ht="13.5" customHeight="1" x14ac:dyDescent="0.2">
      <c r="A2097" s="432"/>
      <c r="B2097" s="783"/>
      <c r="C2097" s="783"/>
      <c r="D2097" s="2672"/>
      <c r="E2097" s="2689"/>
      <c r="F2097" s="357"/>
      <c r="G2097" s="871"/>
      <c r="H2097" s="865"/>
      <c r="I2097" s="861"/>
    </row>
    <row r="2098" spans="1:19" ht="13.5" customHeight="1" x14ac:dyDescent="0.25">
      <c r="A2098" s="432">
        <v>1223</v>
      </c>
      <c r="B2098" s="783">
        <v>3122</v>
      </c>
      <c r="C2098" s="783">
        <v>5336</v>
      </c>
      <c r="D2098" s="2278"/>
      <c r="E2098" s="1479" t="s">
        <v>1269</v>
      </c>
      <c r="F2098" s="875"/>
      <c r="G2098" s="884">
        <f>G2099+G2100+G2101</f>
        <v>15029</v>
      </c>
      <c r="H2098" s="884">
        <f>H2099+H2100+H2101</f>
        <v>15029</v>
      </c>
      <c r="I2098" s="891">
        <f t="shared" si="93"/>
        <v>100</v>
      </c>
    </row>
    <row r="2099" spans="1:19" ht="13.5" customHeight="1" x14ac:dyDescent="0.2">
      <c r="A2099" s="432"/>
      <c r="B2099" s="783"/>
      <c r="C2099" s="783"/>
      <c r="D2099" s="554" t="s">
        <v>1182</v>
      </c>
      <c r="E2099" s="456" t="s">
        <v>832</v>
      </c>
      <c r="F2099" s="875"/>
      <c r="G2099" s="871">
        <v>13968</v>
      </c>
      <c r="H2099" s="871">
        <v>13968</v>
      </c>
      <c r="I2099" s="861">
        <f t="shared" si="93"/>
        <v>100</v>
      </c>
    </row>
    <row r="2100" spans="1:19" ht="14.25" x14ac:dyDescent="0.2">
      <c r="A2100" s="432"/>
      <c r="B2100" s="783"/>
      <c r="C2100" s="783"/>
      <c r="D2100" s="1481" t="s">
        <v>1608</v>
      </c>
      <c r="E2100" s="1476" t="s">
        <v>1717</v>
      </c>
      <c r="F2100" s="875"/>
      <c r="G2100" s="871">
        <v>159</v>
      </c>
      <c r="H2100" s="871">
        <v>159</v>
      </c>
      <c r="I2100" s="861">
        <f t="shared" si="93"/>
        <v>100</v>
      </c>
    </row>
    <row r="2101" spans="1:19" ht="14.25" x14ac:dyDescent="0.2">
      <c r="A2101" s="432"/>
      <c r="B2101" s="783"/>
      <c r="C2101" s="783"/>
      <c r="D2101" s="1481" t="s">
        <v>1610</v>
      </c>
      <c r="E2101" s="1476" t="s">
        <v>1717</v>
      </c>
      <c r="F2101" s="875"/>
      <c r="G2101" s="871">
        <v>902</v>
      </c>
      <c r="H2101" s="871">
        <v>902</v>
      </c>
      <c r="I2101" s="861">
        <f t="shared" si="93"/>
        <v>100</v>
      </c>
    </row>
    <row r="2102" spans="1:19" ht="15" x14ac:dyDescent="0.25">
      <c r="A2102" s="432">
        <v>1223</v>
      </c>
      <c r="B2102" s="783">
        <v>3123</v>
      </c>
      <c r="C2102" s="783">
        <v>5331</v>
      </c>
      <c r="D2102" s="897"/>
      <c r="E2102" s="829" t="s">
        <v>996</v>
      </c>
      <c r="F2102" s="873">
        <f>SUM(F2103:F2108)</f>
        <v>2270</v>
      </c>
      <c r="G2102" s="873">
        <f>G2103+G2104+G2105+G2106</f>
        <v>2419</v>
      </c>
      <c r="H2102" s="873">
        <f>H2103+H2104+H2105+H2106</f>
        <v>2419</v>
      </c>
      <c r="I2102" s="874">
        <f t="shared" si="93"/>
        <v>100</v>
      </c>
    </row>
    <row r="2103" spans="1:19" ht="14.25" x14ac:dyDescent="0.2">
      <c r="A2103" s="432"/>
      <c r="B2103" s="783"/>
      <c r="C2103" s="783"/>
      <c r="D2103" s="719" t="s">
        <v>611</v>
      </c>
      <c r="E2103" s="1569" t="s">
        <v>833</v>
      </c>
      <c r="F2103" s="871">
        <v>830</v>
      </c>
      <c r="G2103" s="871">
        <v>930</v>
      </c>
      <c r="H2103" s="871">
        <v>930</v>
      </c>
      <c r="I2103" s="866">
        <f t="shared" si="93"/>
        <v>100</v>
      </c>
    </row>
    <row r="2104" spans="1:19" ht="14.25" x14ac:dyDescent="0.2">
      <c r="A2104" s="432"/>
      <c r="B2104" s="783"/>
      <c r="C2104" s="783"/>
      <c r="D2104" s="554" t="s">
        <v>606</v>
      </c>
      <c r="E2104" s="456" t="s">
        <v>72</v>
      </c>
      <c r="F2104" s="871">
        <v>1440</v>
      </c>
      <c r="G2104" s="871">
        <v>1440</v>
      </c>
      <c r="H2104" s="871">
        <v>1440</v>
      </c>
      <c r="I2104" s="866">
        <f t="shared" si="93"/>
        <v>100</v>
      </c>
    </row>
    <row r="2105" spans="1:19" ht="14.25" x14ac:dyDescent="0.2">
      <c r="A2105" s="432"/>
      <c r="B2105" s="783"/>
      <c r="C2105" s="783"/>
      <c r="D2105" s="1120" t="s">
        <v>968</v>
      </c>
      <c r="E2105" s="1215" t="s">
        <v>1274</v>
      </c>
      <c r="F2105" s="871"/>
      <c r="G2105" s="871">
        <v>45</v>
      </c>
      <c r="H2105" s="871">
        <v>45</v>
      </c>
      <c r="I2105" s="866">
        <f t="shared" si="93"/>
        <v>100</v>
      </c>
    </row>
    <row r="2106" spans="1:19" ht="14.25" x14ac:dyDescent="0.2">
      <c r="A2106" s="432"/>
      <c r="B2106" s="783"/>
      <c r="C2106" s="783"/>
      <c r="D2106" s="1391" t="s">
        <v>1807</v>
      </c>
      <c r="E2106" s="2608" t="s">
        <v>1983</v>
      </c>
      <c r="F2106" s="871"/>
      <c r="G2106" s="871">
        <v>4</v>
      </c>
      <c r="H2106" s="871">
        <v>4</v>
      </c>
      <c r="I2106" s="866">
        <f t="shared" si="93"/>
        <v>100</v>
      </c>
    </row>
    <row r="2107" spans="1:19" ht="15" x14ac:dyDescent="0.25">
      <c r="A2107" s="432">
        <v>1223</v>
      </c>
      <c r="B2107" s="783">
        <v>3123</v>
      </c>
      <c r="C2107" s="783">
        <v>5336</v>
      </c>
      <c r="D2107" s="2256"/>
      <c r="E2107" s="1479" t="s">
        <v>1269</v>
      </c>
      <c r="F2107" s="871"/>
      <c r="G2107" s="884">
        <v>9066</v>
      </c>
      <c r="H2107" s="884">
        <v>9066</v>
      </c>
      <c r="I2107" s="876">
        <f t="shared" si="93"/>
        <v>100</v>
      </c>
    </row>
    <row r="2108" spans="1:19" ht="14.25" x14ac:dyDescent="0.2">
      <c r="A2108" s="432"/>
      <c r="B2108" s="783"/>
      <c r="C2108" s="783"/>
      <c r="D2108" s="554" t="s">
        <v>1182</v>
      </c>
      <c r="E2108" s="456" t="s">
        <v>832</v>
      </c>
      <c r="F2108" s="871"/>
      <c r="G2108" s="871">
        <v>9066</v>
      </c>
      <c r="H2108" s="871">
        <v>9066</v>
      </c>
      <c r="I2108" s="866">
        <f t="shared" si="93"/>
        <v>100</v>
      </c>
      <c r="R2108" s="2691"/>
      <c r="S2108" s="2693"/>
    </row>
    <row r="2109" spans="1:19" ht="15" x14ac:dyDescent="0.25">
      <c r="A2109" s="432">
        <v>1223</v>
      </c>
      <c r="B2109" s="783">
        <v>3124</v>
      </c>
      <c r="C2109" s="783">
        <v>5331</v>
      </c>
      <c r="D2109" s="897"/>
      <c r="E2109" s="829" t="s">
        <v>996</v>
      </c>
      <c r="F2109" s="873">
        <f>F2110</f>
        <v>1310</v>
      </c>
      <c r="G2109" s="873">
        <v>1310</v>
      </c>
      <c r="H2109" s="873">
        <v>1310</v>
      </c>
      <c r="I2109" s="874">
        <f t="shared" si="93"/>
        <v>100</v>
      </c>
      <c r="R2109" s="2692"/>
      <c r="S2109" s="2694"/>
    </row>
    <row r="2110" spans="1:19" ht="14.25" x14ac:dyDescent="0.2">
      <c r="A2110" s="432"/>
      <c r="B2110" s="783"/>
      <c r="C2110" s="783"/>
      <c r="D2110" s="554" t="s">
        <v>606</v>
      </c>
      <c r="E2110" s="456" t="s">
        <v>72</v>
      </c>
      <c r="F2110" s="871">
        <v>1310</v>
      </c>
      <c r="G2110" s="871">
        <v>1310</v>
      </c>
      <c r="H2110" s="871">
        <v>1310</v>
      </c>
      <c r="I2110" s="866">
        <f t="shared" si="93"/>
        <v>100</v>
      </c>
      <c r="R2110" s="2692"/>
      <c r="S2110" s="2694"/>
    </row>
    <row r="2111" spans="1:19" ht="15" x14ac:dyDescent="0.25">
      <c r="A2111" s="432">
        <v>1223</v>
      </c>
      <c r="B2111" s="783">
        <v>3124</v>
      </c>
      <c r="C2111" s="783">
        <v>5336</v>
      </c>
      <c r="D2111" s="554"/>
      <c r="E2111" s="1479" t="s">
        <v>1269</v>
      </c>
      <c r="F2111" s="871"/>
      <c r="G2111" s="884">
        <v>8870</v>
      </c>
      <c r="H2111" s="884">
        <v>8870</v>
      </c>
      <c r="I2111" s="876">
        <f t="shared" si="93"/>
        <v>100</v>
      </c>
      <c r="R2111" s="2253"/>
      <c r="S2111" s="2254"/>
    </row>
    <row r="2112" spans="1:19" ht="15" thickBot="1" x14ac:dyDescent="0.25">
      <c r="A2112" s="1469"/>
      <c r="B2112" s="930"/>
      <c r="C2112" s="1470"/>
      <c r="D2112" s="733" t="s">
        <v>1182</v>
      </c>
      <c r="E2112" s="458" t="s">
        <v>832</v>
      </c>
      <c r="F2112" s="931"/>
      <c r="G2112" s="931">
        <v>8870</v>
      </c>
      <c r="H2112" s="931">
        <v>8870</v>
      </c>
      <c r="I2112" s="910">
        <f t="shared" si="93"/>
        <v>100</v>
      </c>
    </row>
    <row r="2113" spans="1:20" ht="14.25" thickTop="1" thickBot="1" x14ac:dyDescent="0.25">
      <c r="A2113" s="433"/>
      <c r="I2113" s="1465" t="s">
        <v>173</v>
      </c>
    </row>
    <row r="2114" spans="1:20" ht="18" customHeight="1" thickTop="1" thickBot="1" x14ac:dyDescent="0.25">
      <c r="A2114" s="633" t="s">
        <v>661</v>
      </c>
      <c r="B2114" s="810" t="s">
        <v>174</v>
      </c>
      <c r="C2114" s="634" t="s">
        <v>175</v>
      </c>
      <c r="D2114" s="636" t="s">
        <v>744</v>
      </c>
      <c r="E2114" s="636" t="s">
        <v>176</v>
      </c>
      <c r="F2114" s="636" t="s">
        <v>177</v>
      </c>
      <c r="G2114" s="636" t="s">
        <v>922</v>
      </c>
      <c r="H2114" s="636" t="s">
        <v>923</v>
      </c>
      <c r="I2114" s="856" t="s">
        <v>924</v>
      </c>
    </row>
    <row r="2115" spans="1:20" ht="14.25" thickTop="1" thickBot="1" x14ac:dyDescent="0.25">
      <c r="A2115" s="568">
        <v>1</v>
      </c>
      <c r="B2115" s="569">
        <v>2</v>
      </c>
      <c r="C2115" s="569">
        <v>3</v>
      </c>
      <c r="D2115" s="569">
        <v>4</v>
      </c>
      <c r="E2115" s="569">
        <v>5</v>
      </c>
      <c r="F2115" s="543">
        <v>6</v>
      </c>
      <c r="G2115" s="543">
        <v>7</v>
      </c>
      <c r="H2115" s="544">
        <v>8</v>
      </c>
      <c r="I2115" s="638" t="s">
        <v>801</v>
      </c>
    </row>
    <row r="2116" spans="1:20" ht="15.75" thickTop="1" x14ac:dyDescent="0.25">
      <c r="A2116" s="432">
        <v>1223</v>
      </c>
      <c r="B2116" s="783">
        <v>3142</v>
      </c>
      <c r="C2116" s="783">
        <v>5331</v>
      </c>
      <c r="D2116" s="897"/>
      <c r="E2116" s="829" t="s">
        <v>996</v>
      </c>
      <c r="F2116" s="873">
        <v>243</v>
      </c>
      <c r="G2116" s="873">
        <v>243</v>
      </c>
      <c r="H2116" s="873">
        <v>243</v>
      </c>
      <c r="I2116" s="874">
        <f t="shared" si="93"/>
        <v>100</v>
      </c>
    </row>
    <row r="2117" spans="1:20" ht="14.25" x14ac:dyDescent="0.2">
      <c r="A2117" s="432"/>
      <c r="B2117" s="783"/>
      <c r="C2117" s="783"/>
      <c r="D2117" s="554" t="s">
        <v>606</v>
      </c>
      <c r="E2117" s="456" t="s">
        <v>72</v>
      </c>
      <c r="F2117" s="871">
        <v>243</v>
      </c>
      <c r="G2117" s="871">
        <v>243</v>
      </c>
      <c r="H2117" s="871">
        <v>243</v>
      </c>
      <c r="I2117" s="866">
        <f t="shared" si="93"/>
        <v>100</v>
      </c>
    </row>
    <row r="2118" spans="1:20" ht="18" customHeight="1" x14ac:dyDescent="0.25">
      <c r="A2118" s="432">
        <v>1223</v>
      </c>
      <c r="B2118" s="783">
        <v>3142</v>
      </c>
      <c r="C2118" s="783">
        <v>5336</v>
      </c>
      <c r="D2118" s="554"/>
      <c r="E2118" s="1479" t="s">
        <v>1269</v>
      </c>
      <c r="F2118" s="871"/>
      <c r="G2118" s="884">
        <v>565</v>
      </c>
      <c r="H2118" s="884">
        <v>565</v>
      </c>
      <c r="I2118" s="876">
        <f t="shared" si="93"/>
        <v>100</v>
      </c>
    </row>
    <row r="2119" spans="1:20" ht="13.5" customHeight="1" x14ac:dyDescent="0.2">
      <c r="A2119" s="432"/>
      <c r="B2119" s="783"/>
      <c r="C2119" s="1468"/>
      <c r="D2119" s="554" t="s">
        <v>1182</v>
      </c>
      <c r="E2119" s="456" t="s">
        <v>832</v>
      </c>
      <c r="F2119" s="871"/>
      <c r="G2119" s="871">
        <v>565</v>
      </c>
      <c r="H2119" s="871">
        <v>565</v>
      </c>
      <c r="I2119" s="866">
        <f t="shared" si="93"/>
        <v>100</v>
      </c>
    </row>
    <row r="2120" spans="1:20" ht="15" x14ac:dyDescent="0.25">
      <c r="A2120" s="432">
        <v>1223</v>
      </c>
      <c r="B2120" s="783">
        <v>3147</v>
      </c>
      <c r="C2120" s="783">
        <v>5331</v>
      </c>
      <c r="D2120" s="897"/>
      <c r="E2120" s="829" t="s">
        <v>996</v>
      </c>
      <c r="F2120" s="873">
        <v>200</v>
      </c>
      <c r="G2120" s="873">
        <v>200</v>
      </c>
      <c r="H2120" s="873">
        <v>200</v>
      </c>
      <c r="I2120" s="874">
        <f t="shared" si="93"/>
        <v>100</v>
      </c>
    </row>
    <row r="2121" spans="1:20" ht="14.25" x14ac:dyDescent="0.2">
      <c r="A2121" s="432"/>
      <c r="B2121" s="783"/>
      <c r="C2121" s="783"/>
      <c r="D2121" s="554" t="s">
        <v>606</v>
      </c>
      <c r="E2121" s="456" t="s">
        <v>72</v>
      </c>
      <c r="F2121" s="871">
        <v>200</v>
      </c>
      <c r="G2121" s="871">
        <v>200</v>
      </c>
      <c r="H2121" s="871">
        <v>200</v>
      </c>
      <c r="I2121" s="866">
        <f t="shared" si="93"/>
        <v>100</v>
      </c>
    </row>
    <row r="2122" spans="1:20" ht="15" x14ac:dyDescent="0.25">
      <c r="A2122" s="432">
        <v>1223</v>
      </c>
      <c r="B2122" s="783">
        <v>3147</v>
      </c>
      <c r="C2122" s="783">
        <v>5336</v>
      </c>
      <c r="D2122" s="554"/>
      <c r="E2122" s="1479" t="s">
        <v>1269</v>
      </c>
      <c r="F2122" s="871"/>
      <c r="G2122" s="884">
        <v>1970</v>
      </c>
      <c r="H2122" s="884">
        <v>1970</v>
      </c>
      <c r="I2122" s="876">
        <f t="shared" si="93"/>
        <v>100</v>
      </c>
    </row>
    <row r="2123" spans="1:20" ht="20.25" customHeight="1" x14ac:dyDescent="0.2">
      <c r="A2123" s="432"/>
      <c r="B2123" s="783"/>
      <c r="C2123" s="1468"/>
      <c r="D2123" s="554" t="s">
        <v>1182</v>
      </c>
      <c r="E2123" s="456" t="s">
        <v>832</v>
      </c>
      <c r="F2123" s="871"/>
      <c r="G2123" s="871">
        <v>1970</v>
      </c>
      <c r="H2123" s="871">
        <v>1970</v>
      </c>
      <c r="I2123" s="866">
        <f t="shared" si="93"/>
        <v>100</v>
      </c>
    </row>
    <row r="2124" spans="1:20" ht="15" x14ac:dyDescent="0.25">
      <c r="A2124" s="432">
        <v>1223</v>
      </c>
      <c r="B2124" s="681">
        <v>3293</v>
      </c>
      <c r="C2124" s="1468">
        <v>5331</v>
      </c>
      <c r="D2124" s="867"/>
      <c r="E2124" s="829" t="s">
        <v>996</v>
      </c>
      <c r="F2124" s="873"/>
      <c r="G2124" s="873">
        <v>10</v>
      </c>
      <c r="H2124" s="873">
        <v>10</v>
      </c>
      <c r="I2124" s="859">
        <f>(H2124/G2124)*100</f>
        <v>100</v>
      </c>
      <c r="R2124" s="383"/>
      <c r="S2124" s="383"/>
      <c r="T2124" s="383"/>
    </row>
    <row r="2125" spans="1:20" ht="15" thickBot="1" x14ac:dyDescent="0.25">
      <c r="A2125" s="432"/>
      <c r="B2125" s="681"/>
      <c r="C2125" s="1467"/>
      <c r="D2125" s="882" t="s">
        <v>1185</v>
      </c>
      <c r="E2125" s="1584" t="s">
        <v>62</v>
      </c>
      <c r="F2125" s="865"/>
      <c r="G2125" s="865">
        <v>10</v>
      </c>
      <c r="H2125" s="865">
        <v>10</v>
      </c>
      <c r="I2125" s="861">
        <v>100</v>
      </c>
      <c r="R2125" s="383"/>
      <c r="S2125" s="383"/>
      <c r="T2125" s="383"/>
    </row>
    <row r="2126" spans="1:20" ht="16.5" thickTop="1" thickBot="1" x14ac:dyDescent="0.3">
      <c r="A2126" s="2685" t="s">
        <v>1162</v>
      </c>
      <c r="B2126" s="2686"/>
      <c r="C2126" s="2686"/>
      <c r="D2126" s="2686"/>
      <c r="E2126" s="2686"/>
      <c r="F2126" s="862">
        <f>F2093+F2102+F2109+F2116+F2120</f>
        <v>5708</v>
      </c>
      <c r="G2126" s="862">
        <f>G2093+G2098+G2102+G2107+G2109+G2111+G2116+G2120+G2124+G2118+G2122</f>
        <v>41435</v>
      </c>
      <c r="H2126" s="862">
        <f>H2093+H2098+H2102+H2107+H2109+H2111+H2116+H2120+H2124+H2118+H2122</f>
        <v>41435</v>
      </c>
      <c r="I2126" s="863">
        <f>(H2126/G2126)*100</f>
        <v>100</v>
      </c>
      <c r="R2126" s="383">
        <f>F2126</f>
        <v>5708</v>
      </c>
      <c r="S2126" s="383">
        <f>G2126</f>
        <v>41435</v>
      </c>
      <c r="T2126" s="383">
        <f>H2126</f>
        <v>41435</v>
      </c>
    </row>
    <row r="2127" spans="1:20" s="107" customFormat="1" ht="13.5" thickTop="1" x14ac:dyDescent="0.2">
      <c r="A2127" s="382"/>
      <c r="B2127" s="645"/>
      <c r="C2127" s="382"/>
      <c r="D2127" s="852"/>
      <c r="E2127" s="382"/>
      <c r="F2127" s="383"/>
      <c r="G2127" s="383"/>
      <c r="H2127" s="383"/>
      <c r="I2127" s="1465"/>
    </row>
    <row r="2128" spans="1:20" s="107" customFormat="1" x14ac:dyDescent="0.2">
      <c r="A2128" s="382"/>
      <c r="B2128" s="645"/>
      <c r="C2128" s="382"/>
      <c r="D2128" s="852"/>
      <c r="E2128" s="382"/>
      <c r="F2128" s="383"/>
      <c r="G2128" s="383"/>
      <c r="H2128" s="383"/>
      <c r="I2128" s="1465"/>
    </row>
    <row r="2129" spans="1:9" s="107" customFormat="1" x14ac:dyDescent="0.2">
      <c r="A2129" s="382"/>
      <c r="B2129" s="645"/>
      <c r="C2129" s="382"/>
      <c r="D2129" s="852"/>
      <c r="E2129" s="382"/>
      <c r="F2129" s="383"/>
      <c r="G2129" s="383"/>
      <c r="H2129" s="383"/>
      <c r="I2129" s="1465"/>
    </row>
    <row r="2130" spans="1:9" ht="13.5" thickBot="1" x14ac:dyDescent="0.25">
      <c r="A2130" s="433" t="s">
        <v>149</v>
      </c>
      <c r="I2130" s="1465" t="s">
        <v>173</v>
      </c>
    </row>
    <row r="2131" spans="1:9" ht="14.25" thickTop="1" thickBot="1" x14ac:dyDescent="0.25">
      <c r="A2131" s="633" t="s">
        <v>661</v>
      </c>
      <c r="B2131" s="810" t="s">
        <v>174</v>
      </c>
      <c r="C2131" s="634" t="s">
        <v>175</v>
      </c>
      <c r="D2131" s="636" t="s">
        <v>744</v>
      </c>
      <c r="E2131" s="636" t="s">
        <v>176</v>
      </c>
      <c r="F2131" s="636" t="s">
        <v>177</v>
      </c>
      <c r="G2131" s="636" t="s">
        <v>922</v>
      </c>
      <c r="H2131" s="636" t="s">
        <v>923</v>
      </c>
      <c r="I2131" s="856" t="s">
        <v>924</v>
      </c>
    </row>
    <row r="2132" spans="1:9" ht="14.25" thickTop="1" thickBot="1" x14ac:dyDescent="0.25">
      <c r="A2132" s="568">
        <v>1</v>
      </c>
      <c r="B2132" s="569">
        <v>2</v>
      </c>
      <c r="C2132" s="569">
        <v>3</v>
      </c>
      <c r="D2132" s="569">
        <v>4</v>
      </c>
      <c r="E2132" s="569">
        <v>5</v>
      </c>
      <c r="F2132" s="543">
        <v>6</v>
      </c>
      <c r="G2132" s="543">
        <v>7</v>
      </c>
      <c r="H2132" s="544">
        <v>8</v>
      </c>
      <c r="I2132" s="638" t="s">
        <v>801</v>
      </c>
    </row>
    <row r="2133" spans="1:9" ht="12.75" customHeight="1" thickTop="1" x14ac:dyDescent="0.25">
      <c r="A2133" s="1477">
        <v>1225</v>
      </c>
      <c r="B2133" s="885">
        <v>3124</v>
      </c>
      <c r="C2133" s="885">
        <v>5331</v>
      </c>
      <c r="D2133" s="890"/>
      <c r="E2133" s="924" t="s">
        <v>996</v>
      </c>
      <c r="F2133" s="883">
        <f>F2134+F2135+F2136</f>
        <v>3376</v>
      </c>
      <c r="G2133" s="883">
        <f>G2134+G2135+G2136</f>
        <v>3731</v>
      </c>
      <c r="H2133" s="883">
        <f>H2134+H2135+H2136</f>
        <v>3731</v>
      </c>
      <c r="I2133" s="887">
        <f t="shared" ref="I2133:I2152" si="94">(H2133/G2133)*100</f>
        <v>100</v>
      </c>
    </row>
    <row r="2134" spans="1:9" ht="14.25" x14ac:dyDescent="0.2">
      <c r="A2134" s="432"/>
      <c r="B2134" s="681"/>
      <c r="C2134" s="681"/>
      <c r="D2134" s="719" t="s">
        <v>611</v>
      </c>
      <c r="E2134" s="1569" t="s">
        <v>833</v>
      </c>
      <c r="F2134" s="357">
        <v>915</v>
      </c>
      <c r="G2134" s="865">
        <v>917</v>
      </c>
      <c r="H2134" s="865">
        <v>917</v>
      </c>
      <c r="I2134" s="861">
        <f t="shared" si="94"/>
        <v>100</v>
      </c>
    </row>
    <row r="2135" spans="1:9" ht="14.25" x14ac:dyDescent="0.2">
      <c r="A2135" s="432"/>
      <c r="B2135" s="681"/>
      <c r="C2135" s="681"/>
      <c r="D2135" s="554" t="s">
        <v>606</v>
      </c>
      <c r="E2135" s="456" t="s">
        <v>72</v>
      </c>
      <c r="F2135" s="357">
        <v>2461</v>
      </c>
      <c r="G2135" s="865">
        <v>2461</v>
      </c>
      <c r="H2135" s="865">
        <v>2461</v>
      </c>
      <c r="I2135" s="861">
        <f t="shared" si="94"/>
        <v>100</v>
      </c>
    </row>
    <row r="2136" spans="1:9" ht="15.75" customHeight="1" x14ac:dyDescent="0.2">
      <c r="A2136" s="432"/>
      <c r="B2136" s="783"/>
      <c r="C2136" s="783"/>
      <c r="D2136" s="1120" t="s">
        <v>968</v>
      </c>
      <c r="E2136" s="1215" t="s">
        <v>1274</v>
      </c>
      <c r="F2136" s="875"/>
      <c r="G2136" s="871">
        <v>353</v>
      </c>
      <c r="H2136" s="871">
        <v>353</v>
      </c>
      <c r="I2136" s="861">
        <f t="shared" si="94"/>
        <v>100</v>
      </c>
    </row>
    <row r="2137" spans="1:9" ht="13.5" customHeight="1" x14ac:dyDescent="0.25">
      <c r="A2137" s="432">
        <v>1225</v>
      </c>
      <c r="B2137" s="783">
        <v>3124</v>
      </c>
      <c r="C2137" s="783">
        <v>5336</v>
      </c>
      <c r="D2137" s="1119"/>
      <c r="E2137" s="1479" t="s">
        <v>1269</v>
      </c>
      <c r="F2137" s="875"/>
      <c r="G2137" s="884">
        <f>G2138+G2139+G2140</f>
        <v>23675</v>
      </c>
      <c r="H2137" s="884">
        <f>H2138+H2139+H2140</f>
        <v>23675</v>
      </c>
      <c r="I2137" s="891">
        <f t="shared" si="94"/>
        <v>100</v>
      </c>
    </row>
    <row r="2138" spans="1:9" ht="13.5" customHeight="1" x14ac:dyDescent="0.25">
      <c r="A2138" s="432"/>
      <c r="B2138" s="783"/>
      <c r="C2138" s="783"/>
      <c r="D2138" s="554" t="s">
        <v>1182</v>
      </c>
      <c r="E2138" s="456" t="s">
        <v>832</v>
      </c>
      <c r="F2138" s="873"/>
      <c r="G2138" s="871">
        <v>23338</v>
      </c>
      <c r="H2138" s="871">
        <v>23338</v>
      </c>
      <c r="I2138" s="861">
        <f t="shared" si="94"/>
        <v>100</v>
      </c>
    </row>
    <row r="2139" spans="1:9" ht="13.5" customHeight="1" x14ac:dyDescent="0.25">
      <c r="A2139" s="432"/>
      <c r="B2139" s="783"/>
      <c r="C2139" s="783"/>
      <c r="D2139" s="1481" t="s">
        <v>1608</v>
      </c>
      <c r="E2139" s="1476" t="s">
        <v>1717</v>
      </c>
      <c r="F2139" s="873"/>
      <c r="G2139" s="871">
        <v>50</v>
      </c>
      <c r="H2139" s="871">
        <v>50</v>
      </c>
      <c r="I2139" s="866">
        <f t="shared" si="94"/>
        <v>100</v>
      </c>
    </row>
    <row r="2140" spans="1:9" ht="17.25" customHeight="1" x14ac:dyDescent="0.25">
      <c r="A2140" s="432"/>
      <c r="B2140" s="783"/>
      <c r="C2140" s="783"/>
      <c r="D2140" s="1481" t="s">
        <v>1610</v>
      </c>
      <c r="E2140" s="1476" t="s">
        <v>1717</v>
      </c>
      <c r="F2140" s="873"/>
      <c r="G2140" s="871">
        <v>287</v>
      </c>
      <c r="H2140" s="871">
        <v>287</v>
      </c>
      <c r="I2140" s="866">
        <f t="shared" si="94"/>
        <v>100</v>
      </c>
    </row>
    <row r="2141" spans="1:9" ht="15.75" customHeight="1" x14ac:dyDescent="0.25">
      <c r="A2141" s="432">
        <v>1225</v>
      </c>
      <c r="B2141" s="783">
        <v>3142</v>
      </c>
      <c r="C2141" s="783">
        <v>5331</v>
      </c>
      <c r="D2141" s="897"/>
      <c r="E2141" s="680" t="s">
        <v>996</v>
      </c>
      <c r="F2141" s="873">
        <f>F2142+F2143</f>
        <v>365</v>
      </c>
      <c r="G2141" s="873">
        <f>G2142+G2143</f>
        <v>365</v>
      </c>
      <c r="H2141" s="873">
        <f>H2142+H2143</f>
        <v>365</v>
      </c>
      <c r="I2141" s="874">
        <f t="shared" si="94"/>
        <v>100</v>
      </c>
    </row>
    <row r="2142" spans="1:9" ht="15.75" customHeight="1" x14ac:dyDescent="0.2">
      <c r="A2142" s="432"/>
      <c r="B2142" s="783"/>
      <c r="C2142" s="783"/>
      <c r="D2142" s="554" t="s">
        <v>606</v>
      </c>
      <c r="E2142" s="456" t="s">
        <v>72</v>
      </c>
      <c r="F2142" s="871">
        <v>315</v>
      </c>
      <c r="G2142" s="871">
        <v>315</v>
      </c>
      <c r="H2142" s="871">
        <v>315</v>
      </c>
      <c r="I2142" s="866">
        <f t="shared" si="94"/>
        <v>100</v>
      </c>
    </row>
    <row r="2143" spans="1:9" ht="15.75" customHeight="1" x14ac:dyDescent="0.2">
      <c r="A2143" s="432"/>
      <c r="B2143" s="783"/>
      <c r="C2143" s="783"/>
      <c r="D2143" s="554" t="s">
        <v>703</v>
      </c>
      <c r="E2143" s="456" t="s">
        <v>75</v>
      </c>
      <c r="F2143" s="871">
        <v>50</v>
      </c>
      <c r="G2143" s="871">
        <v>50</v>
      </c>
      <c r="H2143" s="871">
        <v>50</v>
      </c>
      <c r="I2143" s="866">
        <f t="shared" si="94"/>
        <v>100</v>
      </c>
    </row>
    <row r="2144" spans="1:9" ht="15.75" customHeight="1" x14ac:dyDescent="0.25">
      <c r="A2144" s="432">
        <v>1225</v>
      </c>
      <c r="B2144" s="783">
        <v>3142</v>
      </c>
      <c r="C2144" s="783">
        <v>5336</v>
      </c>
      <c r="D2144" s="554"/>
      <c r="E2144" s="1479" t="s">
        <v>1269</v>
      </c>
      <c r="F2144" s="871"/>
      <c r="G2144" s="884">
        <v>621</v>
      </c>
      <c r="H2144" s="884">
        <v>621</v>
      </c>
      <c r="I2144" s="876">
        <f t="shared" si="94"/>
        <v>100</v>
      </c>
    </row>
    <row r="2145" spans="1:20" ht="15.75" customHeight="1" x14ac:dyDescent="0.2">
      <c r="A2145" s="432"/>
      <c r="B2145" s="783"/>
      <c r="C2145" s="783"/>
      <c r="D2145" s="554" t="s">
        <v>1182</v>
      </c>
      <c r="E2145" s="456" t="s">
        <v>832</v>
      </c>
      <c r="F2145" s="871"/>
      <c r="G2145" s="871">
        <v>621</v>
      </c>
      <c r="H2145" s="871">
        <v>621</v>
      </c>
      <c r="I2145" s="866">
        <f t="shared" si="94"/>
        <v>100</v>
      </c>
    </row>
    <row r="2146" spans="1:20" ht="15" x14ac:dyDescent="0.25">
      <c r="A2146" s="432">
        <v>1225</v>
      </c>
      <c r="B2146" s="783">
        <v>3145</v>
      </c>
      <c r="C2146" s="783">
        <v>5331</v>
      </c>
      <c r="D2146" s="897"/>
      <c r="E2146" s="680" t="s">
        <v>996</v>
      </c>
      <c r="F2146" s="884">
        <v>379</v>
      </c>
      <c r="G2146" s="884">
        <v>379</v>
      </c>
      <c r="H2146" s="884">
        <v>379</v>
      </c>
      <c r="I2146" s="876">
        <f t="shared" si="94"/>
        <v>100</v>
      </c>
    </row>
    <row r="2147" spans="1:20" ht="14.25" x14ac:dyDescent="0.2">
      <c r="A2147" s="432"/>
      <c r="B2147" s="783"/>
      <c r="C2147" s="1468"/>
      <c r="D2147" s="554" t="s">
        <v>606</v>
      </c>
      <c r="E2147" s="456" t="s">
        <v>72</v>
      </c>
      <c r="F2147" s="871">
        <v>379</v>
      </c>
      <c r="G2147" s="871">
        <v>379</v>
      </c>
      <c r="H2147" s="871">
        <v>379</v>
      </c>
      <c r="I2147" s="866">
        <f t="shared" si="94"/>
        <v>100</v>
      </c>
    </row>
    <row r="2148" spans="1:20" ht="15" x14ac:dyDescent="0.25">
      <c r="A2148" s="432">
        <v>1225</v>
      </c>
      <c r="B2148" s="783">
        <v>3145</v>
      </c>
      <c r="C2148" s="1468">
        <v>5336</v>
      </c>
      <c r="D2148" s="554"/>
      <c r="E2148" s="1479" t="s">
        <v>1269</v>
      </c>
      <c r="F2148" s="871"/>
      <c r="G2148" s="884">
        <v>4903</v>
      </c>
      <c r="H2148" s="884">
        <v>4903</v>
      </c>
      <c r="I2148" s="876">
        <f t="shared" si="94"/>
        <v>100</v>
      </c>
    </row>
    <row r="2149" spans="1:20" s="1574" customFormat="1" ht="14.25" x14ac:dyDescent="0.2">
      <c r="A2149" s="1599"/>
      <c r="B2149" s="1616"/>
      <c r="C2149" s="1617"/>
      <c r="D2149" s="781" t="s">
        <v>1182</v>
      </c>
      <c r="E2149" s="1618" t="s">
        <v>832</v>
      </c>
      <c r="F2149" s="1362"/>
      <c r="G2149" s="1362">
        <v>4903</v>
      </c>
      <c r="H2149" s="1362">
        <v>4903</v>
      </c>
      <c r="I2149" s="1366">
        <f t="shared" si="94"/>
        <v>100</v>
      </c>
    </row>
    <row r="2150" spans="1:20" ht="18" customHeight="1" x14ac:dyDescent="0.25">
      <c r="A2150" s="432">
        <v>1225</v>
      </c>
      <c r="B2150" s="681">
        <v>3293</v>
      </c>
      <c r="C2150" s="1468">
        <v>5331</v>
      </c>
      <c r="D2150" s="867"/>
      <c r="E2150" s="680" t="s">
        <v>996</v>
      </c>
      <c r="F2150" s="884"/>
      <c r="G2150" s="884">
        <v>432</v>
      </c>
      <c r="H2150" s="884">
        <v>432</v>
      </c>
      <c r="I2150" s="876">
        <f t="shared" si="94"/>
        <v>100</v>
      </c>
    </row>
    <row r="2151" spans="1:20" ht="15" thickBot="1" x14ac:dyDescent="0.25">
      <c r="A2151" s="432"/>
      <c r="B2151" s="783"/>
      <c r="C2151" s="1468"/>
      <c r="D2151" s="781" t="s">
        <v>1185</v>
      </c>
      <c r="E2151" s="1584" t="s">
        <v>62</v>
      </c>
      <c r="F2151" s="871"/>
      <c r="G2151" s="871">
        <v>432</v>
      </c>
      <c r="H2151" s="871">
        <v>432</v>
      </c>
      <c r="I2151" s="866">
        <f t="shared" si="94"/>
        <v>100</v>
      </c>
    </row>
    <row r="2152" spans="1:20" ht="16.5" thickTop="1" thickBot="1" x14ac:dyDescent="0.3">
      <c r="A2152" s="2685" t="s">
        <v>1162</v>
      </c>
      <c r="B2152" s="2686"/>
      <c r="C2152" s="2686"/>
      <c r="D2152" s="2686"/>
      <c r="E2152" s="2686"/>
      <c r="F2152" s="862">
        <f>F2133+F2141+F2146</f>
        <v>4120</v>
      </c>
      <c r="G2152" s="862">
        <f>G2133+G2137+G2141+G2144+G2146+G2148+G2150</f>
        <v>34106</v>
      </c>
      <c r="H2152" s="862">
        <f>H2133+H2137+H2141+H2144+H2146+H2148+H2150</f>
        <v>34106</v>
      </c>
      <c r="I2152" s="863">
        <f t="shared" si="94"/>
        <v>100</v>
      </c>
      <c r="R2152" s="383">
        <f>F2152</f>
        <v>4120</v>
      </c>
      <c r="S2152" s="383">
        <f>G2152</f>
        <v>34106</v>
      </c>
      <c r="T2152" s="383">
        <f>H2152</f>
        <v>34106</v>
      </c>
    </row>
    <row r="2153" spans="1:20" ht="13.5" thickTop="1" x14ac:dyDescent="0.2"/>
    <row r="2155" spans="1:20" s="1574" customFormat="1" ht="13.5" thickBot="1" x14ac:dyDescent="0.25">
      <c r="A2155" s="1602" t="s">
        <v>1058</v>
      </c>
      <c r="B2155" s="1588"/>
      <c r="D2155" s="1589"/>
      <c r="F2155" s="1587"/>
      <c r="G2155" s="1587"/>
      <c r="H2155" s="1587"/>
      <c r="I2155" s="1590" t="s">
        <v>173</v>
      </c>
    </row>
    <row r="2156" spans="1:20" ht="14.25" thickTop="1" thickBot="1" x14ac:dyDescent="0.25">
      <c r="A2156" s="633" t="s">
        <v>661</v>
      </c>
      <c r="B2156" s="810" t="s">
        <v>174</v>
      </c>
      <c r="C2156" s="634" t="s">
        <v>175</v>
      </c>
      <c r="D2156" s="636" t="s">
        <v>744</v>
      </c>
      <c r="E2156" s="636" t="s">
        <v>176</v>
      </c>
      <c r="F2156" s="636" t="s">
        <v>177</v>
      </c>
      <c r="G2156" s="636" t="s">
        <v>922</v>
      </c>
      <c r="H2156" s="636" t="s">
        <v>923</v>
      </c>
      <c r="I2156" s="856" t="s">
        <v>924</v>
      </c>
    </row>
    <row r="2157" spans="1:20" ht="14.25" thickTop="1" thickBot="1" x14ac:dyDescent="0.25">
      <c r="A2157" s="568">
        <v>1</v>
      </c>
      <c r="B2157" s="569">
        <v>2</v>
      </c>
      <c r="C2157" s="569">
        <v>3</v>
      </c>
      <c r="D2157" s="569">
        <v>4</v>
      </c>
      <c r="E2157" s="569">
        <v>5</v>
      </c>
      <c r="F2157" s="543">
        <v>6</v>
      </c>
      <c r="G2157" s="543">
        <v>7</v>
      </c>
      <c r="H2157" s="544">
        <v>8</v>
      </c>
      <c r="I2157" s="638" t="s">
        <v>801</v>
      </c>
    </row>
    <row r="2158" spans="1:20" ht="15.75" thickTop="1" x14ac:dyDescent="0.25">
      <c r="A2158" s="1477">
        <v>1226</v>
      </c>
      <c r="B2158" s="885">
        <v>3122</v>
      </c>
      <c r="C2158" s="885">
        <v>5336</v>
      </c>
      <c r="D2158" s="890"/>
      <c r="E2158" s="1479" t="s">
        <v>1269</v>
      </c>
      <c r="F2158" s="883"/>
      <c r="G2158" s="883">
        <v>2222</v>
      </c>
      <c r="H2158" s="883">
        <v>2222</v>
      </c>
      <c r="I2158" s="887">
        <f>(H2158/G2158)*100</f>
        <v>100</v>
      </c>
    </row>
    <row r="2159" spans="1:20" ht="18" customHeight="1" x14ac:dyDescent="0.2">
      <c r="A2159" s="432"/>
      <c r="B2159" s="681"/>
      <c r="C2159" s="681"/>
      <c r="D2159" s="554" t="s">
        <v>1182</v>
      </c>
      <c r="E2159" s="456" t="s">
        <v>832</v>
      </c>
      <c r="F2159" s="865"/>
      <c r="G2159" s="865">
        <v>2222</v>
      </c>
      <c r="H2159" s="865">
        <v>2222</v>
      </c>
      <c r="I2159" s="861">
        <v>100</v>
      </c>
    </row>
    <row r="2160" spans="1:20" ht="15" x14ac:dyDescent="0.25">
      <c r="A2160" s="432">
        <v>1226</v>
      </c>
      <c r="B2160" s="681">
        <v>3123</v>
      </c>
      <c r="C2160" s="681">
        <v>5331</v>
      </c>
      <c r="D2160" s="857"/>
      <c r="E2160" s="829" t="s">
        <v>996</v>
      </c>
      <c r="F2160" s="858">
        <f>F2161+F2162+F2163</f>
        <v>3540</v>
      </c>
      <c r="G2160" s="858">
        <f>G2161+G2162+G2163</f>
        <v>3508</v>
      </c>
      <c r="H2160" s="858">
        <f>H2161+H2162+H2163</f>
        <v>3508</v>
      </c>
      <c r="I2160" s="859">
        <f>(H2160/G2160)*100</f>
        <v>100</v>
      </c>
    </row>
    <row r="2161" spans="1:9" ht="14.25" x14ac:dyDescent="0.2">
      <c r="A2161" s="432"/>
      <c r="B2161" s="681"/>
      <c r="C2161" s="681"/>
      <c r="D2161" s="719" t="s">
        <v>611</v>
      </c>
      <c r="E2161" s="1569" t="s">
        <v>833</v>
      </c>
      <c r="F2161" s="865">
        <v>1440</v>
      </c>
      <c r="G2161" s="865">
        <v>1279</v>
      </c>
      <c r="H2161" s="865">
        <v>1279</v>
      </c>
      <c r="I2161" s="861">
        <f>(H2161/G2161)*100</f>
        <v>100</v>
      </c>
    </row>
    <row r="2162" spans="1:9" ht="14.25" x14ac:dyDescent="0.2">
      <c r="A2162" s="432"/>
      <c r="B2162" s="681"/>
      <c r="C2162" s="681"/>
      <c r="D2162" s="554" t="s">
        <v>606</v>
      </c>
      <c r="E2162" s="456" t="s">
        <v>72</v>
      </c>
      <c r="F2162" s="865">
        <v>2100</v>
      </c>
      <c r="G2162" s="865">
        <v>2100</v>
      </c>
      <c r="H2162" s="865">
        <v>2100</v>
      </c>
      <c r="I2162" s="861">
        <v>100</v>
      </c>
    </row>
    <row r="2163" spans="1:9" ht="14.25" x14ac:dyDescent="0.2">
      <c r="A2163" s="432"/>
      <c r="B2163" s="681"/>
      <c r="C2163" s="681"/>
      <c r="D2163" s="1120" t="s">
        <v>968</v>
      </c>
      <c r="E2163" s="1215" t="s">
        <v>1274</v>
      </c>
      <c r="F2163" s="865"/>
      <c r="G2163" s="865">
        <v>129</v>
      </c>
      <c r="H2163" s="865">
        <v>129</v>
      </c>
      <c r="I2163" s="861">
        <v>100</v>
      </c>
    </row>
    <row r="2164" spans="1:9" ht="15" x14ac:dyDescent="0.25">
      <c r="A2164" s="432">
        <v>1226</v>
      </c>
      <c r="B2164" s="681">
        <v>3123</v>
      </c>
      <c r="C2164" s="681">
        <v>5336</v>
      </c>
      <c r="D2164" s="2255"/>
      <c r="E2164" s="1479" t="s">
        <v>1269</v>
      </c>
      <c r="F2164" s="865"/>
      <c r="G2164" s="889">
        <f>G2165+G2166+G2167</f>
        <v>13186</v>
      </c>
      <c r="H2164" s="889">
        <f>H2165+H2166+H2167</f>
        <v>13186</v>
      </c>
      <c r="I2164" s="891">
        <v>100</v>
      </c>
    </row>
    <row r="2165" spans="1:9" ht="14.25" customHeight="1" x14ac:dyDescent="0.2">
      <c r="A2165" s="432"/>
      <c r="B2165" s="681"/>
      <c r="C2165" s="681"/>
      <c r="D2165" s="554" t="s">
        <v>1182</v>
      </c>
      <c r="E2165" s="456" t="s">
        <v>832</v>
      </c>
      <c r="F2165" s="865"/>
      <c r="G2165" s="865">
        <v>12752</v>
      </c>
      <c r="H2165" s="865">
        <v>12752</v>
      </c>
      <c r="I2165" s="861">
        <v>100</v>
      </c>
    </row>
    <row r="2166" spans="1:9" ht="14.25" x14ac:dyDescent="0.2">
      <c r="A2166" s="432"/>
      <c r="B2166" s="783"/>
      <c r="C2166" s="783"/>
      <c r="D2166" s="1481" t="s">
        <v>1608</v>
      </c>
      <c r="E2166" s="1476" t="s">
        <v>1717</v>
      </c>
      <c r="F2166" s="871"/>
      <c r="G2166" s="871">
        <v>65</v>
      </c>
      <c r="H2166" s="871">
        <v>65</v>
      </c>
      <c r="I2166" s="861">
        <v>100</v>
      </c>
    </row>
    <row r="2167" spans="1:9" ht="14.25" x14ac:dyDescent="0.2">
      <c r="A2167" s="432"/>
      <c r="B2167" s="783"/>
      <c r="C2167" s="783"/>
      <c r="D2167" s="1481" t="s">
        <v>1610</v>
      </c>
      <c r="E2167" s="1476" t="s">
        <v>1717</v>
      </c>
      <c r="F2167" s="871"/>
      <c r="G2167" s="871">
        <v>369</v>
      </c>
      <c r="H2167" s="871">
        <v>369</v>
      </c>
      <c r="I2167" s="861">
        <v>100</v>
      </c>
    </row>
    <row r="2168" spans="1:9" ht="15" x14ac:dyDescent="0.25">
      <c r="A2168" s="432">
        <v>1226</v>
      </c>
      <c r="B2168" s="783">
        <v>3142</v>
      </c>
      <c r="C2168" s="783">
        <v>5331</v>
      </c>
      <c r="D2168" s="897"/>
      <c r="E2168" s="680" t="s">
        <v>996</v>
      </c>
      <c r="F2168" s="873">
        <f>F2169+F2170+F2171</f>
        <v>1113</v>
      </c>
      <c r="G2168" s="873">
        <f>G2169+G2170+G2171</f>
        <v>1113</v>
      </c>
      <c r="H2168" s="873">
        <f>H2169+H2170+H2171</f>
        <v>1113</v>
      </c>
      <c r="I2168" s="874">
        <f>(H2168/G2168)*100</f>
        <v>100</v>
      </c>
    </row>
    <row r="2169" spans="1:9" ht="14.25" x14ac:dyDescent="0.2">
      <c r="A2169" s="432"/>
      <c r="B2169" s="783"/>
      <c r="C2169" s="783"/>
      <c r="D2169" s="719" t="s">
        <v>611</v>
      </c>
      <c r="E2169" s="1569" t="s">
        <v>833</v>
      </c>
      <c r="F2169" s="871">
        <v>233</v>
      </c>
      <c r="G2169" s="871">
        <v>233</v>
      </c>
      <c r="H2169" s="871">
        <v>233</v>
      </c>
      <c r="I2169" s="866">
        <f>(H2169/G2169)*100</f>
        <v>100</v>
      </c>
    </row>
    <row r="2170" spans="1:9" ht="18" customHeight="1" x14ac:dyDescent="0.2">
      <c r="A2170" s="432"/>
      <c r="B2170" s="783"/>
      <c r="C2170" s="783"/>
      <c r="D2170" s="554" t="s">
        <v>606</v>
      </c>
      <c r="E2170" s="456" t="s">
        <v>72</v>
      </c>
      <c r="F2170" s="871">
        <v>650</v>
      </c>
      <c r="G2170" s="871">
        <v>650</v>
      </c>
      <c r="H2170" s="871">
        <v>650</v>
      </c>
      <c r="I2170" s="866">
        <v>100</v>
      </c>
    </row>
    <row r="2171" spans="1:9" ht="14.25" x14ac:dyDescent="0.2">
      <c r="A2171" s="432"/>
      <c r="B2171" s="783"/>
      <c r="C2171" s="783"/>
      <c r="D2171" s="554" t="s">
        <v>703</v>
      </c>
      <c r="E2171" s="456" t="s">
        <v>75</v>
      </c>
      <c r="F2171" s="871">
        <v>230</v>
      </c>
      <c r="G2171" s="871">
        <v>230</v>
      </c>
      <c r="H2171" s="871">
        <v>230</v>
      </c>
      <c r="I2171" s="866">
        <v>100</v>
      </c>
    </row>
    <row r="2172" spans="1:9" ht="15" x14ac:dyDescent="0.25">
      <c r="A2172" s="432">
        <v>1226</v>
      </c>
      <c r="B2172" s="783">
        <v>3142</v>
      </c>
      <c r="C2172" s="783">
        <v>5336</v>
      </c>
      <c r="D2172" s="554"/>
      <c r="E2172" s="1479" t="s">
        <v>1269</v>
      </c>
      <c r="F2172" s="871"/>
      <c r="G2172" s="884">
        <v>1076</v>
      </c>
      <c r="H2172" s="884">
        <v>1076</v>
      </c>
      <c r="I2172" s="876">
        <v>100</v>
      </c>
    </row>
    <row r="2173" spans="1:9" ht="14.25" x14ac:dyDescent="0.2">
      <c r="A2173" s="432"/>
      <c r="B2173" s="783"/>
      <c r="C2173" s="783"/>
      <c r="D2173" s="554" t="s">
        <v>1182</v>
      </c>
      <c r="E2173" s="456" t="s">
        <v>832</v>
      </c>
      <c r="F2173" s="871"/>
      <c r="G2173" s="871">
        <v>1076</v>
      </c>
      <c r="H2173" s="871">
        <v>1076</v>
      </c>
      <c r="I2173" s="866">
        <v>100</v>
      </c>
    </row>
    <row r="2174" spans="1:9" ht="15" x14ac:dyDescent="0.25">
      <c r="A2174" s="432">
        <v>1226</v>
      </c>
      <c r="B2174" s="783">
        <v>3147</v>
      </c>
      <c r="C2174" s="783">
        <v>5331</v>
      </c>
      <c r="D2174" s="897"/>
      <c r="E2174" s="680" t="s">
        <v>996</v>
      </c>
      <c r="F2174" s="873">
        <f>F2175+F2176</f>
        <v>726</v>
      </c>
      <c r="G2174" s="873">
        <f>G2175+G2176</f>
        <v>726</v>
      </c>
      <c r="H2174" s="873">
        <f>H2175+H2176</f>
        <v>726</v>
      </c>
      <c r="I2174" s="874">
        <f t="shared" ref="I2174:I2181" si="95">(H2174/G2174)*100</f>
        <v>100</v>
      </c>
    </row>
    <row r="2175" spans="1:9" ht="14.25" x14ac:dyDescent="0.2">
      <c r="A2175" s="432"/>
      <c r="B2175" s="783"/>
      <c r="C2175" s="783"/>
      <c r="D2175" s="719" t="s">
        <v>611</v>
      </c>
      <c r="E2175" s="1569" t="s">
        <v>833</v>
      </c>
      <c r="F2175" s="871">
        <v>160</v>
      </c>
      <c r="G2175" s="871">
        <v>160</v>
      </c>
      <c r="H2175" s="871">
        <v>160</v>
      </c>
      <c r="I2175" s="866">
        <f t="shared" si="95"/>
        <v>100</v>
      </c>
    </row>
    <row r="2176" spans="1:9" ht="14.25" x14ac:dyDescent="0.2">
      <c r="A2176" s="432"/>
      <c r="B2176" s="783"/>
      <c r="C2176" s="783"/>
      <c r="D2176" s="554" t="s">
        <v>606</v>
      </c>
      <c r="E2176" s="456" t="s">
        <v>72</v>
      </c>
      <c r="F2176" s="871">
        <v>566</v>
      </c>
      <c r="G2176" s="871">
        <v>566</v>
      </c>
      <c r="H2176" s="871">
        <v>566</v>
      </c>
      <c r="I2176" s="866">
        <f t="shared" si="95"/>
        <v>100</v>
      </c>
    </row>
    <row r="2177" spans="1:20" ht="15" x14ac:dyDescent="0.25">
      <c r="A2177" s="432">
        <v>1226</v>
      </c>
      <c r="B2177" s="783">
        <v>3147</v>
      </c>
      <c r="C2177" s="783">
        <v>5336</v>
      </c>
      <c r="D2177" s="554"/>
      <c r="E2177" s="1479" t="s">
        <v>1269</v>
      </c>
      <c r="F2177" s="871"/>
      <c r="G2177" s="884">
        <v>2274</v>
      </c>
      <c r="H2177" s="884">
        <v>2274</v>
      </c>
      <c r="I2177" s="876">
        <f t="shared" si="95"/>
        <v>100</v>
      </c>
    </row>
    <row r="2178" spans="1:20" ht="14.25" x14ac:dyDescent="0.2">
      <c r="A2178" s="432"/>
      <c r="B2178" s="783"/>
      <c r="C2178" s="1468"/>
      <c r="D2178" s="554" t="s">
        <v>1182</v>
      </c>
      <c r="E2178" s="456" t="s">
        <v>832</v>
      </c>
      <c r="F2178" s="871"/>
      <c r="G2178" s="871">
        <v>2274</v>
      </c>
      <c r="H2178" s="871">
        <v>2274</v>
      </c>
      <c r="I2178" s="866">
        <f t="shared" si="95"/>
        <v>100</v>
      </c>
    </row>
    <row r="2179" spans="1:20" ht="15" x14ac:dyDescent="0.25">
      <c r="A2179" s="432">
        <v>1226</v>
      </c>
      <c r="B2179" s="783">
        <v>3293</v>
      </c>
      <c r="C2179" s="783">
        <v>5331</v>
      </c>
      <c r="D2179" s="897"/>
      <c r="E2179" s="680" t="s">
        <v>996</v>
      </c>
      <c r="F2179" s="873"/>
      <c r="G2179" s="873">
        <v>5</v>
      </c>
      <c r="H2179" s="873">
        <v>5</v>
      </c>
      <c r="I2179" s="874">
        <f t="shared" si="95"/>
        <v>100</v>
      </c>
    </row>
    <row r="2180" spans="1:20" ht="15" thickBot="1" x14ac:dyDescent="0.25">
      <c r="A2180" s="432"/>
      <c r="B2180" s="783"/>
      <c r="C2180" s="783"/>
      <c r="D2180" s="781" t="s">
        <v>1185</v>
      </c>
      <c r="E2180" s="1584" t="s">
        <v>62</v>
      </c>
      <c r="F2180" s="871"/>
      <c r="G2180" s="871">
        <v>5</v>
      </c>
      <c r="H2180" s="871">
        <v>5</v>
      </c>
      <c r="I2180" s="866">
        <f t="shared" si="95"/>
        <v>100</v>
      </c>
    </row>
    <row r="2181" spans="1:20" ht="16.5" thickTop="1" thickBot="1" x14ac:dyDescent="0.3">
      <c r="A2181" s="2685" t="s">
        <v>1162</v>
      </c>
      <c r="B2181" s="2686"/>
      <c r="C2181" s="2686"/>
      <c r="D2181" s="2686"/>
      <c r="E2181" s="2686"/>
      <c r="F2181" s="862">
        <f>F2160+F2168+F2174</f>
        <v>5379</v>
      </c>
      <c r="G2181" s="862">
        <f>G2158+G2160+G2164+G2168+G2172+G2174+G2177+G2179</f>
        <v>24110</v>
      </c>
      <c r="H2181" s="862">
        <f>H2158+H2160+H2164+H2168+H2172+H2174+H2177+H2179</f>
        <v>24110</v>
      </c>
      <c r="I2181" s="863">
        <f t="shared" si="95"/>
        <v>100</v>
      </c>
      <c r="R2181" s="383">
        <f>F2181</f>
        <v>5379</v>
      </c>
      <c r="S2181" s="383">
        <f>G2181</f>
        <v>24110</v>
      </c>
      <c r="T2181" s="383">
        <f>H2181</f>
        <v>24110</v>
      </c>
    </row>
    <row r="2182" spans="1:20" ht="15.75" thickTop="1" x14ac:dyDescent="0.25">
      <c r="A2182" s="369"/>
      <c r="B2182" s="369"/>
      <c r="C2182" s="369"/>
      <c r="D2182" s="369"/>
      <c r="E2182" s="369"/>
      <c r="F2182" s="181"/>
      <c r="G2182" s="181"/>
      <c r="H2182" s="181"/>
      <c r="I2182" s="210"/>
      <c r="R2182" s="383"/>
      <c r="S2182" s="383"/>
      <c r="T2182" s="383"/>
    </row>
    <row r="2183" spans="1:20" ht="13.5" thickBot="1" x14ac:dyDescent="0.25">
      <c r="A2183" s="433" t="s">
        <v>188</v>
      </c>
      <c r="I2183" s="1465" t="s">
        <v>173</v>
      </c>
    </row>
    <row r="2184" spans="1:20" ht="14.25" thickTop="1" thickBot="1" x14ac:dyDescent="0.25">
      <c r="A2184" s="633" t="s">
        <v>661</v>
      </c>
      <c r="B2184" s="810" t="s">
        <v>174</v>
      </c>
      <c r="C2184" s="634" t="s">
        <v>175</v>
      </c>
      <c r="D2184" s="636" t="s">
        <v>744</v>
      </c>
      <c r="E2184" s="636" t="s">
        <v>176</v>
      </c>
      <c r="F2184" s="636" t="s">
        <v>177</v>
      </c>
      <c r="G2184" s="636" t="s">
        <v>922</v>
      </c>
      <c r="H2184" s="636" t="s">
        <v>923</v>
      </c>
      <c r="I2184" s="856" t="s">
        <v>924</v>
      </c>
    </row>
    <row r="2185" spans="1:20" ht="14.25" thickTop="1" thickBot="1" x14ac:dyDescent="0.25">
      <c r="A2185" s="568">
        <v>1</v>
      </c>
      <c r="B2185" s="569">
        <v>2</v>
      </c>
      <c r="C2185" s="569">
        <v>3</v>
      </c>
      <c r="D2185" s="569">
        <v>4</v>
      </c>
      <c r="E2185" s="569">
        <v>5</v>
      </c>
      <c r="F2185" s="543">
        <v>6</v>
      </c>
      <c r="G2185" s="543">
        <v>7</v>
      </c>
      <c r="H2185" s="544">
        <v>8</v>
      </c>
      <c r="I2185" s="638" t="s">
        <v>801</v>
      </c>
    </row>
    <row r="2186" spans="1:20" ht="15.75" thickTop="1" x14ac:dyDescent="0.25">
      <c r="A2186" s="1477">
        <v>1227</v>
      </c>
      <c r="B2186" s="885">
        <v>3122</v>
      </c>
      <c r="C2186" s="885">
        <v>5336</v>
      </c>
      <c r="D2186" s="890"/>
      <c r="E2186" s="1479" t="s">
        <v>1269</v>
      </c>
      <c r="F2186" s="883"/>
      <c r="G2186" s="883">
        <f>G2187+G2188+G2189</f>
        <v>2843</v>
      </c>
      <c r="H2186" s="883">
        <f>H2187+H2188+H2189</f>
        <v>2843</v>
      </c>
      <c r="I2186" s="887">
        <f>(H2186/G2186)*100</f>
        <v>100</v>
      </c>
    </row>
    <row r="2187" spans="1:20" ht="14.25" x14ac:dyDescent="0.2">
      <c r="A2187" s="432"/>
      <c r="B2187" s="681"/>
      <c r="C2187" s="681"/>
      <c r="D2187" s="554" t="s">
        <v>1182</v>
      </c>
      <c r="E2187" s="456" t="s">
        <v>832</v>
      </c>
      <c r="F2187" s="865"/>
      <c r="G2187" s="865">
        <v>2517</v>
      </c>
      <c r="H2187" s="865">
        <v>2517</v>
      </c>
      <c r="I2187" s="861">
        <v>100</v>
      </c>
    </row>
    <row r="2188" spans="1:20" ht="14.25" x14ac:dyDescent="0.2">
      <c r="A2188" s="432"/>
      <c r="B2188" s="681"/>
      <c r="C2188" s="681"/>
      <c r="D2188" s="1481" t="s">
        <v>1608</v>
      </c>
      <c r="E2188" s="1476" t="s">
        <v>1717</v>
      </c>
      <c r="F2188" s="865"/>
      <c r="G2188" s="865">
        <v>49</v>
      </c>
      <c r="H2188" s="865">
        <v>49</v>
      </c>
      <c r="I2188" s="861">
        <v>100</v>
      </c>
    </row>
    <row r="2189" spans="1:20" ht="14.25" x14ac:dyDescent="0.2">
      <c r="A2189" s="432"/>
      <c r="B2189" s="681"/>
      <c r="C2189" s="681"/>
      <c r="D2189" s="1481" t="s">
        <v>1610</v>
      </c>
      <c r="E2189" s="1476" t="s">
        <v>1717</v>
      </c>
      <c r="F2189" s="865"/>
      <c r="G2189" s="865">
        <v>277</v>
      </c>
      <c r="H2189" s="865">
        <v>277</v>
      </c>
      <c r="I2189" s="861">
        <v>100</v>
      </c>
    </row>
    <row r="2190" spans="1:20" ht="15" x14ac:dyDescent="0.25">
      <c r="A2190" s="432">
        <v>1227</v>
      </c>
      <c r="B2190" s="681">
        <v>3123</v>
      </c>
      <c r="C2190" s="681">
        <v>5331</v>
      </c>
      <c r="D2190" s="857"/>
      <c r="E2190" s="829" t="s">
        <v>996</v>
      </c>
      <c r="F2190" s="858">
        <f>F2191+F2192+F2193+F2194</f>
        <v>3350</v>
      </c>
      <c r="G2190" s="858">
        <f>G2191+G2192+G2193+G2194</f>
        <v>3447</v>
      </c>
      <c r="H2190" s="858">
        <f>H2191+H2192+H2193+H2194</f>
        <v>3447</v>
      </c>
      <c r="I2190" s="859">
        <f t="shared" ref="I2190:I2202" si="96">(H2190/G2190)*100</f>
        <v>100</v>
      </c>
    </row>
    <row r="2191" spans="1:20" ht="14.25" x14ac:dyDescent="0.2">
      <c r="A2191" s="432"/>
      <c r="B2191" s="681"/>
      <c r="C2191" s="681"/>
      <c r="D2191" s="719" t="s">
        <v>611</v>
      </c>
      <c r="E2191" s="1569" t="s">
        <v>833</v>
      </c>
      <c r="F2191" s="357">
        <v>790</v>
      </c>
      <c r="G2191" s="865">
        <v>831</v>
      </c>
      <c r="H2191" s="865">
        <v>831</v>
      </c>
      <c r="I2191" s="861">
        <f t="shared" si="96"/>
        <v>100</v>
      </c>
    </row>
    <row r="2192" spans="1:20" ht="14.25" x14ac:dyDescent="0.2">
      <c r="A2192" s="432"/>
      <c r="B2192" s="681"/>
      <c r="C2192" s="681"/>
      <c r="D2192" s="554" t="s">
        <v>606</v>
      </c>
      <c r="E2192" s="456" t="s">
        <v>72</v>
      </c>
      <c r="F2192" s="865">
        <v>2310</v>
      </c>
      <c r="G2192" s="865">
        <v>2310</v>
      </c>
      <c r="H2192" s="865">
        <v>2310</v>
      </c>
      <c r="I2192" s="861">
        <f t="shared" si="96"/>
        <v>100</v>
      </c>
    </row>
    <row r="2193" spans="1:9" ht="14.25" x14ac:dyDescent="0.2">
      <c r="A2193" s="432"/>
      <c r="B2193" s="681"/>
      <c r="C2193" s="681"/>
      <c r="D2193" s="554" t="s">
        <v>703</v>
      </c>
      <c r="E2193" s="456" t="s">
        <v>75</v>
      </c>
      <c r="F2193" s="865">
        <v>250</v>
      </c>
      <c r="G2193" s="865">
        <v>250</v>
      </c>
      <c r="H2193" s="865">
        <v>250</v>
      </c>
      <c r="I2193" s="861">
        <f t="shared" si="96"/>
        <v>100</v>
      </c>
    </row>
    <row r="2194" spans="1:9" ht="14.25" x14ac:dyDescent="0.2">
      <c r="A2194" s="432"/>
      <c r="B2194" s="681"/>
      <c r="C2194" s="681"/>
      <c r="D2194" s="1120" t="s">
        <v>968</v>
      </c>
      <c r="E2194" s="1215" t="s">
        <v>1274</v>
      </c>
      <c r="F2194" s="865"/>
      <c r="G2194" s="865">
        <v>56</v>
      </c>
      <c r="H2194" s="865">
        <v>56</v>
      </c>
      <c r="I2194" s="861">
        <f t="shared" si="96"/>
        <v>100</v>
      </c>
    </row>
    <row r="2195" spans="1:9" ht="15" x14ac:dyDescent="0.25">
      <c r="A2195" s="432">
        <v>1227</v>
      </c>
      <c r="B2195" s="681">
        <v>3123</v>
      </c>
      <c r="C2195" s="681">
        <v>5336</v>
      </c>
      <c r="D2195" s="1119"/>
      <c r="E2195" s="1479" t="s">
        <v>1269</v>
      </c>
      <c r="F2195" s="865"/>
      <c r="G2195" s="889">
        <v>4743</v>
      </c>
      <c r="H2195" s="889">
        <v>4743</v>
      </c>
      <c r="I2195" s="891">
        <f t="shared" si="96"/>
        <v>100</v>
      </c>
    </row>
    <row r="2196" spans="1:9" ht="14.25" x14ac:dyDescent="0.2">
      <c r="A2196" s="432"/>
      <c r="B2196" s="681"/>
      <c r="C2196" s="681"/>
      <c r="D2196" s="554" t="s">
        <v>1182</v>
      </c>
      <c r="E2196" s="456" t="s">
        <v>832</v>
      </c>
      <c r="F2196" s="865"/>
      <c r="G2196" s="865">
        <v>4743</v>
      </c>
      <c r="H2196" s="865">
        <v>4743</v>
      </c>
      <c r="I2196" s="861">
        <f t="shared" si="96"/>
        <v>100</v>
      </c>
    </row>
    <row r="2197" spans="1:9" ht="15" x14ac:dyDescent="0.25">
      <c r="A2197" s="432">
        <v>1227</v>
      </c>
      <c r="B2197" s="783">
        <v>3142</v>
      </c>
      <c r="C2197" s="783">
        <v>5331</v>
      </c>
      <c r="D2197" s="897"/>
      <c r="E2197" s="680" t="s">
        <v>996</v>
      </c>
      <c r="F2197" s="873">
        <f>F2198+F2199</f>
        <v>307</v>
      </c>
      <c r="G2197" s="873">
        <f>G2198+G2199</f>
        <v>287</v>
      </c>
      <c r="H2197" s="873">
        <f>H2198+H2199</f>
        <v>287</v>
      </c>
      <c r="I2197" s="874">
        <f t="shared" si="96"/>
        <v>100</v>
      </c>
    </row>
    <row r="2198" spans="1:9" ht="14.25" x14ac:dyDescent="0.2">
      <c r="A2198" s="432"/>
      <c r="B2198" s="783"/>
      <c r="C2198" s="783"/>
      <c r="D2198" s="719" t="s">
        <v>611</v>
      </c>
      <c r="E2198" s="1569" t="s">
        <v>833</v>
      </c>
      <c r="F2198" s="871">
        <v>80</v>
      </c>
      <c r="G2198" s="871">
        <v>60</v>
      </c>
      <c r="H2198" s="871">
        <v>60</v>
      </c>
      <c r="I2198" s="866">
        <f t="shared" si="96"/>
        <v>100</v>
      </c>
    </row>
    <row r="2199" spans="1:9" ht="14.25" x14ac:dyDescent="0.2">
      <c r="A2199" s="432"/>
      <c r="B2199" s="783"/>
      <c r="C2199" s="783"/>
      <c r="D2199" s="554" t="s">
        <v>606</v>
      </c>
      <c r="E2199" s="456" t="s">
        <v>72</v>
      </c>
      <c r="F2199" s="871">
        <v>227</v>
      </c>
      <c r="G2199" s="871">
        <v>227</v>
      </c>
      <c r="H2199" s="871">
        <v>227</v>
      </c>
      <c r="I2199" s="866">
        <f t="shared" si="96"/>
        <v>100</v>
      </c>
    </row>
    <row r="2200" spans="1:9" ht="15" x14ac:dyDescent="0.25">
      <c r="A2200" s="432">
        <v>1227</v>
      </c>
      <c r="B2200" s="783">
        <v>3142</v>
      </c>
      <c r="C2200" s="783">
        <v>5336</v>
      </c>
      <c r="D2200" s="554"/>
      <c r="E2200" s="1479" t="s">
        <v>1269</v>
      </c>
      <c r="F2200" s="871"/>
      <c r="G2200" s="884">
        <v>372</v>
      </c>
      <c r="H2200" s="884">
        <v>372</v>
      </c>
      <c r="I2200" s="876">
        <f t="shared" si="96"/>
        <v>100</v>
      </c>
    </row>
    <row r="2201" spans="1:9" ht="14.25" x14ac:dyDescent="0.2">
      <c r="A2201" s="432"/>
      <c r="B2201" s="783"/>
      <c r="C2201" s="1468"/>
      <c r="D2201" s="554" t="s">
        <v>1182</v>
      </c>
      <c r="E2201" s="456" t="s">
        <v>832</v>
      </c>
      <c r="F2201" s="871"/>
      <c r="G2201" s="871">
        <v>372</v>
      </c>
      <c r="H2201" s="871">
        <v>372</v>
      </c>
      <c r="I2201" s="866">
        <f t="shared" si="96"/>
        <v>100</v>
      </c>
    </row>
    <row r="2202" spans="1:9" ht="15" x14ac:dyDescent="0.25">
      <c r="A2202" s="432">
        <v>1227</v>
      </c>
      <c r="B2202" s="783">
        <v>3147</v>
      </c>
      <c r="C2202" s="783">
        <v>5331</v>
      </c>
      <c r="D2202" s="897"/>
      <c r="E2202" s="680" t="s">
        <v>996</v>
      </c>
      <c r="F2202" s="873">
        <f>SUM(F2203:F2206)</f>
        <v>237</v>
      </c>
      <c r="G2202" s="873">
        <f>G2203+G2204</f>
        <v>216</v>
      </c>
      <c r="H2202" s="873">
        <f>H2203+H2204</f>
        <v>216</v>
      </c>
      <c r="I2202" s="874">
        <f t="shared" si="96"/>
        <v>100</v>
      </c>
    </row>
    <row r="2203" spans="1:9" ht="14.25" x14ac:dyDescent="0.2">
      <c r="A2203" s="432"/>
      <c r="B2203" s="783"/>
      <c r="C2203" s="783"/>
      <c r="D2203" s="719" t="s">
        <v>611</v>
      </c>
      <c r="E2203" s="1569" t="s">
        <v>833</v>
      </c>
      <c r="F2203" s="871">
        <v>85</v>
      </c>
      <c r="G2203" s="871">
        <v>64</v>
      </c>
      <c r="H2203" s="871">
        <v>64</v>
      </c>
      <c r="I2203" s="866">
        <v>100</v>
      </c>
    </row>
    <row r="2204" spans="1:9" ht="14.25" x14ac:dyDescent="0.2">
      <c r="A2204" s="432"/>
      <c r="B2204" s="783"/>
      <c r="C2204" s="783"/>
      <c r="D2204" s="554" t="s">
        <v>606</v>
      </c>
      <c r="E2204" s="456" t="s">
        <v>72</v>
      </c>
      <c r="F2204" s="871">
        <v>152</v>
      </c>
      <c r="G2204" s="871">
        <v>152</v>
      </c>
      <c r="H2204" s="871">
        <v>152</v>
      </c>
      <c r="I2204" s="866">
        <v>100</v>
      </c>
    </row>
    <row r="2205" spans="1:9" ht="15" x14ac:dyDescent="0.25">
      <c r="A2205" s="432">
        <v>1227</v>
      </c>
      <c r="B2205" s="783">
        <v>3147</v>
      </c>
      <c r="C2205" s="783">
        <v>5336</v>
      </c>
      <c r="D2205" s="554"/>
      <c r="E2205" s="1479" t="s">
        <v>1269</v>
      </c>
      <c r="F2205" s="871"/>
      <c r="G2205" s="884">
        <v>1185</v>
      </c>
      <c r="H2205" s="884">
        <v>1185</v>
      </c>
      <c r="I2205" s="876">
        <v>100</v>
      </c>
    </row>
    <row r="2206" spans="1:9" ht="18" customHeight="1" x14ac:dyDescent="0.2">
      <c r="A2206" s="432"/>
      <c r="B2206" s="783"/>
      <c r="C2206" s="783"/>
      <c r="D2206" s="554" t="s">
        <v>1182</v>
      </c>
      <c r="E2206" s="456" t="s">
        <v>832</v>
      </c>
      <c r="F2206" s="871"/>
      <c r="G2206" s="871">
        <v>1185</v>
      </c>
      <c r="H2206" s="871">
        <v>1185</v>
      </c>
      <c r="I2206" s="866">
        <f>(H2206/G2206)*100</f>
        <v>100</v>
      </c>
    </row>
    <row r="2207" spans="1:9" ht="15" x14ac:dyDescent="0.25">
      <c r="A2207" s="432">
        <v>1227</v>
      </c>
      <c r="B2207" s="783">
        <v>3293</v>
      </c>
      <c r="C2207" s="1468">
        <v>5331</v>
      </c>
      <c r="D2207" s="867"/>
      <c r="E2207" s="680" t="s">
        <v>996</v>
      </c>
      <c r="F2207" s="858"/>
      <c r="G2207" s="873">
        <v>20</v>
      </c>
      <c r="H2207" s="873">
        <v>20</v>
      </c>
      <c r="I2207" s="859">
        <f>(H2207/G2207)*100</f>
        <v>100</v>
      </c>
    </row>
    <row r="2208" spans="1:9" ht="15.75" thickBot="1" x14ac:dyDescent="0.3">
      <c r="A2208" s="432"/>
      <c r="B2208" s="783"/>
      <c r="C2208" s="1468"/>
      <c r="D2208" s="781" t="s">
        <v>1185</v>
      </c>
      <c r="E2208" s="1584" t="s">
        <v>62</v>
      </c>
      <c r="F2208" s="858"/>
      <c r="G2208" s="875">
        <v>20</v>
      </c>
      <c r="H2208" s="357">
        <v>20</v>
      </c>
      <c r="I2208" s="866">
        <f>(H2208/G2208)*100</f>
        <v>100</v>
      </c>
    </row>
    <row r="2209" spans="1:23" ht="16.5" thickTop="1" thickBot="1" x14ac:dyDescent="0.3">
      <c r="A2209" s="2685" t="s">
        <v>1162</v>
      </c>
      <c r="B2209" s="2686"/>
      <c r="C2209" s="2686"/>
      <c r="D2209" s="2686"/>
      <c r="E2209" s="2686"/>
      <c r="F2209" s="862">
        <f>F2190+F2197+F2202</f>
        <v>3894</v>
      </c>
      <c r="G2209" s="862">
        <f>G2186+G2190+G2195+G2197+G2200+G2202+G2205+G2207</f>
        <v>13113</v>
      </c>
      <c r="H2209" s="862">
        <f>H2186+H2190+H2195+H2197+H2200+H2202+H2205+H2207</f>
        <v>13113</v>
      </c>
      <c r="I2209" s="863">
        <f>(H2209/G2209)*100</f>
        <v>100</v>
      </c>
      <c r="R2209" s="383">
        <f>F2209</f>
        <v>3894</v>
      </c>
      <c r="S2209" s="383">
        <f>G2209</f>
        <v>13113</v>
      </c>
      <c r="T2209" s="383">
        <f>H2209</f>
        <v>13113</v>
      </c>
    </row>
    <row r="2210" spans="1:23" s="384" customFormat="1" ht="13.5" thickTop="1" x14ac:dyDescent="0.2">
      <c r="A2210" s="382"/>
      <c r="B2210" s="645"/>
      <c r="C2210" s="382"/>
      <c r="D2210" s="852"/>
      <c r="E2210" s="382"/>
      <c r="F2210" s="383"/>
      <c r="G2210" s="383"/>
      <c r="H2210" s="383"/>
      <c r="I2210" s="1465"/>
    </row>
    <row r="2211" spans="1:23" s="384" customFormat="1" x14ac:dyDescent="0.2">
      <c r="A2211" s="382"/>
      <c r="B2211" s="645"/>
      <c r="C2211" s="382"/>
      <c r="D2211" s="852"/>
      <c r="E2211" s="382"/>
      <c r="F2211" s="383"/>
      <c r="G2211" s="383"/>
      <c r="H2211" s="383"/>
      <c r="I2211" s="1465"/>
    </row>
    <row r="2212" spans="1:23" ht="13.5" thickBot="1" x14ac:dyDescent="0.25">
      <c r="A2212" s="433" t="s">
        <v>1129</v>
      </c>
      <c r="I2212" s="1465" t="s">
        <v>173</v>
      </c>
    </row>
    <row r="2213" spans="1:23" ht="14.25" thickTop="1" thickBot="1" x14ac:dyDescent="0.25">
      <c r="A2213" s="633" t="s">
        <v>661</v>
      </c>
      <c r="B2213" s="810" t="s">
        <v>174</v>
      </c>
      <c r="C2213" s="634" t="s">
        <v>175</v>
      </c>
      <c r="D2213" s="636" t="s">
        <v>744</v>
      </c>
      <c r="E2213" s="636" t="s">
        <v>176</v>
      </c>
      <c r="F2213" s="636" t="s">
        <v>177</v>
      </c>
      <c r="G2213" s="636" t="s">
        <v>922</v>
      </c>
      <c r="H2213" s="636" t="s">
        <v>923</v>
      </c>
      <c r="I2213" s="856" t="s">
        <v>924</v>
      </c>
    </row>
    <row r="2214" spans="1:23" ht="14.25" thickTop="1" thickBot="1" x14ac:dyDescent="0.25">
      <c r="A2214" s="568">
        <v>1</v>
      </c>
      <c r="B2214" s="569">
        <v>2</v>
      </c>
      <c r="C2214" s="569">
        <v>3</v>
      </c>
      <c r="D2214" s="569">
        <v>4</v>
      </c>
      <c r="E2214" s="569">
        <v>5</v>
      </c>
      <c r="F2214" s="543">
        <v>6</v>
      </c>
      <c r="G2214" s="543">
        <v>7</v>
      </c>
      <c r="H2214" s="544">
        <v>8</v>
      </c>
      <c r="I2214" s="638" t="s">
        <v>801</v>
      </c>
    </row>
    <row r="2215" spans="1:23" ht="18" customHeight="1" thickTop="1" x14ac:dyDescent="0.25">
      <c r="A2215" s="1477">
        <v>1300</v>
      </c>
      <c r="B2215" s="885">
        <v>3231</v>
      </c>
      <c r="C2215" s="885">
        <v>5331</v>
      </c>
      <c r="D2215" s="890"/>
      <c r="E2215" s="924" t="s">
        <v>996</v>
      </c>
      <c r="F2215" s="883">
        <v>282</v>
      </c>
      <c r="G2215" s="883">
        <v>280</v>
      </c>
      <c r="H2215" s="883">
        <v>280</v>
      </c>
      <c r="I2215" s="887">
        <f t="shared" ref="I2215:I2222" si="97">(H2215/G2215)*100</f>
        <v>100</v>
      </c>
    </row>
    <row r="2216" spans="1:23" ht="14.25" x14ac:dyDescent="0.2">
      <c r="A2216" s="432"/>
      <c r="B2216" s="681"/>
      <c r="C2216" s="681"/>
      <c r="D2216" s="719" t="s">
        <v>611</v>
      </c>
      <c r="E2216" s="1569" t="s">
        <v>833</v>
      </c>
      <c r="F2216" s="865">
        <v>282</v>
      </c>
      <c r="G2216" s="865">
        <v>280</v>
      </c>
      <c r="H2216" s="865">
        <v>280</v>
      </c>
      <c r="I2216" s="861">
        <f t="shared" si="97"/>
        <v>100</v>
      </c>
      <c r="R2216" s="383"/>
      <c r="S2216" s="383"/>
      <c r="T2216" s="383"/>
    </row>
    <row r="2217" spans="1:23" ht="15" x14ac:dyDescent="0.25">
      <c r="A2217" s="432">
        <v>1300</v>
      </c>
      <c r="B2217" s="681">
        <v>3231</v>
      </c>
      <c r="C2217" s="681">
        <v>5336</v>
      </c>
      <c r="D2217" s="1119"/>
      <c r="E2217" s="1479" t="s">
        <v>1269</v>
      </c>
      <c r="F2217" s="865"/>
      <c r="G2217" s="889">
        <v>13297</v>
      </c>
      <c r="H2217" s="889">
        <v>13297</v>
      </c>
      <c r="I2217" s="891">
        <f t="shared" si="97"/>
        <v>100</v>
      </c>
      <c r="R2217" s="383"/>
      <c r="S2217" s="383"/>
      <c r="T2217" s="383"/>
    </row>
    <row r="2218" spans="1:23" ht="15" thickBot="1" x14ac:dyDescent="0.25">
      <c r="A2218" s="432"/>
      <c r="B2218" s="681"/>
      <c r="C2218" s="1467"/>
      <c r="D2218" s="554" t="s">
        <v>1182</v>
      </c>
      <c r="E2218" s="456" t="s">
        <v>832</v>
      </c>
      <c r="F2218" s="865"/>
      <c r="G2218" s="865">
        <v>13297</v>
      </c>
      <c r="H2218" s="865">
        <v>13297</v>
      </c>
      <c r="I2218" s="861">
        <f t="shared" si="97"/>
        <v>100</v>
      </c>
    </row>
    <row r="2219" spans="1:23" ht="16.5" thickTop="1" thickBot="1" x14ac:dyDescent="0.3">
      <c r="A2219" s="2685" t="s">
        <v>1162</v>
      </c>
      <c r="B2219" s="2686"/>
      <c r="C2219" s="2686"/>
      <c r="D2219" s="2686"/>
      <c r="E2219" s="2686"/>
      <c r="F2219" s="862">
        <f>SUM(F2215)</f>
        <v>282</v>
      </c>
      <c r="G2219" s="862">
        <f>G2215+G2217</f>
        <v>13577</v>
      </c>
      <c r="H2219" s="862">
        <f>H2215+H2217</f>
        <v>13577</v>
      </c>
      <c r="I2219" s="863">
        <f t="shared" si="97"/>
        <v>100</v>
      </c>
      <c r="R2219" s="383">
        <f>F2219</f>
        <v>282</v>
      </c>
      <c r="S2219" s="383">
        <f>G2219</f>
        <v>13577</v>
      </c>
      <c r="T2219" s="383">
        <f>H2219</f>
        <v>13577</v>
      </c>
    </row>
    <row r="2220" spans="1:23" ht="15.75" thickTop="1" x14ac:dyDescent="0.25">
      <c r="A2220" s="432">
        <v>1300</v>
      </c>
      <c r="B2220" s="681">
        <v>3231</v>
      </c>
      <c r="C2220" s="681">
        <v>6351</v>
      </c>
      <c r="D2220" s="857"/>
      <c r="E2220" s="626" t="s">
        <v>1231</v>
      </c>
      <c r="F2220" s="858"/>
      <c r="G2220" s="858">
        <v>605</v>
      </c>
      <c r="H2220" s="858">
        <v>605</v>
      </c>
      <c r="I2220" s="859">
        <f t="shared" si="97"/>
        <v>100</v>
      </c>
    </row>
    <row r="2221" spans="1:23" ht="15.75" thickBot="1" x14ac:dyDescent="0.3">
      <c r="A2221" s="432"/>
      <c r="B2221" s="681"/>
      <c r="C2221" s="681"/>
      <c r="D2221" s="1369" t="s">
        <v>1243</v>
      </c>
      <c r="E2221" s="1371" t="s">
        <v>1528</v>
      </c>
      <c r="F2221" s="858"/>
      <c r="G2221" s="357">
        <v>605</v>
      </c>
      <c r="H2221" s="357">
        <v>605</v>
      </c>
      <c r="I2221" s="866">
        <f t="shared" si="97"/>
        <v>100</v>
      </c>
    </row>
    <row r="2222" spans="1:23" ht="16.5" thickTop="1" thickBot="1" x14ac:dyDescent="0.3">
      <c r="A2222" s="2685" t="s">
        <v>1163</v>
      </c>
      <c r="B2222" s="2686"/>
      <c r="C2222" s="2686"/>
      <c r="D2222" s="2686"/>
      <c r="E2222" s="2686"/>
      <c r="F2222" s="862">
        <v>0</v>
      </c>
      <c r="G2222" s="862">
        <f>G2220</f>
        <v>605</v>
      </c>
      <c r="H2222" s="862">
        <f>SUM(H2220)</f>
        <v>605</v>
      </c>
      <c r="I2222" s="863">
        <f t="shared" si="97"/>
        <v>100</v>
      </c>
      <c r="U2222" s="383">
        <f>F2222</f>
        <v>0</v>
      </c>
      <c r="V2222" s="383">
        <f>G2222</f>
        <v>605</v>
      </c>
      <c r="W2222" s="383">
        <f>H2222</f>
        <v>605</v>
      </c>
    </row>
    <row r="2223" spans="1:23" s="384" customFormat="1" ht="15" customHeight="1" thickTop="1" x14ac:dyDescent="0.2">
      <c r="A2223" s="382"/>
      <c r="B2223" s="645"/>
      <c r="C2223" s="382"/>
      <c r="D2223" s="852"/>
      <c r="E2223" s="382"/>
      <c r="F2223" s="383"/>
      <c r="G2223" s="383"/>
      <c r="H2223" s="383"/>
      <c r="I2223" s="1465"/>
    </row>
    <row r="2224" spans="1:23" s="384" customFormat="1" ht="15" customHeight="1" x14ac:dyDescent="0.2">
      <c r="A2224" s="382"/>
      <c r="B2224" s="645"/>
      <c r="C2224" s="382"/>
      <c r="D2224" s="852"/>
      <c r="E2224" s="382"/>
      <c r="F2224" s="383"/>
      <c r="G2224" s="383"/>
      <c r="H2224" s="383"/>
      <c r="I2224" s="1465"/>
    </row>
    <row r="2225" spans="1:20" ht="15" customHeight="1" thickBot="1" x14ac:dyDescent="0.25">
      <c r="A2225" s="433" t="s">
        <v>1130</v>
      </c>
      <c r="I2225" s="1465" t="s">
        <v>173</v>
      </c>
    </row>
    <row r="2226" spans="1:20" ht="14.25" thickTop="1" thickBot="1" x14ac:dyDescent="0.25">
      <c r="A2226" s="633" t="s">
        <v>661</v>
      </c>
      <c r="B2226" s="810" t="s">
        <v>174</v>
      </c>
      <c r="C2226" s="634" t="s">
        <v>175</v>
      </c>
      <c r="D2226" s="636" t="s">
        <v>744</v>
      </c>
      <c r="E2226" s="636" t="s">
        <v>176</v>
      </c>
      <c r="F2226" s="636" t="s">
        <v>177</v>
      </c>
      <c r="G2226" s="636" t="s">
        <v>922</v>
      </c>
      <c r="H2226" s="636" t="s">
        <v>923</v>
      </c>
      <c r="I2226" s="856" t="s">
        <v>924</v>
      </c>
    </row>
    <row r="2227" spans="1:20" ht="14.25" thickTop="1" thickBot="1" x14ac:dyDescent="0.25">
      <c r="A2227" s="568">
        <v>1</v>
      </c>
      <c r="B2227" s="569">
        <v>2</v>
      </c>
      <c r="C2227" s="569">
        <v>3</v>
      </c>
      <c r="D2227" s="569">
        <v>4</v>
      </c>
      <c r="E2227" s="569">
        <v>5</v>
      </c>
      <c r="F2227" s="543">
        <v>6</v>
      </c>
      <c r="G2227" s="543">
        <v>7</v>
      </c>
      <c r="H2227" s="544">
        <v>8</v>
      </c>
      <c r="I2227" s="638" t="s">
        <v>801</v>
      </c>
    </row>
    <row r="2228" spans="1:20" ht="15.75" thickTop="1" x14ac:dyDescent="0.25">
      <c r="A2228" s="1477">
        <v>1301</v>
      </c>
      <c r="B2228" s="885">
        <v>3231</v>
      </c>
      <c r="C2228" s="885">
        <v>5331</v>
      </c>
      <c r="D2228" s="890"/>
      <c r="E2228" s="924" t="s">
        <v>996</v>
      </c>
      <c r="F2228" s="883">
        <f>SUM(F2229:F2232)</f>
        <v>1224</v>
      </c>
      <c r="G2228" s="883">
        <f>G2229+G2230</f>
        <v>1243</v>
      </c>
      <c r="H2228" s="883">
        <f>H2229+H2230</f>
        <v>1243</v>
      </c>
      <c r="I2228" s="887">
        <f t="shared" ref="I2228:I2233" si="98">(H2228/G2228)*100</f>
        <v>100</v>
      </c>
    </row>
    <row r="2229" spans="1:20" ht="14.25" x14ac:dyDescent="0.2">
      <c r="A2229" s="432"/>
      <c r="B2229" s="681"/>
      <c r="C2229" s="681"/>
      <c r="D2229" s="719" t="s">
        <v>611</v>
      </c>
      <c r="E2229" s="1569" t="s">
        <v>833</v>
      </c>
      <c r="F2229" s="865">
        <v>1224</v>
      </c>
      <c r="G2229" s="865">
        <v>1238</v>
      </c>
      <c r="H2229" s="865">
        <v>1238</v>
      </c>
      <c r="I2229" s="861">
        <f t="shared" si="98"/>
        <v>100</v>
      </c>
    </row>
    <row r="2230" spans="1:20" ht="14.25" x14ac:dyDescent="0.2">
      <c r="A2230" s="432"/>
      <c r="B2230" s="681"/>
      <c r="C2230" s="681"/>
      <c r="D2230" s="1391" t="s">
        <v>1186</v>
      </c>
      <c r="E2230" s="2608" t="s">
        <v>443</v>
      </c>
      <c r="F2230" s="865"/>
      <c r="G2230" s="865">
        <v>5</v>
      </c>
      <c r="H2230" s="865">
        <v>5</v>
      </c>
      <c r="I2230" s="861">
        <f t="shared" si="98"/>
        <v>100</v>
      </c>
    </row>
    <row r="2231" spans="1:20" ht="18" customHeight="1" x14ac:dyDescent="0.25">
      <c r="A2231" s="432">
        <v>1301</v>
      </c>
      <c r="B2231" s="681">
        <v>3231</v>
      </c>
      <c r="C2231" s="681">
        <v>5336</v>
      </c>
      <c r="D2231" s="1119"/>
      <c r="E2231" s="1479" t="s">
        <v>1269</v>
      </c>
      <c r="F2231" s="865"/>
      <c r="G2231" s="889">
        <v>26737</v>
      </c>
      <c r="H2231" s="889">
        <v>26737</v>
      </c>
      <c r="I2231" s="891">
        <f t="shared" si="98"/>
        <v>100</v>
      </c>
    </row>
    <row r="2232" spans="1:20" ht="15" thickBot="1" x14ac:dyDescent="0.25">
      <c r="A2232" s="432"/>
      <c r="B2232" s="681"/>
      <c r="C2232" s="681"/>
      <c r="D2232" s="554" t="s">
        <v>1182</v>
      </c>
      <c r="E2232" s="456" t="s">
        <v>832</v>
      </c>
      <c r="F2232" s="865"/>
      <c r="G2232" s="865">
        <v>26737</v>
      </c>
      <c r="H2232" s="865">
        <v>26737</v>
      </c>
      <c r="I2232" s="861">
        <f t="shared" si="98"/>
        <v>100</v>
      </c>
    </row>
    <row r="2233" spans="1:20" ht="16.5" thickTop="1" thickBot="1" x14ac:dyDescent="0.3">
      <c r="A2233" s="2685" t="s">
        <v>1162</v>
      </c>
      <c r="B2233" s="2686"/>
      <c r="C2233" s="2686"/>
      <c r="D2233" s="2686"/>
      <c r="E2233" s="2686"/>
      <c r="F2233" s="862">
        <f>SUM(F2228)</f>
        <v>1224</v>
      </c>
      <c r="G2233" s="862">
        <f>G2228+G2231</f>
        <v>27980</v>
      </c>
      <c r="H2233" s="862">
        <f>H2228+H2231</f>
        <v>27980</v>
      </c>
      <c r="I2233" s="863">
        <f t="shared" si="98"/>
        <v>100</v>
      </c>
      <c r="R2233" s="383">
        <f>F2233</f>
        <v>1224</v>
      </c>
      <c r="S2233" s="383">
        <f>G2233</f>
        <v>27980</v>
      </c>
      <c r="T2233" s="383">
        <f>H2233</f>
        <v>27980</v>
      </c>
    </row>
    <row r="2234" spans="1:20" s="107" customFormat="1" ht="13.5" thickTop="1" x14ac:dyDescent="0.2">
      <c r="A2234" s="382"/>
      <c r="B2234" s="645"/>
      <c r="C2234" s="382"/>
      <c r="D2234" s="852"/>
      <c r="E2234" s="382"/>
      <c r="F2234" s="383"/>
      <c r="G2234" s="383"/>
      <c r="H2234" s="383"/>
      <c r="I2234" s="1465"/>
    </row>
    <row r="2235" spans="1:20" s="384" customFormat="1" x14ac:dyDescent="0.2">
      <c r="A2235" s="382"/>
      <c r="B2235" s="645"/>
      <c r="C2235" s="382"/>
      <c r="D2235" s="852"/>
      <c r="E2235" s="382"/>
      <c r="F2235" s="383"/>
      <c r="G2235" s="383"/>
      <c r="H2235" s="383"/>
      <c r="I2235" s="1465"/>
    </row>
    <row r="2236" spans="1:20" ht="13.5" thickBot="1" x14ac:dyDescent="0.25">
      <c r="A2236" s="433" t="s">
        <v>150</v>
      </c>
      <c r="I2236" s="1465" t="s">
        <v>173</v>
      </c>
    </row>
    <row r="2237" spans="1:20" ht="14.25" thickTop="1" thickBot="1" x14ac:dyDescent="0.25">
      <c r="A2237" s="633" t="s">
        <v>661</v>
      </c>
      <c r="B2237" s="810" t="s">
        <v>174</v>
      </c>
      <c r="C2237" s="634" t="s">
        <v>175</v>
      </c>
      <c r="D2237" s="636" t="s">
        <v>744</v>
      </c>
      <c r="E2237" s="636" t="s">
        <v>176</v>
      </c>
      <c r="F2237" s="636" t="s">
        <v>177</v>
      </c>
      <c r="G2237" s="636" t="s">
        <v>922</v>
      </c>
      <c r="H2237" s="636" t="s">
        <v>923</v>
      </c>
      <c r="I2237" s="856" t="s">
        <v>924</v>
      </c>
    </row>
    <row r="2238" spans="1:20" ht="14.25" thickTop="1" thickBot="1" x14ac:dyDescent="0.25">
      <c r="A2238" s="568">
        <v>1</v>
      </c>
      <c r="B2238" s="569">
        <v>2</v>
      </c>
      <c r="C2238" s="569">
        <v>3</v>
      </c>
      <c r="D2238" s="569">
        <v>4</v>
      </c>
      <c r="E2238" s="569">
        <v>5</v>
      </c>
      <c r="F2238" s="543">
        <v>6</v>
      </c>
      <c r="G2238" s="543">
        <v>7</v>
      </c>
      <c r="H2238" s="544">
        <v>8</v>
      </c>
      <c r="I2238" s="638" t="s">
        <v>801</v>
      </c>
    </row>
    <row r="2239" spans="1:20" ht="15.75" thickTop="1" x14ac:dyDescent="0.25">
      <c r="A2239" s="1477">
        <v>1302</v>
      </c>
      <c r="B2239" s="885">
        <v>3231</v>
      </c>
      <c r="C2239" s="885">
        <v>5331</v>
      </c>
      <c r="D2239" s="890"/>
      <c r="E2239" s="924" t="s">
        <v>996</v>
      </c>
      <c r="F2239" s="883">
        <v>155</v>
      </c>
      <c r="G2239" s="883">
        <v>107</v>
      </c>
      <c r="H2239" s="883">
        <v>107</v>
      </c>
      <c r="I2239" s="887">
        <f t="shared" ref="I2239:I2243" si="99">(H2239/G2239)*100</f>
        <v>100</v>
      </c>
    </row>
    <row r="2240" spans="1:20" ht="14.25" x14ac:dyDescent="0.2">
      <c r="A2240" s="432"/>
      <c r="B2240" s="681"/>
      <c r="C2240" s="681"/>
      <c r="D2240" s="719" t="s">
        <v>611</v>
      </c>
      <c r="E2240" s="1569" t="s">
        <v>833</v>
      </c>
      <c r="F2240" s="865">
        <v>155</v>
      </c>
      <c r="G2240" s="865">
        <v>107</v>
      </c>
      <c r="H2240" s="865">
        <v>107</v>
      </c>
      <c r="I2240" s="861">
        <f t="shared" si="99"/>
        <v>100</v>
      </c>
    </row>
    <row r="2241" spans="1:20" ht="15" x14ac:dyDescent="0.25">
      <c r="A2241" s="432">
        <v>1302</v>
      </c>
      <c r="B2241" s="783">
        <v>3231</v>
      </c>
      <c r="C2241" s="783">
        <v>5336</v>
      </c>
      <c r="D2241" s="1120"/>
      <c r="E2241" s="1479" t="s">
        <v>1269</v>
      </c>
      <c r="F2241" s="871"/>
      <c r="G2241" s="884">
        <v>4047</v>
      </c>
      <c r="H2241" s="884">
        <v>4047</v>
      </c>
      <c r="I2241" s="891">
        <f t="shared" si="99"/>
        <v>100</v>
      </c>
    </row>
    <row r="2242" spans="1:20" ht="15" thickBot="1" x14ac:dyDescent="0.25">
      <c r="A2242" s="432"/>
      <c r="B2242" s="783"/>
      <c r="C2242" s="1468"/>
      <c r="D2242" s="554" t="s">
        <v>1182</v>
      </c>
      <c r="E2242" s="456" t="s">
        <v>832</v>
      </c>
      <c r="F2242" s="871"/>
      <c r="G2242" s="871">
        <v>4047</v>
      </c>
      <c r="H2242" s="871">
        <v>4047</v>
      </c>
      <c r="I2242" s="866">
        <f t="shared" si="99"/>
        <v>100</v>
      </c>
    </row>
    <row r="2243" spans="1:20" ht="16.5" thickTop="1" thickBot="1" x14ac:dyDescent="0.3">
      <c r="A2243" s="2685" t="s">
        <v>1162</v>
      </c>
      <c r="B2243" s="2686"/>
      <c r="C2243" s="2686"/>
      <c r="D2243" s="2686"/>
      <c r="E2243" s="2686"/>
      <c r="F2243" s="862">
        <f>F2239</f>
        <v>155</v>
      </c>
      <c r="G2243" s="862">
        <f>G2239+G2241</f>
        <v>4154</v>
      </c>
      <c r="H2243" s="862">
        <f>H2239+H2241</f>
        <v>4154</v>
      </c>
      <c r="I2243" s="863">
        <f t="shared" si="99"/>
        <v>100</v>
      </c>
      <c r="R2243" s="383">
        <f>F2243</f>
        <v>155</v>
      </c>
      <c r="S2243" s="383">
        <f>G2243</f>
        <v>4154</v>
      </c>
      <c r="T2243" s="383">
        <f>H2243</f>
        <v>4154</v>
      </c>
    </row>
    <row r="2244" spans="1:20" s="384" customFormat="1" ht="13.5" thickTop="1" x14ac:dyDescent="0.2">
      <c r="A2244" s="382"/>
      <c r="B2244" s="645"/>
      <c r="C2244" s="382"/>
      <c r="D2244" s="852"/>
      <c r="E2244" s="382"/>
      <c r="F2244" s="383"/>
      <c r="G2244" s="383"/>
      <c r="H2244" s="383"/>
      <c r="I2244" s="1465"/>
    </row>
    <row r="2245" spans="1:20" ht="13.5" customHeight="1" thickBot="1" x14ac:dyDescent="0.25">
      <c r="A2245" s="433" t="s">
        <v>687</v>
      </c>
      <c r="I2245" s="1465" t="s">
        <v>173</v>
      </c>
    </row>
    <row r="2246" spans="1:20" ht="13.5" customHeight="1" thickTop="1" thickBot="1" x14ac:dyDescent="0.25">
      <c r="A2246" s="633" t="s">
        <v>661</v>
      </c>
      <c r="B2246" s="810" t="s">
        <v>174</v>
      </c>
      <c r="C2246" s="634" t="s">
        <v>175</v>
      </c>
      <c r="D2246" s="636" t="s">
        <v>744</v>
      </c>
      <c r="E2246" s="636" t="s">
        <v>176</v>
      </c>
      <c r="F2246" s="636" t="s">
        <v>177</v>
      </c>
      <c r="G2246" s="636" t="s">
        <v>922</v>
      </c>
      <c r="H2246" s="636" t="s">
        <v>923</v>
      </c>
      <c r="I2246" s="856" t="s">
        <v>924</v>
      </c>
    </row>
    <row r="2247" spans="1:20" ht="14.25" thickTop="1" thickBot="1" x14ac:dyDescent="0.25">
      <c r="A2247" s="568">
        <v>1</v>
      </c>
      <c r="B2247" s="569">
        <v>2</v>
      </c>
      <c r="C2247" s="569">
        <v>3</v>
      </c>
      <c r="D2247" s="569">
        <v>4</v>
      </c>
      <c r="E2247" s="569">
        <v>5</v>
      </c>
      <c r="F2247" s="543">
        <v>6</v>
      </c>
      <c r="G2247" s="543">
        <v>7</v>
      </c>
      <c r="H2247" s="544">
        <v>8</v>
      </c>
      <c r="I2247" s="638" t="s">
        <v>801</v>
      </c>
    </row>
    <row r="2248" spans="1:20" ht="15.75" thickTop="1" x14ac:dyDescent="0.25">
      <c r="A2248" s="1477">
        <v>1303</v>
      </c>
      <c r="B2248" s="885">
        <v>3231</v>
      </c>
      <c r="C2248" s="885">
        <v>5331</v>
      </c>
      <c r="D2248" s="890"/>
      <c r="E2248" s="924" t="s">
        <v>996</v>
      </c>
      <c r="F2248" s="883">
        <v>142</v>
      </c>
      <c r="G2248" s="883">
        <v>144</v>
      </c>
      <c r="H2248" s="883">
        <v>144</v>
      </c>
      <c r="I2248" s="887">
        <f>(H2248/G2248)*100</f>
        <v>100</v>
      </c>
    </row>
    <row r="2249" spans="1:20" ht="14.25" x14ac:dyDescent="0.2">
      <c r="A2249" s="432"/>
      <c r="B2249" s="681"/>
      <c r="C2249" s="681"/>
      <c r="D2249" s="719" t="s">
        <v>611</v>
      </c>
      <c r="E2249" s="1569" t="s">
        <v>833</v>
      </c>
      <c r="F2249" s="865">
        <v>144</v>
      </c>
      <c r="G2249" s="865">
        <v>144</v>
      </c>
      <c r="H2249" s="865">
        <v>144</v>
      </c>
      <c r="I2249" s="861">
        <f>(H2249/G2249)*100</f>
        <v>100</v>
      </c>
    </row>
    <row r="2250" spans="1:20" ht="15" x14ac:dyDescent="0.25">
      <c r="A2250" s="432">
        <v>1303</v>
      </c>
      <c r="B2250" s="681">
        <v>3231</v>
      </c>
      <c r="C2250" s="878">
        <v>5336</v>
      </c>
      <c r="D2250" s="1119"/>
      <c r="E2250" s="1479" t="s">
        <v>1269</v>
      </c>
      <c r="F2250" s="865"/>
      <c r="G2250" s="889">
        <v>7304</v>
      </c>
      <c r="H2250" s="889">
        <v>7304</v>
      </c>
      <c r="I2250" s="891">
        <f>(H2250/G2250)*100</f>
        <v>100</v>
      </c>
    </row>
    <row r="2251" spans="1:20" ht="20.25" customHeight="1" thickBot="1" x14ac:dyDescent="0.25">
      <c r="A2251" s="1488"/>
      <c r="B2251" s="868"/>
      <c r="C2251" s="947"/>
      <c r="D2251" s="554" t="s">
        <v>1182</v>
      </c>
      <c r="E2251" s="456" t="s">
        <v>832</v>
      </c>
      <c r="F2251" s="869"/>
      <c r="G2251" s="869">
        <v>7304</v>
      </c>
      <c r="H2251" s="869">
        <v>7304</v>
      </c>
      <c r="I2251" s="870">
        <f>(H2251/G2251)*100</f>
        <v>100</v>
      </c>
    </row>
    <row r="2252" spans="1:20" ht="16.5" thickTop="1" thickBot="1" x14ac:dyDescent="0.3">
      <c r="A2252" s="2685" t="s">
        <v>1162</v>
      </c>
      <c r="B2252" s="2686"/>
      <c r="C2252" s="2686"/>
      <c r="D2252" s="2686"/>
      <c r="E2252" s="2686"/>
      <c r="F2252" s="862">
        <f>F2248+F2250</f>
        <v>142</v>
      </c>
      <c r="G2252" s="862">
        <f>G2248+G2250</f>
        <v>7448</v>
      </c>
      <c r="H2252" s="862">
        <f>H2248+H2250</f>
        <v>7448</v>
      </c>
      <c r="I2252" s="863">
        <f>(H2252/G2252)*100</f>
        <v>100</v>
      </c>
      <c r="R2252" s="383">
        <f>F2252</f>
        <v>142</v>
      </c>
      <c r="S2252" s="383">
        <f>G2252</f>
        <v>7448</v>
      </c>
      <c r="T2252" s="383">
        <f>H2252</f>
        <v>7448</v>
      </c>
    </row>
    <row r="2253" spans="1:20" ht="14.25" thickTop="1" thickBot="1" x14ac:dyDescent="0.25">
      <c r="A2253" s="433" t="s">
        <v>151</v>
      </c>
      <c r="I2253" s="1465" t="s">
        <v>173</v>
      </c>
    </row>
    <row r="2254" spans="1:20" ht="14.25" thickTop="1" thickBot="1" x14ac:dyDescent="0.25">
      <c r="A2254" s="633" t="s">
        <v>661</v>
      </c>
      <c r="B2254" s="810" t="s">
        <v>174</v>
      </c>
      <c r="C2254" s="634" t="s">
        <v>175</v>
      </c>
      <c r="D2254" s="636" t="s">
        <v>744</v>
      </c>
      <c r="E2254" s="636" t="s">
        <v>176</v>
      </c>
      <c r="F2254" s="636" t="s">
        <v>177</v>
      </c>
      <c r="G2254" s="636" t="s">
        <v>922</v>
      </c>
      <c r="H2254" s="636" t="s">
        <v>923</v>
      </c>
      <c r="I2254" s="856" t="s">
        <v>924</v>
      </c>
    </row>
    <row r="2255" spans="1:20" ht="14.25" thickTop="1" thickBot="1" x14ac:dyDescent="0.25">
      <c r="A2255" s="568">
        <v>1</v>
      </c>
      <c r="B2255" s="569">
        <v>2</v>
      </c>
      <c r="C2255" s="569">
        <v>3</v>
      </c>
      <c r="D2255" s="569">
        <v>4</v>
      </c>
      <c r="E2255" s="569">
        <v>5</v>
      </c>
      <c r="F2255" s="543">
        <v>6</v>
      </c>
      <c r="G2255" s="543">
        <v>7</v>
      </c>
      <c r="H2255" s="544">
        <v>8</v>
      </c>
      <c r="I2255" s="638" t="s">
        <v>801</v>
      </c>
    </row>
    <row r="2256" spans="1:20" ht="18" customHeight="1" thickTop="1" x14ac:dyDescent="0.25">
      <c r="A2256" s="1477">
        <v>1304</v>
      </c>
      <c r="B2256" s="885">
        <v>3231</v>
      </c>
      <c r="C2256" s="885">
        <v>5331</v>
      </c>
      <c r="D2256" s="890"/>
      <c r="E2256" s="924" t="s">
        <v>996</v>
      </c>
      <c r="F2256" s="883">
        <f>F2257+F2258</f>
        <v>179</v>
      </c>
      <c r="G2256" s="883">
        <f>G2257+G2258</f>
        <v>161</v>
      </c>
      <c r="H2256" s="883">
        <f>H2257+H2258</f>
        <v>161</v>
      </c>
      <c r="I2256" s="887">
        <f t="shared" ref="I2256:I2263" si="100">(H2256/G2256)*100</f>
        <v>100</v>
      </c>
    </row>
    <row r="2257" spans="1:20" ht="14.25" x14ac:dyDescent="0.2">
      <c r="A2257" s="432"/>
      <c r="B2257" s="681"/>
      <c r="C2257" s="681"/>
      <c r="D2257" s="719" t="s">
        <v>611</v>
      </c>
      <c r="E2257" s="1569" t="s">
        <v>833</v>
      </c>
      <c r="F2257" s="865">
        <v>78</v>
      </c>
      <c r="G2257" s="865">
        <v>60</v>
      </c>
      <c r="H2257" s="865">
        <v>60</v>
      </c>
      <c r="I2257" s="861">
        <f t="shared" si="100"/>
        <v>100</v>
      </c>
    </row>
    <row r="2258" spans="1:20" ht="14.25" x14ac:dyDescent="0.2">
      <c r="A2258" s="432"/>
      <c r="B2258" s="681"/>
      <c r="C2258" s="681"/>
      <c r="D2258" s="554" t="s">
        <v>606</v>
      </c>
      <c r="E2258" s="456" t="s">
        <v>72</v>
      </c>
      <c r="F2258" s="865">
        <v>101</v>
      </c>
      <c r="G2258" s="865">
        <v>101</v>
      </c>
      <c r="H2258" s="865">
        <v>101</v>
      </c>
      <c r="I2258" s="861">
        <f t="shared" si="100"/>
        <v>100</v>
      </c>
    </row>
    <row r="2259" spans="1:20" ht="15" x14ac:dyDescent="0.25">
      <c r="A2259" s="432">
        <v>1304</v>
      </c>
      <c r="B2259" s="681">
        <v>3231</v>
      </c>
      <c r="C2259" s="681">
        <v>5336</v>
      </c>
      <c r="D2259" s="554"/>
      <c r="E2259" s="1479" t="s">
        <v>1269</v>
      </c>
      <c r="F2259" s="865"/>
      <c r="G2259" s="889">
        <v>11147</v>
      </c>
      <c r="H2259" s="889">
        <v>11147</v>
      </c>
      <c r="I2259" s="891">
        <f t="shared" si="100"/>
        <v>100</v>
      </c>
    </row>
    <row r="2260" spans="1:20" ht="14.25" x14ac:dyDescent="0.2">
      <c r="A2260" s="432"/>
      <c r="B2260" s="681"/>
      <c r="C2260" s="1467"/>
      <c r="D2260" s="554" t="s">
        <v>1182</v>
      </c>
      <c r="E2260" s="456" t="s">
        <v>832</v>
      </c>
      <c r="F2260" s="865"/>
      <c r="G2260" s="865">
        <v>11147</v>
      </c>
      <c r="H2260" s="865">
        <v>11147</v>
      </c>
      <c r="I2260" s="861">
        <f t="shared" si="100"/>
        <v>100</v>
      </c>
    </row>
    <row r="2261" spans="1:20" ht="15" x14ac:dyDescent="0.25">
      <c r="A2261" s="432">
        <v>1304</v>
      </c>
      <c r="B2261" s="681">
        <v>3299</v>
      </c>
      <c r="C2261" s="1467">
        <v>5331</v>
      </c>
      <c r="D2261" s="554"/>
      <c r="E2261" s="829" t="s">
        <v>996</v>
      </c>
      <c r="F2261" s="865"/>
      <c r="G2261" s="889">
        <v>15</v>
      </c>
      <c r="H2261" s="889">
        <v>15</v>
      </c>
      <c r="I2261" s="891">
        <f t="shared" si="100"/>
        <v>100</v>
      </c>
    </row>
    <row r="2262" spans="1:20" ht="15" thickBot="1" x14ac:dyDescent="0.25">
      <c r="A2262" s="432"/>
      <c r="B2262" s="681"/>
      <c r="C2262" s="1467"/>
      <c r="D2262" s="1110" t="s">
        <v>1180</v>
      </c>
      <c r="E2262" s="1215" t="s">
        <v>24</v>
      </c>
      <c r="F2262" s="865"/>
      <c r="G2262" s="865">
        <v>15</v>
      </c>
      <c r="H2262" s="865">
        <v>15</v>
      </c>
      <c r="I2262" s="861">
        <f t="shared" si="100"/>
        <v>100</v>
      </c>
    </row>
    <row r="2263" spans="1:20" ht="16.5" thickTop="1" thickBot="1" x14ac:dyDescent="0.3">
      <c r="A2263" s="2685" t="s">
        <v>1162</v>
      </c>
      <c r="B2263" s="2686"/>
      <c r="C2263" s="2686"/>
      <c r="D2263" s="2686"/>
      <c r="E2263" s="2686"/>
      <c r="F2263" s="862">
        <f>F2256+F2259</f>
        <v>179</v>
      </c>
      <c r="G2263" s="862">
        <f>G2256+G2259+G2261</f>
        <v>11323</v>
      </c>
      <c r="H2263" s="862">
        <f>H2256+H2259+H2261</f>
        <v>11323</v>
      </c>
      <c r="I2263" s="863">
        <f t="shared" si="100"/>
        <v>100</v>
      </c>
      <c r="R2263" s="383">
        <f>F2263</f>
        <v>179</v>
      </c>
      <c r="S2263" s="383">
        <f>G2263</f>
        <v>11323</v>
      </c>
      <c r="T2263" s="383">
        <f>H2263</f>
        <v>11323</v>
      </c>
    </row>
    <row r="2264" spans="1:20" s="384" customFormat="1" ht="13.5" thickTop="1" x14ac:dyDescent="0.2">
      <c r="A2264" s="382"/>
      <c r="B2264" s="645"/>
      <c r="C2264" s="382"/>
      <c r="D2264" s="852"/>
      <c r="E2264" s="382"/>
      <c r="F2264" s="383"/>
      <c r="G2264" s="383"/>
      <c r="H2264" s="383"/>
      <c r="I2264" s="1465"/>
    </row>
    <row r="2265" spans="1:20" s="384" customFormat="1" x14ac:dyDescent="0.2">
      <c r="A2265" s="382"/>
      <c r="B2265" s="645"/>
      <c r="C2265" s="382"/>
      <c r="D2265" s="852"/>
      <c r="E2265" s="382"/>
      <c r="F2265" s="383"/>
      <c r="G2265" s="383"/>
      <c r="H2265" s="383"/>
      <c r="I2265" s="1465"/>
    </row>
    <row r="2266" spans="1:20" s="384" customFormat="1" x14ac:dyDescent="0.2">
      <c r="A2266" s="382"/>
      <c r="B2266" s="645"/>
      <c r="C2266" s="382"/>
      <c r="D2266" s="852"/>
      <c r="E2266" s="382"/>
      <c r="F2266" s="383"/>
      <c r="G2266" s="383"/>
      <c r="H2266" s="383"/>
      <c r="I2266" s="1465"/>
    </row>
    <row r="2267" spans="1:20" ht="13.5" thickBot="1" x14ac:dyDescent="0.25">
      <c r="A2267" s="433" t="s">
        <v>152</v>
      </c>
      <c r="I2267" s="1465" t="s">
        <v>173</v>
      </c>
    </row>
    <row r="2268" spans="1:20" ht="14.25" thickTop="1" thickBot="1" x14ac:dyDescent="0.25">
      <c r="A2268" s="633" t="s">
        <v>661</v>
      </c>
      <c r="B2268" s="810" t="s">
        <v>174</v>
      </c>
      <c r="C2268" s="634" t="s">
        <v>175</v>
      </c>
      <c r="D2268" s="636" t="s">
        <v>744</v>
      </c>
      <c r="E2268" s="636" t="s">
        <v>176</v>
      </c>
      <c r="F2268" s="636" t="s">
        <v>177</v>
      </c>
      <c r="G2268" s="636" t="s">
        <v>922</v>
      </c>
      <c r="H2268" s="636" t="s">
        <v>923</v>
      </c>
      <c r="I2268" s="856" t="s">
        <v>924</v>
      </c>
    </row>
    <row r="2269" spans="1:20" ht="14.25" thickTop="1" thickBot="1" x14ac:dyDescent="0.25">
      <c r="A2269" s="568">
        <v>1</v>
      </c>
      <c r="B2269" s="569">
        <v>2</v>
      </c>
      <c r="C2269" s="569">
        <v>3</v>
      </c>
      <c r="D2269" s="569">
        <v>4</v>
      </c>
      <c r="E2269" s="569">
        <v>5</v>
      </c>
      <c r="F2269" s="543">
        <v>6</v>
      </c>
      <c r="G2269" s="543">
        <v>7</v>
      </c>
      <c r="H2269" s="544">
        <v>8</v>
      </c>
      <c r="I2269" s="638" t="s">
        <v>801</v>
      </c>
    </row>
    <row r="2270" spans="1:20" ht="15.75" thickTop="1" x14ac:dyDescent="0.25">
      <c r="A2270" s="1477">
        <v>1305</v>
      </c>
      <c r="B2270" s="885">
        <v>3231</v>
      </c>
      <c r="C2270" s="885">
        <v>5331</v>
      </c>
      <c r="D2270" s="890"/>
      <c r="E2270" s="924" t="s">
        <v>996</v>
      </c>
      <c r="F2270" s="883">
        <f>SUM(F2271:F2274)</f>
        <v>54</v>
      </c>
      <c r="G2270" s="883">
        <f>G2271+G2272</f>
        <v>54</v>
      </c>
      <c r="H2270" s="883">
        <f>H2271+H2272</f>
        <v>54</v>
      </c>
      <c r="I2270" s="887">
        <f t="shared" ref="I2270:I2275" si="101">(H2270/G2270)*100</f>
        <v>100</v>
      </c>
    </row>
    <row r="2271" spans="1:20" ht="14.25" x14ac:dyDescent="0.2">
      <c r="A2271" s="432"/>
      <c r="B2271" s="681"/>
      <c r="C2271" s="681"/>
      <c r="D2271" s="719" t="s">
        <v>611</v>
      </c>
      <c r="E2271" s="1569" t="s">
        <v>833</v>
      </c>
      <c r="F2271" s="865">
        <v>5</v>
      </c>
      <c r="G2271" s="865">
        <v>5</v>
      </c>
      <c r="H2271" s="865">
        <v>5</v>
      </c>
      <c r="I2271" s="861">
        <f t="shared" si="101"/>
        <v>100</v>
      </c>
    </row>
    <row r="2272" spans="1:20" ht="12.75" customHeight="1" x14ac:dyDescent="0.2">
      <c r="A2272" s="432"/>
      <c r="B2272" s="681"/>
      <c r="C2272" s="681"/>
      <c r="D2272" s="554" t="s">
        <v>606</v>
      </c>
      <c r="E2272" s="456" t="s">
        <v>72</v>
      </c>
      <c r="F2272" s="865">
        <v>49</v>
      </c>
      <c r="G2272" s="865">
        <v>49</v>
      </c>
      <c r="H2272" s="865">
        <v>49</v>
      </c>
      <c r="I2272" s="861">
        <f t="shared" si="101"/>
        <v>100</v>
      </c>
    </row>
    <row r="2273" spans="1:20" ht="15" customHeight="1" x14ac:dyDescent="0.25">
      <c r="A2273" s="432">
        <v>1305</v>
      </c>
      <c r="B2273" s="681">
        <v>3231</v>
      </c>
      <c r="C2273" s="681">
        <v>5336</v>
      </c>
      <c r="D2273" s="1119"/>
      <c r="E2273" s="1479" t="s">
        <v>1269</v>
      </c>
      <c r="F2273" s="865"/>
      <c r="G2273" s="889">
        <v>5522</v>
      </c>
      <c r="H2273" s="889">
        <v>5522</v>
      </c>
      <c r="I2273" s="891">
        <f t="shared" si="101"/>
        <v>100</v>
      </c>
    </row>
    <row r="2274" spans="1:20" ht="15" customHeight="1" thickBot="1" x14ac:dyDescent="0.25">
      <c r="A2274" s="432"/>
      <c r="B2274" s="681"/>
      <c r="C2274" s="1467"/>
      <c r="D2274" s="554" t="s">
        <v>1182</v>
      </c>
      <c r="E2274" s="456" t="s">
        <v>832</v>
      </c>
      <c r="F2274" s="865"/>
      <c r="G2274" s="865">
        <v>5522</v>
      </c>
      <c r="H2274" s="865">
        <v>5522</v>
      </c>
      <c r="I2274" s="861">
        <f t="shared" si="101"/>
        <v>100</v>
      </c>
    </row>
    <row r="2275" spans="1:20" ht="16.5" thickTop="1" thickBot="1" x14ac:dyDescent="0.3">
      <c r="A2275" s="2685" t="s">
        <v>1162</v>
      </c>
      <c r="B2275" s="2686"/>
      <c r="C2275" s="2686"/>
      <c r="D2275" s="2686"/>
      <c r="E2275" s="2686"/>
      <c r="F2275" s="862">
        <f>F2270</f>
        <v>54</v>
      </c>
      <c r="G2275" s="862">
        <f>G2270+G2273</f>
        <v>5576</v>
      </c>
      <c r="H2275" s="862">
        <f>H2270+H2273</f>
        <v>5576</v>
      </c>
      <c r="I2275" s="863">
        <f t="shared" si="101"/>
        <v>100</v>
      </c>
      <c r="R2275" s="383">
        <f>F2275</f>
        <v>54</v>
      </c>
      <c r="S2275" s="383">
        <f>G2275</f>
        <v>5576</v>
      </c>
      <c r="T2275" s="383">
        <f>H2275</f>
        <v>5576</v>
      </c>
    </row>
    <row r="2276" spans="1:20" s="384" customFormat="1" ht="13.5" thickTop="1" x14ac:dyDescent="0.2">
      <c r="A2276" s="382"/>
      <c r="B2276" s="645"/>
      <c r="C2276" s="382"/>
      <c r="D2276" s="852"/>
      <c r="E2276" s="382"/>
      <c r="F2276" s="383"/>
      <c r="G2276" s="383"/>
      <c r="H2276" s="383"/>
      <c r="I2276" s="1465"/>
    </row>
    <row r="2277" spans="1:20" s="384" customFormat="1" x14ac:dyDescent="0.2">
      <c r="A2277" s="382"/>
      <c r="B2277" s="645"/>
      <c r="C2277" s="382"/>
      <c r="D2277" s="852"/>
      <c r="E2277" s="382"/>
      <c r="F2277" s="383"/>
      <c r="G2277" s="383"/>
      <c r="H2277" s="383"/>
      <c r="I2277" s="1465"/>
    </row>
    <row r="2278" spans="1:20" s="384" customFormat="1" x14ac:dyDescent="0.2">
      <c r="A2278" s="382"/>
      <c r="B2278" s="645"/>
      <c r="C2278" s="382"/>
      <c r="D2278" s="852"/>
      <c r="E2278" s="382"/>
      <c r="F2278" s="383"/>
      <c r="G2278" s="383"/>
      <c r="H2278" s="383"/>
      <c r="I2278" s="1465"/>
    </row>
    <row r="2279" spans="1:20" ht="13.5" thickBot="1" x14ac:dyDescent="0.25">
      <c r="A2279" s="433" t="s">
        <v>1131</v>
      </c>
      <c r="I2279" s="1465" t="s">
        <v>173</v>
      </c>
    </row>
    <row r="2280" spans="1:20" ht="14.25" thickTop="1" thickBot="1" x14ac:dyDescent="0.25">
      <c r="A2280" s="633" t="s">
        <v>661</v>
      </c>
      <c r="B2280" s="810" t="s">
        <v>174</v>
      </c>
      <c r="C2280" s="634" t="s">
        <v>175</v>
      </c>
      <c r="D2280" s="636" t="s">
        <v>744</v>
      </c>
      <c r="E2280" s="636" t="s">
        <v>176</v>
      </c>
      <c r="F2280" s="636" t="s">
        <v>177</v>
      </c>
      <c r="G2280" s="636" t="s">
        <v>922</v>
      </c>
      <c r="H2280" s="636" t="s">
        <v>923</v>
      </c>
      <c r="I2280" s="856" t="s">
        <v>924</v>
      </c>
    </row>
    <row r="2281" spans="1:20" ht="14.25" thickTop="1" thickBot="1" x14ac:dyDescent="0.25">
      <c r="A2281" s="568">
        <v>1</v>
      </c>
      <c r="B2281" s="569">
        <v>2</v>
      </c>
      <c r="C2281" s="569">
        <v>3</v>
      </c>
      <c r="D2281" s="569">
        <v>4</v>
      </c>
      <c r="E2281" s="569">
        <v>5</v>
      </c>
      <c r="F2281" s="543">
        <v>6</v>
      </c>
      <c r="G2281" s="543">
        <v>7</v>
      </c>
      <c r="H2281" s="544">
        <v>8</v>
      </c>
      <c r="I2281" s="638" t="s">
        <v>801</v>
      </c>
    </row>
    <row r="2282" spans="1:20" ht="15.75" thickTop="1" x14ac:dyDescent="0.25">
      <c r="A2282" s="1477">
        <v>1306</v>
      </c>
      <c r="B2282" s="885">
        <v>3231</v>
      </c>
      <c r="C2282" s="885">
        <v>5331</v>
      </c>
      <c r="D2282" s="890"/>
      <c r="E2282" s="924" t="s">
        <v>996</v>
      </c>
      <c r="F2282" s="883">
        <f>SUM(F2283:F2285)</f>
        <v>82</v>
      </c>
      <c r="G2282" s="883">
        <v>82</v>
      </c>
      <c r="H2282" s="883">
        <v>82</v>
      </c>
      <c r="I2282" s="887">
        <f t="shared" ref="I2282:I2288" si="102">(H2282/G2282)*100</f>
        <v>100</v>
      </c>
    </row>
    <row r="2283" spans="1:20" ht="14.25" x14ac:dyDescent="0.2">
      <c r="A2283" s="432"/>
      <c r="B2283" s="681"/>
      <c r="C2283" s="681"/>
      <c r="D2283" s="554" t="s">
        <v>606</v>
      </c>
      <c r="E2283" s="456" t="s">
        <v>72</v>
      </c>
      <c r="F2283" s="865">
        <v>82</v>
      </c>
      <c r="G2283" s="865">
        <v>82</v>
      </c>
      <c r="H2283" s="865">
        <v>82</v>
      </c>
      <c r="I2283" s="861">
        <f t="shared" si="102"/>
        <v>100</v>
      </c>
    </row>
    <row r="2284" spans="1:20" ht="15" x14ac:dyDescent="0.25">
      <c r="A2284" s="432">
        <v>1306</v>
      </c>
      <c r="B2284" s="783">
        <v>3231</v>
      </c>
      <c r="C2284" s="783">
        <v>5336</v>
      </c>
      <c r="D2284" s="1119"/>
      <c r="E2284" s="1479" t="s">
        <v>1269</v>
      </c>
      <c r="F2284" s="871"/>
      <c r="G2284" s="884">
        <v>3317</v>
      </c>
      <c r="H2284" s="884">
        <v>3317</v>
      </c>
      <c r="I2284" s="891">
        <f t="shared" si="102"/>
        <v>100</v>
      </c>
    </row>
    <row r="2285" spans="1:20" ht="14.25" x14ac:dyDescent="0.2">
      <c r="A2285" s="432"/>
      <c r="B2285" s="783"/>
      <c r="C2285" s="1468"/>
      <c r="D2285" s="554" t="s">
        <v>1182</v>
      </c>
      <c r="E2285" s="456" t="s">
        <v>832</v>
      </c>
      <c r="F2285" s="871"/>
      <c r="G2285" s="871">
        <v>3317</v>
      </c>
      <c r="H2285" s="871">
        <v>3317</v>
      </c>
      <c r="I2285" s="866">
        <f t="shared" si="102"/>
        <v>100</v>
      </c>
    </row>
    <row r="2286" spans="1:20" ht="15" x14ac:dyDescent="0.25">
      <c r="A2286" s="432">
        <v>1306</v>
      </c>
      <c r="B2286" s="783">
        <v>3299</v>
      </c>
      <c r="C2286" s="1468">
        <v>5331</v>
      </c>
      <c r="D2286" s="554"/>
      <c r="E2286" s="829" t="s">
        <v>996</v>
      </c>
      <c r="F2286" s="871"/>
      <c r="G2286" s="884">
        <v>15</v>
      </c>
      <c r="H2286" s="884">
        <v>15</v>
      </c>
      <c r="I2286" s="891">
        <f t="shared" si="102"/>
        <v>100</v>
      </c>
    </row>
    <row r="2287" spans="1:20" ht="15" thickBot="1" x14ac:dyDescent="0.25">
      <c r="A2287" s="432"/>
      <c r="B2287" s="783"/>
      <c r="C2287" s="1468"/>
      <c r="D2287" s="1110" t="s">
        <v>1180</v>
      </c>
      <c r="E2287" s="1215" t="s">
        <v>24</v>
      </c>
      <c r="F2287" s="871"/>
      <c r="G2287" s="871">
        <v>15</v>
      </c>
      <c r="H2287" s="871">
        <v>15</v>
      </c>
      <c r="I2287" s="866">
        <f t="shared" si="102"/>
        <v>100</v>
      </c>
    </row>
    <row r="2288" spans="1:20" ht="16.5" thickTop="1" thickBot="1" x14ac:dyDescent="0.3">
      <c r="A2288" s="2685" t="s">
        <v>1162</v>
      </c>
      <c r="B2288" s="2686"/>
      <c r="C2288" s="2686"/>
      <c r="D2288" s="2686"/>
      <c r="E2288" s="2686"/>
      <c r="F2288" s="862">
        <f>F2282+F2284</f>
        <v>82</v>
      </c>
      <c r="G2288" s="862">
        <f>G2282+G2284+G2286</f>
        <v>3414</v>
      </c>
      <c r="H2288" s="862">
        <f>H2282+H2284+H2286</f>
        <v>3414</v>
      </c>
      <c r="I2288" s="863">
        <f t="shared" si="102"/>
        <v>100</v>
      </c>
      <c r="R2288" s="383">
        <f>F2288</f>
        <v>82</v>
      </c>
      <c r="S2288" s="383">
        <f>G2288</f>
        <v>3414</v>
      </c>
      <c r="T2288" s="383">
        <f>H2288</f>
        <v>3414</v>
      </c>
    </row>
    <row r="2289" spans="1:20" s="384" customFormat="1" ht="13.5" thickTop="1" x14ac:dyDescent="0.2">
      <c r="A2289" s="382"/>
      <c r="B2289" s="645"/>
      <c r="C2289" s="382"/>
      <c r="D2289" s="852"/>
      <c r="E2289" s="382"/>
      <c r="F2289" s="383"/>
      <c r="G2289" s="383"/>
      <c r="H2289" s="383"/>
      <c r="I2289" s="1465"/>
    </row>
    <row r="2290" spans="1:20" s="384" customFormat="1" x14ac:dyDescent="0.2">
      <c r="A2290" s="382"/>
      <c r="B2290" s="645"/>
      <c r="C2290" s="382"/>
      <c r="D2290" s="852"/>
      <c r="E2290" s="382"/>
      <c r="F2290" s="383"/>
      <c r="G2290" s="383"/>
      <c r="H2290" s="383"/>
      <c r="I2290" s="1465"/>
    </row>
    <row r="2291" spans="1:20" s="384" customFormat="1" x14ac:dyDescent="0.2">
      <c r="A2291" s="382"/>
      <c r="B2291" s="645"/>
      <c r="C2291" s="382"/>
      <c r="D2291" s="852"/>
      <c r="E2291" s="382"/>
      <c r="F2291" s="383"/>
      <c r="G2291" s="383"/>
      <c r="H2291" s="383"/>
      <c r="I2291" s="1465"/>
    </row>
    <row r="2292" spans="1:20" ht="13.5" thickBot="1" x14ac:dyDescent="0.25">
      <c r="A2292" s="433" t="s">
        <v>1132</v>
      </c>
      <c r="I2292" s="1465" t="s">
        <v>173</v>
      </c>
    </row>
    <row r="2293" spans="1:20" ht="14.25" thickTop="1" thickBot="1" x14ac:dyDescent="0.25">
      <c r="A2293" s="633" t="s">
        <v>661</v>
      </c>
      <c r="B2293" s="810" t="s">
        <v>174</v>
      </c>
      <c r="C2293" s="634" t="s">
        <v>175</v>
      </c>
      <c r="D2293" s="636" t="s">
        <v>744</v>
      </c>
      <c r="E2293" s="636" t="s">
        <v>176</v>
      </c>
      <c r="F2293" s="636" t="s">
        <v>177</v>
      </c>
      <c r="G2293" s="636" t="s">
        <v>922</v>
      </c>
      <c r="H2293" s="636" t="s">
        <v>923</v>
      </c>
      <c r="I2293" s="856" t="s">
        <v>924</v>
      </c>
    </row>
    <row r="2294" spans="1:20" ht="14.25" thickTop="1" thickBot="1" x14ac:dyDescent="0.25">
      <c r="A2294" s="568">
        <v>1</v>
      </c>
      <c r="B2294" s="569">
        <v>2</v>
      </c>
      <c r="C2294" s="569">
        <v>3</v>
      </c>
      <c r="D2294" s="569">
        <v>4</v>
      </c>
      <c r="E2294" s="569">
        <v>5</v>
      </c>
      <c r="F2294" s="543">
        <v>6</v>
      </c>
      <c r="G2294" s="543">
        <v>7</v>
      </c>
      <c r="H2294" s="544">
        <v>8</v>
      </c>
      <c r="I2294" s="638" t="s">
        <v>801</v>
      </c>
    </row>
    <row r="2295" spans="1:20" ht="15.75" thickTop="1" x14ac:dyDescent="0.25">
      <c r="A2295" s="1477">
        <v>1307</v>
      </c>
      <c r="B2295" s="885">
        <v>3231</v>
      </c>
      <c r="C2295" s="885">
        <v>5331</v>
      </c>
      <c r="D2295" s="890"/>
      <c r="E2295" s="924" t="s">
        <v>996</v>
      </c>
      <c r="F2295" s="883">
        <f>SUM(F2296:F2300)</f>
        <v>240</v>
      </c>
      <c r="G2295" s="883">
        <f>SUM(G2296:G2298)</f>
        <v>440</v>
      </c>
      <c r="H2295" s="883">
        <f>SUM(H2296:H2298)</f>
        <v>440</v>
      </c>
      <c r="I2295" s="887">
        <f t="shared" ref="I2295:I2301" si="103">(H2295/G2295)*100</f>
        <v>100</v>
      </c>
    </row>
    <row r="2296" spans="1:20" ht="14.25" x14ac:dyDescent="0.2">
      <c r="A2296" s="432"/>
      <c r="B2296" s="681"/>
      <c r="C2296" s="681"/>
      <c r="D2296" s="719" t="s">
        <v>611</v>
      </c>
      <c r="E2296" s="1569" t="s">
        <v>833</v>
      </c>
      <c r="F2296" s="865">
        <v>52</v>
      </c>
      <c r="G2296" s="865">
        <v>52</v>
      </c>
      <c r="H2296" s="865">
        <v>52</v>
      </c>
      <c r="I2296" s="861">
        <f t="shared" si="103"/>
        <v>100</v>
      </c>
    </row>
    <row r="2297" spans="1:20" ht="14.25" x14ac:dyDescent="0.2">
      <c r="A2297" s="432"/>
      <c r="B2297" s="681"/>
      <c r="C2297" s="681"/>
      <c r="D2297" s="554" t="s">
        <v>606</v>
      </c>
      <c r="E2297" s="456" t="s">
        <v>72</v>
      </c>
      <c r="F2297" s="865">
        <v>188</v>
      </c>
      <c r="G2297" s="865">
        <v>188</v>
      </c>
      <c r="H2297" s="865">
        <v>188</v>
      </c>
      <c r="I2297" s="861">
        <f t="shared" si="103"/>
        <v>100</v>
      </c>
    </row>
    <row r="2298" spans="1:20" ht="14.25" x14ac:dyDescent="0.2">
      <c r="A2298" s="432"/>
      <c r="B2298" s="681"/>
      <c r="C2298" s="681"/>
      <c r="D2298" s="781" t="s">
        <v>1186</v>
      </c>
      <c r="E2298" s="1619" t="s">
        <v>443</v>
      </c>
      <c r="F2298" s="865"/>
      <c r="G2298" s="865">
        <v>200</v>
      </c>
      <c r="H2298" s="865">
        <v>200</v>
      </c>
      <c r="I2298" s="861">
        <f t="shared" si="103"/>
        <v>100</v>
      </c>
    </row>
    <row r="2299" spans="1:20" ht="15" x14ac:dyDescent="0.25">
      <c r="A2299" s="432">
        <v>1307</v>
      </c>
      <c r="B2299" s="681">
        <v>3231</v>
      </c>
      <c r="C2299" s="681">
        <v>5336</v>
      </c>
      <c r="D2299" s="781"/>
      <c r="E2299" s="1479" t="s">
        <v>1269</v>
      </c>
      <c r="F2299" s="865"/>
      <c r="G2299" s="889">
        <v>13313</v>
      </c>
      <c r="H2299" s="889">
        <v>13313</v>
      </c>
      <c r="I2299" s="891">
        <f t="shared" si="103"/>
        <v>100</v>
      </c>
    </row>
    <row r="2300" spans="1:20" ht="18" customHeight="1" thickBot="1" x14ac:dyDescent="0.25">
      <c r="A2300" s="432"/>
      <c r="B2300" s="681"/>
      <c r="C2300" s="1467"/>
      <c r="D2300" s="554" t="s">
        <v>1182</v>
      </c>
      <c r="E2300" s="456" t="s">
        <v>832</v>
      </c>
      <c r="F2300" s="865"/>
      <c r="G2300" s="865">
        <v>13313</v>
      </c>
      <c r="H2300" s="865">
        <v>13313</v>
      </c>
      <c r="I2300" s="861">
        <f t="shared" si="103"/>
        <v>100</v>
      </c>
    </row>
    <row r="2301" spans="1:20" ht="16.5" thickTop="1" thickBot="1" x14ac:dyDescent="0.3">
      <c r="A2301" s="2685" t="s">
        <v>1162</v>
      </c>
      <c r="B2301" s="2686"/>
      <c r="C2301" s="2686"/>
      <c r="D2301" s="2686"/>
      <c r="E2301" s="2686"/>
      <c r="F2301" s="862">
        <f>F2295</f>
        <v>240</v>
      </c>
      <c r="G2301" s="862">
        <f>G2295+G2299</f>
        <v>13753</v>
      </c>
      <c r="H2301" s="862">
        <f>H2295+H2299</f>
        <v>13753</v>
      </c>
      <c r="I2301" s="863">
        <f t="shared" si="103"/>
        <v>100</v>
      </c>
      <c r="R2301" s="383">
        <f>F2301</f>
        <v>240</v>
      </c>
      <c r="S2301" s="383">
        <f>G2301</f>
        <v>13753</v>
      </c>
      <c r="T2301" s="383">
        <f>H2301</f>
        <v>13753</v>
      </c>
    </row>
    <row r="2302" spans="1:20" s="384" customFormat="1" ht="13.5" thickTop="1" x14ac:dyDescent="0.2">
      <c r="A2302" s="382"/>
      <c r="B2302" s="645"/>
      <c r="C2302" s="382"/>
      <c r="D2302" s="852"/>
      <c r="E2302" s="382"/>
      <c r="F2302" s="383"/>
      <c r="G2302" s="383"/>
      <c r="H2302" s="383"/>
      <c r="I2302" s="1465"/>
    </row>
    <row r="2303" spans="1:20" s="384" customFormat="1" x14ac:dyDescent="0.2">
      <c r="A2303" s="382"/>
      <c r="B2303" s="645"/>
      <c r="C2303" s="382"/>
      <c r="D2303" s="852"/>
      <c r="E2303" s="382"/>
      <c r="F2303" s="383"/>
      <c r="G2303" s="383"/>
      <c r="H2303" s="383"/>
      <c r="I2303" s="1465"/>
    </row>
    <row r="2304" spans="1:20" s="384" customFormat="1" x14ac:dyDescent="0.2">
      <c r="A2304" s="382"/>
      <c r="B2304" s="645"/>
      <c r="C2304" s="382"/>
      <c r="D2304" s="852"/>
      <c r="E2304" s="382"/>
      <c r="F2304" s="383"/>
      <c r="G2304" s="383"/>
      <c r="H2304" s="383"/>
      <c r="I2304" s="1465"/>
    </row>
    <row r="2305" spans="1:20" ht="13.5" thickBot="1" x14ac:dyDescent="0.25">
      <c r="A2305" s="433" t="s">
        <v>1133</v>
      </c>
      <c r="I2305" s="1465" t="s">
        <v>173</v>
      </c>
    </row>
    <row r="2306" spans="1:20" ht="14.25" thickTop="1" thickBot="1" x14ac:dyDescent="0.25">
      <c r="A2306" s="633" t="s">
        <v>661</v>
      </c>
      <c r="B2306" s="810" t="s">
        <v>174</v>
      </c>
      <c r="C2306" s="634" t="s">
        <v>175</v>
      </c>
      <c r="D2306" s="636" t="s">
        <v>744</v>
      </c>
      <c r="E2306" s="636" t="s">
        <v>176</v>
      </c>
      <c r="F2306" s="636" t="s">
        <v>177</v>
      </c>
      <c r="G2306" s="636" t="s">
        <v>922</v>
      </c>
      <c r="H2306" s="636" t="s">
        <v>923</v>
      </c>
      <c r="I2306" s="856" t="s">
        <v>924</v>
      </c>
    </row>
    <row r="2307" spans="1:20" ht="14.25" thickTop="1" thickBot="1" x14ac:dyDescent="0.25">
      <c r="A2307" s="568">
        <v>1</v>
      </c>
      <c r="B2307" s="569">
        <v>2</v>
      </c>
      <c r="C2307" s="569">
        <v>3</v>
      </c>
      <c r="D2307" s="569">
        <v>4</v>
      </c>
      <c r="E2307" s="569">
        <v>5</v>
      </c>
      <c r="F2307" s="543">
        <v>6</v>
      </c>
      <c r="G2307" s="543">
        <v>7</v>
      </c>
      <c r="H2307" s="544">
        <v>8</v>
      </c>
      <c r="I2307" s="638" t="s">
        <v>801</v>
      </c>
    </row>
    <row r="2308" spans="1:20" ht="15.75" thickTop="1" x14ac:dyDescent="0.25">
      <c r="A2308" s="1477">
        <v>1308</v>
      </c>
      <c r="B2308" s="885">
        <v>3231</v>
      </c>
      <c r="C2308" s="885">
        <v>5331</v>
      </c>
      <c r="D2308" s="890"/>
      <c r="E2308" s="924" t="s">
        <v>996</v>
      </c>
      <c r="F2308" s="883">
        <f>SUM(F2309:F2311)</f>
        <v>25</v>
      </c>
      <c r="G2308" s="883">
        <v>25</v>
      </c>
      <c r="H2308" s="883">
        <v>25</v>
      </c>
      <c r="I2308" s="887">
        <f>(H2308/G2308)*100</f>
        <v>100</v>
      </c>
    </row>
    <row r="2309" spans="1:20" ht="14.25" x14ac:dyDescent="0.2">
      <c r="A2309" s="432"/>
      <c r="B2309" s="681"/>
      <c r="C2309" s="681"/>
      <c r="D2309" s="554" t="s">
        <v>606</v>
      </c>
      <c r="E2309" s="456" t="s">
        <v>72</v>
      </c>
      <c r="F2309" s="865">
        <v>25</v>
      </c>
      <c r="G2309" s="865">
        <v>25</v>
      </c>
      <c r="H2309" s="865">
        <v>25</v>
      </c>
      <c r="I2309" s="861">
        <v>100</v>
      </c>
    </row>
    <row r="2310" spans="1:20" ht="15" x14ac:dyDescent="0.25">
      <c r="A2310" s="432">
        <v>1308</v>
      </c>
      <c r="B2310" s="681">
        <v>3231</v>
      </c>
      <c r="C2310" s="681">
        <v>5336</v>
      </c>
      <c r="D2310" s="554"/>
      <c r="E2310" s="1479" t="s">
        <v>1269</v>
      </c>
      <c r="F2310" s="865"/>
      <c r="G2310" s="889">
        <v>4811</v>
      </c>
      <c r="H2310" s="889">
        <v>4811</v>
      </c>
      <c r="I2310" s="891">
        <v>100</v>
      </c>
    </row>
    <row r="2311" spans="1:20" ht="15" thickBot="1" x14ac:dyDescent="0.25">
      <c r="A2311" s="432"/>
      <c r="B2311" s="681"/>
      <c r="C2311" s="681"/>
      <c r="D2311" s="554" t="s">
        <v>1182</v>
      </c>
      <c r="E2311" s="456" t="s">
        <v>832</v>
      </c>
      <c r="F2311" s="865"/>
      <c r="G2311" s="865">
        <v>4811</v>
      </c>
      <c r="H2311" s="865">
        <v>4811</v>
      </c>
      <c r="I2311" s="861">
        <f>(H2311/G2311)*100</f>
        <v>100</v>
      </c>
    </row>
    <row r="2312" spans="1:20" ht="16.5" thickTop="1" thickBot="1" x14ac:dyDescent="0.3">
      <c r="A2312" s="2685" t="s">
        <v>1162</v>
      </c>
      <c r="B2312" s="2686"/>
      <c r="C2312" s="2686"/>
      <c r="D2312" s="2686"/>
      <c r="E2312" s="2686"/>
      <c r="F2312" s="862">
        <f>SUM(F2308)</f>
        <v>25</v>
      </c>
      <c r="G2312" s="862">
        <f>G2308+G2310</f>
        <v>4836</v>
      </c>
      <c r="H2312" s="862">
        <f>H2308+H2310</f>
        <v>4836</v>
      </c>
      <c r="I2312" s="863">
        <f>(H2312/G2312)*100</f>
        <v>100</v>
      </c>
      <c r="R2312" s="383">
        <f>F2312</f>
        <v>25</v>
      </c>
      <c r="S2312" s="383">
        <f>G2312</f>
        <v>4836</v>
      </c>
      <c r="T2312" s="383">
        <f>H2312</f>
        <v>4836</v>
      </c>
    </row>
    <row r="2313" spans="1:20" ht="18" customHeight="1" thickTop="1" x14ac:dyDescent="0.25">
      <c r="A2313" s="369"/>
      <c r="B2313" s="369"/>
      <c r="C2313" s="369"/>
      <c r="D2313" s="369"/>
      <c r="E2313" s="369"/>
      <c r="F2313" s="181"/>
      <c r="G2313" s="181"/>
      <c r="H2313" s="181"/>
      <c r="I2313" s="210"/>
      <c r="R2313" s="383"/>
      <c r="S2313" s="383"/>
      <c r="T2313" s="383"/>
    </row>
    <row r="2314" spans="1:20" ht="18" customHeight="1" x14ac:dyDescent="0.25">
      <c r="A2314" s="369"/>
      <c r="B2314" s="369"/>
      <c r="C2314" s="369"/>
      <c r="D2314" s="369"/>
      <c r="E2314" s="369"/>
      <c r="F2314" s="181"/>
      <c r="G2314" s="181"/>
      <c r="H2314" s="181"/>
      <c r="I2314" s="210"/>
      <c r="R2314" s="383"/>
      <c r="S2314" s="383"/>
      <c r="T2314" s="383"/>
    </row>
    <row r="2315" spans="1:20" ht="13.5" thickBot="1" x14ac:dyDescent="0.25">
      <c r="A2315" s="433" t="s">
        <v>153</v>
      </c>
      <c r="I2315" s="1465" t="s">
        <v>173</v>
      </c>
    </row>
    <row r="2316" spans="1:20" ht="14.25" thickTop="1" thickBot="1" x14ac:dyDescent="0.25">
      <c r="A2316" s="633" t="s">
        <v>661</v>
      </c>
      <c r="B2316" s="810" t="s">
        <v>174</v>
      </c>
      <c r="C2316" s="634" t="s">
        <v>175</v>
      </c>
      <c r="D2316" s="636" t="s">
        <v>744</v>
      </c>
      <c r="E2316" s="636" t="s">
        <v>176</v>
      </c>
      <c r="F2316" s="636" t="s">
        <v>177</v>
      </c>
      <c r="G2316" s="636" t="s">
        <v>922</v>
      </c>
      <c r="H2316" s="636" t="s">
        <v>923</v>
      </c>
      <c r="I2316" s="856" t="s">
        <v>924</v>
      </c>
    </row>
    <row r="2317" spans="1:20" ht="14.25" thickTop="1" thickBot="1" x14ac:dyDescent="0.25">
      <c r="A2317" s="568">
        <v>1</v>
      </c>
      <c r="B2317" s="569">
        <v>2</v>
      </c>
      <c r="C2317" s="569">
        <v>3</v>
      </c>
      <c r="D2317" s="569">
        <v>4</v>
      </c>
      <c r="E2317" s="569">
        <v>5</v>
      </c>
      <c r="F2317" s="543">
        <v>6</v>
      </c>
      <c r="G2317" s="543">
        <v>7</v>
      </c>
      <c r="H2317" s="544">
        <v>8</v>
      </c>
      <c r="I2317" s="638" t="s">
        <v>801</v>
      </c>
    </row>
    <row r="2318" spans="1:20" ht="15.75" thickTop="1" x14ac:dyDescent="0.25">
      <c r="A2318" s="1477">
        <v>1309</v>
      </c>
      <c r="B2318" s="885">
        <v>3231</v>
      </c>
      <c r="C2318" s="885">
        <v>5331</v>
      </c>
      <c r="D2318" s="890"/>
      <c r="E2318" s="924" t="s">
        <v>996</v>
      </c>
      <c r="F2318" s="883">
        <f>SUM(F2319:F2322)</f>
        <v>330</v>
      </c>
      <c r="G2318" s="883">
        <f>G2319+G2320</f>
        <v>331</v>
      </c>
      <c r="H2318" s="883">
        <f>H2319+H2320</f>
        <v>331</v>
      </c>
      <c r="I2318" s="887">
        <f t="shared" ref="I2318:I2323" si="104">(H2318/G2318)*100</f>
        <v>100</v>
      </c>
    </row>
    <row r="2319" spans="1:20" ht="14.25" x14ac:dyDescent="0.2">
      <c r="A2319" s="432"/>
      <c r="B2319" s="681"/>
      <c r="C2319" s="681"/>
      <c r="D2319" s="719" t="s">
        <v>611</v>
      </c>
      <c r="E2319" s="1569" t="s">
        <v>833</v>
      </c>
      <c r="F2319" s="865">
        <v>269</v>
      </c>
      <c r="G2319" s="865">
        <v>270</v>
      </c>
      <c r="H2319" s="865">
        <v>270</v>
      </c>
      <c r="I2319" s="861">
        <f t="shared" si="104"/>
        <v>100</v>
      </c>
      <c r="Q2319" s="383"/>
    </row>
    <row r="2320" spans="1:20" ht="14.25" x14ac:dyDescent="0.2">
      <c r="A2320" s="432"/>
      <c r="B2320" s="681"/>
      <c r="C2320" s="681"/>
      <c r="D2320" s="554" t="s">
        <v>606</v>
      </c>
      <c r="E2320" s="456" t="s">
        <v>72</v>
      </c>
      <c r="F2320" s="865">
        <v>61</v>
      </c>
      <c r="G2320" s="865">
        <v>61</v>
      </c>
      <c r="H2320" s="865">
        <v>61</v>
      </c>
      <c r="I2320" s="861">
        <f t="shared" si="104"/>
        <v>100</v>
      </c>
    </row>
    <row r="2321" spans="1:20" ht="15" x14ac:dyDescent="0.25">
      <c r="A2321" s="432">
        <v>1309</v>
      </c>
      <c r="B2321" s="681">
        <v>3231</v>
      </c>
      <c r="C2321" s="681">
        <v>5336</v>
      </c>
      <c r="D2321" s="1119"/>
      <c r="E2321" s="1479" t="s">
        <v>1269</v>
      </c>
      <c r="F2321" s="865"/>
      <c r="G2321" s="889">
        <v>18116</v>
      </c>
      <c r="H2321" s="889">
        <v>18116</v>
      </c>
      <c r="I2321" s="891">
        <f t="shared" si="104"/>
        <v>100</v>
      </c>
    </row>
    <row r="2322" spans="1:20" ht="15" thickBot="1" x14ac:dyDescent="0.25">
      <c r="A2322" s="432"/>
      <c r="B2322" s="681"/>
      <c r="C2322" s="1467"/>
      <c r="D2322" s="554" t="s">
        <v>1182</v>
      </c>
      <c r="E2322" s="456" t="s">
        <v>832</v>
      </c>
      <c r="F2322" s="865"/>
      <c r="G2322" s="865">
        <v>18116</v>
      </c>
      <c r="H2322" s="865">
        <v>18116</v>
      </c>
      <c r="I2322" s="861">
        <f t="shared" si="104"/>
        <v>100</v>
      </c>
    </row>
    <row r="2323" spans="1:20" s="107" customFormat="1" ht="16.5" thickTop="1" thickBot="1" x14ac:dyDescent="0.3">
      <c r="A2323" s="2685" t="s">
        <v>1162</v>
      </c>
      <c r="B2323" s="2686"/>
      <c r="C2323" s="2686"/>
      <c r="D2323" s="2686"/>
      <c r="E2323" s="2686"/>
      <c r="F2323" s="862">
        <f>F2318+F2321</f>
        <v>330</v>
      </c>
      <c r="G2323" s="862">
        <f>G2318+G2321</f>
        <v>18447</v>
      </c>
      <c r="H2323" s="862">
        <f>H2318+H2321</f>
        <v>18447</v>
      </c>
      <c r="I2323" s="863">
        <f t="shared" si="104"/>
        <v>100</v>
      </c>
      <c r="R2323" s="383">
        <f>F2323</f>
        <v>330</v>
      </c>
      <c r="S2323" s="383">
        <f>G2323</f>
        <v>18447</v>
      </c>
      <c r="T2323" s="383">
        <f>H2323</f>
        <v>18447</v>
      </c>
    </row>
    <row r="2324" spans="1:20" ht="14.25" thickTop="1" thickBot="1" x14ac:dyDescent="0.25">
      <c r="A2324" s="433" t="s">
        <v>212</v>
      </c>
      <c r="I2324" s="1465" t="s">
        <v>173</v>
      </c>
    </row>
    <row r="2325" spans="1:20" ht="14.25" thickTop="1" thickBot="1" x14ac:dyDescent="0.25">
      <c r="A2325" s="633" t="s">
        <v>661</v>
      </c>
      <c r="B2325" s="810" t="s">
        <v>174</v>
      </c>
      <c r="C2325" s="634" t="s">
        <v>175</v>
      </c>
      <c r="D2325" s="636" t="s">
        <v>744</v>
      </c>
      <c r="E2325" s="636" t="s">
        <v>176</v>
      </c>
      <c r="F2325" s="636" t="s">
        <v>177</v>
      </c>
      <c r="G2325" s="636" t="s">
        <v>922</v>
      </c>
      <c r="H2325" s="636" t="s">
        <v>923</v>
      </c>
      <c r="I2325" s="856" t="s">
        <v>924</v>
      </c>
    </row>
    <row r="2326" spans="1:20" ht="14.25" thickTop="1" thickBot="1" x14ac:dyDescent="0.25">
      <c r="A2326" s="568">
        <v>1</v>
      </c>
      <c r="B2326" s="569">
        <v>2</v>
      </c>
      <c r="C2326" s="569">
        <v>3</v>
      </c>
      <c r="D2326" s="569">
        <v>4</v>
      </c>
      <c r="E2326" s="569">
        <v>5</v>
      </c>
      <c r="F2326" s="543">
        <v>6</v>
      </c>
      <c r="G2326" s="543">
        <v>7</v>
      </c>
      <c r="H2326" s="544">
        <v>8</v>
      </c>
      <c r="I2326" s="638" t="s">
        <v>801</v>
      </c>
    </row>
    <row r="2327" spans="1:20" ht="15.75" thickTop="1" x14ac:dyDescent="0.25">
      <c r="A2327" s="1477">
        <v>1310</v>
      </c>
      <c r="B2327" s="885">
        <v>3231</v>
      </c>
      <c r="C2327" s="885">
        <v>5331</v>
      </c>
      <c r="D2327" s="890"/>
      <c r="E2327" s="924" t="s">
        <v>996</v>
      </c>
      <c r="F2327" s="883">
        <f>SUM(F2328:F2331)</f>
        <v>69</v>
      </c>
      <c r="G2327" s="883">
        <f>G2328+G2329</f>
        <v>68</v>
      </c>
      <c r="H2327" s="883">
        <f>H2328+H2329</f>
        <v>68</v>
      </c>
      <c r="I2327" s="887">
        <f t="shared" ref="I2327:I2332" si="105">(H2327/G2327)*100</f>
        <v>100</v>
      </c>
    </row>
    <row r="2328" spans="1:20" ht="14.25" x14ac:dyDescent="0.2">
      <c r="A2328" s="432"/>
      <c r="B2328" s="681"/>
      <c r="C2328" s="681"/>
      <c r="D2328" s="719" t="s">
        <v>611</v>
      </c>
      <c r="E2328" s="1569" t="s">
        <v>833</v>
      </c>
      <c r="F2328" s="865">
        <v>18</v>
      </c>
      <c r="G2328" s="865">
        <v>17</v>
      </c>
      <c r="H2328" s="865">
        <v>17</v>
      </c>
      <c r="I2328" s="861">
        <f t="shared" si="105"/>
        <v>100</v>
      </c>
    </row>
    <row r="2329" spans="1:20" ht="14.25" x14ac:dyDescent="0.2">
      <c r="A2329" s="432"/>
      <c r="B2329" s="681"/>
      <c r="C2329" s="681"/>
      <c r="D2329" s="554" t="s">
        <v>606</v>
      </c>
      <c r="E2329" s="456" t="s">
        <v>72</v>
      </c>
      <c r="F2329" s="865">
        <v>51</v>
      </c>
      <c r="G2329" s="865">
        <v>51</v>
      </c>
      <c r="H2329" s="865">
        <v>51</v>
      </c>
      <c r="I2329" s="861">
        <f t="shared" si="105"/>
        <v>100</v>
      </c>
    </row>
    <row r="2330" spans="1:20" ht="15" x14ac:dyDescent="0.25">
      <c r="A2330" s="432">
        <v>1310</v>
      </c>
      <c r="B2330" s="681">
        <v>3231</v>
      </c>
      <c r="C2330" s="681">
        <v>5336</v>
      </c>
      <c r="D2330" s="1119"/>
      <c r="E2330" s="1479" t="s">
        <v>1269</v>
      </c>
      <c r="F2330" s="865"/>
      <c r="G2330" s="889">
        <v>5828</v>
      </c>
      <c r="H2330" s="889">
        <v>5828</v>
      </c>
      <c r="I2330" s="891">
        <f t="shared" si="105"/>
        <v>100</v>
      </c>
    </row>
    <row r="2331" spans="1:20" ht="15" thickBot="1" x14ac:dyDescent="0.25">
      <c r="A2331" s="1488"/>
      <c r="B2331" s="868"/>
      <c r="C2331" s="1489"/>
      <c r="D2331" s="554" t="s">
        <v>1182</v>
      </c>
      <c r="E2331" s="456" t="s">
        <v>832</v>
      </c>
      <c r="F2331" s="869"/>
      <c r="G2331" s="869">
        <v>5828</v>
      </c>
      <c r="H2331" s="869">
        <v>5828</v>
      </c>
      <c r="I2331" s="870">
        <f t="shared" si="105"/>
        <v>100</v>
      </c>
    </row>
    <row r="2332" spans="1:20" ht="16.5" thickTop="1" thickBot="1" x14ac:dyDescent="0.3">
      <c r="A2332" s="2685" t="s">
        <v>1162</v>
      </c>
      <c r="B2332" s="2686"/>
      <c r="C2332" s="2686"/>
      <c r="D2332" s="2686"/>
      <c r="E2332" s="2686"/>
      <c r="F2332" s="862">
        <f>SUM(F2327)</f>
        <v>69</v>
      </c>
      <c r="G2332" s="862">
        <f>G2327+G2330</f>
        <v>5896</v>
      </c>
      <c r="H2332" s="862">
        <f>H2327+H2330</f>
        <v>5896</v>
      </c>
      <c r="I2332" s="863">
        <f t="shared" si="105"/>
        <v>100</v>
      </c>
      <c r="R2332" s="383">
        <f>F2332</f>
        <v>69</v>
      </c>
      <c r="S2332" s="383">
        <f>G2332</f>
        <v>5896</v>
      </c>
      <c r="T2332" s="383">
        <f>H2332</f>
        <v>5896</v>
      </c>
    </row>
    <row r="2333" spans="1:20" s="107" customFormat="1" ht="18" customHeight="1" thickTop="1" x14ac:dyDescent="0.2">
      <c r="A2333" s="382"/>
      <c r="B2333" s="645"/>
      <c r="C2333" s="382"/>
      <c r="D2333" s="852"/>
      <c r="E2333" s="382"/>
      <c r="F2333" s="383"/>
      <c r="G2333" s="383"/>
      <c r="H2333" s="383"/>
      <c r="I2333" s="1465"/>
    </row>
    <row r="2334" spans="1:20" s="107" customFormat="1" ht="18" customHeight="1" x14ac:dyDescent="0.2">
      <c r="A2334" s="382"/>
      <c r="B2334" s="645"/>
      <c r="C2334" s="382"/>
      <c r="D2334" s="852"/>
      <c r="E2334" s="382"/>
      <c r="F2334" s="383"/>
      <c r="G2334" s="383"/>
      <c r="H2334" s="383"/>
      <c r="I2334" s="1465"/>
    </row>
    <row r="2335" spans="1:20" s="107" customFormat="1" ht="18" customHeight="1" x14ac:dyDescent="0.2">
      <c r="A2335" s="382"/>
      <c r="B2335" s="645"/>
      <c r="C2335" s="382"/>
      <c r="D2335" s="852"/>
      <c r="E2335" s="382"/>
      <c r="F2335" s="383"/>
      <c r="G2335" s="383"/>
      <c r="H2335" s="383"/>
      <c r="I2335" s="1465"/>
    </row>
    <row r="2336" spans="1:20" ht="13.5" thickBot="1" x14ac:dyDescent="0.25">
      <c r="A2336" s="433" t="s">
        <v>1134</v>
      </c>
      <c r="I2336" s="1465" t="s">
        <v>173</v>
      </c>
    </row>
    <row r="2337" spans="1:20" ht="14.25" thickTop="1" thickBot="1" x14ac:dyDescent="0.25">
      <c r="A2337" s="633" t="s">
        <v>661</v>
      </c>
      <c r="B2337" s="810" t="s">
        <v>174</v>
      </c>
      <c r="C2337" s="634" t="s">
        <v>175</v>
      </c>
      <c r="D2337" s="636" t="s">
        <v>744</v>
      </c>
      <c r="E2337" s="636" t="s">
        <v>176</v>
      </c>
      <c r="F2337" s="636" t="s">
        <v>177</v>
      </c>
      <c r="G2337" s="636" t="s">
        <v>922</v>
      </c>
      <c r="H2337" s="636" t="s">
        <v>923</v>
      </c>
      <c r="I2337" s="856" t="s">
        <v>924</v>
      </c>
    </row>
    <row r="2338" spans="1:20" s="1574" customFormat="1" ht="14.25" thickTop="1" thickBot="1" x14ac:dyDescent="0.25">
      <c r="A2338" s="568">
        <v>1</v>
      </c>
      <c r="B2338" s="569">
        <v>2</v>
      </c>
      <c r="C2338" s="569">
        <v>3</v>
      </c>
      <c r="D2338" s="569">
        <v>4</v>
      </c>
      <c r="E2338" s="569">
        <v>5</v>
      </c>
      <c r="F2338" s="543">
        <v>6</v>
      </c>
      <c r="G2338" s="543">
        <v>7</v>
      </c>
      <c r="H2338" s="544">
        <v>8</v>
      </c>
      <c r="I2338" s="638" t="s">
        <v>801</v>
      </c>
    </row>
    <row r="2339" spans="1:20" ht="15.75" thickTop="1" x14ac:dyDescent="0.25">
      <c r="A2339" s="1477">
        <v>1311</v>
      </c>
      <c r="B2339" s="885">
        <v>3231</v>
      </c>
      <c r="C2339" s="885">
        <v>5331</v>
      </c>
      <c r="D2339" s="890"/>
      <c r="E2339" s="924" t="s">
        <v>996</v>
      </c>
      <c r="F2339" s="883">
        <v>146</v>
      </c>
      <c r="G2339" s="883">
        <v>146</v>
      </c>
      <c r="H2339" s="883">
        <v>146</v>
      </c>
      <c r="I2339" s="887">
        <f>(H2339/G2339)*100</f>
        <v>100</v>
      </c>
    </row>
    <row r="2340" spans="1:20" ht="14.25" x14ac:dyDescent="0.2">
      <c r="A2340" s="432"/>
      <c r="B2340" s="681"/>
      <c r="C2340" s="681"/>
      <c r="D2340" s="719" t="s">
        <v>611</v>
      </c>
      <c r="E2340" s="1569" t="s">
        <v>833</v>
      </c>
      <c r="F2340" s="865">
        <v>146</v>
      </c>
      <c r="G2340" s="865">
        <v>146</v>
      </c>
      <c r="H2340" s="865">
        <v>146</v>
      </c>
      <c r="I2340" s="861">
        <f>(H2340/G2340)*100</f>
        <v>100</v>
      </c>
    </row>
    <row r="2341" spans="1:20" ht="15" x14ac:dyDescent="0.25">
      <c r="A2341" s="432">
        <v>1311</v>
      </c>
      <c r="B2341" s="681">
        <v>3231</v>
      </c>
      <c r="C2341" s="681">
        <v>5336</v>
      </c>
      <c r="D2341" s="1119"/>
      <c r="E2341" s="1479" t="s">
        <v>1269</v>
      </c>
      <c r="F2341" s="865"/>
      <c r="G2341" s="889">
        <v>6978</v>
      </c>
      <c r="H2341" s="889">
        <v>6978</v>
      </c>
      <c r="I2341" s="891">
        <f>(H2341/G2341)*100</f>
        <v>100</v>
      </c>
    </row>
    <row r="2342" spans="1:20" ht="15" thickBot="1" x14ac:dyDescent="0.25">
      <c r="A2342" s="432"/>
      <c r="B2342" s="681"/>
      <c r="C2342" s="1467"/>
      <c r="D2342" s="554" t="s">
        <v>1182</v>
      </c>
      <c r="E2342" s="456" t="s">
        <v>832</v>
      </c>
      <c r="F2342" s="865"/>
      <c r="G2342" s="865">
        <v>6978</v>
      </c>
      <c r="H2342" s="865">
        <v>6978</v>
      </c>
      <c r="I2342" s="861">
        <f>(H2342/G2342)*100</f>
        <v>100</v>
      </c>
    </row>
    <row r="2343" spans="1:20" ht="16.5" thickTop="1" thickBot="1" x14ac:dyDescent="0.3">
      <c r="A2343" s="2685" t="s">
        <v>1162</v>
      </c>
      <c r="B2343" s="2686"/>
      <c r="C2343" s="2686"/>
      <c r="D2343" s="2686"/>
      <c r="E2343" s="2686"/>
      <c r="F2343" s="862">
        <f>SUM(F2339)</f>
        <v>146</v>
      </c>
      <c r="G2343" s="862">
        <f>G2339+G2341</f>
        <v>7124</v>
      </c>
      <c r="H2343" s="862">
        <f>H2339+H2341</f>
        <v>7124</v>
      </c>
      <c r="I2343" s="863">
        <f>(H2343/G2343)*100</f>
        <v>100</v>
      </c>
      <c r="R2343" s="383">
        <f>F2343</f>
        <v>146</v>
      </c>
      <c r="S2343" s="383">
        <f>G2343</f>
        <v>7124</v>
      </c>
      <c r="T2343" s="383">
        <f>H2343</f>
        <v>7124</v>
      </c>
    </row>
    <row r="2344" spans="1:20" s="107" customFormat="1" ht="13.5" thickTop="1" x14ac:dyDescent="0.2">
      <c r="A2344" s="382"/>
      <c r="B2344" s="645"/>
      <c r="C2344" s="382"/>
      <c r="D2344" s="852"/>
      <c r="E2344" s="382"/>
      <c r="F2344" s="383"/>
      <c r="G2344" s="383"/>
      <c r="H2344" s="383"/>
      <c r="I2344" s="1465"/>
    </row>
    <row r="2345" spans="1:20" s="107" customFormat="1" x14ac:dyDescent="0.2">
      <c r="A2345" s="382"/>
      <c r="B2345" s="645"/>
      <c r="C2345" s="382"/>
      <c r="D2345" s="852"/>
      <c r="E2345" s="382"/>
      <c r="F2345" s="383"/>
      <c r="G2345" s="383"/>
      <c r="H2345" s="383"/>
      <c r="I2345" s="1465"/>
    </row>
    <row r="2346" spans="1:20" s="107" customFormat="1" x14ac:dyDescent="0.2">
      <c r="A2346" s="382"/>
      <c r="B2346" s="645"/>
      <c r="C2346" s="382"/>
      <c r="D2346" s="852"/>
      <c r="E2346" s="382"/>
      <c r="F2346" s="383"/>
      <c r="G2346" s="383"/>
      <c r="H2346" s="383"/>
      <c r="I2346" s="1465"/>
    </row>
    <row r="2347" spans="1:20" ht="13.5" thickBot="1" x14ac:dyDescent="0.25">
      <c r="A2347" s="433" t="s">
        <v>1135</v>
      </c>
      <c r="I2347" s="1465" t="s">
        <v>173</v>
      </c>
    </row>
    <row r="2348" spans="1:20" ht="14.25" thickTop="1" thickBot="1" x14ac:dyDescent="0.25">
      <c r="A2348" s="633" t="s">
        <v>661</v>
      </c>
      <c r="B2348" s="810" t="s">
        <v>174</v>
      </c>
      <c r="C2348" s="634" t="s">
        <v>175</v>
      </c>
      <c r="D2348" s="636" t="s">
        <v>744</v>
      </c>
      <c r="E2348" s="636" t="s">
        <v>176</v>
      </c>
      <c r="F2348" s="636" t="s">
        <v>177</v>
      </c>
      <c r="G2348" s="636" t="s">
        <v>922</v>
      </c>
      <c r="H2348" s="636" t="s">
        <v>923</v>
      </c>
      <c r="I2348" s="856" t="s">
        <v>924</v>
      </c>
    </row>
    <row r="2349" spans="1:20" ht="14.25" thickTop="1" thickBot="1" x14ac:dyDescent="0.25">
      <c r="A2349" s="568">
        <v>1</v>
      </c>
      <c r="B2349" s="569">
        <v>2</v>
      </c>
      <c r="C2349" s="569">
        <v>3</v>
      </c>
      <c r="D2349" s="569">
        <v>4</v>
      </c>
      <c r="E2349" s="569">
        <v>5</v>
      </c>
      <c r="F2349" s="543">
        <v>6</v>
      </c>
      <c r="G2349" s="543">
        <v>7</v>
      </c>
      <c r="H2349" s="544">
        <v>8</v>
      </c>
      <c r="I2349" s="638" t="s">
        <v>801</v>
      </c>
    </row>
    <row r="2350" spans="1:20" ht="15.75" thickTop="1" x14ac:dyDescent="0.25">
      <c r="A2350" s="1477">
        <v>1312</v>
      </c>
      <c r="B2350" s="885">
        <v>3231</v>
      </c>
      <c r="C2350" s="885">
        <v>5331</v>
      </c>
      <c r="D2350" s="890"/>
      <c r="E2350" s="924" t="s">
        <v>996</v>
      </c>
      <c r="F2350" s="948">
        <f>F2351+F2352</f>
        <v>156</v>
      </c>
      <c r="G2350" s="948">
        <f>G2351+G2352</f>
        <v>156</v>
      </c>
      <c r="H2350" s="948">
        <f>H2351+H2352</f>
        <v>156</v>
      </c>
      <c r="I2350" s="949">
        <f t="shared" ref="I2350:I2355" si="106">(H2350/G2350)*100</f>
        <v>100</v>
      </c>
    </row>
    <row r="2351" spans="1:20" ht="14.25" x14ac:dyDescent="0.2">
      <c r="A2351" s="432"/>
      <c r="B2351" s="681"/>
      <c r="C2351" s="681"/>
      <c r="D2351" s="719" t="s">
        <v>611</v>
      </c>
      <c r="E2351" s="1569" t="s">
        <v>833</v>
      </c>
      <c r="F2351" s="357">
        <v>30</v>
      </c>
      <c r="G2351" s="357">
        <v>30</v>
      </c>
      <c r="H2351" s="357">
        <v>30</v>
      </c>
      <c r="I2351" s="892">
        <f t="shared" si="106"/>
        <v>100</v>
      </c>
    </row>
    <row r="2352" spans="1:20" ht="14.25" x14ac:dyDescent="0.2">
      <c r="A2352" s="432"/>
      <c r="B2352" s="681"/>
      <c r="C2352" s="681"/>
      <c r="D2352" s="554" t="s">
        <v>606</v>
      </c>
      <c r="E2352" s="456" t="s">
        <v>72</v>
      </c>
      <c r="F2352" s="357">
        <v>126</v>
      </c>
      <c r="G2352" s="357">
        <v>126</v>
      </c>
      <c r="H2352" s="357">
        <v>126</v>
      </c>
      <c r="I2352" s="892">
        <f t="shared" si="106"/>
        <v>100</v>
      </c>
    </row>
    <row r="2353" spans="1:20" ht="15" x14ac:dyDescent="0.25">
      <c r="A2353" s="432">
        <v>1312</v>
      </c>
      <c r="B2353" s="783">
        <v>3231</v>
      </c>
      <c r="C2353" s="783">
        <v>5336</v>
      </c>
      <c r="D2353" s="1119"/>
      <c r="E2353" s="1479" t="s">
        <v>1269</v>
      </c>
      <c r="F2353" s="875"/>
      <c r="G2353" s="884">
        <v>11505</v>
      </c>
      <c r="H2353" s="884">
        <v>11505</v>
      </c>
      <c r="I2353" s="891">
        <f t="shared" si="106"/>
        <v>100</v>
      </c>
    </row>
    <row r="2354" spans="1:20" ht="18" customHeight="1" thickBot="1" x14ac:dyDescent="0.3">
      <c r="A2354" s="432"/>
      <c r="B2354" s="783"/>
      <c r="C2354" s="783"/>
      <c r="D2354" s="554" t="s">
        <v>1182</v>
      </c>
      <c r="E2354" s="456" t="s">
        <v>832</v>
      </c>
      <c r="F2354" s="884"/>
      <c r="G2354" s="875">
        <v>11505</v>
      </c>
      <c r="H2354" s="875">
        <v>11505</v>
      </c>
      <c r="I2354" s="377">
        <f t="shared" si="106"/>
        <v>100</v>
      </c>
    </row>
    <row r="2355" spans="1:20" ht="16.5" thickTop="1" thickBot="1" x14ac:dyDescent="0.3">
      <c r="A2355" s="2685" t="s">
        <v>1162</v>
      </c>
      <c r="B2355" s="2686"/>
      <c r="C2355" s="2686"/>
      <c r="D2355" s="2686"/>
      <c r="E2355" s="2686"/>
      <c r="F2355" s="928">
        <f>SUM(F2350)</f>
        <v>156</v>
      </c>
      <c r="G2355" s="928">
        <f>G2350+G2353</f>
        <v>11661</v>
      </c>
      <c r="H2355" s="928">
        <f>H2350+H2353</f>
        <v>11661</v>
      </c>
      <c r="I2355" s="929">
        <f t="shared" si="106"/>
        <v>100</v>
      </c>
      <c r="R2355" s="383">
        <f>F2355</f>
        <v>156</v>
      </c>
      <c r="S2355" s="383">
        <f>G2355</f>
        <v>11661</v>
      </c>
      <c r="T2355" s="383">
        <f>H2355</f>
        <v>11661</v>
      </c>
    </row>
    <row r="2356" spans="1:20" s="384" customFormat="1" ht="13.5" thickTop="1" x14ac:dyDescent="0.2">
      <c r="A2356" s="382"/>
      <c r="B2356" s="645"/>
      <c r="C2356" s="382"/>
      <c r="D2356" s="852"/>
      <c r="E2356" s="382"/>
      <c r="F2356" s="383"/>
      <c r="G2356" s="383"/>
      <c r="H2356" s="383"/>
      <c r="I2356" s="1465"/>
    </row>
    <row r="2357" spans="1:20" s="384" customFormat="1" x14ac:dyDescent="0.2">
      <c r="A2357" s="382"/>
      <c r="B2357" s="645"/>
      <c r="C2357" s="382"/>
      <c r="D2357" s="852"/>
      <c r="E2357" s="382"/>
      <c r="F2357" s="383"/>
      <c r="G2357" s="383"/>
      <c r="H2357" s="383"/>
      <c r="I2357" s="1465"/>
    </row>
    <row r="2358" spans="1:20" s="384" customFormat="1" x14ac:dyDescent="0.2">
      <c r="A2358" s="382"/>
      <c r="B2358" s="645"/>
      <c r="C2358" s="382"/>
      <c r="D2358" s="852"/>
      <c r="E2358" s="382"/>
      <c r="F2358" s="383"/>
      <c r="G2358" s="383"/>
      <c r="H2358" s="383"/>
      <c r="I2358" s="1465"/>
    </row>
    <row r="2359" spans="1:20" ht="13.5" thickBot="1" x14ac:dyDescent="0.25">
      <c r="A2359" s="433" t="s">
        <v>1136</v>
      </c>
      <c r="I2359" s="1465" t="s">
        <v>173</v>
      </c>
    </row>
    <row r="2360" spans="1:20" ht="14.25" thickTop="1" thickBot="1" x14ac:dyDescent="0.25">
      <c r="A2360" s="633" t="s">
        <v>661</v>
      </c>
      <c r="B2360" s="810" t="s">
        <v>174</v>
      </c>
      <c r="C2360" s="634" t="s">
        <v>175</v>
      </c>
      <c r="D2360" s="636" t="s">
        <v>744</v>
      </c>
      <c r="E2360" s="636" t="s">
        <v>176</v>
      </c>
      <c r="F2360" s="636" t="s">
        <v>177</v>
      </c>
      <c r="G2360" s="636" t="s">
        <v>922</v>
      </c>
      <c r="H2360" s="636" t="s">
        <v>923</v>
      </c>
      <c r="I2360" s="856" t="s">
        <v>924</v>
      </c>
    </row>
    <row r="2361" spans="1:20" ht="14.25" thickTop="1" thickBot="1" x14ac:dyDescent="0.25">
      <c r="A2361" s="568">
        <v>1</v>
      </c>
      <c r="B2361" s="569">
        <v>2</v>
      </c>
      <c r="C2361" s="569">
        <v>3</v>
      </c>
      <c r="D2361" s="569">
        <v>4</v>
      </c>
      <c r="E2361" s="569">
        <v>5</v>
      </c>
      <c r="F2361" s="543">
        <v>6</v>
      </c>
      <c r="G2361" s="543">
        <v>7</v>
      </c>
      <c r="H2361" s="544">
        <v>8</v>
      </c>
      <c r="I2361" s="638" t="s">
        <v>801</v>
      </c>
    </row>
    <row r="2362" spans="1:20" ht="15.75" thickTop="1" x14ac:dyDescent="0.25">
      <c r="A2362" s="1477">
        <v>1313</v>
      </c>
      <c r="B2362" s="885">
        <v>3231</v>
      </c>
      <c r="C2362" s="885">
        <v>5331</v>
      </c>
      <c r="D2362" s="890"/>
      <c r="E2362" s="924" t="s">
        <v>996</v>
      </c>
      <c r="F2362" s="883">
        <f>SUM(F2363:F2366)</f>
        <v>197</v>
      </c>
      <c r="G2362" s="883">
        <f>G2363+G2364</f>
        <v>197</v>
      </c>
      <c r="H2362" s="883">
        <f>H2363+H2364</f>
        <v>197</v>
      </c>
      <c r="I2362" s="887">
        <f t="shared" ref="I2362:I2367" si="107">(H2362/G2362)*100</f>
        <v>100</v>
      </c>
    </row>
    <row r="2363" spans="1:20" ht="14.25" x14ac:dyDescent="0.2">
      <c r="A2363" s="432"/>
      <c r="B2363" s="681"/>
      <c r="C2363" s="681"/>
      <c r="D2363" s="719" t="s">
        <v>611</v>
      </c>
      <c r="E2363" s="1569" t="s">
        <v>833</v>
      </c>
      <c r="F2363" s="865">
        <v>49</v>
      </c>
      <c r="G2363" s="865">
        <v>49</v>
      </c>
      <c r="H2363" s="865">
        <v>49</v>
      </c>
      <c r="I2363" s="861">
        <f t="shared" si="107"/>
        <v>100</v>
      </c>
    </row>
    <row r="2364" spans="1:20" ht="14.25" x14ac:dyDescent="0.2">
      <c r="A2364" s="432"/>
      <c r="B2364" s="681"/>
      <c r="C2364" s="681"/>
      <c r="D2364" s="554" t="s">
        <v>606</v>
      </c>
      <c r="E2364" s="456" t="s">
        <v>72</v>
      </c>
      <c r="F2364" s="865">
        <v>148</v>
      </c>
      <c r="G2364" s="865">
        <v>148</v>
      </c>
      <c r="H2364" s="865">
        <v>148</v>
      </c>
      <c r="I2364" s="861">
        <f t="shared" si="107"/>
        <v>100</v>
      </c>
    </row>
    <row r="2365" spans="1:20" ht="18" customHeight="1" x14ac:dyDescent="0.25">
      <c r="A2365" s="432">
        <v>1313</v>
      </c>
      <c r="B2365" s="681">
        <v>3231</v>
      </c>
      <c r="C2365" s="681">
        <v>5336</v>
      </c>
      <c r="D2365" s="1119"/>
      <c r="E2365" s="1479" t="s">
        <v>1269</v>
      </c>
      <c r="F2365" s="865"/>
      <c r="G2365" s="889">
        <v>14430</v>
      </c>
      <c r="H2365" s="889">
        <v>14430</v>
      </c>
      <c r="I2365" s="891">
        <f t="shared" si="107"/>
        <v>100</v>
      </c>
    </row>
    <row r="2366" spans="1:20" ht="18" customHeight="1" thickBot="1" x14ac:dyDescent="0.25">
      <c r="A2366" s="432"/>
      <c r="B2366" s="681"/>
      <c r="C2366" s="1467"/>
      <c r="D2366" s="554" t="s">
        <v>1182</v>
      </c>
      <c r="E2366" s="456" t="s">
        <v>832</v>
      </c>
      <c r="F2366" s="865"/>
      <c r="G2366" s="865">
        <v>14430</v>
      </c>
      <c r="H2366" s="865">
        <v>14430</v>
      </c>
      <c r="I2366" s="861">
        <f t="shared" si="107"/>
        <v>100</v>
      </c>
    </row>
    <row r="2367" spans="1:20" ht="16.5" thickTop="1" thickBot="1" x14ac:dyDescent="0.3">
      <c r="A2367" s="2685" t="s">
        <v>1162</v>
      </c>
      <c r="B2367" s="2686"/>
      <c r="C2367" s="2686"/>
      <c r="D2367" s="2686"/>
      <c r="E2367" s="2686"/>
      <c r="F2367" s="862">
        <f>SUM(F2362)</f>
        <v>197</v>
      </c>
      <c r="G2367" s="862">
        <f>G2362+G2365</f>
        <v>14627</v>
      </c>
      <c r="H2367" s="862">
        <f>H2362+H2365</f>
        <v>14627</v>
      </c>
      <c r="I2367" s="863">
        <f t="shared" si="107"/>
        <v>100</v>
      </c>
      <c r="R2367" s="383">
        <f>F2367</f>
        <v>197</v>
      </c>
      <c r="S2367" s="383">
        <f>G2367</f>
        <v>14627</v>
      </c>
      <c r="T2367" s="383">
        <f>H2367</f>
        <v>14627</v>
      </c>
    </row>
    <row r="2368" spans="1:20" s="107" customFormat="1" ht="13.5" thickTop="1" x14ac:dyDescent="0.2">
      <c r="A2368" s="382"/>
      <c r="B2368" s="645"/>
      <c r="C2368" s="382"/>
      <c r="D2368" s="852"/>
      <c r="E2368" s="382"/>
      <c r="F2368" s="383"/>
      <c r="G2368" s="383"/>
      <c r="H2368" s="383"/>
      <c r="I2368" s="1465"/>
    </row>
    <row r="2369" spans="1:20" s="107" customFormat="1" x14ac:dyDescent="0.2">
      <c r="A2369" s="382"/>
      <c r="B2369" s="645"/>
      <c r="C2369" s="382"/>
      <c r="D2369" s="852"/>
      <c r="E2369" s="382"/>
      <c r="F2369" s="383"/>
      <c r="G2369" s="383"/>
      <c r="H2369" s="383"/>
      <c r="I2369" s="1465"/>
    </row>
    <row r="2370" spans="1:20" s="107" customFormat="1" x14ac:dyDescent="0.2">
      <c r="A2370" s="382"/>
      <c r="B2370" s="645"/>
      <c r="C2370" s="382"/>
      <c r="D2370" s="852"/>
      <c r="E2370" s="382"/>
      <c r="F2370" s="383"/>
      <c r="G2370" s="383"/>
      <c r="H2370" s="383"/>
      <c r="I2370" s="1465"/>
    </row>
    <row r="2371" spans="1:20" ht="13.5" thickBot="1" x14ac:dyDescent="0.25">
      <c r="A2371" s="433" t="s">
        <v>154</v>
      </c>
      <c r="I2371" s="1465" t="s">
        <v>173</v>
      </c>
    </row>
    <row r="2372" spans="1:20" ht="14.25" thickTop="1" thickBot="1" x14ac:dyDescent="0.25">
      <c r="A2372" s="633" t="s">
        <v>661</v>
      </c>
      <c r="B2372" s="810" t="s">
        <v>174</v>
      </c>
      <c r="C2372" s="634" t="s">
        <v>175</v>
      </c>
      <c r="D2372" s="636" t="s">
        <v>744</v>
      </c>
      <c r="E2372" s="636" t="s">
        <v>176</v>
      </c>
      <c r="F2372" s="636" t="s">
        <v>177</v>
      </c>
      <c r="G2372" s="636" t="s">
        <v>922</v>
      </c>
      <c r="H2372" s="636" t="s">
        <v>923</v>
      </c>
      <c r="I2372" s="856" t="s">
        <v>924</v>
      </c>
    </row>
    <row r="2373" spans="1:20" ht="14.25" thickTop="1" thickBot="1" x14ac:dyDescent="0.25">
      <c r="A2373" s="568">
        <v>1</v>
      </c>
      <c r="B2373" s="569">
        <v>2</v>
      </c>
      <c r="C2373" s="569">
        <v>3</v>
      </c>
      <c r="D2373" s="569">
        <v>4</v>
      </c>
      <c r="E2373" s="569">
        <v>5</v>
      </c>
      <c r="F2373" s="543">
        <v>6</v>
      </c>
      <c r="G2373" s="543">
        <v>7</v>
      </c>
      <c r="H2373" s="544">
        <v>8</v>
      </c>
      <c r="I2373" s="638" t="s">
        <v>801</v>
      </c>
    </row>
    <row r="2374" spans="1:20" ht="15.75" thickTop="1" x14ac:dyDescent="0.25">
      <c r="A2374" s="1477">
        <v>1314</v>
      </c>
      <c r="B2374" s="885">
        <v>3231</v>
      </c>
      <c r="C2374" s="885">
        <v>5331</v>
      </c>
      <c r="D2374" s="890"/>
      <c r="E2374" s="924" t="s">
        <v>996</v>
      </c>
      <c r="F2374" s="883">
        <f>SUM(F2375:F2378)</f>
        <v>181</v>
      </c>
      <c r="G2374" s="883">
        <f>G2375+G2376</f>
        <v>181</v>
      </c>
      <c r="H2374" s="883">
        <f>H2375+H2376</f>
        <v>181</v>
      </c>
      <c r="I2374" s="887">
        <f t="shared" ref="I2374:I2379" si="108">(H2374/G2374)*100</f>
        <v>100</v>
      </c>
    </row>
    <row r="2375" spans="1:20" ht="14.25" x14ac:dyDescent="0.2">
      <c r="A2375" s="432"/>
      <c r="B2375" s="681"/>
      <c r="C2375" s="681"/>
      <c r="D2375" s="719" t="s">
        <v>611</v>
      </c>
      <c r="E2375" s="1569" t="s">
        <v>833</v>
      </c>
      <c r="F2375" s="865">
        <v>30</v>
      </c>
      <c r="G2375" s="865">
        <v>30</v>
      </c>
      <c r="H2375" s="865">
        <v>30</v>
      </c>
      <c r="I2375" s="861">
        <f t="shared" si="108"/>
        <v>100</v>
      </c>
    </row>
    <row r="2376" spans="1:20" ht="14.25" x14ac:dyDescent="0.2">
      <c r="A2376" s="432"/>
      <c r="B2376" s="681"/>
      <c r="C2376" s="681"/>
      <c r="D2376" s="554" t="s">
        <v>606</v>
      </c>
      <c r="E2376" s="456" t="s">
        <v>72</v>
      </c>
      <c r="F2376" s="865">
        <v>151</v>
      </c>
      <c r="G2376" s="865">
        <v>151</v>
      </c>
      <c r="H2376" s="865">
        <v>151</v>
      </c>
      <c r="I2376" s="861">
        <f t="shared" si="108"/>
        <v>100</v>
      </c>
    </row>
    <row r="2377" spans="1:20" ht="15" x14ac:dyDescent="0.25">
      <c r="A2377" s="432">
        <v>1314</v>
      </c>
      <c r="B2377" s="681">
        <v>3231</v>
      </c>
      <c r="C2377" s="681">
        <v>5336</v>
      </c>
      <c r="D2377" s="1119"/>
      <c r="E2377" s="1479" t="s">
        <v>1269</v>
      </c>
      <c r="F2377" s="865"/>
      <c r="G2377" s="889">
        <v>4130</v>
      </c>
      <c r="H2377" s="889">
        <v>4130</v>
      </c>
      <c r="I2377" s="891">
        <f t="shared" si="108"/>
        <v>100</v>
      </c>
    </row>
    <row r="2378" spans="1:20" ht="15" thickBot="1" x14ac:dyDescent="0.25">
      <c r="A2378" s="432"/>
      <c r="B2378" s="681"/>
      <c r="C2378" s="1467"/>
      <c r="D2378" s="554" t="s">
        <v>1182</v>
      </c>
      <c r="E2378" s="456" t="s">
        <v>832</v>
      </c>
      <c r="F2378" s="865"/>
      <c r="G2378" s="865">
        <v>4130</v>
      </c>
      <c r="H2378" s="865">
        <v>4130</v>
      </c>
      <c r="I2378" s="861">
        <f t="shared" si="108"/>
        <v>100</v>
      </c>
    </row>
    <row r="2379" spans="1:20" ht="16.5" thickTop="1" thickBot="1" x14ac:dyDescent="0.3">
      <c r="A2379" s="2685" t="s">
        <v>1162</v>
      </c>
      <c r="B2379" s="2686"/>
      <c r="C2379" s="2686"/>
      <c r="D2379" s="2686"/>
      <c r="E2379" s="2686"/>
      <c r="F2379" s="862">
        <f>SUM(F2374)</f>
        <v>181</v>
      </c>
      <c r="G2379" s="862">
        <f>G2374+G2377</f>
        <v>4311</v>
      </c>
      <c r="H2379" s="862">
        <f>H2374+H2377</f>
        <v>4311</v>
      </c>
      <c r="I2379" s="863">
        <f t="shared" si="108"/>
        <v>100</v>
      </c>
      <c r="R2379" s="383">
        <f>F2379</f>
        <v>181</v>
      </c>
      <c r="S2379" s="383">
        <f>G2379</f>
        <v>4311</v>
      </c>
      <c r="T2379" s="383">
        <f>H2379</f>
        <v>4311</v>
      </c>
    </row>
    <row r="2380" spans="1:20" ht="13.5" thickTop="1" x14ac:dyDescent="0.2"/>
    <row r="2383" spans="1:20" ht="13.5" thickBot="1" x14ac:dyDescent="0.25">
      <c r="A2383" s="433" t="s">
        <v>1225</v>
      </c>
      <c r="I2383" s="1465" t="s">
        <v>173</v>
      </c>
    </row>
    <row r="2384" spans="1:20" ht="14.25" thickTop="1" thickBot="1" x14ac:dyDescent="0.25">
      <c r="A2384" s="633" t="s">
        <v>661</v>
      </c>
      <c r="B2384" s="810" t="s">
        <v>174</v>
      </c>
      <c r="C2384" s="634" t="s">
        <v>175</v>
      </c>
      <c r="D2384" s="636" t="s">
        <v>744</v>
      </c>
      <c r="E2384" s="636" t="s">
        <v>176</v>
      </c>
      <c r="F2384" s="636" t="s">
        <v>177</v>
      </c>
      <c r="G2384" s="636" t="s">
        <v>922</v>
      </c>
      <c r="H2384" s="636" t="s">
        <v>923</v>
      </c>
      <c r="I2384" s="856" t="s">
        <v>924</v>
      </c>
    </row>
    <row r="2385" spans="1:20" ht="14.25" thickTop="1" thickBot="1" x14ac:dyDescent="0.25">
      <c r="A2385" s="568">
        <v>1</v>
      </c>
      <c r="B2385" s="569">
        <v>2</v>
      </c>
      <c r="C2385" s="569">
        <v>3</v>
      </c>
      <c r="D2385" s="569">
        <v>4</v>
      </c>
      <c r="E2385" s="569">
        <v>5</v>
      </c>
      <c r="F2385" s="543">
        <v>6</v>
      </c>
      <c r="G2385" s="543">
        <v>7</v>
      </c>
      <c r="H2385" s="544">
        <v>8</v>
      </c>
      <c r="I2385" s="638" t="s">
        <v>801</v>
      </c>
    </row>
    <row r="2386" spans="1:20" ht="15.75" thickTop="1" x14ac:dyDescent="0.25">
      <c r="A2386" s="1477">
        <v>1315</v>
      </c>
      <c r="B2386" s="885">
        <v>3231</v>
      </c>
      <c r="C2386" s="885">
        <v>5331</v>
      </c>
      <c r="D2386" s="890"/>
      <c r="E2386" s="924" t="s">
        <v>996</v>
      </c>
      <c r="F2386" s="883">
        <f>SUM(F2387:F2390)</f>
        <v>140</v>
      </c>
      <c r="G2386" s="883">
        <f>G2387+G2388</f>
        <v>146</v>
      </c>
      <c r="H2386" s="883">
        <f>H2387+H2388</f>
        <v>146</v>
      </c>
      <c r="I2386" s="887">
        <f t="shared" ref="I2386:I2391" si="109">(H2386/G2386)*100</f>
        <v>100</v>
      </c>
    </row>
    <row r="2387" spans="1:20" ht="14.25" x14ac:dyDescent="0.2">
      <c r="A2387" s="432"/>
      <c r="B2387" s="681"/>
      <c r="C2387" s="681"/>
      <c r="D2387" s="719" t="s">
        <v>611</v>
      </c>
      <c r="E2387" s="1569" t="s">
        <v>833</v>
      </c>
      <c r="F2387" s="865">
        <v>41</v>
      </c>
      <c r="G2387" s="865">
        <v>47</v>
      </c>
      <c r="H2387" s="865">
        <v>47</v>
      </c>
      <c r="I2387" s="861">
        <f t="shared" si="109"/>
        <v>100</v>
      </c>
    </row>
    <row r="2388" spans="1:20" ht="14.25" x14ac:dyDescent="0.2">
      <c r="A2388" s="432"/>
      <c r="B2388" s="681"/>
      <c r="C2388" s="681"/>
      <c r="D2388" s="554" t="s">
        <v>606</v>
      </c>
      <c r="E2388" s="456" t="s">
        <v>72</v>
      </c>
      <c r="F2388" s="865">
        <v>99</v>
      </c>
      <c r="G2388" s="865">
        <v>99</v>
      </c>
      <c r="H2388" s="865">
        <v>99</v>
      </c>
      <c r="I2388" s="861">
        <f t="shared" si="109"/>
        <v>100</v>
      </c>
    </row>
    <row r="2389" spans="1:20" ht="15" x14ac:dyDescent="0.25">
      <c r="A2389" s="432">
        <v>1315</v>
      </c>
      <c r="B2389" s="681">
        <v>3231</v>
      </c>
      <c r="C2389" s="681">
        <v>5336</v>
      </c>
      <c r="D2389" s="1119"/>
      <c r="E2389" s="1479" t="s">
        <v>1269</v>
      </c>
      <c r="F2389" s="865"/>
      <c r="G2389" s="889">
        <v>1987</v>
      </c>
      <c r="H2389" s="889">
        <v>1987</v>
      </c>
      <c r="I2389" s="891">
        <f t="shared" si="109"/>
        <v>100</v>
      </c>
    </row>
    <row r="2390" spans="1:20" ht="15" thickBot="1" x14ac:dyDescent="0.25">
      <c r="A2390" s="432"/>
      <c r="B2390" s="681"/>
      <c r="C2390" s="1467"/>
      <c r="D2390" s="554" t="s">
        <v>1182</v>
      </c>
      <c r="E2390" s="456" t="s">
        <v>832</v>
      </c>
      <c r="F2390" s="865"/>
      <c r="G2390" s="865">
        <v>1987</v>
      </c>
      <c r="H2390" s="865">
        <v>1987</v>
      </c>
      <c r="I2390" s="861">
        <f t="shared" si="109"/>
        <v>100</v>
      </c>
    </row>
    <row r="2391" spans="1:20" ht="16.5" thickTop="1" thickBot="1" x14ac:dyDescent="0.3">
      <c r="A2391" s="2685" t="s">
        <v>1162</v>
      </c>
      <c r="B2391" s="2686"/>
      <c r="C2391" s="2686"/>
      <c r="D2391" s="2686"/>
      <c r="E2391" s="2686"/>
      <c r="F2391" s="862">
        <f>SUM(F2386)</f>
        <v>140</v>
      </c>
      <c r="G2391" s="862">
        <f>G2386+G2389</f>
        <v>2133</v>
      </c>
      <c r="H2391" s="862">
        <f>H2386+H2389</f>
        <v>2133</v>
      </c>
      <c r="I2391" s="863">
        <f t="shared" si="109"/>
        <v>100</v>
      </c>
      <c r="R2391" s="383">
        <f>F2391</f>
        <v>140</v>
      </c>
      <c r="S2391" s="383">
        <f>G2391</f>
        <v>2133</v>
      </c>
      <c r="T2391" s="383">
        <f>H2391</f>
        <v>2133</v>
      </c>
    </row>
    <row r="2392" spans="1:20" s="1574" customFormat="1" ht="13.5" thickTop="1" x14ac:dyDescent="0.2">
      <c r="B2392" s="1588"/>
      <c r="D2392" s="1589"/>
      <c r="F2392" s="1587"/>
      <c r="G2392" s="1587"/>
      <c r="H2392" s="1587"/>
      <c r="I2392" s="1590"/>
    </row>
    <row r="2396" spans="1:20" ht="13.5" thickBot="1" x14ac:dyDescent="0.25">
      <c r="A2396" s="433" t="s">
        <v>217</v>
      </c>
      <c r="I2396" s="1465" t="s">
        <v>173</v>
      </c>
    </row>
    <row r="2397" spans="1:20" ht="14.25" thickTop="1" thickBot="1" x14ac:dyDescent="0.25">
      <c r="A2397" s="633" t="s">
        <v>661</v>
      </c>
      <c r="B2397" s="810" t="s">
        <v>174</v>
      </c>
      <c r="C2397" s="634" t="s">
        <v>175</v>
      </c>
      <c r="D2397" s="636" t="s">
        <v>744</v>
      </c>
      <c r="E2397" s="636" t="s">
        <v>176</v>
      </c>
      <c r="F2397" s="636" t="s">
        <v>177</v>
      </c>
      <c r="G2397" s="636" t="s">
        <v>922</v>
      </c>
      <c r="H2397" s="636" t="s">
        <v>923</v>
      </c>
      <c r="I2397" s="856" t="s">
        <v>924</v>
      </c>
    </row>
    <row r="2398" spans="1:20" ht="14.25" thickTop="1" thickBot="1" x14ac:dyDescent="0.25">
      <c r="A2398" s="568">
        <v>1</v>
      </c>
      <c r="B2398" s="569">
        <v>2</v>
      </c>
      <c r="C2398" s="569">
        <v>3</v>
      </c>
      <c r="D2398" s="569">
        <v>4</v>
      </c>
      <c r="E2398" s="569">
        <v>5</v>
      </c>
      <c r="F2398" s="543">
        <v>6</v>
      </c>
      <c r="G2398" s="543">
        <v>7</v>
      </c>
      <c r="H2398" s="544">
        <v>8</v>
      </c>
      <c r="I2398" s="638" t="s">
        <v>801</v>
      </c>
    </row>
    <row r="2399" spans="1:20" ht="15.75" thickTop="1" x14ac:dyDescent="0.25">
      <c r="A2399" s="432">
        <v>1350</v>
      </c>
      <c r="B2399" s="783">
        <v>3421</v>
      </c>
      <c r="C2399" s="1468">
        <v>5331</v>
      </c>
      <c r="D2399" s="880"/>
      <c r="E2399" s="680" t="s">
        <v>996</v>
      </c>
      <c r="F2399" s="889">
        <f>F2400+F2401+F2402+F2403+F2404</f>
        <v>1596</v>
      </c>
      <c r="G2399" s="889">
        <f>G2400+G2401+G2402+G2403+G2404</f>
        <v>2057</v>
      </c>
      <c r="H2399" s="889">
        <f>H2400+H2401+H2402+H2403+H2404</f>
        <v>2057</v>
      </c>
      <c r="I2399" s="891">
        <v>100</v>
      </c>
    </row>
    <row r="2400" spans="1:20" ht="18" customHeight="1" x14ac:dyDescent="0.2">
      <c r="A2400" s="432"/>
      <c r="B2400" s="681"/>
      <c r="C2400" s="681"/>
      <c r="D2400" s="719" t="s">
        <v>611</v>
      </c>
      <c r="E2400" s="1569" t="s">
        <v>833</v>
      </c>
      <c r="F2400" s="865">
        <v>444</v>
      </c>
      <c r="G2400" s="865">
        <v>466</v>
      </c>
      <c r="H2400" s="865">
        <v>466</v>
      </c>
      <c r="I2400" s="861">
        <f t="shared" ref="I2400:I2405" si="110">(H2400/G2400)*100</f>
        <v>100</v>
      </c>
    </row>
    <row r="2401" spans="1:20" ht="14.25" x14ac:dyDescent="0.2">
      <c r="A2401" s="432"/>
      <c r="B2401" s="681"/>
      <c r="C2401" s="681"/>
      <c r="D2401" s="719" t="s">
        <v>369</v>
      </c>
      <c r="E2401" s="1569" t="s">
        <v>873</v>
      </c>
      <c r="F2401" s="865"/>
      <c r="G2401" s="865">
        <v>41</v>
      </c>
      <c r="H2401" s="865">
        <v>41</v>
      </c>
      <c r="I2401" s="861">
        <f t="shared" si="110"/>
        <v>100</v>
      </c>
    </row>
    <row r="2402" spans="1:20" ht="14.25" x14ac:dyDescent="0.2">
      <c r="A2402" s="432"/>
      <c r="B2402" s="681"/>
      <c r="C2402" s="878"/>
      <c r="D2402" s="554" t="s">
        <v>606</v>
      </c>
      <c r="E2402" s="456" t="s">
        <v>72</v>
      </c>
      <c r="F2402" s="865">
        <v>1057</v>
      </c>
      <c r="G2402" s="865">
        <v>1057</v>
      </c>
      <c r="H2402" s="865">
        <v>1057</v>
      </c>
      <c r="I2402" s="861">
        <f t="shared" si="110"/>
        <v>100</v>
      </c>
    </row>
    <row r="2403" spans="1:20" ht="14.25" x14ac:dyDescent="0.2">
      <c r="A2403" s="432"/>
      <c r="B2403" s="681"/>
      <c r="C2403" s="878"/>
      <c r="D2403" s="554" t="s">
        <v>1181</v>
      </c>
      <c r="E2403" s="456" t="s">
        <v>25</v>
      </c>
      <c r="F2403" s="865">
        <v>95</v>
      </c>
      <c r="G2403" s="865">
        <v>95</v>
      </c>
      <c r="H2403" s="865">
        <v>95</v>
      </c>
      <c r="I2403" s="861">
        <f t="shared" si="110"/>
        <v>100</v>
      </c>
    </row>
    <row r="2404" spans="1:20" ht="14.25" x14ac:dyDescent="0.2">
      <c r="A2404" s="432"/>
      <c r="B2404" s="681"/>
      <c r="C2404" s="878"/>
      <c r="D2404" s="781" t="s">
        <v>1186</v>
      </c>
      <c r="E2404" s="1620" t="s">
        <v>443</v>
      </c>
      <c r="F2404" s="865"/>
      <c r="G2404" s="865">
        <v>398</v>
      </c>
      <c r="H2404" s="865">
        <v>398</v>
      </c>
      <c r="I2404" s="861">
        <f t="shared" si="110"/>
        <v>100</v>
      </c>
    </row>
    <row r="2405" spans="1:20" ht="15" x14ac:dyDescent="0.25">
      <c r="A2405" s="432">
        <v>1350</v>
      </c>
      <c r="B2405" s="681">
        <v>3421</v>
      </c>
      <c r="C2405" s="878">
        <v>5336</v>
      </c>
      <c r="D2405" s="781"/>
      <c r="E2405" s="1479" t="s">
        <v>1269</v>
      </c>
      <c r="F2405" s="865"/>
      <c r="G2405" s="889">
        <v>11927</v>
      </c>
      <c r="H2405" s="889">
        <v>11927</v>
      </c>
      <c r="I2405" s="891">
        <f t="shared" si="110"/>
        <v>100</v>
      </c>
    </row>
    <row r="2406" spans="1:20" ht="14.25" x14ac:dyDescent="0.2">
      <c r="A2406" s="432"/>
      <c r="B2406" s="681"/>
      <c r="C2406" s="878"/>
      <c r="D2406" s="554" t="s">
        <v>1182</v>
      </c>
      <c r="E2406" s="456" t="s">
        <v>832</v>
      </c>
      <c r="F2406" s="865"/>
      <c r="G2406" s="865">
        <v>11927</v>
      </c>
      <c r="H2406" s="865">
        <v>11927</v>
      </c>
      <c r="I2406" s="861">
        <v>100</v>
      </c>
    </row>
    <row r="2407" spans="1:20" ht="15" x14ac:dyDescent="0.25">
      <c r="A2407" s="432">
        <v>1350</v>
      </c>
      <c r="B2407" s="783">
        <v>3429</v>
      </c>
      <c r="C2407" s="1468">
        <v>5331</v>
      </c>
      <c r="D2407" s="880"/>
      <c r="E2407" s="680" t="s">
        <v>996</v>
      </c>
      <c r="F2407" s="873"/>
      <c r="G2407" s="873">
        <v>200</v>
      </c>
      <c r="H2407" s="873">
        <v>200</v>
      </c>
      <c r="I2407" s="874">
        <v>194</v>
      </c>
    </row>
    <row r="2408" spans="1:20" ht="14.25" x14ac:dyDescent="0.2">
      <c r="A2408" s="432"/>
      <c r="B2408" s="681"/>
      <c r="C2408" s="1467"/>
      <c r="D2408" s="719" t="s">
        <v>262</v>
      </c>
      <c r="E2408" s="881" t="s">
        <v>213</v>
      </c>
      <c r="F2408" s="865"/>
      <c r="G2408" s="865">
        <v>200</v>
      </c>
      <c r="H2408" s="865">
        <v>200</v>
      </c>
      <c r="I2408" s="861">
        <v>100</v>
      </c>
    </row>
    <row r="2409" spans="1:20" ht="15" x14ac:dyDescent="0.25">
      <c r="A2409" s="432">
        <v>1350</v>
      </c>
      <c r="B2409" s="681">
        <v>3792</v>
      </c>
      <c r="C2409" s="1467">
        <v>5331</v>
      </c>
      <c r="D2409" s="554"/>
      <c r="E2409" s="680" t="s">
        <v>996</v>
      </c>
      <c r="F2409" s="865"/>
      <c r="G2409" s="889">
        <v>20</v>
      </c>
      <c r="H2409" s="889">
        <v>20</v>
      </c>
      <c r="I2409" s="874">
        <v>100</v>
      </c>
    </row>
    <row r="2410" spans="1:20" ht="15" thickBot="1" x14ac:dyDescent="0.25">
      <c r="A2410" s="432"/>
      <c r="B2410" s="681"/>
      <c r="C2410" s="1467"/>
      <c r="D2410" s="1110" t="s">
        <v>1382</v>
      </c>
      <c r="E2410" s="1215" t="s">
        <v>389</v>
      </c>
      <c r="F2410" s="865"/>
      <c r="G2410" s="865">
        <v>20</v>
      </c>
      <c r="H2410" s="865">
        <v>20</v>
      </c>
      <c r="I2410" s="861">
        <v>100</v>
      </c>
    </row>
    <row r="2411" spans="1:20" ht="16.5" thickTop="1" thickBot="1" x14ac:dyDescent="0.3">
      <c r="A2411" s="2685" t="s">
        <v>1162</v>
      </c>
      <c r="B2411" s="2686"/>
      <c r="C2411" s="2686"/>
      <c r="D2411" s="2686"/>
      <c r="E2411" s="2686"/>
      <c r="F2411" s="862">
        <f>F2399+F2407</f>
        <v>1596</v>
      </c>
      <c r="G2411" s="862">
        <f>G2399+G2405+G2407+G2409</f>
        <v>14204</v>
      </c>
      <c r="H2411" s="862">
        <f>H2399+H2405+H2407+H2409</f>
        <v>14204</v>
      </c>
      <c r="I2411" s="863">
        <f>(H2411/G2411)*100</f>
        <v>100</v>
      </c>
      <c r="R2411" s="383">
        <f>F2411</f>
        <v>1596</v>
      </c>
      <c r="S2411" s="383">
        <f>G2411</f>
        <v>14204</v>
      </c>
      <c r="T2411" s="383">
        <f>H2411</f>
        <v>14204</v>
      </c>
    </row>
    <row r="2412" spans="1:20" s="384" customFormat="1" ht="13.5" thickTop="1" x14ac:dyDescent="0.2">
      <c r="A2412" s="382"/>
      <c r="B2412" s="645"/>
      <c r="C2412" s="382"/>
      <c r="D2412" s="852"/>
      <c r="E2412" s="382"/>
      <c r="F2412" s="383"/>
      <c r="G2412" s="383"/>
      <c r="H2412" s="383"/>
      <c r="I2412" s="1465"/>
    </row>
    <row r="2413" spans="1:20" s="384" customFormat="1" x14ac:dyDescent="0.2">
      <c r="A2413" s="382"/>
      <c r="B2413" s="645"/>
      <c r="C2413" s="382"/>
      <c r="D2413" s="852"/>
      <c r="E2413" s="382"/>
      <c r="F2413" s="383"/>
      <c r="G2413" s="383"/>
      <c r="H2413" s="383"/>
      <c r="I2413" s="1465"/>
    </row>
    <row r="2414" spans="1:20" s="384" customFormat="1" x14ac:dyDescent="0.2">
      <c r="A2414" s="382"/>
      <c r="B2414" s="645"/>
      <c r="C2414" s="382"/>
      <c r="D2414" s="852"/>
      <c r="E2414" s="382"/>
      <c r="F2414" s="383"/>
      <c r="G2414" s="383"/>
      <c r="H2414" s="383"/>
      <c r="I2414" s="1465"/>
    </row>
    <row r="2415" spans="1:20" ht="13.5" thickBot="1" x14ac:dyDescent="0.25">
      <c r="A2415" s="433" t="s">
        <v>380</v>
      </c>
      <c r="I2415" s="1465" t="s">
        <v>173</v>
      </c>
    </row>
    <row r="2416" spans="1:20" ht="14.25" thickTop="1" thickBot="1" x14ac:dyDescent="0.25">
      <c r="A2416" s="633" t="s">
        <v>661</v>
      </c>
      <c r="B2416" s="810" t="s">
        <v>174</v>
      </c>
      <c r="C2416" s="634" t="s">
        <v>175</v>
      </c>
      <c r="D2416" s="636" t="s">
        <v>744</v>
      </c>
      <c r="E2416" s="636" t="s">
        <v>176</v>
      </c>
      <c r="F2416" s="636" t="s">
        <v>177</v>
      </c>
      <c r="G2416" s="636" t="s">
        <v>922</v>
      </c>
      <c r="H2416" s="636" t="s">
        <v>923</v>
      </c>
      <c r="I2416" s="856" t="s">
        <v>924</v>
      </c>
    </row>
    <row r="2417" spans="1:20" ht="18" customHeight="1" thickTop="1" thickBot="1" x14ac:dyDescent="0.25">
      <c r="A2417" s="568">
        <v>1</v>
      </c>
      <c r="B2417" s="569">
        <v>2</v>
      </c>
      <c r="C2417" s="569">
        <v>3</v>
      </c>
      <c r="D2417" s="569">
        <v>4</v>
      </c>
      <c r="E2417" s="569">
        <v>5</v>
      </c>
      <c r="F2417" s="543">
        <v>6</v>
      </c>
      <c r="G2417" s="543">
        <v>7</v>
      </c>
      <c r="H2417" s="544">
        <v>8</v>
      </c>
      <c r="I2417" s="638" t="s">
        <v>801</v>
      </c>
    </row>
    <row r="2418" spans="1:20" ht="18" customHeight="1" thickTop="1" x14ac:dyDescent="0.25">
      <c r="A2418" s="432">
        <v>1351</v>
      </c>
      <c r="B2418" s="681">
        <v>3421</v>
      </c>
      <c r="C2418" s="681">
        <v>5331</v>
      </c>
      <c r="D2418" s="857"/>
      <c r="E2418" s="829" t="s">
        <v>996</v>
      </c>
      <c r="F2418" s="858">
        <f>F2419+F2420</f>
        <v>268</v>
      </c>
      <c r="G2418" s="858">
        <f>G2419+G2420</f>
        <v>268</v>
      </c>
      <c r="H2418" s="858">
        <f>H2419+H2420</f>
        <v>268</v>
      </c>
      <c r="I2418" s="859">
        <v>100</v>
      </c>
    </row>
    <row r="2419" spans="1:20" ht="14.25" x14ac:dyDescent="0.2">
      <c r="A2419" s="432"/>
      <c r="B2419" s="681"/>
      <c r="C2419" s="681"/>
      <c r="D2419" s="719" t="s">
        <v>611</v>
      </c>
      <c r="E2419" s="1569" t="s">
        <v>833</v>
      </c>
      <c r="F2419" s="865">
        <v>3</v>
      </c>
      <c r="G2419" s="865">
        <v>3</v>
      </c>
      <c r="H2419" s="865">
        <v>3</v>
      </c>
      <c r="I2419" s="861">
        <f t="shared" ref="I2419:I2425" si="111">(H2419/G2419)*100</f>
        <v>100</v>
      </c>
    </row>
    <row r="2420" spans="1:20" ht="14.25" x14ac:dyDescent="0.2">
      <c r="A2420" s="432"/>
      <c r="B2420" s="681"/>
      <c r="C2420" s="681"/>
      <c r="D2420" s="554" t="s">
        <v>606</v>
      </c>
      <c r="E2420" s="456" t="s">
        <v>72</v>
      </c>
      <c r="F2420" s="865">
        <v>265</v>
      </c>
      <c r="G2420" s="865">
        <v>265</v>
      </c>
      <c r="H2420" s="865">
        <v>265</v>
      </c>
      <c r="I2420" s="861">
        <f t="shared" si="111"/>
        <v>100</v>
      </c>
    </row>
    <row r="2421" spans="1:20" ht="15" x14ac:dyDescent="0.25">
      <c r="A2421" s="432">
        <v>1351</v>
      </c>
      <c r="B2421" s="681">
        <v>3421</v>
      </c>
      <c r="C2421" s="681">
        <v>5336</v>
      </c>
      <c r="D2421" s="1119"/>
      <c r="E2421" s="1479" t="s">
        <v>1269</v>
      </c>
      <c r="F2421" s="865"/>
      <c r="G2421" s="889">
        <v>4460</v>
      </c>
      <c r="H2421" s="889">
        <v>4460</v>
      </c>
      <c r="I2421" s="891">
        <f t="shared" si="111"/>
        <v>100</v>
      </c>
    </row>
    <row r="2422" spans="1:20" ht="14.25" x14ac:dyDescent="0.2">
      <c r="A2422" s="432"/>
      <c r="B2422" s="681"/>
      <c r="C2422" s="1467"/>
      <c r="D2422" s="554" t="s">
        <v>1182</v>
      </c>
      <c r="E2422" s="456" t="s">
        <v>832</v>
      </c>
      <c r="F2422" s="865"/>
      <c r="G2422" s="865">
        <v>4460</v>
      </c>
      <c r="H2422" s="865">
        <v>4460</v>
      </c>
      <c r="I2422" s="861">
        <f t="shared" si="111"/>
        <v>100</v>
      </c>
    </row>
    <row r="2423" spans="1:20" ht="15" x14ac:dyDescent="0.25">
      <c r="A2423" s="432">
        <v>1351</v>
      </c>
      <c r="B2423" s="681">
        <v>3792</v>
      </c>
      <c r="C2423" s="1467">
        <v>5331</v>
      </c>
      <c r="D2423" s="554"/>
      <c r="E2423" s="680" t="s">
        <v>996</v>
      </c>
      <c r="F2423" s="865"/>
      <c r="G2423" s="889">
        <v>20</v>
      </c>
      <c r="H2423" s="889">
        <v>20</v>
      </c>
      <c r="I2423" s="891">
        <f t="shared" si="111"/>
        <v>100</v>
      </c>
    </row>
    <row r="2424" spans="1:20" ht="15" thickBot="1" x14ac:dyDescent="0.25">
      <c r="A2424" s="432"/>
      <c r="B2424" s="681"/>
      <c r="C2424" s="1467"/>
      <c r="D2424" s="1110" t="s">
        <v>1382</v>
      </c>
      <c r="E2424" s="1215" t="s">
        <v>389</v>
      </c>
      <c r="F2424" s="865"/>
      <c r="G2424" s="865">
        <v>20</v>
      </c>
      <c r="H2424" s="865">
        <v>20</v>
      </c>
      <c r="I2424" s="861">
        <f t="shared" si="111"/>
        <v>100</v>
      </c>
    </row>
    <row r="2425" spans="1:20" ht="16.5" thickTop="1" thickBot="1" x14ac:dyDescent="0.3">
      <c r="A2425" s="2685" t="s">
        <v>1162</v>
      </c>
      <c r="B2425" s="2686"/>
      <c r="C2425" s="2686"/>
      <c r="D2425" s="2686"/>
      <c r="E2425" s="2686"/>
      <c r="F2425" s="862">
        <f>F2418</f>
        <v>268</v>
      </c>
      <c r="G2425" s="862">
        <f>G2418+G2421+G2423</f>
        <v>4748</v>
      </c>
      <c r="H2425" s="862">
        <f>H2418+H2421+H2423</f>
        <v>4748</v>
      </c>
      <c r="I2425" s="863">
        <f t="shared" si="111"/>
        <v>100</v>
      </c>
      <c r="R2425" s="383">
        <f>F2425</f>
        <v>268</v>
      </c>
      <c r="S2425" s="383">
        <f>G2425</f>
        <v>4748</v>
      </c>
      <c r="T2425" s="383">
        <f>H2425</f>
        <v>4748</v>
      </c>
    </row>
    <row r="2426" spans="1:20" s="107" customFormat="1" ht="13.5" thickTop="1" x14ac:dyDescent="0.2">
      <c r="A2426" s="382"/>
      <c r="B2426" s="645"/>
      <c r="C2426" s="382"/>
      <c r="D2426" s="852"/>
      <c r="E2426" s="382"/>
      <c r="F2426" s="383"/>
      <c r="G2426" s="383"/>
      <c r="H2426" s="383"/>
      <c r="I2426" s="1465"/>
    </row>
    <row r="2427" spans="1:20" s="107" customFormat="1" x14ac:dyDescent="0.2">
      <c r="A2427" s="382"/>
      <c r="B2427" s="645"/>
      <c r="C2427" s="382"/>
      <c r="D2427" s="852"/>
      <c r="E2427" s="382"/>
      <c r="F2427" s="383"/>
      <c r="G2427" s="383"/>
      <c r="H2427" s="383"/>
      <c r="I2427" s="1465"/>
    </row>
    <row r="2428" spans="1:20" s="107" customFormat="1" x14ac:dyDescent="0.2">
      <c r="A2428" s="382"/>
      <c r="B2428" s="645"/>
      <c r="C2428" s="382"/>
      <c r="D2428" s="852"/>
      <c r="E2428" s="382"/>
      <c r="F2428" s="383"/>
      <c r="G2428" s="383"/>
      <c r="H2428" s="383"/>
      <c r="I2428" s="1465"/>
    </row>
    <row r="2429" spans="1:20" ht="13.5" thickBot="1" x14ac:dyDescent="0.25">
      <c r="A2429" s="433" t="s">
        <v>130</v>
      </c>
      <c r="I2429" s="1465" t="s">
        <v>173</v>
      </c>
    </row>
    <row r="2430" spans="1:20" ht="14.25" thickTop="1" thickBot="1" x14ac:dyDescent="0.25">
      <c r="A2430" s="633" t="s">
        <v>661</v>
      </c>
      <c r="B2430" s="810" t="s">
        <v>174</v>
      </c>
      <c r="C2430" s="634" t="s">
        <v>175</v>
      </c>
      <c r="D2430" s="636" t="s">
        <v>744</v>
      </c>
      <c r="E2430" s="636" t="s">
        <v>176</v>
      </c>
      <c r="F2430" s="636" t="s">
        <v>177</v>
      </c>
      <c r="G2430" s="636" t="s">
        <v>922</v>
      </c>
      <c r="H2430" s="636" t="s">
        <v>923</v>
      </c>
      <c r="I2430" s="856" t="s">
        <v>924</v>
      </c>
    </row>
    <row r="2431" spans="1:20" ht="14.25" thickTop="1" thickBot="1" x14ac:dyDescent="0.25">
      <c r="A2431" s="568">
        <v>1</v>
      </c>
      <c r="B2431" s="569">
        <v>2</v>
      </c>
      <c r="C2431" s="569">
        <v>3</v>
      </c>
      <c r="D2431" s="569">
        <v>4</v>
      </c>
      <c r="E2431" s="569">
        <v>5</v>
      </c>
      <c r="F2431" s="543">
        <v>6</v>
      </c>
      <c r="G2431" s="543">
        <v>7</v>
      </c>
      <c r="H2431" s="544">
        <v>8</v>
      </c>
      <c r="I2431" s="638" t="s">
        <v>801</v>
      </c>
    </row>
    <row r="2432" spans="1:20" ht="15.75" thickTop="1" x14ac:dyDescent="0.25">
      <c r="A2432" s="432">
        <v>1352</v>
      </c>
      <c r="B2432" s="681">
        <v>3421</v>
      </c>
      <c r="C2432" s="681">
        <v>5331</v>
      </c>
      <c r="D2432" s="857"/>
      <c r="E2432" s="829" t="s">
        <v>996</v>
      </c>
      <c r="F2432" s="858">
        <f>SUM(F2433:F2436)</f>
        <v>454</v>
      </c>
      <c r="G2432" s="858">
        <f>G2433+G2434</f>
        <v>461</v>
      </c>
      <c r="H2432" s="858">
        <f>H2433+H2434</f>
        <v>461</v>
      </c>
      <c r="I2432" s="859">
        <v>100</v>
      </c>
    </row>
    <row r="2433" spans="1:20" ht="14.25" x14ac:dyDescent="0.2">
      <c r="A2433" s="432"/>
      <c r="B2433" s="681"/>
      <c r="C2433" s="681"/>
      <c r="D2433" s="719" t="s">
        <v>611</v>
      </c>
      <c r="E2433" s="1569" t="s">
        <v>833</v>
      </c>
      <c r="F2433" s="357">
        <v>45</v>
      </c>
      <c r="G2433" s="865">
        <v>52</v>
      </c>
      <c r="H2433" s="865">
        <v>52</v>
      </c>
      <c r="I2433" s="861">
        <f t="shared" ref="I2433:I2437" si="112">(H2433/G2433)*100</f>
        <v>100</v>
      </c>
    </row>
    <row r="2434" spans="1:20" ht="14.25" x14ac:dyDescent="0.2">
      <c r="A2434" s="432"/>
      <c r="B2434" s="681"/>
      <c r="C2434" s="681"/>
      <c r="D2434" s="554" t="s">
        <v>606</v>
      </c>
      <c r="E2434" s="456" t="s">
        <v>72</v>
      </c>
      <c r="F2434" s="865">
        <v>409</v>
      </c>
      <c r="G2434" s="865">
        <v>409</v>
      </c>
      <c r="H2434" s="865">
        <v>409</v>
      </c>
      <c r="I2434" s="861">
        <f t="shared" si="112"/>
        <v>100</v>
      </c>
    </row>
    <row r="2435" spans="1:20" ht="15" x14ac:dyDescent="0.25">
      <c r="A2435" s="432">
        <v>1352</v>
      </c>
      <c r="B2435" s="681">
        <v>3421</v>
      </c>
      <c r="C2435" s="681">
        <v>5336</v>
      </c>
      <c r="D2435" s="1119"/>
      <c r="E2435" s="1479" t="s">
        <v>1269</v>
      </c>
      <c r="F2435" s="865"/>
      <c r="G2435" s="889">
        <v>3082</v>
      </c>
      <c r="H2435" s="889">
        <v>3082</v>
      </c>
      <c r="I2435" s="891">
        <f t="shared" si="112"/>
        <v>100</v>
      </c>
    </row>
    <row r="2436" spans="1:20" ht="15" thickBot="1" x14ac:dyDescent="0.25">
      <c r="A2436" s="432"/>
      <c r="B2436" s="681"/>
      <c r="C2436" s="681"/>
      <c r="D2436" s="554" t="s">
        <v>1182</v>
      </c>
      <c r="E2436" s="456" t="s">
        <v>832</v>
      </c>
      <c r="F2436" s="865"/>
      <c r="G2436" s="865">
        <v>3082</v>
      </c>
      <c r="H2436" s="865">
        <v>3082</v>
      </c>
      <c r="I2436" s="861">
        <f t="shared" si="112"/>
        <v>100</v>
      </c>
    </row>
    <row r="2437" spans="1:20" ht="16.5" thickTop="1" thickBot="1" x14ac:dyDescent="0.3">
      <c r="A2437" s="2685" t="s">
        <v>1162</v>
      </c>
      <c r="B2437" s="2686"/>
      <c r="C2437" s="2686"/>
      <c r="D2437" s="2686"/>
      <c r="E2437" s="2686"/>
      <c r="F2437" s="862">
        <f>F2432</f>
        <v>454</v>
      </c>
      <c r="G2437" s="862">
        <f>G2432+G2435</f>
        <v>3543</v>
      </c>
      <c r="H2437" s="862">
        <f>H2432+H2435</f>
        <v>3543</v>
      </c>
      <c r="I2437" s="863">
        <f t="shared" si="112"/>
        <v>100</v>
      </c>
      <c r="R2437" s="383">
        <f>F2437</f>
        <v>454</v>
      </c>
      <c r="S2437" s="383">
        <f>G2437</f>
        <v>3543</v>
      </c>
      <c r="T2437" s="383">
        <f>H2437</f>
        <v>3543</v>
      </c>
    </row>
    <row r="2438" spans="1:20" s="384" customFormat="1" ht="13.5" thickTop="1" x14ac:dyDescent="0.2">
      <c r="A2438" s="382"/>
      <c r="B2438" s="645"/>
      <c r="C2438" s="382"/>
      <c r="D2438" s="852"/>
      <c r="E2438" s="382"/>
      <c r="F2438" s="383"/>
      <c r="G2438" s="383"/>
      <c r="H2438" s="383"/>
      <c r="I2438" s="1465"/>
    </row>
    <row r="2439" spans="1:20" s="384" customFormat="1" x14ac:dyDescent="0.2">
      <c r="A2439" s="382"/>
      <c r="B2439" s="645"/>
      <c r="C2439" s="382"/>
      <c r="D2439" s="852"/>
      <c r="E2439" s="382"/>
      <c r="F2439" s="383"/>
      <c r="G2439" s="383"/>
      <c r="H2439" s="383"/>
      <c r="I2439" s="1465"/>
    </row>
    <row r="2440" spans="1:20" s="384" customFormat="1" x14ac:dyDescent="0.2">
      <c r="A2440" s="382"/>
      <c r="B2440" s="645"/>
      <c r="C2440" s="382"/>
      <c r="D2440" s="852"/>
      <c r="E2440" s="382"/>
      <c r="F2440" s="383"/>
      <c r="G2440" s="383"/>
      <c r="H2440" s="383"/>
      <c r="I2440" s="1465"/>
    </row>
    <row r="2441" spans="1:20" ht="13.5" thickBot="1" x14ac:dyDescent="0.25">
      <c r="A2441" s="433" t="s">
        <v>704</v>
      </c>
      <c r="I2441" s="1465" t="s">
        <v>173</v>
      </c>
    </row>
    <row r="2442" spans="1:20" ht="14.25" thickTop="1" thickBot="1" x14ac:dyDescent="0.25">
      <c r="A2442" s="633" t="s">
        <v>661</v>
      </c>
      <c r="B2442" s="810" t="s">
        <v>174</v>
      </c>
      <c r="C2442" s="634" t="s">
        <v>175</v>
      </c>
      <c r="D2442" s="636" t="s">
        <v>744</v>
      </c>
      <c r="E2442" s="636" t="s">
        <v>176</v>
      </c>
      <c r="F2442" s="636" t="s">
        <v>177</v>
      </c>
      <c r="G2442" s="636" t="s">
        <v>922</v>
      </c>
      <c r="H2442" s="636" t="s">
        <v>923</v>
      </c>
      <c r="I2442" s="856" t="s">
        <v>924</v>
      </c>
    </row>
    <row r="2443" spans="1:20" ht="14.25" thickTop="1" thickBot="1" x14ac:dyDescent="0.25">
      <c r="A2443" s="568">
        <v>1</v>
      </c>
      <c r="B2443" s="569">
        <v>2</v>
      </c>
      <c r="C2443" s="569">
        <v>3</v>
      </c>
      <c r="D2443" s="569">
        <v>4</v>
      </c>
      <c r="E2443" s="569">
        <v>5</v>
      </c>
      <c r="F2443" s="543">
        <v>6</v>
      </c>
      <c r="G2443" s="543">
        <v>7</v>
      </c>
      <c r="H2443" s="544">
        <v>8</v>
      </c>
      <c r="I2443" s="638" t="s">
        <v>801</v>
      </c>
    </row>
    <row r="2444" spans="1:20" ht="15.75" thickTop="1" x14ac:dyDescent="0.25">
      <c r="A2444" s="432">
        <v>1353</v>
      </c>
      <c r="B2444" s="681">
        <v>3421</v>
      </c>
      <c r="C2444" s="681">
        <v>5331</v>
      </c>
      <c r="D2444" s="857"/>
      <c r="E2444" s="829" t="s">
        <v>996</v>
      </c>
      <c r="F2444" s="858">
        <f>F2445+F2446+F2447+F2448</f>
        <v>817</v>
      </c>
      <c r="G2444" s="858">
        <f>G2445+G2446+G2447+G2448</f>
        <v>1071</v>
      </c>
      <c r="H2444" s="858">
        <f>H2445+H2446+H2447+H2448</f>
        <v>1071</v>
      </c>
      <c r="I2444" s="859">
        <v>100</v>
      </c>
    </row>
    <row r="2445" spans="1:20" ht="14.25" x14ac:dyDescent="0.2">
      <c r="A2445" s="432"/>
      <c r="B2445" s="681"/>
      <c r="C2445" s="681"/>
      <c r="D2445" s="719" t="s">
        <v>611</v>
      </c>
      <c r="E2445" s="1569" t="s">
        <v>833</v>
      </c>
      <c r="F2445" s="865">
        <v>91</v>
      </c>
      <c r="G2445" s="865">
        <v>92</v>
      </c>
      <c r="H2445" s="865">
        <v>92</v>
      </c>
      <c r="I2445" s="861">
        <f t="shared" ref="I2445:I2453" si="113">(H2445/G2445)*100</f>
        <v>100</v>
      </c>
    </row>
    <row r="2446" spans="1:20" ht="14.25" x14ac:dyDescent="0.2">
      <c r="A2446" s="432"/>
      <c r="B2446" s="681"/>
      <c r="C2446" s="681"/>
      <c r="D2446" s="719" t="s">
        <v>369</v>
      </c>
      <c r="E2446" s="1569" t="s">
        <v>873</v>
      </c>
      <c r="F2446" s="865"/>
      <c r="G2446" s="865">
        <v>27</v>
      </c>
      <c r="H2446" s="865">
        <v>27</v>
      </c>
      <c r="I2446" s="861">
        <f t="shared" si="113"/>
        <v>100</v>
      </c>
    </row>
    <row r="2447" spans="1:20" ht="14.25" x14ac:dyDescent="0.2">
      <c r="A2447" s="432"/>
      <c r="B2447" s="681"/>
      <c r="C2447" s="681"/>
      <c r="D2447" s="554" t="s">
        <v>606</v>
      </c>
      <c r="E2447" s="456" t="s">
        <v>72</v>
      </c>
      <c r="F2447" s="865">
        <v>726</v>
      </c>
      <c r="G2447" s="865">
        <v>726</v>
      </c>
      <c r="H2447" s="865">
        <v>726</v>
      </c>
      <c r="I2447" s="861">
        <f t="shared" si="113"/>
        <v>100</v>
      </c>
    </row>
    <row r="2448" spans="1:20" ht="14.25" x14ac:dyDescent="0.2">
      <c r="A2448" s="432"/>
      <c r="B2448" s="681"/>
      <c r="C2448" s="681"/>
      <c r="D2448" s="781" t="s">
        <v>1186</v>
      </c>
      <c r="E2448" s="1620" t="s">
        <v>443</v>
      </c>
      <c r="F2448" s="865"/>
      <c r="G2448" s="865">
        <v>226</v>
      </c>
      <c r="H2448" s="865">
        <v>226</v>
      </c>
      <c r="I2448" s="861">
        <f t="shared" si="113"/>
        <v>100</v>
      </c>
    </row>
    <row r="2449" spans="1:20" ht="15" x14ac:dyDescent="0.25">
      <c r="A2449" s="432">
        <v>1353</v>
      </c>
      <c r="B2449" s="681">
        <v>3421</v>
      </c>
      <c r="C2449" s="681">
        <v>5336</v>
      </c>
      <c r="D2449" s="781"/>
      <c r="E2449" s="1479" t="s">
        <v>1269</v>
      </c>
      <c r="F2449" s="865"/>
      <c r="G2449" s="889">
        <v>6782</v>
      </c>
      <c r="H2449" s="889">
        <v>6782</v>
      </c>
      <c r="I2449" s="891">
        <f t="shared" si="113"/>
        <v>100</v>
      </c>
    </row>
    <row r="2450" spans="1:20" ht="14.25" x14ac:dyDescent="0.2">
      <c r="A2450" s="432"/>
      <c r="B2450" s="681"/>
      <c r="C2450" s="681"/>
      <c r="D2450" s="554" t="s">
        <v>1182</v>
      </c>
      <c r="E2450" s="456" t="s">
        <v>832</v>
      </c>
      <c r="F2450" s="865"/>
      <c r="G2450" s="865">
        <v>6668</v>
      </c>
      <c r="H2450" s="865">
        <v>6668</v>
      </c>
      <c r="I2450" s="861">
        <f t="shared" si="113"/>
        <v>100</v>
      </c>
    </row>
    <row r="2451" spans="1:20" ht="15" x14ac:dyDescent="0.25">
      <c r="A2451" s="432">
        <v>1353</v>
      </c>
      <c r="B2451" s="681">
        <v>3792</v>
      </c>
      <c r="C2451" s="681">
        <v>5331</v>
      </c>
      <c r="D2451" s="554"/>
      <c r="E2451" s="680" t="s">
        <v>996</v>
      </c>
      <c r="F2451" s="865"/>
      <c r="G2451" s="889">
        <v>17</v>
      </c>
      <c r="H2451" s="889">
        <v>17</v>
      </c>
      <c r="I2451" s="891">
        <f t="shared" si="113"/>
        <v>100</v>
      </c>
    </row>
    <row r="2452" spans="1:20" ht="15" thickBot="1" x14ac:dyDescent="0.25">
      <c r="A2452" s="432"/>
      <c r="B2452" s="681"/>
      <c r="C2452" s="681"/>
      <c r="D2452" s="1110" t="s">
        <v>1382</v>
      </c>
      <c r="E2452" s="1215" t="s">
        <v>389</v>
      </c>
      <c r="F2452" s="865"/>
      <c r="G2452" s="865">
        <v>17</v>
      </c>
      <c r="H2452" s="865">
        <v>17</v>
      </c>
      <c r="I2452" s="861">
        <f t="shared" si="113"/>
        <v>100</v>
      </c>
    </row>
    <row r="2453" spans="1:20" s="107" customFormat="1" ht="16.5" thickTop="1" thickBot="1" x14ac:dyDescent="0.3">
      <c r="A2453" s="2685" t="s">
        <v>1162</v>
      </c>
      <c r="B2453" s="2686"/>
      <c r="C2453" s="2686"/>
      <c r="D2453" s="2686"/>
      <c r="E2453" s="2686"/>
      <c r="F2453" s="862">
        <f>F2444+F2449</f>
        <v>817</v>
      </c>
      <c r="G2453" s="862">
        <f>G2444+G2449+G2451</f>
        <v>7870</v>
      </c>
      <c r="H2453" s="862">
        <f>H2444+H2449+H2451</f>
        <v>7870</v>
      </c>
      <c r="I2453" s="863">
        <f t="shared" si="113"/>
        <v>100</v>
      </c>
      <c r="R2453" s="383">
        <f>F2453</f>
        <v>817</v>
      </c>
      <c r="S2453" s="383">
        <f>G2453</f>
        <v>7870</v>
      </c>
      <c r="T2453" s="383">
        <f>H2453</f>
        <v>7870</v>
      </c>
    </row>
    <row r="2454" spans="1:20" s="384" customFormat="1" ht="13.5" thickTop="1" x14ac:dyDescent="0.2">
      <c r="A2454" s="382"/>
      <c r="B2454" s="645"/>
      <c r="C2454" s="382"/>
      <c r="D2454" s="852"/>
      <c r="E2454" s="382"/>
      <c r="F2454" s="383"/>
      <c r="G2454" s="383"/>
      <c r="H2454" s="383"/>
      <c r="I2454" s="1465"/>
    </row>
    <row r="2455" spans="1:20" s="384" customFormat="1" x14ac:dyDescent="0.2">
      <c r="A2455" s="382"/>
      <c r="B2455" s="645"/>
      <c r="C2455" s="382"/>
      <c r="D2455" s="852"/>
      <c r="E2455" s="382"/>
      <c r="F2455" s="383"/>
      <c r="G2455" s="383"/>
      <c r="H2455" s="383"/>
      <c r="I2455" s="1465"/>
    </row>
    <row r="2456" spans="1:20" s="384" customFormat="1" x14ac:dyDescent="0.2">
      <c r="A2456" s="382"/>
      <c r="B2456" s="645"/>
      <c r="C2456" s="382"/>
      <c r="D2456" s="852"/>
      <c r="E2456" s="382"/>
      <c r="F2456" s="383"/>
      <c r="G2456" s="383"/>
      <c r="H2456" s="383"/>
      <c r="I2456" s="1465"/>
    </row>
    <row r="2457" spans="1:20" ht="13.5" thickBot="1" x14ac:dyDescent="0.25">
      <c r="A2457" s="433" t="s">
        <v>131</v>
      </c>
      <c r="I2457" s="1465" t="s">
        <v>173</v>
      </c>
    </row>
    <row r="2458" spans="1:20" ht="14.25" thickTop="1" thickBot="1" x14ac:dyDescent="0.25">
      <c r="A2458" s="633" t="s">
        <v>661</v>
      </c>
      <c r="B2458" s="810" t="s">
        <v>174</v>
      </c>
      <c r="C2458" s="634" t="s">
        <v>175</v>
      </c>
      <c r="D2458" s="636" t="s">
        <v>744</v>
      </c>
      <c r="E2458" s="636" t="s">
        <v>176</v>
      </c>
      <c r="F2458" s="636" t="s">
        <v>177</v>
      </c>
      <c r="G2458" s="636" t="s">
        <v>922</v>
      </c>
      <c r="H2458" s="636" t="s">
        <v>923</v>
      </c>
      <c r="I2458" s="856" t="s">
        <v>924</v>
      </c>
    </row>
    <row r="2459" spans="1:20" ht="14.25" thickTop="1" thickBot="1" x14ac:dyDescent="0.25">
      <c r="A2459" s="568">
        <v>1</v>
      </c>
      <c r="B2459" s="569">
        <v>2</v>
      </c>
      <c r="C2459" s="569">
        <v>3</v>
      </c>
      <c r="D2459" s="569">
        <v>4</v>
      </c>
      <c r="E2459" s="569">
        <v>5</v>
      </c>
      <c r="F2459" s="543">
        <v>6</v>
      </c>
      <c r="G2459" s="543">
        <v>7</v>
      </c>
      <c r="H2459" s="544">
        <v>8</v>
      </c>
      <c r="I2459" s="638" t="s">
        <v>801</v>
      </c>
    </row>
    <row r="2460" spans="1:20" ht="15.75" thickTop="1" x14ac:dyDescent="0.25">
      <c r="A2460" s="432">
        <v>1354</v>
      </c>
      <c r="B2460" s="681">
        <v>3421</v>
      </c>
      <c r="C2460" s="681">
        <v>5331</v>
      </c>
      <c r="D2460" s="857"/>
      <c r="E2460" s="829" t="s">
        <v>996</v>
      </c>
      <c r="F2460" s="858">
        <f>F2461+F2462</f>
        <v>521</v>
      </c>
      <c r="G2460" s="858">
        <f>G2461+G2462</f>
        <v>521</v>
      </c>
      <c r="H2460" s="858">
        <f>H2461+H2462</f>
        <v>521</v>
      </c>
      <c r="I2460" s="859">
        <v>100</v>
      </c>
    </row>
    <row r="2461" spans="1:20" ht="14.25" x14ac:dyDescent="0.2">
      <c r="A2461" s="432"/>
      <c r="B2461" s="681"/>
      <c r="C2461" s="681"/>
      <c r="D2461" s="719" t="s">
        <v>611</v>
      </c>
      <c r="E2461" s="1569" t="s">
        <v>833</v>
      </c>
      <c r="F2461" s="865">
        <v>5</v>
      </c>
      <c r="G2461" s="865">
        <v>5</v>
      </c>
      <c r="H2461" s="865">
        <v>5</v>
      </c>
      <c r="I2461" s="861">
        <f>(H2461/G2461)*100</f>
        <v>100</v>
      </c>
    </row>
    <row r="2462" spans="1:20" ht="14.25" x14ac:dyDescent="0.2">
      <c r="A2462" s="432"/>
      <c r="B2462" s="681"/>
      <c r="C2462" s="681"/>
      <c r="D2462" s="554" t="s">
        <v>606</v>
      </c>
      <c r="E2462" s="456" t="s">
        <v>72</v>
      </c>
      <c r="F2462" s="865">
        <v>516</v>
      </c>
      <c r="G2462" s="865">
        <v>516</v>
      </c>
      <c r="H2462" s="865">
        <v>516</v>
      </c>
      <c r="I2462" s="861">
        <f>(H2462/G2462)*100</f>
        <v>100</v>
      </c>
    </row>
    <row r="2463" spans="1:20" ht="15" x14ac:dyDescent="0.25">
      <c r="A2463" s="432">
        <v>1354</v>
      </c>
      <c r="B2463" s="681">
        <v>3421</v>
      </c>
      <c r="C2463" s="681">
        <v>5336</v>
      </c>
      <c r="D2463" s="1119"/>
      <c r="E2463" s="1479" t="s">
        <v>1269</v>
      </c>
      <c r="F2463" s="865"/>
      <c r="G2463" s="889">
        <v>3594</v>
      </c>
      <c r="H2463" s="889">
        <v>3594</v>
      </c>
      <c r="I2463" s="891">
        <f>(H2463/G2463)*100</f>
        <v>100</v>
      </c>
    </row>
    <row r="2464" spans="1:20" ht="15" thickBot="1" x14ac:dyDescent="0.25">
      <c r="A2464" s="432"/>
      <c r="B2464" s="681"/>
      <c r="C2464" s="1467"/>
      <c r="D2464" s="554" t="s">
        <v>1182</v>
      </c>
      <c r="E2464" s="456" t="s">
        <v>832</v>
      </c>
      <c r="F2464" s="865"/>
      <c r="G2464" s="865">
        <v>3594</v>
      </c>
      <c r="H2464" s="865">
        <v>3594</v>
      </c>
      <c r="I2464" s="861">
        <f>(H2464/G2464)*100</f>
        <v>100</v>
      </c>
    </row>
    <row r="2465" spans="1:20" s="107" customFormat="1" ht="16.5" thickTop="1" thickBot="1" x14ac:dyDescent="0.3">
      <c r="A2465" s="2685" t="s">
        <v>1162</v>
      </c>
      <c r="B2465" s="2686"/>
      <c r="C2465" s="2686"/>
      <c r="D2465" s="2686"/>
      <c r="E2465" s="2686"/>
      <c r="F2465" s="862">
        <f>F2460</f>
        <v>521</v>
      </c>
      <c r="G2465" s="862">
        <f>G2460+G2463</f>
        <v>4115</v>
      </c>
      <c r="H2465" s="862">
        <f>H2460+H2463</f>
        <v>4115</v>
      </c>
      <c r="I2465" s="863">
        <f>(H2465/G2465)*100</f>
        <v>100</v>
      </c>
      <c r="R2465" s="383">
        <f>F2465</f>
        <v>521</v>
      </c>
      <c r="S2465" s="383">
        <f>G2465</f>
        <v>4115</v>
      </c>
      <c r="T2465" s="383">
        <f>H2465</f>
        <v>4115</v>
      </c>
    </row>
    <row r="2466" spans="1:20" s="384" customFormat="1" ht="13.5" thickTop="1" x14ac:dyDescent="0.2">
      <c r="A2466" s="382"/>
      <c r="B2466" s="645"/>
      <c r="C2466" s="382"/>
      <c r="D2466" s="852"/>
      <c r="E2466" s="382"/>
      <c r="F2466" s="383"/>
      <c r="G2466" s="383"/>
      <c r="H2466" s="383"/>
      <c r="I2466" s="1465"/>
    </row>
    <row r="2467" spans="1:20" s="384" customFormat="1" x14ac:dyDescent="0.2">
      <c r="A2467" s="382"/>
      <c r="B2467" s="645"/>
      <c r="C2467" s="382"/>
      <c r="D2467" s="852"/>
      <c r="E2467" s="382"/>
      <c r="F2467" s="383"/>
      <c r="G2467" s="383"/>
      <c r="H2467" s="383"/>
      <c r="I2467" s="1465"/>
    </row>
    <row r="2468" spans="1:20" ht="13.5" thickBot="1" x14ac:dyDescent="0.25">
      <c r="A2468" s="433" t="s">
        <v>717</v>
      </c>
      <c r="I2468" s="1465" t="s">
        <v>173</v>
      </c>
    </row>
    <row r="2469" spans="1:20" ht="14.25" thickTop="1" thickBot="1" x14ac:dyDescent="0.25">
      <c r="A2469" s="633" t="s">
        <v>661</v>
      </c>
      <c r="B2469" s="810" t="s">
        <v>174</v>
      </c>
      <c r="C2469" s="634" t="s">
        <v>175</v>
      </c>
      <c r="D2469" s="636" t="s">
        <v>744</v>
      </c>
      <c r="E2469" s="636" t="s">
        <v>176</v>
      </c>
      <c r="F2469" s="636" t="s">
        <v>177</v>
      </c>
      <c r="G2469" s="636" t="s">
        <v>922</v>
      </c>
      <c r="H2469" s="636" t="s">
        <v>923</v>
      </c>
      <c r="I2469" s="856" t="s">
        <v>924</v>
      </c>
    </row>
    <row r="2470" spans="1:20" ht="14.25" thickTop="1" thickBot="1" x14ac:dyDescent="0.25">
      <c r="A2470" s="568">
        <v>1</v>
      </c>
      <c r="B2470" s="569">
        <v>2</v>
      </c>
      <c r="C2470" s="569">
        <v>3</v>
      </c>
      <c r="D2470" s="569">
        <v>4</v>
      </c>
      <c r="E2470" s="569">
        <v>5</v>
      </c>
      <c r="F2470" s="543">
        <v>6</v>
      </c>
      <c r="G2470" s="543">
        <v>7</v>
      </c>
      <c r="H2470" s="544">
        <v>8</v>
      </c>
      <c r="I2470" s="638" t="s">
        <v>801</v>
      </c>
    </row>
    <row r="2471" spans="1:20" ht="15.75" thickTop="1" x14ac:dyDescent="0.25">
      <c r="A2471" s="1477">
        <v>1400</v>
      </c>
      <c r="B2471" s="885">
        <v>3299</v>
      </c>
      <c r="C2471" s="885">
        <v>5331</v>
      </c>
      <c r="D2471" s="890"/>
      <c r="E2471" s="924" t="s">
        <v>996</v>
      </c>
      <c r="F2471" s="883"/>
      <c r="G2471" s="883">
        <v>4</v>
      </c>
      <c r="H2471" s="883">
        <v>4</v>
      </c>
      <c r="I2471" s="887">
        <f>(H2471/G2471)*100</f>
        <v>100</v>
      </c>
    </row>
    <row r="2472" spans="1:20" ht="14.25" x14ac:dyDescent="0.2">
      <c r="A2472" s="432"/>
      <c r="B2472" s="681"/>
      <c r="C2472" s="681"/>
      <c r="D2472" s="1120" t="s">
        <v>1180</v>
      </c>
      <c r="E2472" s="1359" t="s">
        <v>422</v>
      </c>
      <c r="F2472" s="865"/>
      <c r="G2472" s="865">
        <v>4</v>
      </c>
      <c r="H2472" s="865">
        <v>4</v>
      </c>
      <c r="I2472" s="861">
        <v>7</v>
      </c>
    </row>
    <row r="2473" spans="1:20" ht="15" x14ac:dyDescent="0.25">
      <c r="A2473" s="432">
        <v>1400</v>
      </c>
      <c r="B2473" s="681">
        <v>4322</v>
      </c>
      <c r="C2473" s="681">
        <v>5331</v>
      </c>
      <c r="D2473" s="857"/>
      <c r="E2473" s="829" t="s">
        <v>996</v>
      </c>
      <c r="F2473" s="858">
        <f>SUM(F2474:F2477)</f>
        <v>4089</v>
      </c>
      <c r="G2473" s="858">
        <f>G2474+G2475</f>
        <v>4089</v>
      </c>
      <c r="H2473" s="858">
        <f>H2474+H2475</f>
        <v>4089</v>
      </c>
      <c r="I2473" s="859">
        <v>100</v>
      </c>
    </row>
    <row r="2474" spans="1:20" ht="14.25" x14ac:dyDescent="0.2">
      <c r="A2474" s="432"/>
      <c r="B2474" s="681"/>
      <c r="C2474" s="681"/>
      <c r="D2474" s="719" t="s">
        <v>611</v>
      </c>
      <c r="E2474" s="1569" t="s">
        <v>833</v>
      </c>
      <c r="F2474" s="865">
        <v>608</v>
      </c>
      <c r="G2474" s="865">
        <v>608</v>
      </c>
      <c r="H2474" s="865">
        <v>608</v>
      </c>
      <c r="I2474" s="861">
        <f>(H2474/G2474)*100</f>
        <v>100</v>
      </c>
    </row>
    <row r="2475" spans="1:20" ht="14.25" x14ac:dyDescent="0.2">
      <c r="A2475" s="432"/>
      <c r="B2475" s="681"/>
      <c r="C2475" s="681"/>
      <c r="D2475" s="554" t="s">
        <v>606</v>
      </c>
      <c r="E2475" s="456" t="s">
        <v>72</v>
      </c>
      <c r="F2475" s="865">
        <v>3481</v>
      </c>
      <c r="G2475" s="865">
        <v>3481</v>
      </c>
      <c r="H2475" s="865">
        <v>3481</v>
      </c>
      <c r="I2475" s="861">
        <f>(H2475/G2475)*100</f>
        <v>100</v>
      </c>
    </row>
    <row r="2476" spans="1:20" ht="15" x14ac:dyDescent="0.25">
      <c r="A2476" s="432">
        <v>1400</v>
      </c>
      <c r="B2476" s="681">
        <v>4322</v>
      </c>
      <c r="C2476" s="681">
        <v>5336</v>
      </c>
      <c r="D2476" s="1119"/>
      <c r="E2476" s="1479" t="s">
        <v>1269</v>
      </c>
      <c r="F2476" s="865"/>
      <c r="G2476" s="889">
        <v>12915</v>
      </c>
      <c r="H2476" s="889">
        <v>12915</v>
      </c>
      <c r="I2476" s="891">
        <f>(H2476/G2476)*100</f>
        <v>100</v>
      </c>
    </row>
    <row r="2477" spans="1:20" ht="15" thickBot="1" x14ac:dyDescent="0.25">
      <c r="A2477" s="432"/>
      <c r="B2477" s="681"/>
      <c r="C2477" s="681"/>
      <c r="D2477" s="554" t="s">
        <v>1182</v>
      </c>
      <c r="E2477" s="456" t="s">
        <v>832</v>
      </c>
      <c r="F2477" s="865"/>
      <c r="G2477" s="865">
        <v>12915</v>
      </c>
      <c r="H2477" s="865">
        <v>12915</v>
      </c>
      <c r="I2477" s="861">
        <f>(H2477/G2477)*100</f>
        <v>100</v>
      </c>
    </row>
    <row r="2478" spans="1:20" ht="16.5" thickTop="1" thickBot="1" x14ac:dyDescent="0.3">
      <c r="A2478" s="2685" t="s">
        <v>1162</v>
      </c>
      <c r="B2478" s="2686"/>
      <c r="C2478" s="2686"/>
      <c r="D2478" s="2686"/>
      <c r="E2478" s="2686"/>
      <c r="F2478" s="862">
        <f>F2473+F2471</f>
        <v>4089</v>
      </c>
      <c r="G2478" s="862">
        <f>G2471+G2473+G2476</f>
        <v>17008</v>
      </c>
      <c r="H2478" s="862">
        <f>H2471+H2473+H2476</f>
        <v>17008</v>
      </c>
      <c r="I2478" s="863">
        <f>(H2478/G2478)*100</f>
        <v>100</v>
      </c>
      <c r="R2478" s="383">
        <f>F2478</f>
        <v>4089</v>
      </c>
      <c r="S2478" s="383">
        <f>G2478</f>
        <v>17008</v>
      </c>
      <c r="T2478" s="383">
        <f>H2478</f>
        <v>17008</v>
      </c>
    </row>
    <row r="2479" spans="1:20" ht="13.5" thickTop="1" x14ac:dyDescent="0.2"/>
    <row r="2481" spans="1:20" ht="13.5" thickBot="1" x14ac:dyDescent="0.25">
      <c r="A2481" s="433" t="s">
        <v>718</v>
      </c>
      <c r="B2481" s="950"/>
      <c r="C2481" s="433"/>
      <c r="D2481" s="1621"/>
      <c r="E2481" s="433"/>
      <c r="I2481" s="1465" t="s">
        <v>173</v>
      </c>
    </row>
    <row r="2482" spans="1:20" ht="14.25" thickTop="1" thickBot="1" x14ac:dyDescent="0.25">
      <c r="A2482" s="633" t="s">
        <v>661</v>
      </c>
      <c r="B2482" s="810" t="s">
        <v>174</v>
      </c>
      <c r="C2482" s="634" t="s">
        <v>175</v>
      </c>
      <c r="D2482" s="636" t="s">
        <v>744</v>
      </c>
      <c r="E2482" s="636" t="s">
        <v>176</v>
      </c>
      <c r="F2482" s="636" t="s">
        <v>177</v>
      </c>
      <c r="G2482" s="636" t="s">
        <v>922</v>
      </c>
      <c r="H2482" s="636" t="s">
        <v>923</v>
      </c>
      <c r="I2482" s="856" t="s">
        <v>924</v>
      </c>
    </row>
    <row r="2483" spans="1:20" ht="14.25" thickTop="1" thickBot="1" x14ac:dyDescent="0.25">
      <c r="A2483" s="568">
        <v>1</v>
      </c>
      <c r="B2483" s="569">
        <v>2</v>
      </c>
      <c r="C2483" s="569">
        <v>3</v>
      </c>
      <c r="D2483" s="569">
        <v>4</v>
      </c>
      <c r="E2483" s="569">
        <v>5</v>
      </c>
      <c r="F2483" s="543">
        <v>6</v>
      </c>
      <c r="G2483" s="543">
        <v>7</v>
      </c>
      <c r="H2483" s="544">
        <v>8</v>
      </c>
      <c r="I2483" s="638" t="s">
        <v>801</v>
      </c>
    </row>
    <row r="2484" spans="1:20" ht="15.75" thickTop="1" x14ac:dyDescent="0.25">
      <c r="A2484" s="432">
        <v>1401</v>
      </c>
      <c r="B2484" s="681">
        <v>4322</v>
      </c>
      <c r="C2484" s="681">
        <v>5331</v>
      </c>
      <c r="D2484" s="857"/>
      <c r="E2484" s="829" t="s">
        <v>996</v>
      </c>
      <c r="F2484" s="858">
        <f>SUM(F2485:F2488)</f>
        <v>1520</v>
      </c>
      <c r="G2484" s="858">
        <f>G2485+G2486</f>
        <v>1520</v>
      </c>
      <c r="H2484" s="858">
        <f>H2485+H2486</f>
        <v>1520</v>
      </c>
      <c r="I2484" s="859">
        <v>100</v>
      </c>
    </row>
    <row r="2485" spans="1:20" ht="14.25" x14ac:dyDescent="0.2">
      <c r="A2485" s="432"/>
      <c r="B2485" s="681"/>
      <c r="C2485" s="681"/>
      <c r="D2485" s="719" t="s">
        <v>611</v>
      </c>
      <c r="E2485" s="1569" t="s">
        <v>833</v>
      </c>
      <c r="F2485" s="865">
        <v>280</v>
      </c>
      <c r="G2485" s="865">
        <v>280</v>
      </c>
      <c r="H2485" s="865">
        <v>280</v>
      </c>
      <c r="I2485" s="861">
        <f>(H2485/G2485)*100</f>
        <v>100</v>
      </c>
    </row>
    <row r="2486" spans="1:20" ht="14.25" x14ac:dyDescent="0.2">
      <c r="A2486" s="432"/>
      <c r="B2486" s="681"/>
      <c r="C2486" s="681"/>
      <c r="D2486" s="554" t="s">
        <v>606</v>
      </c>
      <c r="E2486" s="456" t="s">
        <v>72</v>
      </c>
      <c r="F2486" s="865">
        <v>1240</v>
      </c>
      <c r="G2486" s="865">
        <v>1240</v>
      </c>
      <c r="H2486" s="865">
        <v>1240</v>
      </c>
      <c r="I2486" s="861">
        <f>(H2486/G2486)*100</f>
        <v>100</v>
      </c>
    </row>
    <row r="2487" spans="1:20" ht="15" x14ac:dyDescent="0.25">
      <c r="A2487" s="432">
        <v>1401</v>
      </c>
      <c r="B2487" s="681">
        <v>4322</v>
      </c>
      <c r="C2487" s="681">
        <v>5336</v>
      </c>
      <c r="D2487" s="1119"/>
      <c r="E2487" s="1479" t="s">
        <v>1269</v>
      </c>
      <c r="F2487" s="865"/>
      <c r="G2487" s="889">
        <v>4308</v>
      </c>
      <c r="H2487" s="889">
        <v>4308</v>
      </c>
      <c r="I2487" s="891">
        <f>(H2487/G2487)*100</f>
        <v>100</v>
      </c>
    </row>
    <row r="2488" spans="1:20" ht="15" thickBot="1" x14ac:dyDescent="0.25">
      <c r="A2488" s="432"/>
      <c r="B2488" s="681"/>
      <c r="C2488" s="1467"/>
      <c r="D2488" s="554" t="s">
        <v>1182</v>
      </c>
      <c r="E2488" s="456" t="s">
        <v>832</v>
      </c>
      <c r="F2488" s="865"/>
      <c r="G2488" s="865">
        <v>4308</v>
      </c>
      <c r="H2488" s="865">
        <v>4308</v>
      </c>
      <c r="I2488" s="861">
        <f>(H2488/G2488)*100</f>
        <v>100</v>
      </c>
    </row>
    <row r="2489" spans="1:20" ht="16.5" thickTop="1" thickBot="1" x14ac:dyDescent="0.3">
      <c r="A2489" s="2685" t="s">
        <v>1162</v>
      </c>
      <c r="B2489" s="2686"/>
      <c r="C2489" s="2686"/>
      <c r="D2489" s="2686"/>
      <c r="E2489" s="2686"/>
      <c r="F2489" s="862">
        <f>F2484</f>
        <v>1520</v>
      </c>
      <c r="G2489" s="862">
        <f>G2484+G2487</f>
        <v>5828</v>
      </c>
      <c r="H2489" s="862">
        <f>H2484+H2487</f>
        <v>5828</v>
      </c>
      <c r="I2489" s="863">
        <f>(H2489/G2489)*100</f>
        <v>100</v>
      </c>
      <c r="R2489" s="383">
        <f>F2489</f>
        <v>1520</v>
      </c>
      <c r="S2489" s="383">
        <f>G2489</f>
        <v>5828</v>
      </c>
      <c r="T2489" s="383">
        <f>H2489</f>
        <v>5828</v>
      </c>
    </row>
    <row r="2490" spans="1:20" ht="13.5" thickTop="1" x14ac:dyDescent="0.2"/>
    <row r="2492" spans="1:20" ht="13.5" thickBot="1" x14ac:dyDescent="0.25">
      <c r="A2492" s="433" t="s">
        <v>719</v>
      </c>
      <c r="I2492" s="1465" t="s">
        <v>173</v>
      </c>
    </row>
    <row r="2493" spans="1:20" ht="14.25" thickTop="1" thickBot="1" x14ac:dyDescent="0.25">
      <c r="A2493" s="633" t="s">
        <v>661</v>
      </c>
      <c r="B2493" s="810" t="s">
        <v>174</v>
      </c>
      <c r="C2493" s="634" t="s">
        <v>175</v>
      </c>
      <c r="D2493" s="636" t="s">
        <v>744</v>
      </c>
      <c r="E2493" s="636" t="s">
        <v>176</v>
      </c>
      <c r="F2493" s="636" t="s">
        <v>177</v>
      </c>
      <c r="G2493" s="636" t="s">
        <v>922</v>
      </c>
      <c r="H2493" s="636" t="s">
        <v>923</v>
      </c>
      <c r="I2493" s="856" t="s">
        <v>924</v>
      </c>
    </row>
    <row r="2494" spans="1:20" ht="14.25" thickTop="1" thickBot="1" x14ac:dyDescent="0.25">
      <c r="A2494" s="568">
        <v>1</v>
      </c>
      <c r="B2494" s="569">
        <v>2</v>
      </c>
      <c r="C2494" s="569">
        <v>3</v>
      </c>
      <c r="D2494" s="569">
        <v>4</v>
      </c>
      <c r="E2494" s="569">
        <v>5</v>
      </c>
      <c r="F2494" s="543">
        <v>6</v>
      </c>
      <c r="G2494" s="543">
        <v>7</v>
      </c>
      <c r="H2494" s="544">
        <v>8</v>
      </c>
      <c r="I2494" s="638" t="s">
        <v>801</v>
      </c>
    </row>
    <row r="2495" spans="1:20" ht="15.75" thickTop="1" x14ac:dyDescent="0.25">
      <c r="A2495" s="432">
        <v>1402</v>
      </c>
      <c r="B2495" s="681">
        <v>4322</v>
      </c>
      <c r="C2495" s="681">
        <v>5331</v>
      </c>
      <c r="D2495" s="857"/>
      <c r="E2495" s="829" t="s">
        <v>996</v>
      </c>
      <c r="F2495" s="858">
        <f>F2496+F2497</f>
        <v>1715</v>
      </c>
      <c r="G2495" s="858">
        <f>G2496+G2497</f>
        <v>1713</v>
      </c>
      <c r="H2495" s="858">
        <f>H2496+H2497</f>
        <v>1713</v>
      </c>
      <c r="I2495" s="859">
        <v>100</v>
      </c>
    </row>
    <row r="2496" spans="1:20" ht="14.25" x14ac:dyDescent="0.2">
      <c r="A2496" s="432"/>
      <c r="B2496" s="681"/>
      <c r="C2496" s="681"/>
      <c r="D2496" s="719" t="s">
        <v>611</v>
      </c>
      <c r="E2496" s="1569" t="s">
        <v>833</v>
      </c>
      <c r="F2496" s="865">
        <v>49</v>
      </c>
      <c r="G2496" s="865">
        <v>47</v>
      </c>
      <c r="H2496" s="865">
        <v>47</v>
      </c>
      <c r="I2496" s="861">
        <f t="shared" ref="I2496:I2500" si="114">(H2496/G2496)*100</f>
        <v>100</v>
      </c>
    </row>
    <row r="2497" spans="1:20" ht="14.25" x14ac:dyDescent="0.2">
      <c r="A2497" s="432"/>
      <c r="B2497" s="681"/>
      <c r="C2497" s="681"/>
      <c r="D2497" s="554" t="s">
        <v>606</v>
      </c>
      <c r="E2497" s="456" t="s">
        <v>72</v>
      </c>
      <c r="F2497" s="865">
        <v>1666</v>
      </c>
      <c r="G2497" s="865">
        <v>1666</v>
      </c>
      <c r="H2497" s="865">
        <v>1666</v>
      </c>
      <c r="I2497" s="861">
        <f t="shared" si="114"/>
        <v>100</v>
      </c>
    </row>
    <row r="2498" spans="1:20" ht="15" x14ac:dyDescent="0.25">
      <c r="A2498" s="432">
        <v>1402</v>
      </c>
      <c r="B2498" s="681">
        <v>4322</v>
      </c>
      <c r="C2498" s="878">
        <v>5336</v>
      </c>
      <c r="D2498" s="1120"/>
      <c r="E2498" s="1479" t="s">
        <v>1269</v>
      </c>
      <c r="F2498" s="865"/>
      <c r="G2498" s="889">
        <v>6531</v>
      </c>
      <c r="H2498" s="889">
        <v>6531</v>
      </c>
      <c r="I2498" s="891">
        <f t="shared" si="114"/>
        <v>100</v>
      </c>
    </row>
    <row r="2499" spans="1:20" ht="15" thickBot="1" x14ac:dyDescent="0.25">
      <c r="A2499" s="432"/>
      <c r="B2499" s="681"/>
      <c r="C2499" s="878"/>
      <c r="D2499" s="554" t="s">
        <v>1182</v>
      </c>
      <c r="E2499" s="456" t="s">
        <v>832</v>
      </c>
      <c r="F2499" s="865"/>
      <c r="G2499" s="865">
        <v>6531</v>
      </c>
      <c r="H2499" s="865">
        <v>6531</v>
      </c>
      <c r="I2499" s="861">
        <f t="shared" si="114"/>
        <v>100</v>
      </c>
    </row>
    <row r="2500" spans="1:20" ht="16.5" thickTop="1" thickBot="1" x14ac:dyDescent="0.3">
      <c r="A2500" s="2685" t="s">
        <v>1162</v>
      </c>
      <c r="B2500" s="2686"/>
      <c r="C2500" s="2686"/>
      <c r="D2500" s="2686"/>
      <c r="E2500" s="2686"/>
      <c r="F2500" s="862">
        <f>F2495</f>
        <v>1715</v>
      </c>
      <c r="G2500" s="862">
        <f>G2495+G2498</f>
        <v>8244</v>
      </c>
      <c r="H2500" s="862">
        <f>H2495+H2498</f>
        <v>8244</v>
      </c>
      <c r="I2500" s="863">
        <f t="shared" si="114"/>
        <v>100</v>
      </c>
      <c r="R2500" s="383">
        <f>F2500</f>
        <v>1715</v>
      </c>
      <c r="S2500" s="383">
        <f>G2500</f>
        <v>8244</v>
      </c>
      <c r="T2500" s="383">
        <f>H2500</f>
        <v>8244</v>
      </c>
    </row>
    <row r="2501" spans="1:20" ht="13.5" thickTop="1" x14ac:dyDescent="0.2"/>
    <row r="2503" spans="1:20" ht="13.5" thickBot="1" x14ac:dyDescent="0.25">
      <c r="A2503" s="433" t="s">
        <v>720</v>
      </c>
      <c r="I2503" s="1465" t="s">
        <v>173</v>
      </c>
    </row>
    <row r="2504" spans="1:20" ht="14.25" thickTop="1" thickBot="1" x14ac:dyDescent="0.25">
      <c r="A2504" s="633" t="s">
        <v>661</v>
      </c>
      <c r="B2504" s="810" t="s">
        <v>174</v>
      </c>
      <c r="C2504" s="634" t="s">
        <v>175</v>
      </c>
      <c r="D2504" s="636" t="s">
        <v>744</v>
      </c>
      <c r="E2504" s="636" t="s">
        <v>176</v>
      </c>
      <c r="F2504" s="636" t="s">
        <v>177</v>
      </c>
      <c r="G2504" s="636" t="s">
        <v>922</v>
      </c>
      <c r="H2504" s="636" t="s">
        <v>923</v>
      </c>
      <c r="I2504" s="856" t="s">
        <v>924</v>
      </c>
    </row>
    <row r="2505" spans="1:20" ht="14.25" thickTop="1" thickBot="1" x14ac:dyDescent="0.25">
      <c r="A2505" s="568">
        <v>1</v>
      </c>
      <c r="B2505" s="569">
        <v>2</v>
      </c>
      <c r="C2505" s="569">
        <v>3</v>
      </c>
      <c r="D2505" s="569">
        <v>4</v>
      </c>
      <c r="E2505" s="569">
        <v>5</v>
      </c>
      <c r="F2505" s="543">
        <v>6</v>
      </c>
      <c r="G2505" s="543">
        <v>7</v>
      </c>
      <c r="H2505" s="544">
        <v>8</v>
      </c>
      <c r="I2505" s="638" t="s">
        <v>801</v>
      </c>
    </row>
    <row r="2506" spans="1:20" ht="15.75" thickTop="1" x14ac:dyDescent="0.25">
      <c r="A2506" s="432">
        <v>1403</v>
      </c>
      <c r="B2506" s="681">
        <v>4322</v>
      </c>
      <c r="C2506" s="681">
        <v>5331</v>
      </c>
      <c r="D2506" s="857"/>
      <c r="E2506" s="829" t="s">
        <v>996</v>
      </c>
      <c r="F2506" s="858">
        <f>F2507+F2508</f>
        <v>2045</v>
      </c>
      <c r="G2506" s="858">
        <f>G2507+G2508</f>
        <v>2017</v>
      </c>
      <c r="H2506" s="858">
        <f>H2507+H2508</f>
        <v>2017</v>
      </c>
      <c r="I2506" s="859">
        <v>100</v>
      </c>
    </row>
    <row r="2507" spans="1:20" ht="14.25" x14ac:dyDescent="0.2">
      <c r="A2507" s="432"/>
      <c r="B2507" s="681"/>
      <c r="C2507" s="681"/>
      <c r="D2507" s="719" t="s">
        <v>611</v>
      </c>
      <c r="E2507" s="1569" t="s">
        <v>833</v>
      </c>
      <c r="F2507" s="865">
        <v>239</v>
      </c>
      <c r="G2507" s="865">
        <v>211</v>
      </c>
      <c r="H2507" s="865">
        <v>211</v>
      </c>
      <c r="I2507" s="861">
        <f>(H2507/G2507)*100</f>
        <v>100</v>
      </c>
    </row>
    <row r="2508" spans="1:20" ht="14.25" x14ac:dyDescent="0.2">
      <c r="A2508" s="432"/>
      <c r="B2508" s="681"/>
      <c r="C2508" s="681"/>
      <c r="D2508" s="554" t="s">
        <v>606</v>
      </c>
      <c r="E2508" s="456" t="s">
        <v>72</v>
      </c>
      <c r="F2508" s="865">
        <v>1806</v>
      </c>
      <c r="G2508" s="865">
        <v>1806</v>
      </c>
      <c r="H2508" s="865">
        <v>1806</v>
      </c>
      <c r="I2508" s="861">
        <f>(H2508/G2508)*100</f>
        <v>100</v>
      </c>
    </row>
    <row r="2509" spans="1:20" ht="15" x14ac:dyDescent="0.25">
      <c r="A2509" s="432">
        <v>1403</v>
      </c>
      <c r="B2509" s="681">
        <v>4322</v>
      </c>
      <c r="C2509" s="681">
        <v>5336</v>
      </c>
      <c r="D2509" s="1119"/>
      <c r="E2509" s="1479" t="s">
        <v>1269</v>
      </c>
      <c r="F2509" s="865"/>
      <c r="G2509" s="889">
        <v>8608</v>
      </c>
      <c r="H2509" s="889">
        <v>8608</v>
      </c>
      <c r="I2509" s="891">
        <f>(H2509/G2509)*100</f>
        <v>100</v>
      </c>
    </row>
    <row r="2510" spans="1:20" ht="15" thickBot="1" x14ac:dyDescent="0.25">
      <c r="A2510" s="432"/>
      <c r="B2510" s="681"/>
      <c r="C2510" s="1467"/>
      <c r="D2510" s="554" t="s">
        <v>1182</v>
      </c>
      <c r="E2510" s="456" t="s">
        <v>832</v>
      </c>
      <c r="F2510" s="865"/>
      <c r="G2510" s="865">
        <v>8608</v>
      </c>
      <c r="H2510" s="865">
        <v>8608</v>
      </c>
      <c r="I2510" s="861">
        <f>(H2510/G2510)*100</f>
        <v>100</v>
      </c>
    </row>
    <row r="2511" spans="1:20" ht="16.5" thickTop="1" thickBot="1" x14ac:dyDescent="0.3">
      <c r="A2511" s="2685" t="s">
        <v>1162</v>
      </c>
      <c r="B2511" s="2686"/>
      <c r="C2511" s="2686"/>
      <c r="D2511" s="2686"/>
      <c r="E2511" s="2686"/>
      <c r="F2511" s="862">
        <f>F2506</f>
        <v>2045</v>
      </c>
      <c r="G2511" s="862">
        <f>G2506+G2509</f>
        <v>10625</v>
      </c>
      <c r="H2511" s="862">
        <f>H2506+H2509</f>
        <v>10625</v>
      </c>
      <c r="I2511" s="863">
        <f>(H2511/G2511)*100</f>
        <v>100</v>
      </c>
      <c r="R2511" s="383">
        <f>F2511</f>
        <v>2045</v>
      </c>
      <c r="S2511" s="383">
        <f>G2511</f>
        <v>10625</v>
      </c>
      <c r="T2511" s="383">
        <f>H2511</f>
        <v>10625</v>
      </c>
    </row>
    <row r="2512" spans="1:20" ht="13.5" thickTop="1" x14ac:dyDescent="0.2"/>
    <row r="2514" spans="1:20" ht="13.5" thickBot="1" x14ac:dyDescent="0.25">
      <c r="A2514" s="433" t="s">
        <v>798</v>
      </c>
      <c r="I2514" s="1465" t="s">
        <v>173</v>
      </c>
    </row>
    <row r="2515" spans="1:20" ht="14.25" thickTop="1" thickBot="1" x14ac:dyDescent="0.25">
      <c r="A2515" s="633" t="s">
        <v>661</v>
      </c>
      <c r="B2515" s="810" t="s">
        <v>174</v>
      </c>
      <c r="C2515" s="634" t="s">
        <v>175</v>
      </c>
      <c r="D2515" s="636" t="s">
        <v>744</v>
      </c>
      <c r="E2515" s="636" t="s">
        <v>176</v>
      </c>
      <c r="F2515" s="636" t="s">
        <v>177</v>
      </c>
      <c r="G2515" s="636" t="s">
        <v>922</v>
      </c>
      <c r="H2515" s="636" t="s">
        <v>923</v>
      </c>
      <c r="I2515" s="856" t="s">
        <v>924</v>
      </c>
    </row>
    <row r="2516" spans="1:20" ht="14.25" thickTop="1" thickBot="1" x14ac:dyDescent="0.25">
      <c r="A2516" s="568">
        <v>1</v>
      </c>
      <c r="B2516" s="569">
        <v>2</v>
      </c>
      <c r="C2516" s="569">
        <v>3</v>
      </c>
      <c r="D2516" s="569">
        <v>4</v>
      </c>
      <c r="E2516" s="569">
        <v>5</v>
      </c>
      <c r="F2516" s="543">
        <v>6</v>
      </c>
      <c r="G2516" s="543">
        <v>7</v>
      </c>
      <c r="H2516" s="544">
        <v>8</v>
      </c>
      <c r="I2516" s="638" t="s">
        <v>801</v>
      </c>
    </row>
    <row r="2517" spans="1:20" ht="15.75" thickTop="1" x14ac:dyDescent="0.25">
      <c r="A2517" s="432">
        <v>1404</v>
      </c>
      <c r="B2517" s="681">
        <v>4322</v>
      </c>
      <c r="C2517" s="681">
        <v>5331</v>
      </c>
      <c r="D2517" s="857"/>
      <c r="E2517" s="829" t="s">
        <v>996</v>
      </c>
      <c r="F2517" s="858">
        <f>F2518+F2519</f>
        <v>1647</v>
      </c>
      <c r="G2517" s="858">
        <f>G2518+G2519</f>
        <v>1693</v>
      </c>
      <c r="H2517" s="858">
        <f>H2518+H2519</f>
        <v>1693</v>
      </c>
      <c r="I2517" s="859">
        <v>100</v>
      </c>
    </row>
    <row r="2518" spans="1:20" ht="14.25" x14ac:dyDescent="0.2">
      <c r="A2518" s="432"/>
      <c r="B2518" s="681"/>
      <c r="C2518" s="681"/>
      <c r="D2518" s="719" t="s">
        <v>611</v>
      </c>
      <c r="E2518" s="1569" t="s">
        <v>833</v>
      </c>
      <c r="F2518" s="865">
        <v>303</v>
      </c>
      <c r="G2518" s="865">
        <v>349</v>
      </c>
      <c r="H2518" s="865">
        <v>349</v>
      </c>
      <c r="I2518" s="861">
        <f t="shared" ref="I2518:I2523" si="115">(H2518/G2518)*100</f>
        <v>100</v>
      </c>
    </row>
    <row r="2519" spans="1:20" ht="14.25" x14ac:dyDescent="0.2">
      <c r="A2519" s="432"/>
      <c r="B2519" s="681"/>
      <c r="C2519" s="681"/>
      <c r="D2519" s="554" t="s">
        <v>606</v>
      </c>
      <c r="E2519" s="456" t="s">
        <v>72</v>
      </c>
      <c r="F2519" s="865">
        <v>1344</v>
      </c>
      <c r="G2519" s="865">
        <v>1344</v>
      </c>
      <c r="H2519" s="865">
        <v>1344</v>
      </c>
      <c r="I2519" s="861">
        <f t="shared" si="115"/>
        <v>100</v>
      </c>
    </row>
    <row r="2520" spans="1:20" ht="15" x14ac:dyDescent="0.25">
      <c r="A2520" s="432">
        <v>1404</v>
      </c>
      <c r="B2520" s="681">
        <v>4322</v>
      </c>
      <c r="C2520" s="681">
        <v>5336</v>
      </c>
      <c r="D2520" s="1119"/>
      <c r="E2520" s="1479" t="s">
        <v>1269</v>
      </c>
      <c r="F2520" s="865"/>
      <c r="G2520" s="889">
        <v>6459</v>
      </c>
      <c r="H2520" s="889">
        <v>6459</v>
      </c>
      <c r="I2520" s="891">
        <f t="shared" si="115"/>
        <v>100</v>
      </c>
    </row>
    <row r="2521" spans="1:20" ht="14.25" x14ac:dyDescent="0.2">
      <c r="A2521" s="432"/>
      <c r="B2521" s="681"/>
      <c r="C2521" s="1467"/>
      <c r="D2521" s="554" t="s">
        <v>1182</v>
      </c>
      <c r="E2521" s="456" t="s">
        <v>832</v>
      </c>
      <c r="F2521" s="865"/>
      <c r="G2521" s="865">
        <v>6459</v>
      </c>
      <c r="H2521" s="865">
        <v>6459</v>
      </c>
      <c r="I2521" s="861">
        <f t="shared" si="115"/>
        <v>100</v>
      </c>
    </row>
    <row r="2522" spans="1:20" ht="15" x14ac:dyDescent="0.25">
      <c r="A2522" s="432">
        <v>1404</v>
      </c>
      <c r="B2522" s="681">
        <v>4324</v>
      </c>
      <c r="C2522" s="1467">
        <v>5336</v>
      </c>
      <c r="D2522" s="554"/>
      <c r="E2522" s="1479" t="s">
        <v>1269</v>
      </c>
      <c r="F2522" s="865"/>
      <c r="G2522" s="889">
        <v>87</v>
      </c>
      <c r="H2522" s="889">
        <v>87</v>
      </c>
      <c r="I2522" s="891">
        <f t="shared" si="115"/>
        <v>100</v>
      </c>
    </row>
    <row r="2523" spans="1:20" ht="14.25" x14ac:dyDescent="0.2">
      <c r="A2523" s="432"/>
      <c r="B2523" s="681"/>
      <c r="C2523" s="1467"/>
      <c r="D2523" s="554" t="s">
        <v>612</v>
      </c>
      <c r="E2523" s="2690" t="s">
        <v>1982</v>
      </c>
      <c r="F2523" s="865"/>
      <c r="G2523" s="865">
        <v>87</v>
      </c>
      <c r="H2523" s="865">
        <v>87</v>
      </c>
      <c r="I2523" s="861">
        <f t="shared" si="115"/>
        <v>100</v>
      </c>
    </row>
    <row r="2524" spans="1:20" ht="15" thickBot="1" x14ac:dyDescent="0.25">
      <c r="A2524" s="432"/>
      <c r="B2524" s="681"/>
      <c r="C2524" s="1467"/>
      <c r="D2524" s="554"/>
      <c r="E2524" s="2690"/>
      <c r="F2524" s="865"/>
      <c r="G2524" s="865"/>
      <c r="H2524" s="865"/>
      <c r="I2524" s="861"/>
    </row>
    <row r="2525" spans="1:20" ht="16.5" thickTop="1" thickBot="1" x14ac:dyDescent="0.3">
      <c r="A2525" s="2685" t="s">
        <v>1162</v>
      </c>
      <c r="B2525" s="2686"/>
      <c r="C2525" s="2686"/>
      <c r="D2525" s="2686"/>
      <c r="E2525" s="2686"/>
      <c r="F2525" s="862">
        <f>F2517</f>
        <v>1647</v>
      </c>
      <c r="G2525" s="862">
        <f>G2517+G2520+G2522</f>
        <v>8239</v>
      </c>
      <c r="H2525" s="862">
        <f>H2517+H2520+H2522</f>
        <v>8239</v>
      </c>
      <c r="I2525" s="863">
        <f>(H2525/G2525)*100</f>
        <v>100</v>
      </c>
      <c r="R2525" s="383">
        <f>F2525</f>
        <v>1647</v>
      </c>
      <c r="S2525" s="383">
        <f>G2525</f>
        <v>8239</v>
      </c>
      <c r="T2525" s="383">
        <f>H2525</f>
        <v>8239</v>
      </c>
    </row>
    <row r="2526" spans="1:20" ht="13.5" thickTop="1" x14ac:dyDescent="0.2"/>
    <row r="2528" spans="1:20" ht="13.5" thickBot="1" x14ac:dyDescent="0.25">
      <c r="A2528" s="433" t="s">
        <v>940</v>
      </c>
      <c r="I2528" s="1465" t="s">
        <v>173</v>
      </c>
    </row>
    <row r="2529" spans="1:20" ht="14.25" thickTop="1" thickBot="1" x14ac:dyDescent="0.25">
      <c r="A2529" s="633" t="s">
        <v>661</v>
      </c>
      <c r="B2529" s="810" t="s">
        <v>174</v>
      </c>
      <c r="C2529" s="634" t="s">
        <v>175</v>
      </c>
      <c r="D2529" s="636" t="s">
        <v>744</v>
      </c>
      <c r="E2529" s="636" t="s">
        <v>176</v>
      </c>
      <c r="F2529" s="636" t="s">
        <v>177</v>
      </c>
      <c r="G2529" s="636" t="s">
        <v>922</v>
      </c>
      <c r="H2529" s="636" t="s">
        <v>923</v>
      </c>
      <c r="I2529" s="856" t="s">
        <v>924</v>
      </c>
    </row>
    <row r="2530" spans="1:20" ht="14.25" thickTop="1" thickBot="1" x14ac:dyDescent="0.25">
      <c r="A2530" s="568">
        <v>1</v>
      </c>
      <c r="B2530" s="569">
        <v>2</v>
      </c>
      <c r="C2530" s="569">
        <v>3</v>
      </c>
      <c r="D2530" s="569">
        <v>4</v>
      </c>
      <c r="E2530" s="569">
        <v>5</v>
      </c>
      <c r="F2530" s="543">
        <v>6</v>
      </c>
      <c r="G2530" s="543">
        <v>7</v>
      </c>
      <c r="H2530" s="544">
        <v>8</v>
      </c>
      <c r="I2530" s="638" t="s">
        <v>801</v>
      </c>
    </row>
    <row r="2531" spans="1:20" ht="15.75" thickTop="1" x14ac:dyDescent="0.25">
      <c r="A2531" s="432">
        <v>1405</v>
      </c>
      <c r="B2531" s="681">
        <v>4322</v>
      </c>
      <c r="C2531" s="681">
        <v>5331</v>
      </c>
      <c r="D2531" s="857"/>
      <c r="E2531" s="924" t="s">
        <v>996</v>
      </c>
      <c r="F2531" s="858">
        <f>F2532+F2534</f>
        <v>1726</v>
      </c>
      <c r="G2531" s="858">
        <f>G2532+G2534+G2533</f>
        <v>1731</v>
      </c>
      <c r="H2531" s="858">
        <f>H2532+H2534+H2533</f>
        <v>1731</v>
      </c>
      <c r="I2531" s="859">
        <f t="shared" ref="I2531:I2537" si="116">(H2531/G2531)*100</f>
        <v>100</v>
      </c>
    </row>
    <row r="2532" spans="1:20" ht="14.25" x14ac:dyDescent="0.2">
      <c r="A2532" s="432"/>
      <c r="B2532" s="681"/>
      <c r="C2532" s="681"/>
      <c r="D2532" s="719" t="s">
        <v>611</v>
      </c>
      <c r="E2532" s="1569" t="s">
        <v>833</v>
      </c>
      <c r="F2532" s="865">
        <v>35</v>
      </c>
      <c r="G2532" s="865">
        <v>34</v>
      </c>
      <c r="H2532" s="865">
        <v>34</v>
      </c>
      <c r="I2532" s="861">
        <f t="shared" si="116"/>
        <v>100</v>
      </c>
    </row>
    <row r="2533" spans="1:20" ht="14.25" x14ac:dyDescent="0.2">
      <c r="A2533" s="432"/>
      <c r="B2533" s="681"/>
      <c r="C2533" s="681"/>
      <c r="D2533" s="1110" t="s">
        <v>369</v>
      </c>
      <c r="E2533" s="1215" t="s">
        <v>933</v>
      </c>
      <c r="F2533" s="865"/>
      <c r="G2533" s="865">
        <v>6</v>
      </c>
      <c r="H2533" s="865">
        <v>6</v>
      </c>
      <c r="I2533" s="861">
        <f t="shared" si="116"/>
        <v>100</v>
      </c>
    </row>
    <row r="2534" spans="1:20" ht="14.25" x14ac:dyDescent="0.2">
      <c r="A2534" s="432"/>
      <c r="B2534" s="681"/>
      <c r="C2534" s="681"/>
      <c r="D2534" s="554" t="s">
        <v>606</v>
      </c>
      <c r="E2534" s="456" t="s">
        <v>72</v>
      </c>
      <c r="F2534" s="865">
        <v>1691</v>
      </c>
      <c r="G2534" s="865">
        <v>1691</v>
      </c>
      <c r="H2534" s="865">
        <v>1691</v>
      </c>
      <c r="I2534" s="861">
        <f t="shared" si="116"/>
        <v>100</v>
      </c>
    </row>
    <row r="2535" spans="1:20" ht="15" x14ac:dyDescent="0.25">
      <c r="A2535" s="432">
        <v>1405</v>
      </c>
      <c r="B2535" s="681">
        <v>4322</v>
      </c>
      <c r="C2535" s="681">
        <v>5336</v>
      </c>
      <c r="D2535" s="1119"/>
      <c r="E2535" s="1479" t="s">
        <v>1269</v>
      </c>
      <c r="F2535" s="865"/>
      <c r="G2535" s="889">
        <v>6615</v>
      </c>
      <c r="H2535" s="889">
        <v>6615</v>
      </c>
      <c r="I2535" s="891">
        <f t="shared" si="116"/>
        <v>100</v>
      </c>
    </row>
    <row r="2536" spans="1:20" ht="15" thickBot="1" x14ac:dyDescent="0.25">
      <c r="A2536" s="432"/>
      <c r="B2536" s="681"/>
      <c r="C2536" s="1467"/>
      <c r="D2536" s="554" t="s">
        <v>1182</v>
      </c>
      <c r="E2536" s="456" t="s">
        <v>832</v>
      </c>
      <c r="F2536" s="865"/>
      <c r="G2536" s="865">
        <v>6615</v>
      </c>
      <c r="H2536" s="865">
        <v>6615</v>
      </c>
      <c r="I2536" s="861">
        <f t="shared" si="116"/>
        <v>100</v>
      </c>
    </row>
    <row r="2537" spans="1:20" ht="16.5" thickTop="1" thickBot="1" x14ac:dyDescent="0.3">
      <c r="A2537" s="2685" t="s">
        <v>1162</v>
      </c>
      <c r="B2537" s="2686"/>
      <c r="C2537" s="2686"/>
      <c r="D2537" s="2686"/>
      <c r="E2537" s="2686"/>
      <c r="F2537" s="862">
        <f>F2531</f>
        <v>1726</v>
      </c>
      <c r="G2537" s="862">
        <f>G2531+G2535</f>
        <v>8346</v>
      </c>
      <c r="H2537" s="862">
        <f>H2531+H2535</f>
        <v>8346</v>
      </c>
      <c r="I2537" s="863">
        <f t="shared" si="116"/>
        <v>100</v>
      </c>
      <c r="R2537" s="383">
        <f>F2537</f>
        <v>1726</v>
      </c>
      <c r="S2537" s="383">
        <f>G2537</f>
        <v>8346</v>
      </c>
      <c r="T2537" s="383">
        <f>H2537</f>
        <v>8346</v>
      </c>
    </row>
    <row r="2538" spans="1:20" ht="15.75" thickTop="1" x14ac:dyDescent="0.25">
      <c r="A2538" s="369"/>
      <c r="B2538" s="369"/>
      <c r="C2538" s="369"/>
      <c r="D2538" s="369"/>
      <c r="E2538" s="369"/>
      <c r="F2538" s="181"/>
      <c r="G2538" s="181"/>
      <c r="H2538" s="181"/>
      <c r="I2538" s="210"/>
      <c r="R2538" s="383"/>
      <c r="S2538" s="383"/>
      <c r="T2538" s="383"/>
    </row>
    <row r="2539" spans="1:20" ht="13.5" thickBot="1" x14ac:dyDescent="0.25">
      <c r="A2539" s="433" t="s">
        <v>941</v>
      </c>
      <c r="I2539" s="1465" t="s">
        <v>173</v>
      </c>
    </row>
    <row r="2540" spans="1:20" ht="14.25" thickTop="1" thickBot="1" x14ac:dyDescent="0.25">
      <c r="A2540" s="633" t="s">
        <v>661</v>
      </c>
      <c r="B2540" s="810" t="s">
        <v>174</v>
      </c>
      <c r="C2540" s="634" t="s">
        <v>175</v>
      </c>
      <c r="D2540" s="636" t="s">
        <v>744</v>
      </c>
      <c r="E2540" s="636" t="s">
        <v>176</v>
      </c>
      <c r="F2540" s="636" t="s">
        <v>177</v>
      </c>
      <c r="G2540" s="636" t="s">
        <v>922</v>
      </c>
      <c r="H2540" s="636" t="s">
        <v>923</v>
      </c>
      <c r="I2540" s="856" t="s">
        <v>924</v>
      </c>
    </row>
    <row r="2541" spans="1:20" ht="14.25" thickTop="1" thickBot="1" x14ac:dyDescent="0.25">
      <c r="A2541" s="568">
        <v>1</v>
      </c>
      <c r="B2541" s="569">
        <v>2</v>
      </c>
      <c r="C2541" s="569">
        <v>3</v>
      </c>
      <c r="D2541" s="569">
        <v>4</v>
      </c>
      <c r="E2541" s="569">
        <v>5</v>
      </c>
      <c r="F2541" s="543">
        <v>6</v>
      </c>
      <c r="G2541" s="543">
        <v>7</v>
      </c>
      <c r="H2541" s="544">
        <v>8</v>
      </c>
      <c r="I2541" s="638" t="s">
        <v>801</v>
      </c>
    </row>
    <row r="2542" spans="1:20" ht="15.75" thickTop="1" x14ac:dyDescent="0.25">
      <c r="A2542" s="432">
        <v>1407</v>
      </c>
      <c r="B2542" s="681">
        <v>4322</v>
      </c>
      <c r="C2542" s="681">
        <v>5331</v>
      </c>
      <c r="D2542" s="857"/>
      <c r="E2542" s="924" t="s">
        <v>996</v>
      </c>
      <c r="F2542" s="858">
        <f>F2543+F2544</f>
        <v>1652</v>
      </c>
      <c r="G2542" s="858">
        <f>G2543+G2544</f>
        <v>1652</v>
      </c>
      <c r="H2542" s="858">
        <f>H2543+H2544</f>
        <v>1652</v>
      </c>
      <c r="I2542" s="859">
        <f t="shared" ref="I2542:I2547" si="117">(H2542/G2542)*100</f>
        <v>100</v>
      </c>
    </row>
    <row r="2543" spans="1:20" ht="14.25" x14ac:dyDescent="0.2">
      <c r="A2543" s="432"/>
      <c r="B2543" s="681"/>
      <c r="C2543" s="681"/>
      <c r="D2543" s="719" t="s">
        <v>611</v>
      </c>
      <c r="E2543" s="1569" t="s">
        <v>833</v>
      </c>
      <c r="F2543" s="865">
        <v>153</v>
      </c>
      <c r="G2543" s="865">
        <v>153</v>
      </c>
      <c r="H2543" s="865">
        <v>153</v>
      </c>
      <c r="I2543" s="861">
        <f t="shared" si="117"/>
        <v>100</v>
      </c>
    </row>
    <row r="2544" spans="1:20" ht="14.25" x14ac:dyDescent="0.2">
      <c r="A2544" s="432"/>
      <c r="B2544" s="681"/>
      <c r="C2544" s="681"/>
      <c r="D2544" s="554" t="s">
        <v>606</v>
      </c>
      <c r="E2544" s="456" t="s">
        <v>72</v>
      </c>
      <c r="F2544" s="865">
        <v>1499</v>
      </c>
      <c r="G2544" s="865">
        <v>1499</v>
      </c>
      <c r="H2544" s="865">
        <v>1499</v>
      </c>
      <c r="I2544" s="861">
        <f t="shared" si="117"/>
        <v>100</v>
      </c>
    </row>
    <row r="2545" spans="1:20" ht="15" x14ac:dyDescent="0.25">
      <c r="A2545" s="432">
        <v>1407</v>
      </c>
      <c r="B2545" s="681">
        <v>4322</v>
      </c>
      <c r="C2545" s="681">
        <v>5336</v>
      </c>
      <c r="D2545" s="1119"/>
      <c r="E2545" s="1479" t="s">
        <v>1269</v>
      </c>
      <c r="F2545" s="865"/>
      <c r="G2545" s="889">
        <v>6460</v>
      </c>
      <c r="H2545" s="889">
        <v>6460</v>
      </c>
      <c r="I2545" s="891">
        <f t="shared" si="117"/>
        <v>100</v>
      </c>
    </row>
    <row r="2546" spans="1:20" ht="15" thickBot="1" x14ac:dyDescent="0.25">
      <c r="A2546" s="432"/>
      <c r="B2546" s="681"/>
      <c r="C2546" s="681"/>
      <c r="D2546" s="554" t="s">
        <v>1182</v>
      </c>
      <c r="E2546" s="456" t="s">
        <v>832</v>
      </c>
      <c r="F2546" s="865"/>
      <c r="G2546" s="865">
        <v>6460</v>
      </c>
      <c r="H2546" s="865">
        <v>6460</v>
      </c>
      <c r="I2546" s="861">
        <f t="shared" si="117"/>
        <v>100</v>
      </c>
    </row>
    <row r="2547" spans="1:20" ht="16.5" thickTop="1" thickBot="1" x14ac:dyDescent="0.3">
      <c r="A2547" s="2685" t="s">
        <v>1162</v>
      </c>
      <c r="B2547" s="2686"/>
      <c r="C2547" s="2686"/>
      <c r="D2547" s="2686"/>
      <c r="E2547" s="2686"/>
      <c r="F2547" s="862">
        <f>SUM(F2542)</f>
        <v>1652</v>
      </c>
      <c r="G2547" s="862">
        <f>G2542+G2545</f>
        <v>8112</v>
      </c>
      <c r="H2547" s="862">
        <f>H2542+H2545</f>
        <v>8112</v>
      </c>
      <c r="I2547" s="863">
        <f t="shared" si="117"/>
        <v>100</v>
      </c>
      <c r="R2547" s="383">
        <f>F2547</f>
        <v>1652</v>
      </c>
      <c r="S2547" s="383">
        <f>G2547</f>
        <v>8112</v>
      </c>
      <c r="T2547" s="383">
        <f>H2547</f>
        <v>8112</v>
      </c>
    </row>
    <row r="2548" spans="1:20" ht="13.5" thickTop="1" x14ac:dyDescent="0.2"/>
    <row r="2549" spans="1:20" ht="13.5" thickBot="1" x14ac:dyDescent="0.25">
      <c r="A2549" s="433" t="s">
        <v>942</v>
      </c>
      <c r="I2549" s="1465" t="s">
        <v>173</v>
      </c>
    </row>
    <row r="2550" spans="1:20" ht="14.25" thickTop="1" thickBot="1" x14ac:dyDescent="0.25">
      <c r="A2550" s="633" t="s">
        <v>661</v>
      </c>
      <c r="B2550" s="810" t="s">
        <v>174</v>
      </c>
      <c r="C2550" s="634" t="s">
        <v>175</v>
      </c>
      <c r="D2550" s="636" t="s">
        <v>744</v>
      </c>
      <c r="E2550" s="636" t="s">
        <v>176</v>
      </c>
      <c r="F2550" s="636" t="s">
        <v>177</v>
      </c>
      <c r="G2550" s="636" t="s">
        <v>922</v>
      </c>
      <c r="H2550" s="636" t="s">
        <v>923</v>
      </c>
      <c r="I2550" s="856" t="s">
        <v>924</v>
      </c>
    </row>
    <row r="2551" spans="1:20" ht="14.25" thickTop="1" thickBot="1" x14ac:dyDescent="0.25">
      <c r="A2551" s="568">
        <v>1</v>
      </c>
      <c r="B2551" s="569">
        <v>2</v>
      </c>
      <c r="C2551" s="569">
        <v>3</v>
      </c>
      <c r="D2551" s="569">
        <v>4</v>
      </c>
      <c r="E2551" s="569">
        <v>5</v>
      </c>
      <c r="F2551" s="543">
        <v>6</v>
      </c>
      <c r="G2551" s="543">
        <v>7</v>
      </c>
      <c r="H2551" s="544">
        <v>8</v>
      </c>
      <c r="I2551" s="638" t="s">
        <v>801</v>
      </c>
    </row>
    <row r="2552" spans="1:20" ht="15.75" thickTop="1" x14ac:dyDescent="0.25">
      <c r="A2552" s="432">
        <v>1408</v>
      </c>
      <c r="B2552" s="681">
        <v>4322</v>
      </c>
      <c r="C2552" s="681">
        <v>5331</v>
      </c>
      <c r="D2552" s="857"/>
      <c r="E2552" s="829" t="s">
        <v>996</v>
      </c>
      <c r="F2552" s="858">
        <f>F2553+F2554</f>
        <v>1853</v>
      </c>
      <c r="G2552" s="858">
        <f>G2553+G2554</f>
        <v>2123</v>
      </c>
      <c r="H2552" s="858">
        <f>H2553+H2554</f>
        <v>2123</v>
      </c>
      <c r="I2552" s="859">
        <v>100</v>
      </c>
    </row>
    <row r="2553" spans="1:20" ht="15" x14ac:dyDescent="0.25">
      <c r="A2553" s="432"/>
      <c r="B2553" s="681"/>
      <c r="C2553" s="681"/>
      <c r="D2553" s="1110" t="s">
        <v>196</v>
      </c>
      <c r="E2553" s="1215" t="s">
        <v>751</v>
      </c>
      <c r="F2553" s="858"/>
      <c r="G2553" s="357">
        <v>270</v>
      </c>
      <c r="H2553" s="357">
        <v>270</v>
      </c>
      <c r="I2553" s="861">
        <f>(H2553/G2553)*100</f>
        <v>100</v>
      </c>
    </row>
    <row r="2554" spans="1:20" ht="14.25" x14ac:dyDescent="0.2">
      <c r="A2554" s="432"/>
      <c r="B2554" s="681"/>
      <c r="C2554" s="681"/>
      <c r="D2554" s="554" t="s">
        <v>606</v>
      </c>
      <c r="E2554" s="456" t="s">
        <v>72</v>
      </c>
      <c r="F2554" s="865">
        <v>1853</v>
      </c>
      <c r="G2554" s="865">
        <v>1853</v>
      </c>
      <c r="H2554" s="865">
        <v>1853</v>
      </c>
      <c r="I2554" s="861">
        <f>(H2554/G2554)*100</f>
        <v>100</v>
      </c>
    </row>
    <row r="2555" spans="1:20" ht="15" x14ac:dyDescent="0.25">
      <c r="A2555" s="432">
        <v>1408</v>
      </c>
      <c r="B2555" s="681">
        <v>4322</v>
      </c>
      <c r="C2555" s="681">
        <v>5336</v>
      </c>
      <c r="D2555" s="1119"/>
      <c r="E2555" s="1479" t="s">
        <v>1269</v>
      </c>
      <c r="F2555" s="865"/>
      <c r="G2555" s="889">
        <v>8609</v>
      </c>
      <c r="H2555" s="889">
        <v>8609</v>
      </c>
      <c r="I2555" s="891">
        <f>(H2555/G2555)*100</f>
        <v>100</v>
      </c>
    </row>
    <row r="2556" spans="1:20" ht="15" thickBot="1" x14ac:dyDescent="0.25">
      <c r="A2556" s="432"/>
      <c r="B2556" s="681"/>
      <c r="C2556" s="681"/>
      <c r="D2556" s="554" t="s">
        <v>1182</v>
      </c>
      <c r="E2556" s="456" t="s">
        <v>832</v>
      </c>
      <c r="F2556" s="865"/>
      <c r="G2556" s="865">
        <v>8609</v>
      </c>
      <c r="H2556" s="865">
        <v>8609</v>
      </c>
      <c r="I2556" s="861">
        <f>(H2556/G2556)*100</f>
        <v>100</v>
      </c>
    </row>
    <row r="2557" spans="1:20" ht="16.5" thickTop="1" thickBot="1" x14ac:dyDescent="0.3">
      <c r="A2557" s="2685" t="s">
        <v>1162</v>
      </c>
      <c r="B2557" s="2686"/>
      <c r="C2557" s="2686"/>
      <c r="D2557" s="2686"/>
      <c r="E2557" s="2686"/>
      <c r="F2557" s="862">
        <f>F2552</f>
        <v>1853</v>
      </c>
      <c r="G2557" s="862">
        <f>G2552+G2555</f>
        <v>10732</v>
      </c>
      <c r="H2557" s="862">
        <f>H2552+H2555</f>
        <v>10732</v>
      </c>
      <c r="I2557" s="863">
        <f>(H2557/G2557)*100</f>
        <v>100</v>
      </c>
      <c r="R2557" s="383">
        <f>F2557</f>
        <v>1853</v>
      </c>
      <c r="S2557" s="383">
        <f>G2557</f>
        <v>10732</v>
      </c>
      <c r="T2557" s="383">
        <f>H2557</f>
        <v>10732</v>
      </c>
    </row>
    <row r="2558" spans="1:20" ht="13.5" thickTop="1" x14ac:dyDescent="0.2"/>
    <row r="2559" spans="1:20" ht="13.5" thickBot="1" x14ac:dyDescent="0.25">
      <c r="A2559" s="433" t="s">
        <v>1536</v>
      </c>
      <c r="I2559" s="1465" t="s">
        <v>173</v>
      </c>
    </row>
    <row r="2560" spans="1:20" ht="14.25" thickTop="1" thickBot="1" x14ac:dyDescent="0.25">
      <c r="A2560" s="633" t="s">
        <v>661</v>
      </c>
      <c r="B2560" s="810" t="s">
        <v>174</v>
      </c>
      <c r="C2560" s="634" t="s">
        <v>175</v>
      </c>
      <c r="D2560" s="636" t="s">
        <v>744</v>
      </c>
      <c r="E2560" s="636" t="s">
        <v>176</v>
      </c>
      <c r="F2560" s="636" t="s">
        <v>177</v>
      </c>
      <c r="G2560" s="636" t="s">
        <v>922</v>
      </c>
      <c r="H2560" s="636" t="s">
        <v>923</v>
      </c>
      <c r="I2560" s="856" t="s">
        <v>924</v>
      </c>
    </row>
    <row r="2561" spans="1:20" ht="14.25" thickTop="1" thickBot="1" x14ac:dyDescent="0.25">
      <c r="A2561" s="568">
        <v>1</v>
      </c>
      <c r="B2561" s="569">
        <v>2</v>
      </c>
      <c r="C2561" s="569">
        <v>3</v>
      </c>
      <c r="D2561" s="569">
        <v>4</v>
      </c>
      <c r="E2561" s="569">
        <v>5</v>
      </c>
      <c r="F2561" s="543">
        <v>6</v>
      </c>
      <c r="G2561" s="543">
        <v>7</v>
      </c>
      <c r="H2561" s="544">
        <v>8</v>
      </c>
      <c r="I2561" s="638" t="s">
        <v>801</v>
      </c>
    </row>
    <row r="2562" spans="1:20" ht="15.75" thickTop="1" x14ac:dyDescent="0.25">
      <c r="A2562" s="432">
        <v>1420</v>
      </c>
      <c r="B2562" s="681">
        <v>3141</v>
      </c>
      <c r="C2562" s="681">
        <v>5336</v>
      </c>
      <c r="D2562" s="857"/>
      <c r="E2562" s="1479" t="s">
        <v>1269</v>
      </c>
      <c r="F2562" s="858"/>
      <c r="G2562" s="858">
        <v>1194</v>
      </c>
      <c r="H2562" s="858">
        <v>1194</v>
      </c>
      <c r="I2562" s="859">
        <f t="shared" ref="I2562:I2563" si="118">(H2562/G2562)*100</f>
        <v>100</v>
      </c>
    </row>
    <row r="2563" spans="1:20" ht="14.25" x14ac:dyDescent="0.2">
      <c r="A2563" s="432"/>
      <c r="B2563" s="681"/>
      <c r="C2563" s="681"/>
      <c r="D2563" s="554" t="s">
        <v>1182</v>
      </c>
      <c r="E2563" s="456" t="s">
        <v>832</v>
      </c>
      <c r="F2563" s="357"/>
      <c r="G2563" s="357">
        <v>1194</v>
      </c>
      <c r="H2563" s="357">
        <v>1194</v>
      </c>
      <c r="I2563" s="861">
        <f t="shared" si="118"/>
        <v>100</v>
      </c>
    </row>
    <row r="2564" spans="1:20" ht="15" x14ac:dyDescent="0.25">
      <c r="A2564" s="432">
        <v>1420</v>
      </c>
      <c r="B2564" s="681">
        <v>3142</v>
      </c>
      <c r="C2564" s="681">
        <v>5331</v>
      </c>
      <c r="D2564" s="1078"/>
      <c r="E2564" s="829" t="s">
        <v>996</v>
      </c>
      <c r="F2564" s="858">
        <f>F2565+F2566</f>
        <v>5949</v>
      </c>
      <c r="G2564" s="858">
        <f>G2565+G2566</f>
        <v>6119</v>
      </c>
      <c r="H2564" s="858">
        <f>H2565+H2566</f>
        <v>6119</v>
      </c>
      <c r="I2564" s="891">
        <f t="shared" ref="I2564:I2569" si="119">(H2564/G2564)*100</f>
        <v>100</v>
      </c>
    </row>
    <row r="2565" spans="1:20" ht="14.25" x14ac:dyDescent="0.2">
      <c r="A2565" s="432"/>
      <c r="B2565" s="681"/>
      <c r="C2565" s="681"/>
      <c r="D2565" s="719" t="s">
        <v>611</v>
      </c>
      <c r="E2565" s="1569" t="s">
        <v>833</v>
      </c>
      <c r="F2565" s="865">
        <v>3958</v>
      </c>
      <c r="G2565" s="865">
        <v>3958</v>
      </c>
      <c r="H2565" s="865">
        <v>3958</v>
      </c>
      <c r="I2565" s="861">
        <f t="shared" si="119"/>
        <v>100</v>
      </c>
    </row>
    <row r="2566" spans="1:20" ht="14.25" x14ac:dyDescent="0.2">
      <c r="A2566" s="432"/>
      <c r="B2566" s="681"/>
      <c r="C2566" s="681"/>
      <c r="D2566" s="554" t="s">
        <v>606</v>
      </c>
      <c r="E2566" s="456" t="s">
        <v>72</v>
      </c>
      <c r="F2566" s="865">
        <v>1991</v>
      </c>
      <c r="G2566" s="865">
        <v>2161</v>
      </c>
      <c r="H2566" s="865">
        <v>2161</v>
      </c>
      <c r="I2566" s="861">
        <f t="shared" si="119"/>
        <v>100</v>
      </c>
    </row>
    <row r="2567" spans="1:20" ht="15" x14ac:dyDescent="0.25">
      <c r="A2567" s="432">
        <v>1420</v>
      </c>
      <c r="B2567" s="681">
        <v>3142</v>
      </c>
      <c r="C2567" s="681">
        <v>5336</v>
      </c>
      <c r="D2567" s="554"/>
      <c r="E2567" s="1479" t="s">
        <v>1269</v>
      </c>
      <c r="F2567" s="865"/>
      <c r="G2567" s="889">
        <v>2932</v>
      </c>
      <c r="H2567" s="889">
        <v>2932</v>
      </c>
      <c r="I2567" s="891">
        <f t="shared" si="119"/>
        <v>100</v>
      </c>
    </row>
    <row r="2568" spans="1:20" ht="15" thickBot="1" x14ac:dyDescent="0.25">
      <c r="A2568" s="432"/>
      <c r="B2568" s="681"/>
      <c r="C2568" s="681"/>
      <c r="D2568" s="554" t="s">
        <v>1182</v>
      </c>
      <c r="E2568" s="456" t="s">
        <v>832</v>
      </c>
      <c r="F2568" s="865"/>
      <c r="G2568" s="865">
        <v>2932</v>
      </c>
      <c r="H2568" s="865">
        <v>2932</v>
      </c>
      <c r="I2568" s="861">
        <f t="shared" si="119"/>
        <v>100</v>
      </c>
    </row>
    <row r="2569" spans="1:20" ht="16.5" thickTop="1" thickBot="1" x14ac:dyDescent="0.3">
      <c r="A2569" s="2685" t="s">
        <v>1162</v>
      </c>
      <c r="B2569" s="2686"/>
      <c r="C2569" s="2686"/>
      <c r="D2569" s="2686"/>
      <c r="E2569" s="2686"/>
      <c r="F2569" s="862">
        <f>F2564</f>
        <v>5949</v>
      </c>
      <c r="G2569" s="862">
        <f>G2564+G2567+G2562</f>
        <v>10245</v>
      </c>
      <c r="H2569" s="862">
        <f>H2564+H2567+H2562</f>
        <v>10245</v>
      </c>
      <c r="I2569" s="863">
        <f t="shared" si="119"/>
        <v>100</v>
      </c>
      <c r="R2569" s="383">
        <f>F2569</f>
        <v>5949</v>
      </c>
      <c r="S2569" s="383">
        <f>G2569</f>
        <v>10245</v>
      </c>
      <c r="T2569" s="383">
        <f>H2569</f>
        <v>10245</v>
      </c>
    </row>
    <row r="2570" spans="1:20" ht="13.5" thickTop="1" x14ac:dyDescent="0.2"/>
    <row r="2571" spans="1:20" ht="13.5" thickBot="1" x14ac:dyDescent="0.25">
      <c r="A2571" s="433" t="s">
        <v>1177</v>
      </c>
      <c r="I2571" s="1465" t="s">
        <v>173</v>
      </c>
    </row>
    <row r="2572" spans="1:20" ht="14.25" thickTop="1" thickBot="1" x14ac:dyDescent="0.25">
      <c r="A2572" s="633" t="s">
        <v>661</v>
      </c>
      <c r="B2572" s="810" t="s">
        <v>174</v>
      </c>
      <c r="C2572" s="634" t="s">
        <v>175</v>
      </c>
      <c r="D2572" s="636" t="s">
        <v>744</v>
      </c>
      <c r="E2572" s="636" t="s">
        <v>176</v>
      </c>
      <c r="F2572" s="636" t="s">
        <v>177</v>
      </c>
      <c r="G2572" s="636" t="s">
        <v>922</v>
      </c>
      <c r="H2572" s="636" t="s">
        <v>923</v>
      </c>
      <c r="I2572" s="856" t="s">
        <v>924</v>
      </c>
    </row>
    <row r="2573" spans="1:20" ht="14.25" thickTop="1" thickBot="1" x14ac:dyDescent="0.25">
      <c r="A2573" s="568">
        <v>1</v>
      </c>
      <c r="B2573" s="569">
        <v>2</v>
      </c>
      <c r="C2573" s="569">
        <v>3</v>
      </c>
      <c r="D2573" s="569">
        <v>4</v>
      </c>
      <c r="E2573" s="569">
        <v>5</v>
      </c>
      <c r="F2573" s="543">
        <v>6</v>
      </c>
      <c r="G2573" s="543">
        <v>7</v>
      </c>
      <c r="H2573" s="544">
        <v>8</v>
      </c>
      <c r="I2573" s="638" t="s">
        <v>801</v>
      </c>
    </row>
    <row r="2574" spans="1:20" ht="15.75" thickTop="1" x14ac:dyDescent="0.25">
      <c r="A2574" s="1477">
        <v>1450</v>
      </c>
      <c r="B2574" s="885">
        <v>3146</v>
      </c>
      <c r="C2574" s="885">
        <v>5331</v>
      </c>
      <c r="D2574" s="890"/>
      <c r="E2574" s="924" t="s">
        <v>996</v>
      </c>
      <c r="F2574" s="883">
        <f>F2575+F2576</f>
        <v>2849</v>
      </c>
      <c r="G2574" s="883">
        <f>G2575+G2576+G2577</f>
        <v>2950</v>
      </c>
      <c r="H2574" s="883">
        <f>H2575+H2576+H2577</f>
        <v>2950</v>
      </c>
      <c r="I2574" s="887">
        <f t="shared" ref="I2574:I2583" si="120">(H2574/G2574)*100</f>
        <v>100</v>
      </c>
    </row>
    <row r="2575" spans="1:20" ht="14.25" x14ac:dyDescent="0.2">
      <c r="A2575" s="432"/>
      <c r="B2575" s="681"/>
      <c r="C2575" s="681"/>
      <c r="D2575" s="719" t="s">
        <v>611</v>
      </c>
      <c r="E2575" s="1569" t="s">
        <v>833</v>
      </c>
      <c r="F2575" s="865">
        <v>24</v>
      </c>
      <c r="G2575" s="865">
        <v>25</v>
      </c>
      <c r="H2575" s="865">
        <v>25</v>
      </c>
      <c r="I2575" s="861">
        <f t="shared" si="120"/>
        <v>100</v>
      </c>
    </row>
    <row r="2576" spans="1:20" ht="14.25" x14ac:dyDescent="0.2">
      <c r="A2576" s="432"/>
      <c r="B2576" s="783"/>
      <c r="C2576" s="1468"/>
      <c r="D2576" s="554" t="s">
        <v>606</v>
      </c>
      <c r="E2576" s="456" t="s">
        <v>72</v>
      </c>
      <c r="F2576" s="871">
        <v>2825</v>
      </c>
      <c r="G2576" s="871">
        <v>2885</v>
      </c>
      <c r="H2576" s="871">
        <v>2885</v>
      </c>
      <c r="I2576" s="866">
        <f t="shared" si="120"/>
        <v>100</v>
      </c>
    </row>
    <row r="2577" spans="1:23" ht="14.25" x14ac:dyDescent="0.2">
      <c r="A2577" s="432"/>
      <c r="B2577" s="783"/>
      <c r="C2577" s="1468"/>
      <c r="D2577" s="1391" t="s">
        <v>1803</v>
      </c>
      <c r="E2577" s="1927" t="s">
        <v>1979</v>
      </c>
      <c r="F2577" s="871"/>
      <c r="G2577" s="871">
        <v>40</v>
      </c>
      <c r="H2577" s="871">
        <v>40</v>
      </c>
      <c r="I2577" s="866">
        <f t="shared" si="120"/>
        <v>100</v>
      </c>
    </row>
    <row r="2578" spans="1:23" ht="15" x14ac:dyDescent="0.25">
      <c r="A2578" s="432">
        <v>1450</v>
      </c>
      <c r="B2578" s="783">
        <v>3146</v>
      </c>
      <c r="C2578" s="1468">
        <v>5336</v>
      </c>
      <c r="D2578" s="1119"/>
      <c r="E2578" s="1479" t="s">
        <v>1269</v>
      </c>
      <c r="F2578" s="871"/>
      <c r="G2578" s="884">
        <v>24178</v>
      </c>
      <c r="H2578" s="884">
        <v>24178</v>
      </c>
      <c r="I2578" s="876">
        <f t="shared" si="120"/>
        <v>100</v>
      </c>
    </row>
    <row r="2579" spans="1:23" ht="14.25" x14ac:dyDescent="0.2">
      <c r="A2579" s="432"/>
      <c r="B2579" s="783"/>
      <c r="C2579" s="1468"/>
      <c r="D2579" s="554" t="s">
        <v>1182</v>
      </c>
      <c r="E2579" s="456" t="s">
        <v>832</v>
      </c>
      <c r="F2579" s="871"/>
      <c r="G2579" s="871">
        <v>24178</v>
      </c>
      <c r="H2579" s="871">
        <v>24178</v>
      </c>
      <c r="I2579" s="866">
        <f t="shared" si="120"/>
        <v>100</v>
      </c>
    </row>
    <row r="2580" spans="1:23" ht="15" x14ac:dyDescent="0.25">
      <c r="A2580" s="432">
        <v>1450</v>
      </c>
      <c r="B2580" s="783">
        <v>3541</v>
      </c>
      <c r="C2580" s="1468">
        <v>5331</v>
      </c>
      <c r="D2580" s="554"/>
      <c r="E2580" s="829" t="s">
        <v>996</v>
      </c>
      <c r="F2580" s="871"/>
      <c r="G2580" s="884">
        <v>200</v>
      </c>
      <c r="H2580" s="884">
        <v>200</v>
      </c>
      <c r="I2580" s="876">
        <f t="shared" si="120"/>
        <v>100</v>
      </c>
    </row>
    <row r="2581" spans="1:23" ht="14.25" x14ac:dyDescent="0.2">
      <c r="A2581" s="432"/>
      <c r="B2581" s="783"/>
      <c r="C2581" s="1468"/>
      <c r="D2581" s="1110" t="s">
        <v>369</v>
      </c>
      <c r="E2581" s="1215" t="s">
        <v>933</v>
      </c>
      <c r="F2581" s="871"/>
      <c r="G2581" s="871">
        <v>200</v>
      </c>
      <c r="H2581" s="871">
        <v>200</v>
      </c>
      <c r="I2581" s="866">
        <f t="shared" si="120"/>
        <v>100</v>
      </c>
    </row>
    <row r="2582" spans="1:23" ht="15" x14ac:dyDescent="0.25">
      <c r="A2582" s="432">
        <v>1450</v>
      </c>
      <c r="B2582" s="681">
        <v>5399</v>
      </c>
      <c r="C2582" s="1467">
        <v>5331</v>
      </c>
      <c r="D2582" s="554"/>
      <c r="E2582" s="829" t="s">
        <v>996</v>
      </c>
      <c r="F2582" s="873"/>
      <c r="G2582" s="884">
        <v>216</v>
      </c>
      <c r="H2582" s="889">
        <v>216</v>
      </c>
      <c r="I2582" s="891">
        <f t="shared" si="120"/>
        <v>100</v>
      </c>
    </row>
    <row r="2583" spans="1:23" ht="15" thickBot="1" x14ac:dyDescent="0.25">
      <c r="A2583" s="432"/>
      <c r="B2583" s="681"/>
      <c r="C2583" s="1467"/>
      <c r="D2583" s="1372" t="s">
        <v>910</v>
      </c>
      <c r="E2583" s="1373" t="s">
        <v>230</v>
      </c>
      <c r="F2583" s="865"/>
      <c r="G2583" s="865">
        <v>216</v>
      </c>
      <c r="H2583" s="865">
        <v>216</v>
      </c>
      <c r="I2583" s="870">
        <f t="shared" si="120"/>
        <v>100</v>
      </c>
    </row>
    <row r="2584" spans="1:23" ht="16.5" thickTop="1" thickBot="1" x14ac:dyDescent="0.3">
      <c r="A2584" s="2685" t="s">
        <v>1162</v>
      </c>
      <c r="B2584" s="2686"/>
      <c r="C2584" s="2686"/>
      <c r="D2584" s="2686"/>
      <c r="E2584" s="2686"/>
      <c r="F2584" s="862">
        <f>F2574</f>
        <v>2849</v>
      </c>
      <c r="G2584" s="862">
        <f>G2574+G2578+G2580+G2582</f>
        <v>27544</v>
      </c>
      <c r="H2584" s="862">
        <f>H2574+H2578+H2580+H2582</f>
        <v>27544</v>
      </c>
      <c r="I2584" s="863">
        <f>(H2584/G2584)*100</f>
        <v>100</v>
      </c>
      <c r="R2584" s="383">
        <f>F2584</f>
        <v>2849</v>
      </c>
      <c r="S2584" s="383">
        <f>G2584</f>
        <v>27544</v>
      </c>
      <c r="T2584" s="383">
        <f>H2584</f>
        <v>27544</v>
      </c>
    </row>
    <row r="2585" spans="1:23" ht="15.75" thickTop="1" x14ac:dyDescent="0.25">
      <c r="A2585" s="369"/>
      <c r="B2585" s="369"/>
      <c r="C2585" s="369"/>
      <c r="D2585" s="369"/>
      <c r="E2585" s="369"/>
      <c r="F2585" s="181"/>
      <c r="G2585" s="181"/>
      <c r="H2585" s="181"/>
      <c r="I2585" s="210"/>
      <c r="R2585" s="383"/>
      <c r="S2585" s="383"/>
      <c r="T2585" s="383"/>
    </row>
    <row r="2586" spans="1:23" ht="13.5" thickBot="1" x14ac:dyDescent="0.25">
      <c r="A2586" s="433" t="s">
        <v>1537</v>
      </c>
      <c r="I2586" s="1465" t="s">
        <v>173</v>
      </c>
    </row>
    <row r="2587" spans="1:23" ht="14.25" thickTop="1" thickBot="1" x14ac:dyDescent="0.25">
      <c r="A2587" s="633" t="s">
        <v>661</v>
      </c>
      <c r="B2587" s="810" t="s">
        <v>174</v>
      </c>
      <c r="C2587" s="634" t="s">
        <v>175</v>
      </c>
      <c r="D2587" s="636" t="s">
        <v>744</v>
      </c>
      <c r="E2587" s="636" t="s">
        <v>176</v>
      </c>
      <c r="F2587" s="636" t="s">
        <v>177</v>
      </c>
      <c r="G2587" s="636" t="s">
        <v>922</v>
      </c>
      <c r="H2587" s="636" t="s">
        <v>923</v>
      </c>
      <c r="I2587" s="856" t="s">
        <v>924</v>
      </c>
    </row>
    <row r="2588" spans="1:23" ht="14.25" thickTop="1" thickBot="1" x14ac:dyDescent="0.25">
      <c r="A2588" s="568">
        <v>1</v>
      </c>
      <c r="B2588" s="569">
        <v>2</v>
      </c>
      <c r="C2588" s="569">
        <v>3</v>
      </c>
      <c r="D2588" s="569">
        <v>4</v>
      </c>
      <c r="E2588" s="569">
        <v>5</v>
      </c>
      <c r="F2588" s="543">
        <v>6</v>
      </c>
      <c r="G2588" s="543">
        <v>7</v>
      </c>
      <c r="H2588" s="544">
        <v>8</v>
      </c>
      <c r="I2588" s="638" t="s">
        <v>801</v>
      </c>
    </row>
    <row r="2589" spans="1:23" ht="15.75" thickTop="1" x14ac:dyDescent="0.25">
      <c r="A2589" s="1477">
        <v>1465</v>
      </c>
      <c r="B2589" s="885">
        <v>3149</v>
      </c>
      <c r="C2589" s="885">
        <v>5331</v>
      </c>
      <c r="D2589" s="890"/>
      <c r="E2589" s="924" t="s">
        <v>996</v>
      </c>
      <c r="F2589" s="883">
        <f>F2590+F2591</f>
        <v>1871</v>
      </c>
      <c r="G2589" s="883">
        <f>G2590+G2591</f>
        <v>1896</v>
      </c>
      <c r="H2589" s="883">
        <f>H2590+H2591</f>
        <v>1896</v>
      </c>
      <c r="I2589" s="887">
        <f t="shared" ref="I2589:I2591" si="121">(H2589/G2589)*100</f>
        <v>100</v>
      </c>
    </row>
    <row r="2590" spans="1:23" ht="14.25" x14ac:dyDescent="0.2">
      <c r="A2590" s="432"/>
      <c r="B2590" s="681"/>
      <c r="C2590" s="681"/>
      <c r="D2590" s="719" t="s">
        <v>611</v>
      </c>
      <c r="E2590" s="1569" t="s">
        <v>833</v>
      </c>
      <c r="F2590" s="357">
        <v>771</v>
      </c>
      <c r="G2590" s="357">
        <v>771</v>
      </c>
      <c r="H2590" s="357">
        <v>771</v>
      </c>
      <c r="I2590" s="861">
        <f t="shared" si="121"/>
        <v>100</v>
      </c>
    </row>
    <row r="2591" spans="1:23" ht="15" thickBot="1" x14ac:dyDescent="0.25">
      <c r="A2591" s="432"/>
      <c r="B2591" s="681"/>
      <c r="C2591" s="681"/>
      <c r="D2591" s="554" t="s">
        <v>606</v>
      </c>
      <c r="E2591" s="456" t="s">
        <v>72</v>
      </c>
      <c r="F2591" s="865">
        <v>1100</v>
      </c>
      <c r="G2591" s="865">
        <v>1125</v>
      </c>
      <c r="H2591" s="865">
        <v>1125</v>
      </c>
      <c r="I2591" s="861">
        <f t="shared" si="121"/>
        <v>100</v>
      </c>
    </row>
    <row r="2592" spans="1:23" ht="16.5" thickTop="1" thickBot="1" x14ac:dyDescent="0.3">
      <c r="A2592" s="2685" t="s">
        <v>1162</v>
      </c>
      <c r="B2592" s="2686"/>
      <c r="C2592" s="2686"/>
      <c r="D2592" s="2686"/>
      <c r="E2592" s="2686"/>
      <c r="F2592" s="862">
        <f>F2589</f>
        <v>1871</v>
      </c>
      <c r="G2592" s="862">
        <f>G2589</f>
        <v>1896</v>
      </c>
      <c r="H2592" s="862">
        <f>H2589</f>
        <v>1896</v>
      </c>
      <c r="I2592" s="863">
        <f>(H2592/G2592)*100</f>
        <v>100</v>
      </c>
      <c r="J2592" s="383">
        <f>F2592</f>
        <v>1871</v>
      </c>
      <c r="K2592" s="383" t="e">
        <f>G2592+#REF!</f>
        <v>#REF!</v>
      </c>
      <c r="L2592" s="383" t="e">
        <f>H2592+#REF!</f>
        <v>#REF!</v>
      </c>
      <c r="R2592" s="383">
        <f>F2592</f>
        <v>1871</v>
      </c>
      <c r="S2592" s="383">
        <f>G2592</f>
        <v>1896</v>
      </c>
      <c r="T2592" s="383">
        <f>H2592</f>
        <v>1896</v>
      </c>
      <c r="U2592" s="383"/>
      <c r="V2592" s="383"/>
      <c r="W2592" s="383"/>
    </row>
    <row r="2593" spans="1:23" ht="13.5" thickTop="1" x14ac:dyDescent="0.2">
      <c r="R2593" s="951">
        <f t="shared" ref="R2593:W2593" si="122">SUM(R28:R2592)</f>
        <v>400899</v>
      </c>
      <c r="S2593" s="951">
        <f t="shared" si="122"/>
        <v>2413823</v>
      </c>
      <c r="T2593" s="951">
        <f t="shared" si="122"/>
        <v>2413823</v>
      </c>
      <c r="U2593" s="951">
        <f t="shared" si="122"/>
        <v>0</v>
      </c>
      <c r="V2593" s="951">
        <f t="shared" si="122"/>
        <v>4989</v>
      </c>
      <c r="W2593" s="951">
        <f t="shared" si="122"/>
        <v>4989</v>
      </c>
    </row>
    <row r="2594" spans="1:23" x14ac:dyDescent="0.2">
      <c r="R2594" s="951"/>
      <c r="S2594" s="951"/>
      <c r="T2594" s="951"/>
      <c r="U2594" s="951"/>
      <c r="V2594" s="951"/>
      <c r="W2594" s="951"/>
    </row>
    <row r="2595" spans="1:23" x14ac:dyDescent="0.2">
      <c r="R2595" s="951"/>
      <c r="S2595" s="951"/>
      <c r="T2595" s="951"/>
      <c r="U2595" s="951"/>
      <c r="V2595" s="951"/>
      <c r="W2595" s="951"/>
    </row>
    <row r="2596" spans="1:23" x14ac:dyDescent="0.2">
      <c r="R2596" s="951"/>
      <c r="S2596" s="951"/>
      <c r="T2596" s="951"/>
      <c r="U2596" s="951"/>
      <c r="V2596" s="951"/>
      <c r="W2596" s="951"/>
    </row>
    <row r="2597" spans="1:23" x14ac:dyDescent="0.2">
      <c r="R2597" s="951"/>
      <c r="S2597" s="951"/>
      <c r="T2597" s="951"/>
      <c r="U2597" s="951"/>
      <c r="V2597" s="951"/>
      <c r="W2597" s="951"/>
    </row>
    <row r="2598" spans="1:23" x14ac:dyDescent="0.2">
      <c r="R2598" s="951"/>
      <c r="S2598" s="951"/>
      <c r="T2598" s="951"/>
      <c r="U2598" s="951"/>
      <c r="V2598" s="951"/>
      <c r="W2598" s="951"/>
    </row>
    <row r="2599" spans="1:23" ht="13.5" thickBot="1" x14ac:dyDescent="0.25">
      <c r="A2599" s="433" t="s">
        <v>1070</v>
      </c>
      <c r="I2599" s="1465" t="s">
        <v>173</v>
      </c>
      <c r="R2599" s="951"/>
      <c r="S2599" s="951"/>
      <c r="T2599" s="951"/>
      <c r="U2599" s="951"/>
      <c r="V2599" s="951"/>
      <c r="W2599" s="951"/>
    </row>
    <row r="2600" spans="1:23" ht="14.25" thickTop="1" thickBot="1" x14ac:dyDescent="0.25">
      <c r="A2600" s="633" t="s">
        <v>661</v>
      </c>
      <c r="B2600" s="810" t="s">
        <v>174</v>
      </c>
      <c r="C2600" s="634" t="s">
        <v>175</v>
      </c>
      <c r="D2600" s="636" t="s">
        <v>744</v>
      </c>
      <c r="E2600" s="636" t="s">
        <v>176</v>
      </c>
      <c r="F2600" s="636" t="s">
        <v>177</v>
      </c>
      <c r="G2600" s="636" t="s">
        <v>922</v>
      </c>
      <c r="H2600" s="636" t="s">
        <v>923</v>
      </c>
      <c r="I2600" s="856" t="s">
        <v>924</v>
      </c>
      <c r="R2600" s="951">
        <f>R2593+U2593</f>
        <v>400899</v>
      </c>
      <c r="S2600" s="951">
        <f>S2593+V2593</f>
        <v>2418812</v>
      </c>
      <c r="T2600" s="951">
        <f>T2593+W2593</f>
        <v>2418812</v>
      </c>
      <c r="U2600" s="951"/>
      <c r="V2600" s="951" t="s">
        <v>1538</v>
      </c>
      <c r="W2600" s="951"/>
    </row>
    <row r="2601" spans="1:23" ht="14.25" thickTop="1" thickBot="1" x14ac:dyDescent="0.25">
      <c r="A2601" s="568">
        <v>1</v>
      </c>
      <c r="B2601" s="569">
        <v>2</v>
      </c>
      <c r="C2601" s="569">
        <v>3</v>
      </c>
      <c r="D2601" s="569">
        <v>4</v>
      </c>
      <c r="E2601" s="569">
        <v>5</v>
      </c>
      <c r="F2601" s="543">
        <v>6</v>
      </c>
      <c r="G2601" s="543">
        <v>7</v>
      </c>
      <c r="H2601" s="544">
        <v>8</v>
      </c>
      <c r="I2601" s="638" t="s">
        <v>801</v>
      </c>
      <c r="R2601" s="951"/>
      <c r="S2601" s="951"/>
      <c r="T2601" s="951"/>
      <c r="U2601" s="951"/>
      <c r="V2601" s="951"/>
      <c r="W2601" s="951"/>
    </row>
    <row r="2602" spans="1:23" ht="15.75" thickTop="1" x14ac:dyDescent="0.25">
      <c r="A2602" s="1466"/>
      <c r="B2602" s="154">
        <v>3299</v>
      </c>
      <c r="C2602" s="85">
        <v>5331</v>
      </c>
      <c r="D2602" s="1120"/>
      <c r="E2602" s="1108" t="s">
        <v>1069</v>
      </c>
      <c r="F2602" s="71">
        <f>F2603+F2604+F2605+F2606</f>
        <v>6900</v>
      </c>
      <c r="G2602" s="94">
        <f>G2604+G2606</f>
        <v>0</v>
      </c>
      <c r="H2602" s="858">
        <v>0</v>
      </c>
      <c r="I2602" s="859">
        <v>0</v>
      </c>
      <c r="R2602" s="951"/>
      <c r="S2602" s="951"/>
      <c r="T2602" s="951"/>
      <c r="U2602" s="951"/>
      <c r="V2602" s="951"/>
      <c r="W2602" s="951"/>
    </row>
    <row r="2603" spans="1:23" ht="15" x14ac:dyDescent="0.25">
      <c r="A2603" s="432"/>
      <c r="B2603" s="154"/>
      <c r="C2603" s="1131"/>
      <c r="D2603" s="1120" t="s">
        <v>606</v>
      </c>
      <c r="E2603" s="85" t="s">
        <v>23</v>
      </c>
      <c r="F2603" s="1172">
        <v>1100</v>
      </c>
      <c r="G2603" s="449">
        <v>0</v>
      </c>
      <c r="H2603" s="865">
        <v>0</v>
      </c>
      <c r="I2603" s="861">
        <v>0</v>
      </c>
      <c r="R2603" s="951"/>
      <c r="S2603" s="951"/>
      <c r="T2603" s="951"/>
      <c r="U2603" s="951"/>
      <c r="V2603" s="951"/>
      <c r="W2603" s="951"/>
    </row>
    <row r="2604" spans="1:23" ht="14.25" x14ac:dyDescent="0.2">
      <c r="A2604" s="432"/>
      <c r="B2604" s="154"/>
      <c r="C2604" s="1139"/>
      <c r="D2604" s="1120" t="s">
        <v>1180</v>
      </c>
      <c r="E2604" s="1114" t="s">
        <v>24</v>
      </c>
      <c r="F2604" s="1172">
        <v>150</v>
      </c>
      <c r="G2604" s="449">
        <v>0</v>
      </c>
      <c r="H2604" s="865">
        <v>0</v>
      </c>
      <c r="I2604" s="861">
        <v>0</v>
      </c>
      <c r="R2604" s="951"/>
      <c r="S2604" s="951"/>
      <c r="T2604" s="951"/>
      <c r="U2604" s="951"/>
      <c r="V2604" s="951"/>
      <c r="W2604" s="951"/>
    </row>
    <row r="2605" spans="1:23" ht="14.25" x14ac:dyDescent="0.2">
      <c r="A2605" s="432"/>
      <c r="B2605" s="154"/>
      <c r="C2605" s="1139"/>
      <c r="D2605" s="1120" t="s">
        <v>513</v>
      </c>
      <c r="E2605" s="1114" t="s">
        <v>1303</v>
      </c>
      <c r="F2605" s="1172">
        <v>50</v>
      </c>
      <c r="G2605" s="449">
        <v>0</v>
      </c>
      <c r="H2605" s="865">
        <v>0</v>
      </c>
      <c r="I2605" s="861">
        <v>0</v>
      </c>
      <c r="R2605" s="951"/>
      <c r="S2605" s="951"/>
      <c r="T2605" s="951"/>
      <c r="U2605" s="951"/>
      <c r="V2605" s="951"/>
      <c r="W2605" s="951"/>
    </row>
    <row r="2606" spans="1:23" ht="14.25" x14ac:dyDescent="0.2">
      <c r="A2606" s="432"/>
      <c r="B2606" s="154"/>
      <c r="C2606" s="1139"/>
      <c r="D2606" s="1120" t="s">
        <v>968</v>
      </c>
      <c r="E2606" s="1107" t="s">
        <v>969</v>
      </c>
      <c r="F2606" s="1172">
        <v>5600</v>
      </c>
      <c r="G2606" s="449">
        <v>0</v>
      </c>
      <c r="H2606" s="865">
        <v>0</v>
      </c>
      <c r="I2606" s="861">
        <v>0</v>
      </c>
      <c r="R2606" s="951"/>
      <c r="S2606" s="951"/>
      <c r="T2606" s="951"/>
      <c r="U2606" s="951"/>
      <c r="V2606" s="951"/>
      <c r="W2606" s="951"/>
    </row>
    <row r="2607" spans="1:23" ht="15" x14ac:dyDescent="0.25">
      <c r="A2607" s="432"/>
      <c r="B2607" s="19">
        <v>3792</v>
      </c>
      <c r="C2607" s="19">
        <v>5331</v>
      </c>
      <c r="D2607" s="1120"/>
      <c r="E2607" s="1108" t="s">
        <v>1069</v>
      </c>
      <c r="F2607" s="71">
        <v>340</v>
      </c>
      <c r="G2607" s="313">
        <v>0</v>
      </c>
      <c r="H2607" s="889">
        <v>0</v>
      </c>
      <c r="I2607" s="891">
        <v>0</v>
      </c>
      <c r="R2607" s="951"/>
      <c r="S2607" s="951"/>
      <c r="T2607" s="951"/>
      <c r="U2607" s="951"/>
      <c r="V2607" s="951"/>
      <c r="W2607" s="951"/>
    </row>
    <row r="2608" spans="1:23" ht="15" thickBot="1" x14ac:dyDescent="0.25">
      <c r="A2608" s="1469"/>
      <c r="B2608" s="1133"/>
      <c r="C2608" s="1139"/>
      <c r="D2608" s="554" t="s">
        <v>1382</v>
      </c>
      <c r="E2608" s="459" t="s">
        <v>1174</v>
      </c>
      <c r="F2608" s="1172">
        <v>340</v>
      </c>
      <c r="G2608" s="449">
        <v>0</v>
      </c>
      <c r="H2608" s="865">
        <v>0</v>
      </c>
      <c r="I2608" s="861">
        <v>0</v>
      </c>
      <c r="R2608" s="951"/>
      <c r="S2608" s="951"/>
      <c r="T2608" s="951"/>
      <c r="U2608" s="951"/>
      <c r="V2608" s="951"/>
      <c r="W2608" s="951"/>
    </row>
    <row r="2609" spans="1:23" ht="16.5" thickTop="1" thickBot="1" x14ac:dyDescent="0.3">
      <c r="A2609" s="2257" t="s">
        <v>1162</v>
      </c>
      <c r="B2609" s="1490"/>
      <c r="C2609" s="1490"/>
      <c r="D2609" s="1490"/>
      <c r="E2609" s="1491"/>
      <c r="F2609" s="862">
        <f>F2602+F2607</f>
        <v>7240</v>
      </c>
      <c r="G2609" s="862">
        <f>G2602</f>
        <v>0</v>
      </c>
      <c r="H2609" s="862">
        <f>H2602</f>
        <v>0</v>
      </c>
      <c r="I2609" s="863">
        <v>0</v>
      </c>
      <c r="R2609" s="951">
        <f>F2609</f>
        <v>7240</v>
      </c>
      <c r="S2609" s="951">
        <f>G2609</f>
        <v>0</v>
      </c>
      <c r="T2609" s="951">
        <f>H2609</f>
        <v>0</v>
      </c>
      <c r="U2609" s="951"/>
      <c r="V2609" s="951" t="s">
        <v>1276</v>
      </c>
      <c r="W2609" s="951"/>
    </row>
    <row r="2610" spans="1:23" ht="13.5" thickTop="1" x14ac:dyDescent="0.2">
      <c r="A2610" s="1086"/>
      <c r="B2610" s="1086"/>
      <c r="C2610" s="1086"/>
      <c r="D2610" s="1086"/>
      <c r="E2610" s="1086"/>
      <c r="F2610" s="1390"/>
      <c r="G2610" s="1390"/>
      <c r="H2610" s="1390"/>
      <c r="I2610" s="1390"/>
      <c r="R2610" s="951">
        <f>R2600+R2609</f>
        <v>408139</v>
      </c>
      <c r="S2610" s="951">
        <f>S2600+S2609</f>
        <v>2418812</v>
      </c>
      <c r="T2610" s="951">
        <f>T2600+T2609</f>
        <v>2418812</v>
      </c>
      <c r="V2610" s="433" t="s">
        <v>1539</v>
      </c>
    </row>
    <row r="2611" spans="1:23" ht="15" x14ac:dyDescent="0.25">
      <c r="A2611" s="1472"/>
      <c r="B2611" s="1139"/>
      <c r="C2611" s="85"/>
      <c r="D2611" s="1110"/>
      <c r="E2611" s="1108"/>
      <c r="F2611" s="94"/>
      <c r="G2611" s="94"/>
      <c r="H2611" s="181"/>
      <c r="I2611" s="210"/>
    </row>
    <row r="2612" spans="1:23" ht="14.25" x14ac:dyDescent="0.2">
      <c r="A2612" s="1472"/>
      <c r="B2612" s="1139"/>
      <c r="C2612" s="85"/>
      <c r="D2612" s="1110"/>
      <c r="E2612" s="85"/>
      <c r="F2612" s="1377"/>
      <c r="G2612" s="449"/>
      <c r="H2612" s="879"/>
      <c r="I2612" s="932"/>
      <c r="R2612" s="383"/>
      <c r="S2612" s="1831"/>
      <c r="T2612" s="1831"/>
    </row>
    <row r="2613" spans="1:23" ht="14.25" x14ac:dyDescent="0.2">
      <c r="A2613" s="1472"/>
      <c r="B2613" s="1139"/>
      <c r="C2613" s="85"/>
      <c r="D2613" s="1110"/>
      <c r="E2613" s="1115"/>
      <c r="F2613" s="1377"/>
      <c r="G2613" s="449"/>
      <c r="H2613" s="879"/>
      <c r="I2613" s="932"/>
    </row>
    <row r="2614" spans="1:23" ht="15" x14ac:dyDescent="0.25">
      <c r="A2614" s="1472"/>
      <c r="B2614" s="1139"/>
      <c r="C2614" s="1131"/>
      <c r="D2614" s="1110"/>
      <c r="E2614" s="85"/>
      <c r="F2614" s="1377"/>
      <c r="G2614" s="449"/>
      <c r="H2614" s="879"/>
      <c r="I2614" s="932"/>
    </row>
    <row r="2615" spans="1:23" ht="15" x14ac:dyDescent="0.25">
      <c r="A2615" s="1472"/>
      <c r="B2615" s="1139"/>
      <c r="C2615" s="1131"/>
      <c r="D2615" s="1110"/>
      <c r="E2615" s="85"/>
      <c r="F2615" s="1377"/>
      <c r="G2615" s="449"/>
      <c r="H2615" s="879"/>
      <c r="I2615" s="932"/>
    </row>
    <row r="2616" spans="1:23" ht="14.25" x14ac:dyDescent="0.2">
      <c r="A2616" s="1472"/>
      <c r="B2616" s="1139"/>
      <c r="C2616" s="1139"/>
      <c r="D2616" s="1110"/>
      <c r="E2616" s="1114"/>
      <c r="F2616" s="1377"/>
      <c r="G2616" s="449"/>
      <c r="H2616" s="879"/>
      <c r="I2616" s="932"/>
    </row>
    <row r="2617" spans="1:23" ht="14.25" x14ac:dyDescent="0.2">
      <c r="A2617" s="1472"/>
      <c r="B2617" s="1139"/>
      <c r="C2617" s="1139"/>
      <c r="D2617" s="1110"/>
      <c r="E2617" s="1114"/>
      <c r="F2617" s="1377"/>
      <c r="G2617" s="449"/>
      <c r="H2617" s="879"/>
      <c r="I2617" s="932"/>
    </row>
    <row r="2618" spans="1:23" ht="14.25" x14ac:dyDescent="0.2">
      <c r="A2618" s="1472"/>
      <c r="B2618" s="1139"/>
      <c r="C2618" s="1139"/>
      <c r="D2618" s="1110"/>
      <c r="E2618" s="1114"/>
      <c r="F2618" s="1377"/>
      <c r="G2618" s="449"/>
      <c r="H2618" s="879"/>
      <c r="I2618" s="932"/>
    </row>
    <row r="2619" spans="1:23" ht="14.25" x14ac:dyDescent="0.2">
      <c r="A2619" s="1472"/>
      <c r="B2619" s="1139"/>
      <c r="C2619" s="1139"/>
      <c r="D2619" s="1391"/>
      <c r="E2619" s="1252"/>
      <c r="F2619" s="1377"/>
      <c r="G2619" s="449"/>
      <c r="H2619" s="879"/>
      <c r="I2619" s="932"/>
    </row>
    <row r="2620" spans="1:23" ht="14.25" x14ac:dyDescent="0.2">
      <c r="A2620" s="1472"/>
      <c r="B2620" s="1139"/>
      <c r="C2620" s="1139"/>
      <c r="D2620" s="1391"/>
      <c r="E2620" s="1329"/>
      <c r="F2620" s="1377"/>
      <c r="G2620" s="449"/>
      <c r="H2620" s="879"/>
      <c r="I2620" s="932"/>
    </row>
    <row r="2621" spans="1:23" ht="15" x14ac:dyDescent="0.25">
      <c r="A2621" s="369"/>
      <c r="B2621" s="1492"/>
      <c r="C2621" s="1492"/>
      <c r="D2621" s="1492"/>
      <c r="E2621" s="1492"/>
      <c r="F2621" s="181"/>
      <c r="G2621" s="181"/>
      <c r="H2621" s="181"/>
      <c r="I2621" s="210"/>
      <c r="R2621" s="383"/>
      <c r="S2621" s="383"/>
      <c r="T2621" s="383"/>
    </row>
    <row r="2632" spans="2:20" x14ac:dyDescent="0.2">
      <c r="B2632" s="382"/>
      <c r="D2632" s="382"/>
      <c r="F2632" s="382"/>
      <c r="G2632" s="382"/>
      <c r="H2632" s="382"/>
      <c r="I2632" s="382"/>
      <c r="R2632" s="951"/>
      <c r="S2632" s="951"/>
      <c r="T2632" s="951"/>
    </row>
  </sheetData>
  <mergeCells count="153">
    <mergeCell ref="A893:E893"/>
    <mergeCell ref="A452:E452"/>
    <mergeCell ref="A480:E480"/>
    <mergeCell ref="A518:E518"/>
    <mergeCell ref="A548:E548"/>
    <mergeCell ref="A566:E566"/>
    <mergeCell ref="A589:E589"/>
    <mergeCell ref="A823:E823"/>
    <mergeCell ref="E461:E462"/>
    <mergeCell ref="E463:E464"/>
    <mergeCell ref="E546:E547"/>
    <mergeCell ref="A570:E570"/>
    <mergeCell ref="A618:E618"/>
    <mergeCell ref="A1702:E1702"/>
    <mergeCell ref="D1713:D1715"/>
    <mergeCell ref="E1713:E1715"/>
    <mergeCell ref="A1727:E1727"/>
    <mergeCell ref="A1673:E1673"/>
    <mergeCell ref="A1807:E1807"/>
    <mergeCell ref="A615:E615"/>
    <mergeCell ref="A759:E759"/>
    <mergeCell ref="A775:E775"/>
    <mergeCell ref="A802:E802"/>
    <mergeCell ref="A933:E933"/>
    <mergeCell ref="A850:E850"/>
    <mergeCell ref="A1025:E1025"/>
    <mergeCell ref="A1107:E1107"/>
    <mergeCell ref="A875:E875"/>
    <mergeCell ref="A890:E890"/>
    <mergeCell ref="A969:E969"/>
    <mergeCell ref="A981:E981"/>
    <mergeCell ref="A1000:E1000"/>
    <mergeCell ref="D1009:D1011"/>
    <mergeCell ref="E1009:E1011"/>
    <mergeCell ref="A1070:E1070"/>
    <mergeCell ref="A1131:E1131"/>
    <mergeCell ref="A1147:E1147"/>
    <mergeCell ref="A2323:E2323"/>
    <mergeCell ref="A2332:E2332"/>
    <mergeCell ref="A2343:E2343"/>
    <mergeCell ref="A2355:E2355"/>
    <mergeCell ref="A2181:E2181"/>
    <mergeCell ref="A2219:E2219"/>
    <mergeCell ref="A2233:E2233"/>
    <mergeCell ref="A2243:E2243"/>
    <mergeCell ref="A2252:E2252"/>
    <mergeCell ref="A28:E28"/>
    <mergeCell ref="A40:E40"/>
    <mergeCell ref="A53:E53"/>
    <mergeCell ref="A90:E90"/>
    <mergeCell ref="A123:E123"/>
    <mergeCell ref="A160:E160"/>
    <mergeCell ref="A184:E184"/>
    <mergeCell ref="A227:E227"/>
    <mergeCell ref="A256:E256"/>
    <mergeCell ref="A272:E272"/>
    <mergeCell ref="A285:E285"/>
    <mergeCell ref="A312:E312"/>
    <mergeCell ref="A326:E326"/>
    <mergeCell ref="A355:E355"/>
    <mergeCell ref="A373:E373"/>
    <mergeCell ref="A393:E393"/>
    <mergeCell ref="A437:E437"/>
    <mergeCell ref="A341:E341"/>
    <mergeCell ref="S636:S637"/>
    <mergeCell ref="S639:S640"/>
    <mergeCell ref="A646:E646"/>
    <mergeCell ref="A665:E665"/>
    <mergeCell ref="A682:E682"/>
    <mergeCell ref="A703:E703"/>
    <mergeCell ref="A718:E718"/>
    <mergeCell ref="A721:E721"/>
    <mergeCell ref="A742:E742"/>
    <mergeCell ref="A1606:E1606"/>
    <mergeCell ref="A1164:E1164"/>
    <mergeCell ref="D1173:D1175"/>
    <mergeCell ref="E1173:E1175"/>
    <mergeCell ref="D1222:D1224"/>
    <mergeCell ref="E1222:E1224"/>
    <mergeCell ref="A1203:E1203"/>
    <mergeCell ref="A1238:E1238"/>
    <mergeCell ref="A1267:E1267"/>
    <mergeCell ref="A1553:E1553"/>
    <mergeCell ref="A1568:E1568"/>
    <mergeCell ref="A1583:E1583"/>
    <mergeCell ref="A1452:E1452"/>
    <mergeCell ref="A1470:E1470"/>
    <mergeCell ref="A1484:E1484"/>
    <mergeCell ref="D1276:D1278"/>
    <mergeCell ref="E1276:E1278"/>
    <mergeCell ref="A1298:E1298"/>
    <mergeCell ref="A1327:E1327"/>
    <mergeCell ref="A1341:E1341"/>
    <mergeCell ref="A1371:E1371"/>
    <mergeCell ref="A1428:E1428"/>
    <mergeCell ref="A1389:E1389"/>
    <mergeCell ref="R2108:R2110"/>
    <mergeCell ref="S2108:S2110"/>
    <mergeCell ref="A2126:E2126"/>
    <mergeCell ref="A1988:E1988"/>
    <mergeCell ref="A2012:E2012"/>
    <mergeCell ref="A2040:E2040"/>
    <mergeCell ref="A2557:E2557"/>
    <mergeCell ref="A2569:E2569"/>
    <mergeCell ref="A2584:E2584"/>
    <mergeCell ref="A2367:E2367"/>
    <mergeCell ref="A2379:E2379"/>
    <mergeCell ref="A2391:E2391"/>
    <mergeCell ref="A2209:E2209"/>
    <mergeCell ref="A2152:E2152"/>
    <mergeCell ref="A2067:E2067"/>
    <mergeCell ref="A2073:E2073"/>
    <mergeCell ref="A2087:E2087"/>
    <mergeCell ref="D2095:D2097"/>
    <mergeCell ref="E2095:E2097"/>
    <mergeCell ref="A2263:E2263"/>
    <mergeCell ref="A2275:E2275"/>
    <mergeCell ref="A2288:E2288"/>
    <mergeCell ref="A2301:E2301"/>
    <mergeCell ref="A2312:E2312"/>
    <mergeCell ref="A2592:E2592"/>
    <mergeCell ref="A2411:E2411"/>
    <mergeCell ref="A2425:E2425"/>
    <mergeCell ref="A2437:E2437"/>
    <mergeCell ref="A2453:E2453"/>
    <mergeCell ref="A2465:E2465"/>
    <mergeCell ref="A2478:E2478"/>
    <mergeCell ref="A2489:E2489"/>
    <mergeCell ref="E2523:E2524"/>
    <mergeCell ref="E1083:E1084"/>
    <mergeCell ref="A1206:E1206"/>
    <mergeCell ref="A1330:E1330"/>
    <mergeCell ref="A2222:E2222"/>
    <mergeCell ref="A2500:E2500"/>
    <mergeCell ref="A2511:E2511"/>
    <mergeCell ref="A2525:E2525"/>
    <mergeCell ref="A2537:E2537"/>
    <mergeCell ref="A2547:E2547"/>
    <mergeCell ref="A1961:E1961"/>
    <mergeCell ref="A1750:E1750"/>
    <mergeCell ref="A1780:E1780"/>
    <mergeCell ref="D1789:D1791"/>
    <mergeCell ref="E1789:E1791"/>
    <mergeCell ref="A1846:E1846"/>
    <mergeCell ref="A1869:E1869"/>
    <mergeCell ref="A1894:E1894"/>
    <mergeCell ref="D1903:D1905"/>
    <mergeCell ref="E1903:E1905"/>
    <mergeCell ref="A1927:E1927"/>
    <mergeCell ref="A1640:E1640"/>
    <mergeCell ref="A1432:E1432"/>
    <mergeCell ref="A1508:E1508"/>
    <mergeCell ref="A1522:E1522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9" firstPageNumber="48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 enableFormatConditionsCalculation="0">
    <tabColor rgb="FF00B0F0"/>
  </sheetPr>
  <dimension ref="A1:IV462"/>
  <sheetViews>
    <sheetView showGridLines="0" view="pageBreakPreview" topLeftCell="A310" zoomScaleNormal="100" zoomScaleSheetLayoutView="100" workbookViewId="0">
      <selection activeCell="E484" sqref="E484"/>
    </sheetView>
  </sheetViews>
  <sheetFormatPr defaultRowHeight="14.25" x14ac:dyDescent="0.2"/>
  <cols>
    <col min="1" max="1" width="4.7109375" style="382" customWidth="1"/>
    <col min="2" max="2" width="4.7109375" style="645" customWidth="1"/>
    <col min="3" max="3" width="4.7109375" style="382" customWidth="1"/>
    <col min="4" max="4" width="8.85546875" style="852" customWidth="1"/>
    <col min="5" max="5" width="48.85546875" style="382" customWidth="1"/>
    <col min="6" max="6" width="11.42578125" style="526" customWidth="1"/>
    <col min="7" max="7" width="12.42578125" style="526" customWidth="1"/>
    <col min="8" max="8" width="10.85546875" style="526" customWidth="1"/>
    <col min="9" max="9" width="6.7109375" style="1622" customWidth="1"/>
    <col min="10" max="256" width="9.140625" style="382"/>
    <col min="257" max="259" width="4.7109375" style="382" customWidth="1"/>
    <col min="260" max="260" width="8.85546875" style="382" customWidth="1"/>
    <col min="261" max="261" width="48.85546875" style="382" customWidth="1"/>
    <col min="262" max="262" width="11.42578125" style="382" customWidth="1"/>
    <col min="263" max="263" width="12.42578125" style="382" customWidth="1"/>
    <col min="264" max="264" width="10.85546875" style="382" customWidth="1"/>
    <col min="265" max="265" width="6.7109375" style="382" customWidth="1"/>
    <col min="266" max="512" width="9.140625" style="382"/>
    <col min="513" max="515" width="4.7109375" style="382" customWidth="1"/>
    <col min="516" max="516" width="8.85546875" style="382" customWidth="1"/>
    <col min="517" max="517" width="48.85546875" style="382" customWidth="1"/>
    <col min="518" max="518" width="11.42578125" style="382" customWidth="1"/>
    <col min="519" max="519" width="12.42578125" style="382" customWidth="1"/>
    <col min="520" max="520" width="10.85546875" style="382" customWidth="1"/>
    <col min="521" max="521" width="6.7109375" style="382" customWidth="1"/>
    <col min="522" max="768" width="9.140625" style="382"/>
    <col min="769" max="771" width="4.7109375" style="382" customWidth="1"/>
    <col min="772" max="772" width="8.85546875" style="382" customWidth="1"/>
    <col min="773" max="773" width="48.85546875" style="382" customWidth="1"/>
    <col min="774" max="774" width="11.42578125" style="382" customWidth="1"/>
    <col min="775" max="775" width="12.42578125" style="382" customWidth="1"/>
    <col min="776" max="776" width="10.85546875" style="382" customWidth="1"/>
    <col min="777" max="777" width="6.7109375" style="382" customWidth="1"/>
    <col min="778" max="1024" width="9.140625" style="382"/>
    <col min="1025" max="1027" width="4.7109375" style="382" customWidth="1"/>
    <col min="1028" max="1028" width="8.85546875" style="382" customWidth="1"/>
    <col min="1029" max="1029" width="48.85546875" style="382" customWidth="1"/>
    <col min="1030" max="1030" width="11.42578125" style="382" customWidth="1"/>
    <col min="1031" max="1031" width="12.42578125" style="382" customWidth="1"/>
    <col min="1032" max="1032" width="10.85546875" style="382" customWidth="1"/>
    <col min="1033" max="1033" width="6.7109375" style="382" customWidth="1"/>
    <col min="1034" max="1280" width="9.140625" style="382"/>
    <col min="1281" max="1283" width="4.7109375" style="382" customWidth="1"/>
    <col min="1284" max="1284" width="8.85546875" style="382" customWidth="1"/>
    <col min="1285" max="1285" width="48.85546875" style="382" customWidth="1"/>
    <col min="1286" max="1286" width="11.42578125" style="382" customWidth="1"/>
    <col min="1287" max="1287" width="12.42578125" style="382" customWidth="1"/>
    <col min="1288" max="1288" width="10.85546875" style="382" customWidth="1"/>
    <col min="1289" max="1289" width="6.7109375" style="382" customWidth="1"/>
    <col min="1290" max="1536" width="9.140625" style="382"/>
    <col min="1537" max="1539" width="4.7109375" style="382" customWidth="1"/>
    <col min="1540" max="1540" width="8.85546875" style="382" customWidth="1"/>
    <col min="1541" max="1541" width="48.85546875" style="382" customWidth="1"/>
    <col min="1542" max="1542" width="11.42578125" style="382" customWidth="1"/>
    <col min="1543" max="1543" width="12.42578125" style="382" customWidth="1"/>
    <col min="1544" max="1544" width="10.85546875" style="382" customWidth="1"/>
    <col min="1545" max="1545" width="6.7109375" style="382" customWidth="1"/>
    <col min="1546" max="1792" width="9.140625" style="382"/>
    <col min="1793" max="1795" width="4.7109375" style="382" customWidth="1"/>
    <col min="1796" max="1796" width="8.85546875" style="382" customWidth="1"/>
    <col min="1797" max="1797" width="48.85546875" style="382" customWidth="1"/>
    <col min="1798" max="1798" width="11.42578125" style="382" customWidth="1"/>
    <col min="1799" max="1799" width="12.42578125" style="382" customWidth="1"/>
    <col min="1800" max="1800" width="10.85546875" style="382" customWidth="1"/>
    <col min="1801" max="1801" width="6.7109375" style="382" customWidth="1"/>
    <col min="1802" max="2048" width="9.140625" style="382"/>
    <col min="2049" max="2051" width="4.7109375" style="382" customWidth="1"/>
    <col min="2052" max="2052" width="8.85546875" style="382" customWidth="1"/>
    <col min="2053" max="2053" width="48.85546875" style="382" customWidth="1"/>
    <col min="2054" max="2054" width="11.42578125" style="382" customWidth="1"/>
    <col min="2055" max="2055" width="12.42578125" style="382" customWidth="1"/>
    <col min="2056" max="2056" width="10.85546875" style="382" customWidth="1"/>
    <col min="2057" max="2057" width="6.7109375" style="382" customWidth="1"/>
    <col min="2058" max="2304" width="9.140625" style="382"/>
    <col min="2305" max="2307" width="4.7109375" style="382" customWidth="1"/>
    <col min="2308" max="2308" width="8.85546875" style="382" customWidth="1"/>
    <col min="2309" max="2309" width="48.85546875" style="382" customWidth="1"/>
    <col min="2310" max="2310" width="11.42578125" style="382" customWidth="1"/>
    <col min="2311" max="2311" width="12.42578125" style="382" customWidth="1"/>
    <col min="2312" max="2312" width="10.85546875" style="382" customWidth="1"/>
    <col min="2313" max="2313" width="6.7109375" style="382" customWidth="1"/>
    <col min="2314" max="2560" width="9.140625" style="382"/>
    <col min="2561" max="2563" width="4.7109375" style="382" customWidth="1"/>
    <col min="2564" max="2564" width="8.85546875" style="382" customWidth="1"/>
    <col min="2565" max="2565" width="48.85546875" style="382" customWidth="1"/>
    <col min="2566" max="2566" width="11.42578125" style="382" customWidth="1"/>
    <col min="2567" max="2567" width="12.42578125" style="382" customWidth="1"/>
    <col min="2568" max="2568" width="10.85546875" style="382" customWidth="1"/>
    <col min="2569" max="2569" width="6.7109375" style="382" customWidth="1"/>
    <col min="2570" max="2816" width="9.140625" style="382"/>
    <col min="2817" max="2819" width="4.7109375" style="382" customWidth="1"/>
    <col min="2820" max="2820" width="8.85546875" style="382" customWidth="1"/>
    <col min="2821" max="2821" width="48.85546875" style="382" customWidth="1"/>
    <col min="2822" max="2822" width="11.42578125" style="382" customWidth="1"/>
    <col min="2823" max="2823" width="12.42578125" style="382" customWidth="1"/>
    <col min="2824" max="2824" width="10.85546875" style="382" customWidth="1"/>
    <col min="2825" max="2825" width="6.7109375" style="382" customWidth="1"/>
    <col min="2826" max="3072" width="9.140625" style="382"/>
    <col min="3073" max="3075" width="4.7109375" style="382" customWidth="1"/>
    <col min="3076" max="3076" width="8.85546875" style="382" customWidth="1"/>
    <col min="3077" max="3077" width="48.85546875" style="382" customWidth="1"/>
    <col min="3078" max="3078" width="11.42578125" style="382" customWidth="1"/>
    <col min="3079" max="3079" width="12.42578125" style="382" customWidth="1"/>
    <col min="3080" max="3080" width="10.85546875" style="382" customWidth="1"/>
    <col min="3081" max="3081" width="6.7109375" style="382" customWidth="1"/>
    <col min="3082" max="3328" width="9.140625" style="382"/>
    <col min="3329" max="3331" width="4.7109375" style="382" customWidth="1"/>
    <col min="3332" max="3332" width="8.85546875" style="382" customWidth="1"/>
    <col min="3333" max="3333" width="48.85546875" style="382" customWidth="1"/>
    <col min="3334" max="3334" width="11.42578125" style="382" customWidth="1"/>
    <col min="3335" max="3335" width="12.42578125" style="382" customWidth="1"/>
    <col min="3336" max="3336" width="10.85546875" style="382" customWidth="1"/>
    <col min="3337" max="3337" width="6.7109375" style="382" customWidth="1"/>
    <col min="3338" max="3584" width="9.140625" style="382"/>
    <col min="3585" max="3587" width="4.7109375" style="382" customWidth="1"/>
    <col min="3588" max="3588" width="8.85546875" style="382" customWidth="1"/>
    <col min="3589" max="3589" width="48.85546875" style="382" customWidth="1"/>
    <col min="3590" max="3590" width="11.42578125" style="382" customWidth="1"/>
    <col min="3591" max="3591" width="12.42578125" style="382" customWidth="1"/>
    <col min="3592" max="3592" width="10.85546875" style="382" customWidth="1"/>
    <col min="3593" max="3593" width="6.7109375" style="382" customWidth="1"/>
    <col min="3594" max="3840" width="9.140625" style="382"/>
    <col min="3841" max="3843" width="4.7109375" style="382" customWidth="1"/>
    <col min="3844" max="3844" width="8.85546875" style="382" customWidth="1"/>
    <col min="3845" max="3845" width="48.85546875" style="382" customWidth="1"/>
    <col min="3846" max="3846" width="11.42578125" style="382" customWidth="1"/>
    <col min="3847" max="3847" width="12.42578125" style="382" customWidth="1"/>
    <col min="3848" max="3848" width="10.85546875" style="382" customWidth="1"/>
    <col min="3849" max="3849" width="6.7109375" style="382" customWidth="1"/>
    <col min="3850" max="4096" width="9.140625" style="382"/>
    <col min="4097" max="4099" width="4.7109375" style="382" customWidth="1"/>
    <col min="4100" max="4100" width="8.85546875" style="382" customWidth="1"/>
    <col min="4101" max="4101" width="48.85546875" style="382" customWidth="1"/>
    <col min="4102" max="4102" width="11.42578125" style="382" customWidth="1"/>
    <col min="4103" max="4103" width="12.42578125" style="382" customWidth="1"/>
    <col min="4104" max="4104" width="10.85546875" style="382" customWidth="1"/>
    <col min="4105" max="4105" width="6.7109375" style="382" customWidth="1"/>
    <col min="4106" max="4352" width="9.140625" style="382"/>
    <col min="4353" max="4355" width="4.7109375" style="382" customWidth="1"/>
    <col min="4356" max="4356" width="8.85546875" style="382" customWidth="1"/>
    <col min="4357" max="4357" width="48.85546875" style="382" customWidth="1"/>
    <col min="4358" max="4358" width="11.42578125" style="382" customWidth="1"/>
    <col min="4359" max="4359" width="12.42578125" style="382" customWidth="1"/>
    <col min="4360" max="4360" width="10.85546875" style="382" customWidth="1"/>
    <col min="4361" max="4361" width="6.7109375" style="382" customWidth="1"/>
    <col min="4362" max="4608" width="9.140625" style="382"/>
    <col min="4609" max="4611" width="4.7109375" style="382" customWidth="1"/>
    <col min="4612" max="4612" width="8.85546875" style="382" customWidth="1"/>
    <col min="4613" max="4613" width="48.85546875" style="382" customWidth="1"/>
    <col min="4614" max="4614" width="11.42578125" style="382" customWidth="1"/>
    <col min="4615" max="4615" width="12.42578125" style="382" customWidth="1"/>
    <col min="4616" max="4616" width="10.85546875" style="382" customWidth="1"/>
    <col min="4617" max="4617" width="6.7109375" style="382" customWidth="1"/>
    <col min="4618" max="4864" width="9.140625" style="382"/>
    <col min="4865" max="4867" width="4.7109375" style="382" customWidth="1"/>
    <col min="4868" max="4868" width="8.85546875" style="382" customWidth="1"/>
    <col min="4869" max="4869" width="48.85546875" style="382" customWidth="1"/>
    <col min="4870" max="4870" width="11.42578125" style="382" customWidth="1"/>
    <col min="4871" max="4871" width="12.42578125" style="382" customWidth="1"/>
    <col min="4872" max="4872" width="10.85546875" style="382" customWidth="1"/>
    <col min="4873" max="4873" width="6.7109375" style="382" customWidth="1"/>
    <col min="4874" max="5120" width="9.140625" style="382"/>
    <col min="5121" max="5123" width="4.7109375" style="382" customWidth="1"/>
    <col min="5124" max="5124" width="8.85546875" style="382" customWidth="1"/>
    <col min="5125" max="5125" width="48.85546875" style="382" customWidth="1"/>
    <col min="5126" max="5126" width="11.42578125" style="382" customWidth="1"/>
    <col min="5127" max="5127" width="12.42578125" style="382" customWidth="1"/>
    <col min="5128" max="5128" width="10.85546875" style="382" customWidth="1"/>
    <col min="5129" max="5129" width="6.7109375" style="382" customWidth="1"/>
    <col min="5130" max="5376" width="9.140625" style="382"/>
    <col min="5377" max="5379" width="4.7109375" style="382" customWidth="1"/>
    <col min="5380" max="5380" width="8.85546875" style="382" customWidth="1"/>
    <col min="5381" max="5381" width="48.85546875" style="382" customWidth="1"/>
    <col min="5382" max="5382" width="11.42578125" style="382" customWidth="1"/>
    <col min="5383" max="5383" width="12.42578125" style="382" customWidth="1"/>
    <col min="5384" max="5384" width="10.85546875" style="382" customWidth="1"/>
    <col min="5385" max="5385" width="6.7109375" style="382" customWidth="1"/>
    <col min="5386" max="5632" width="9.140625" style="382"/>
    <col min="5633" max="5635" width="4.7109375" style="382" customWidth="1"/>
    <col min="5636" max="5636" width="8.85546875" style="382" customWidth="1"/>
    <col min="5637" max="5637" width="48.85546875" style="382" customWidth="1"/>
    <col min="5638" max="5638" width="11.42578125" style="382" customWidth="1"/>
    <col min="5639" max="5639" width="12.42578125" style="382" customWidth="1"/>
    <col min="5640" max="5640" width="10.85546875" style="382" customWidth="1"/>
    <col min="5641" max="5641" width="6.7109375" style="382" customWidth="1"/>
    <col min="5642" max="5888" width="9.140625" style="382"/>
    <col min="5889" max="5891" width="4.7109375" style="382" customWidth="1"/>
    <col min="5892" max="5892" width="8.85546875" style="382" customWidth="1"/>
    <col min="5893" max="5893" width="48.85546875" style="382" customWidth="1"/>
    <col min="5894" max="5894" width="11.42578125" style="382" customWidth="1"/>
    <col min="5895" max="5895" width="12.42578125" style="382" customWidth="1"/>
    <col min="5896" max="5896" width="10.85546875" style="382" customWidth="1"/>
    <col min="5897" max="5897" width="6.7109375" style="382" customWidth="1"/>
    <col min="5898" max="6144" width="9.140625" style="382"/>
    <col min="6145" max="6147" width="4.7109375" style="382" customWidth="1"/>
    <col min="6148" max="6148" width="8.85546875" style="382" customWidth="1"/>
    <col min="6149" max="6149" width="48.85546875" style="382" customWidth="1"/>
    <col min="6150" max="6150" width="11.42578125" style="382" customWidth="1"/>
    <col min="6151" max="6151" width="12.42578125" style="382" customWidth="1"/>
    <col min="6152" max="6152" width="10.85546875" style="382" customWidth="1"/>
    <col min="6153" max="6153" width="6.7109375" style="382" customWidth="1"/>
    <col min="6154" max="6400" width="9.140625" style="382"/>
    <col min="6401" max="6403" width="4.7109375" style="382" customWidth="1"/>
    <col min="6404" max="6404" width="8.85546875" style="382" customWidth="1"/>
    <col min="6405" max="6405" width="48.85546875" style="382" customWidth="1"/>
    <col min="6406" max="6406" width="11.42578125" style="382" customWidth="1"/>
    <col min="6407" max="6407" width="12.42578125" style="382" customWidth="1"/>
    <col min="6408" max="6408" width="10.85546875" style="382" customWidth="1"/>
    <col min="6409" max="6409" width="6.7109375" style="382" customWidth="1"/>
    <col min="6410" max="6656" width="9.140625" style="382"/>
    <col min="6657" max="6659" width="4.7109375" style="382" customWidth="1"/>
    <col min="6660" max="6660" width="8.85546875" style="382" customWidth="1"/>
    <col min="6661" max="6661" width="48.85546875" style="382" customWidth="1"/>
    <col min="6662" max="6662" width="11.42578125" style="382" customWidth="1"/>
    <col min="6663" max="6663" width="12.42578125" style="382" customWidth="1"/>
    <col min="6664" max="6664" width="10.85546875" style="382" customWidth="1"/>
    <col min="6665" max="6665" width="6.7109375" style="382" customWidth="1"/>
    <col min="6666" max="6912" width="9.140625" style="382"/>
    <col min="6913" max="6915" width="4.7109375" style="382" customWidth="1"/>
    <col min="6916" max="6916" width="8.85546875" style="382" customWidth="1"/>
    <col min="6917" max="6917" width="48.85546875" style="382" customWidth="1"/>
    <col min="6918" max="6918" width="11.42578125" style="382" customWidth="1"/>
    <col min="6919" max="6919" width="12.42578125" style="382" customWidth="1"/>
    <col min="6920" max="6920" width="10.85546875" style="382" customWidth="1"/>
    <col min="6921" max="6921" width="6.7109375" style="382" customWidth="1"/>
    <col min="6922" max="7168" width="9.140625" style="382"/>
    <col min="7169" max="7171" width="4.7109375" style="382" customWidth="1"/>
    <col min="7172" max="7172" width="8.85546875" style="382" customWidth="1"/>
    <col min="7173" max="7173" width="48.85546875" style="382" customWidth="1"/>
    <col min="7174" max="7174" width="11.42578125" style="382" customWidth="1"/>
    <col min="7175" max="7175" width="12.42578125" style="382" customWidth="1"/>
    <col min="7176" max="7176" width="10.85546875" style="382" customWidth="1"/>
    <col min="7177" max="7177" width="6.7109375" style="382" customWidth="1"/>
    <col min="7178" max="7424" width="9.140625" style="382"/>
    <col min="7425" max="7427" width="4.7109375" style="382" customWidth="1"/>
    <col min="7428" max="7428" width="8.85546875" style="382" customWidth="1"/>
    <col min="7429" max="7429" width="48.85546875" style="382" customWidth="1"/>
    <col min="7430" max="7430" width="11.42578125" style="382" customWidth="1"/>
    <col min="7431" max="7431" width="12.42578125" style="382" customWidth="1"/>
    <col min="7432" max="7432" width="10.85546875" style="382" customWidth="1"/>
    <col min="7433" max="7433" width="6.7109375" style="382" customWidth="1"/>
    <col min="7434" max="7680" width="9.140625" style="382"/>
    <col min="7681" max="7683" width="4.7109375" style="382" customWidth="1"/>
    <col min="7684" max="7684" width="8.85546875" style="382" customWidth="1"/>
    <col min="7685" max="7685" width="48.85546875" style="382" customWidth="1"/>
    <col min="7686" max="7686" width="11.42578125" style="382" customWidth="1"/>
    <col min="7687" max="7687" width="12.42578125" style="382" customWidth="1"/>
    <col min="7688" max="7688" width="10.85546875" style="382" customWidth="1"/>
    <col min="7689" max="7689" width="6.7109375" style="382" customWidth="1"/>
    <col min="7690" max="7936" width="9.140625" style="382"/>
    <col min="7937" max="7939" width="4.7109375" style="382" customWidth="1"/>
    <col min="7940" max="7940" width="8.85546875" style="382" customWidth="1"/>
    <col min="7941" max="7941" width="48.85546875" style="382" customWidth="1"/>
    <col min="7942" max="7942" width="11.42578125" style="382" customWidth="1"/>
    <col min="7943" max="7943" width="12.42578125" style="382" customWidth="1"/>
    <col min="7944" max="7944" width="10.85546875" style="382" customWidth="1"/>
    <col min="7945" max="7945" width="6.7109375" style="382" customWidth="1"/>
    <col min="7946" max="8192" width="9.140625" style="382"/>
    <col min="8193" max="8195" width="4.7109375" style="382" customWidth="1"/>
    <col min="8196" max="8196" width="8.85546875" style="382" customWidth="1"/>
    <col min="8197" max="8197" width="48.85546875" style="382" customWidth="1"/>
    <col min="8198" max="8198" width="11.42578125" style="382" customWidth="1"/>
    <col min="8199" max="8199" width="12.42578125" style="382" customWidth="1"/>
    <col min="8200" max="8200" width="10.85546875" style="382" customWidth="1"/>
    <col min="8201" max="8201" width="6.7109375" style="382" customWidth="1"/>
    <col min="8202" max="8448" width="9.140625" style="382"/>
    <col min="8449" max="8451" width="4.7109375" style="382" customWidth="1"/>
    <col min="8452" max="8452" width="8.85546875" style="382" customWidth="1"/>
    <col min="8453" max="8453" width="48.85546875" style="382" customWidth="1"/>
    <col min="8454" max="8454" width="11.42578125" style="382" customWidth="1"/>
    <col min="8455" max="8455" width="12.42578125" style="382" customWidth="1"/>
    <col min="8456" max="8456" width="10.85546875" style="382" customWidth="1"/>
    <col min="8457" max="8457" width="6.7109375" style="382" customWidth="1"/>
    <col min="8458" max="8704" width="9.140625" style="382"/>
    <col min="8705" max="8707" width="4.7109375" style="382" customWidth="1"/>
    <col min="8708" max="8708" width="8.85546875" style="382" customWidth="1"/>
    <col min="8709" max="8709" width="48.85546875" style="382" customWidth="1"/>
    <col min="8710" max="8710" width="11.42578125" style="382" customWidth="1"/>
    <col min="8711" max="8711" width="12.42578125" style="382" customWidth="1"/>
    <col min="8712" max="8712" width="10.85546875" style="382" customWidth="1"/>
    <col min="8713" max="8713" width="6.7109375" style="382" customWidth="1"/>
    <col min="8714" max="8960" width="9.140625" style="382"/>
    <col min="8961" max="8963" width="4.7109375" style="382" customWidth="1"/>
    <col min="8964" max="8964" width="8.85546875" style="382" customWidth="1"/>
    <col min="8965" max="8965" width="48.85546875" style="382" customWidth="1"/>
    <col min="8966" max="8966" width="11.42578125" style="382" customWidth="1"/>
    <col min="8967" max="8967" width="12.42578125" style="382" customWidth="1"/>
    <col min="8968" max="8968" width="10.85546875" style="382" customWidth="1"/>
    <col min="8969" max="8969" width="6.7109375" style="382" customWidth="1"/>
    <col min="8970" max="9216" width="9.140625" style="382"/>
    <col min="9217" max="9219" width="4.7109375" style="382" customWidth="1"/>
    <col min="9220" max="9220" width="8.85546875" style="382" customWidth="1"/>
    <col min="9221" max="9221" width="48.85546875" style="382" customWidth="1"/>
    <col min="9222" max="9222" width="11.42578125" style="382" customWidth="1"/>
    <col min="9223" max="9223" width="12.42578125" style="382" customWidth="1"/>
    <col min="9224" max="9224" width="10.85546875" style="382" customWidth="1"/>
    <col min="9225" max="9225" width="6.7109375" style="382" customWidth="1"/>
    <col min="9226" max="9472" width="9.140625" style="382"/>
    <col min="9473" max="9475" width="4.7109375" style="382" customWidth="1"/>
    <col min="9476" max="9476" width="8.85546875" style="382" customWidth="1"/>
    <col min="9477" max="9477" width="48.85546875" style="382" customWidth="1"/>
    <col min="9478" max="9478" width="11.42578125" style="382" customWidth="1"/>
    <col min="9479" max="9479" width="12.42578125" style="382" customWidth="1"/>
    <col min="9480" max="9480" width="10.85546875" style="382" customWidth="1"/>
    <col min="9481" max="9481" width="6.7109375" style="382" customWidth="1"/>
    <col min="9482" max="9728" width="9.140625" style="382"/>
    <col min="9729" max="9731" width="4.7109375" style="382" customWidth="1"/>
    <col min="9732" max="9732" width="8.85546875" style="382" customWidth="1"/>
    <col min="9733" max="9733" width="48.85546875" style="382" customWidth="1"/>
    <col min="9734" max="9734" width="11.42578125" style="382" customWidth="1"/>
    <col min="9735" max="9735" width="12.42578125" style="382" customWidth="1"/>
    <col min="9736" max="9736" width="10.85546875" style="382" customWidth="1"/>
    <col min="9737" max="9737" width="6.7109375" style="382" customWidth="1"/>
    <col min="9738" max="9984" width="9.140625" style="382"/>
    <col min="9985" max="9987" width="4.7109375" style="382" customWidth="1"/>
    <col min="9988" max="9988" width="8.85546875" style="382" customWidth="1"/>
    <col min="9989" max="9989" width="48.85546875" style="382" customWidth="1"/>
    <col min="9990" max="9990" width="11.42578125" style="382" customWidth="1"/>
    <col min="9991" max="9991" width="12.42578125" style="382" customWidth="1"/>
    <col min="9992" max="9992" width="10.85546875" style="382" customWidth="1"/>
    <col min="9993" max="9993" width="6.7109375" style="382" customWidth="1"/>
    <col min="9994" max="10240" width="9.140625" style="382"/>
    <col min="10241" max="10243" width="4.7109375" style="382" customWidth="1"/>
    <col min="10244" max="10244" width="8.85546875" style="382" customWidth="1"/>
    <col min="10245" max="10245" width="48.85546875" style="382" customWidth="1"/>
    <col min="10246" max="10246" width="11.42578125" style="382" customWidth="1"/>
    <col min="10247" max="10247" width="12.42578125" style="382" customWidth="1"/>
    <col min="10248" max="10248" width="10.85546875" style="382" customWidth="1"/>
    <col min="10249" max="10249" width="6.7109375" style="382" customWidth="1"/>
    <col min="10250" max="10496" width="9.140625" style="382"/>
    <col min="10497" max="10499" width="4.7109375" style="382" customWidth="1"/>
    <col min="10500" max="10500" width="8.85546875" style="382" customWidth="1"/>
    <col min="10501" max="10501" width="48.85546875" style="382" customWidth="1"/>
    <col min="10502" max="10502" width="11.42578125" style="382" customWidth="1"/>
    <col min="10503" max="10503" width="12.42578125" style="382" customWidth="1"/>
    <col min="10504" max="10504" width="10.85546875" style="382" customWidth="1"/>
    <col min="10505" max="10505" width="6.7109375" style="382" customWidth="1"/>
    <col min="10506" max="10752" width="9.140625" style="382"/>
    <col min="10753" max="10755" width="4.7109375" style="382" customWidth="1"/>
    <col min="10756" max="10756" width="8.85546875" style="382" customWidth="1"/>
    <col min="10757" max="10757" width="48.85546875" style="382" customWidth="1"/>
    <col min="10758" max="10758" width="11.42578125" style="382" customWidth="1"/>
    <col min="10759" max="10759" width="12.42578125" style="382" customWidth="1"/>
    <col min="10760" max="10760" width="10.85546875" style="382" customWidth="1"/>
    <col min="10761" max="10761" width="6.7109375" style="382" customWidth="1"/>
    <col min="10762" max="11008" width="9.140625" style="382"/>
    <col min="11009" max="11011" width="4.7109375" style="382" customWidth="1"/>
    <col min="11012" max="11012" width="8.85546875" style="382" customWidth="1"/>
    <col min="11013" max="11013" width="48.85546875" style="382" customWidth="1"/>
    <col min="11014" max="11014" width="11.42578125" style="382" customWidth="1"/>
    <col min="11015" max="11015" width="12.42578125" style="382" customWidth="1"/>
    <col min="11016" max="11016" width="10.85546875" style="382" customWidth="1"/>
    <col min="11017" max="11017" width="6.7109375" style="382" customWidth="1"/>
    <col min="11018" max="11264" width="9.140625" style="382"/>
    <col min="11265" max="11267" width="4.7109375" style="382" customWidth="1"/>
    <col min="11268" max="11268" width="8.85546875" style="382" customWidth="1"/>
    <col min="11269" max="11269" width="48.85546875" style="382" customWidth="1"/>
    <col min="11270" max="11270" width="11.42578125" style="382" customWidth="1"/>
    <col min="11271" max="11271" width="12.42578125" style="382" customWidth="1"/>
    <col min="11272" max="11272" width="10.85546875" style="382" customWidth="1"/>
    <col min="11273" max="11273" width="6.7109375" style="382" customWidth="1"/>
    <col min="11274" max="11520" width="9.140625" style="382"/>
    <col min="11521" max="11523" width="4.7109375" style="382" customWidth="1"/>
    <col min="11524" max="11524" width="8.85546875" style="382" customWidth="1"/>
    <col min="11525" max="11525" width="48.85546875" style="382" customWidth="1"/>
    <col min="11526" max="11526" width="11.42578125" style="382" customWidth="1"/>
    <col min="11527" max="11527" width="12.42578125" style="382" customWidth="1"/>
    <col min="11528" max="11528" width="10.85546875" style="382" customWidth="1"/>
    <col min="11529" max="11529" width="6.7109375" style="382" customWidth="1"/>
    <col min="11530" max="11776" width="9.140625" style="382"/>
    <col min="11777" max="11779" width="4.7109375" style="382" customWidth="1"/>
    <col min="11780" max="11780" width="8.85546875" style="382" customWidth="1"/>
    <col min="11781" max="11781" width="48.85546875" style="382" customWidth="1"/>
    <col min="11782" max="11782" width="11.42578125" style="382" customWidth="1"/>
    <col min="11783" max="11783" width="12.42578125" style="382" customWidth="1"/>
    <col min="11784" max="11784" width="10.85546875" style="382" customWidth="1"/>
    <col min="11785" max="11785" width="6.7109375" style="382" customWidth="1"/>
    <col min="11786" max="12032" width="9.140625" style="382"/>
    <col min="12033" max="12035" width="4.7109375" style="382" customWidth="1"/>
    <col min="12036" max="12036" width="8.85546875" style="382" customWidth="1"/>
    <col min="12037" max="12037" width="48.85546875" style="382" customWidth="1"/>
    <col min="12038" max="12038" width="11.42578125" style="382" customWidth="1"/>
    <col min="12039" max="12039" width="12.42578125" style="382" customWidth="1"/>
    <col min="12040" max="12040" width="10.85546875" style="382" customWidth="1"/>
    <col min="12041" max="12041" width="6.7109375" style="382" customWidth="1"/>
    <col min="12042" max="12288" width="9.140625" style="382"/>
    <col min="12289" max="12291" width="4.7109375" style="382" customWidth="1"/>
    <col min="12292" max="12292" width="8.85546875" style="382" customWidth="1"/>
    <col min="12293" max="12293" width="48.85546875" style="382" customWidth="1"/>
    <col min="12294" max="12294" width="11.42578125" style="382" customWidth="1"/>
    <col min="12295" max="12295" width="12.42578125" style="382" customWidth="1"/>
    <col min="12296" max="12296" width="10.85546875" style="382" customWidth="1"/>
    <col min="12297" max="12297" width="6.7109375" style="382" customWidth="1"/>
    <col min="12298" max="12544" width="9.140625" style="382"/>
    <col min="12545" max="12547" width="4.7109375" style="382" customWidth="1"/>
    <col min="12548" max="12548" width="8.85546875" style="382" customWidth="1"/>
    <col min="12549" max="12549" width="48.85546875" style="382" customWidth="1"/>
    <col min="12550" max="12550" width="11.42578125" style="382" customWidth="1"/>
    <col min="12551" max="12551" width="12.42578125" style="382" customWidth="1"/>
    <col min="12552" max="12552" width="10.85546875" style="382" customWidth="1"/>
    <col min="12553" max="12553" width="6.7109375" style="382" customWidth="1"/>
    <col min="12554" max="12800" width="9.140625" style="382"/>
    <col min="12801" max="12803" width="4.7109375" style="382" customWidth="1"/>
    <col min="12804" max="12804" width="8.85546875" style="382" customWidth="1"/>
    <col min="12805" max="12805" width="48.85546875" style="382" customWidth="1"/>
    <col min="12806" max="12806" width="11.42578125" style="382" customWidth="1"/>
    <col min="12807" max="12807" width="12.42578125" style="382" customWidth="1"/>
    <col min="12808" max="12808" width="10.85546875" style="382" customWidth="1"/>
    <col min="12809" max="12809" width="6.7109375" style="382" customWidth="1"/>
    <col min="12810" max="13056" width="9.140625" style="382"/>
    <col min="13057" max="13059" width="4.7109375" style="382" customWidth="1"/>
    <col min="13060" max="13060" width="8.85546875" style="382" customWidth="1"/>
    <col min="13061" max="13061" width="48.85546875" style="382" customWidth="1"/>
    <col min="13062" max="13062" width="11.42578125" style="382" customWidth="1"/>
    <col min="13063" max="13063" width="12.42578125" style="382" customWidth="1"/>
    <col min="13064" max="13064" width="10.85546875" style="382" customWidth="1"/>
    <col min="13065" max="13065" width="6.7109375" style="382" customWidth="1"/>
    <col min="13066" max="13312" width="9.140625" style="382"/>
    <col min="13313" max="13315" width="4.7109375" style="382" customWidth="1"/>
    <col min="13316" max="13316" width="8.85546875" style="382" customWidth="1"/>
    <col min="13317" max="13317" width="48.85546875" style="382" customWidth="1"/>
    <col min="13318" max="13318" width="11.42578125" style="382" customWidth="1"/>
    <col min="13319" max="13319" width="12.42578125" style="382" customWidth="1"/>
    <col min="13320" max="13320" width="10.85546875" style="382" customWidth="1"/>
    <col min="13321" max="13321" width="6.7109375" style="382" customWidth="1"/>
    <col min="13322" max="13568" width="9.140625" style="382"/>
    <col min="13569" max="13571" width="4.7109375" style="382" customWidth="1"/>
    <col min="13572" max="13572" width="8.85546875" style="382" customWidth="1"/>
    <col min="13573" max="13573" width="48.85546875" style="382" customWidth="1"/>
    <col min="13574" max="13574" width="11.42578125" style="382" customWidth="1"/>
    <col min="13575" max="13575" width="12.42578125" style="382" customWidth="1"/>
    <col min="13576" max="13576" width="10.85546875" style="382" customWidth="1"/>
    <col min="13577" max="13577" width="6.7109375" style="382" customWidth="1"/>
    <col min="13578" max="13824" width="9.140625" style="382"/>
    <col min="13825" max="13827" width="4.7109375" style="382" customWidth="1"/>
    <col min="13828" max="13828" width="8.85546875" style="382" customWidth="1"/>
    <col min="13829" max="13829" width="48.85546875" style="382" customWidth="1"/>
    <col min="13830" max="13830" width="11.42578125" style="382" customWidth="1"/>
    <col min="13831" max="13831" width="12.42578125" style="382" customWidth="1"/>
    <col min="13832" max="13832" width="10.85546875" style="382" customWidth="1"/>
    <col min="13833" max="13833" width="6.7109375" style="382" customWidth="1"/>
    <col min="13834" max="14080" width="9.140625" style="382"/>
    <col min="14081" max="14083" width="4.7109375" style="382" customWidth="1"/>
    <col min="14084" max="14084" width="8.85546875" style="382" customWidth="1"/>
    <col min="14085" max="14085" width="48.85546875" style="382" customWidth="1"/>
    <col min="14086" max="14086" width="11.42578125" style="382" customWidth="1"/>
    <col min="14087" max="14087" width="12.42578125" style="382" customWidth="1"/>
    <col min="14088" max="14088" width="10.85546875" style="382" customWidth="1"/>
    <col min="14089" max="14089" width="6.7109375" style="382" customWidth="1"/>
    <col min="14090" max="14336" width="9.140625" style="382"/>
    <col min="14337" max="14339" width="4.7109375" style="382" customWidth="1"/>
    <col min="14340" max="14340" width="8.85546875" style="382" customWidth="1"/>
    <col min="14341" max="14341" width="48.85546875" style="382" customWidth="1"/>
    <col min="14342" max="14342" width="11.42578125" style="382" customWidth="1"/>
    <col min="14343" max="14343" width="12.42578125" style="382" customWidth="1"/>
    <col min="14344" max="14344" width="10.85546875" style="382" customWidth="1"/>
    <col min="14345" max="14345" width="6.7109375" style="382" customWidth="1"/>
    <col min="14346" max="14592" width="9.140625" style="382"/>
    <col min="14593" max="14595" width="4.7109375" style="382" customWidth="1"/>
    <col min="14596" max="14596" width="8.85546875" style="382" customWidth="1"/>
    <col min="14597" max="14597" width="48.85546875" style="382" customWidth="1"/>
    <col min="14598" max="14598" width="11.42578125" style="382" customWidth="1"/>
    <col min="14599" max="14599" width="12.42578125" style="382" customWidth="1"/>
    <col min="14600" max="14600" width="10.85546875" style="382" customWidth="1"/>
    <col min="14601" max="14601" width="6.7109375" style="382" customWidth="1"/>
    <col min="14602" max="14848" width="9.140625" style="382"/>
    <col min="14849" max="14851" width="4.7109375" style="382" customWidth="1"/>
    <col min="14852" max="14852" width="8.85546875" style="382" customWidth="1"/>
    <col min="14853" max="14853" width="48.85546875" style="382" customWidth="1"/>
    <col min="14854" max="14854" width="11.42578125" style="382" customWidth="1"/>
    <col min="14855" max="14855" width="12.42578125" style="382" customWidth="1"/>
    <col min="14856" max="14856" width="10.85546875" style="382" customWidth="1"/>
    <col min="14857" max="14857" width="6.7109375" style="382" customWidth="1"/>
    <col min="14858" max="15104" width="9.140625" style="382"/>
    <col min="15105" max="15107" width="4.7109375" style="382" customWidth="1"/>
    <col min="15108" max="15108" width="8.85546875" style="382" customWidth="1"/>
    <col min="15109" max="15109" width="48.85546875" style="382" customWidth="1"/>
    <col min="15110" max="15110" width="11.42578125" style="382" customWidth="1"/>
    <col min="15111" max="15111" width="12.42578125" style="382" customWidth="1"/>
    <col min="15112" max="15112" width="10.85546875" style="382" customWidth="1"/>
    <col min="15113" max="15113" width="6.7109375" style="382" customWidth="1"/>
    <col min="15114" max="15360" width="9.140625" style="382"/>
    <col min="15361" max="15363" width="4.7109375" style="382" customWidth="1"/>
    <col min="15364" max="15364" width="8.85546875" style="382" customWidth="1"/>
    <col min="15365" max="15365" width="48.85546875" style="382" customWidth="1"/>
    <col min="15366" max="15366" width="11.42578125" style="382" customWidth="1"/>
    <col min="15367" max="15367" width="12.42578125" style="382" customWidth="1"/>
    <col min="15368" max="15368" width="10.85546875" style="382" customWidth="1"/>
    <col min="15369" max="15369" width="6.7109375" style="382" customWidth="1"/>
    <col min="15370" max="15616" width="9.140625" style="382"/>
    <col min="15617" max="15619" width="4.7109375" style="382" customWidth="1"/>
    <col min="15620" max="15620" width="8.85546875" style="382" customWidth="1"/>
    <col min="15621" max="15621" width="48.85546875" style="382" customWidth="1"/>
    <col min="15622" max="15622" width="11.42578125" style="382" customWidth="1"/>
    <col min="15623" max="15623" width="12.42578125" style="382" customWidth="1"/>
    <col min="15624" max="15624" width="10.85546875" style="382" customWidth="1"/>
    <col min="15625" max="15625" width="6.7109375" style="382" customWidth="1"/>
    <col min="15626" max="15872" width="9.140625" style="382"/>
    <col min="15873" max="15875" width="4.7109375" style="382" customWidth="1"/>
    <col min="15876" max="15876" width="8.85546875" style="382" customWidth="1"/>
    <col min="15877" max="15877" width="48.85546875" style="382" customWidth="1"/>
    <col min="15878" max="15878" width="11.42578125" style="382" customWidth="1"/>
    <col min="15879" max="15879" width="12.42578125" style="382" customWidth="1"/>
    <col min="15880" max="15880" width="10.85546875" style="382" customWidth="1"/>
    <col min="15881" max="15881" width="6.7109375" style="382" customWidth="1"/>
    <col min="15882" max="16128" width="9.140625" style="382"/>
    <col min="16129" max="16131" width="4.7109375" style="382" customWidth="1"/>
    <col min="16132" max="16132" width="8.85546875" style="382" customWidth="1"/>
    <col min="16133" max="16133" width="48.85546875" style="382" customWidth="1"/>
    <col min="16134" max="16134" width="11.42578125" style="382" customWidth="1"/>
    <col min="16135" max="16135" width="12.42578125" style="382" customWidth="1"/>
    <col min="16136" max="16136" width="10.85546875" style="382" customWidth="1"/>
    <col min="16137" max="16137" width="6.7109375" style="382" customWidth="1"/>
    <col min="16138" max="16384" width="9.140625" style="382"/>
  </cols>
  <sheetData>
    <row r="1" spans="1:10" ht="18.75" thickBot="1" x14ac:dyDescent="0.3">
      <c r="A1" s="465" t="s">
        <v>749</v>
      </c>
      <c r="B1" s="466"/>
      <c r="C1" s="490"/>
      <c r="D1" s="491"/>
      <c r="E1" s="1464"/>
      <c r="F1" s="1537"/>
      <c r="G1" s="469" t="s">
        <v>750</v>
      </c>
      <c r="J1" s="17"/>
    </row>
    <row r="2" spans="1:10" ht="12.75" customHeight="1" x14ac:dyDescent="0.25">
      <c r="B2" s="6"/>
      <c r="C2" s="28"/>
      <c r="D2" s="63"/>
      <c r="E2" s="10"/>
      <c r="F2" s="463"/>
      <c r="G2" s="463"/>
      <c r="H2" s="168"/>
      <c r="I2" s="210"/>
      <c r="J2" s="17"/>
    </row>
    <row r="3" spans="1:10" ht="12.75" customHeight="1" x14ac:dyDescent="0.25">
      <c r="A3" s="67" t="s">
        <v>387</v>
      </c>
      <c r="B3" s="28"/>
      <c r="C3" s="525" t="s">
        <v>229</v>
      </c>
      <c r="D3" s="851"/>
      <c r="E3" s="307"/>
      <c r="F3" s="168"/>
      <c r="G3" s="181"/>
      <c r="H3" s="181"/>
    </row>
    <row r="4" spans="1:10" ht="12.75" customHeight="1" x14ac:dyDescent="0.25">
      <c r="A4" s="6"/>
      <c r="B4" s="28"/>
      <c r="C4" s="2383" t="s">
        <v>486</v>
      </c>
      <c r="E4" s="307"/>
      <c r="F4" s="168"/>
      <c r="G4" s="181"/>
      <c r="H4" s="181"/>
    </row>
    <row r="5" spans="1:10" ht="6.75" customHeight="1" x14ac:dyDescent="0.25">
      <c r="B5" s="6"/>
      <c r="C5" s="28"/>
      <c r="D5" s="63"/>
      <c r="E5" s="10"/>
      <c r="F5" s="463"/>
      <c r="G5" s="463"/>
      <c r="H5" s="168"/>
      <c r="I5" s="210"/>
      <c r="J5" s="17"/>
    </row>
    <row r="6" spans="1:10" ht="18" x14ac:dyDescent="0.25">
      <c r="A6" s="33" t="s">
        <v>372</v>
      </c>
      <c r="B6" s="33"/>
      <c r="C6" s="28"/>
      <c r="D6" s="63"/>
      <c r="E6" s="10"/>
      <c r="F6" s="463"/>
      <c r="G6" s="463"/>
      <c r="H6" s="168"/>
      <c r="I6" s="210"/>
      <c r="J6" s="17"/>
    </row>
    <row r="7" spans="1:10" ht="15" thickBot="1" x14ac:dyDescent="0.25">
      <c r="A7" s="433" t="s">
        <v>835</v>
      </c>
      <c r="B7" s="631"/>
      <c r="C7" s="631"/>
      <c r="D7" s="853"/>
      <c r="E7" s="632"/>
      <c r="H7" s="1623"/>
      <c r="I7" s="855" t="s">
        <v>173</v>
      </c>
    </row>
    <row r="8" spans="1:10" s="107" customFormat="1" ht="20.25" customHeight="1" thickTop="1" thickBot="1" x14ac:dyDescent="0.25">
      <c r="A8" s="633" t="s">
        <v>661</v>
      </c>
      <c r="B8" s="810" t="s">
        <v>174</v>
      </c>
      <c r="C8" s="634" t="s">
        <v>175</v>
      </c>
      <c r="D8" s="636" t="s">
        <v>744</v>
      </c>
      <c r="E8" s="636" t="s">
        <v>176</v>
      </c>
      <c r="F8" s="636" t="s">
        <v>177</v>
      </c>
      <c r="G8" s="636" t="s">
        <v>922</v>
      </c>
      <c r="H8" s="636" t="s">
        <v>923</v>
      </c>
      <c r="I8" s="856" t="s">
        <v>924</v>
      </c>
    </row>
    <row r="9" spans="1:10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544">
        <v>8</v>
      </c>
      <c r="I9" s="638" t="s">
        <v>801</v>
      </c>
    </row>
    <row r="10" spans="1:10" ht="15.75" thickTop="1" x14ac:dyDescent="0.25">
      <c r="A10" s="1466">
        <v>1500</v>
      </c>
      <c r="B10" s="681">
        <v>3111</v>
      </c>
      <c r="C10" s="681">
        <v>5213</v>
      </c>
      <c r="D10" s="857"/>
      <c r="E10" s="829" t="s">
        <v>1232</v>
      </c>
      <c r="F10" s="858"/>
      <c r="G10" s="858">
        <f>SUM(G11:G11)</f>
        <v>1376</v>
      </c>
      <c r="H10" s="858">
        <f>SUM(H11:H11)</f>
        <v>1376</v>
      </c>
      <c r="I10" s="859">
        <f>(H10/G10)*100</f>
        <v>100</v>
      </c>
    </row>
    <row r="11" spans="1:10" ht="15.75" thickBot="1" x14ac:dyDescent="0.3">
      <c r="A11" s="432"/>
      <c r="B11" s="681"/>
      <c r="C11" s="681"/>
      <c r="D11" s="1120" t="s">
        <v>1189</v>
      </c>
      <c r="E11" s="1332" t="s">
        <v>0</v>
      </c>
      <c r="F11" s="858"/>
      <c r="G11" s="357">
        <v>1376</v>
      </c>
      <c r="H11" s="860">
        <v>1376</v>
      </c>
      <c r="I11" s="861">
        <f>(H11/G11)*100</f>
        <v>100</v>
      </c>
    </row>
    <row r="12" spans="1:10" ht="18" customHeight="1" thickTop="1" thickBot="1" x14ac:dyDescent="0.3">
      <c r="A12" s="2685" t="s">
        <v>1162</v>
      </c>
      <c r="B12" s="2686"/>
      <c r="C12" s="2686"/>
      <c r="D12" s="2686"/>
      <c r="E12" s="2686"/>
      <c r="F12" s="862">
        <f>SUM(F10)</f>
        <v>0</v>
      </c>
      <c r="G12" s="862">
        <f>SUM(G10)</f>
        <v>1376</v>
      </c>
      <c r="H12" s="862">
        <f>SUM(H10)</f>
        <v>1376</v>
      </c>
      <c r="I12" s="863">
        <f>(H12/G12)*100</f>
        <v>100</v>
      </c>
    </row>
    <row r="13" spans="1:10" ht="15" thickTop="1" x14ac:dyDescent="0.2"/>
    <row r="15" spans="1:10" ht="13.5" customHeight="1" thickBot="1" x14ac:dyDescent="0.25">
      <c r="A15" s="433" t="s">
        <v>1722</v>
      </c>
      <c r="I15" s="855" t="s">
        <v>173</v>
      </c>
    </row>
    <row r="16" spans="1:10" s="107" customFormat="1" ht="20.25" customHeight="1" thickTop="1" thickBot="1" x14ac:dyDescent="0.25">
      <c r="A16" s="633" t="s">
        <v>661</v>
      </c>
      <c r="B16" s="810" t="s">
        <v>174</v>
      </c>
      <c r="C16" s="634" t="s">
        <v>175</v>
      </c>
      <c r="D16" s="636" t="s">
        <v>744</v>
      </c>
      <c r="E16" s="636" t="s">
        <v>176</v>
      </c>
      <c r="F16" s="636" t="s">
        <v>177</v>
      </c>
      <c r="G16" s="636" t="s">
        <v>922</v>
      </c>
      <c r="H16" s="636" t="s">
        <v>923</v>
      </c>
      <c r="I16" s="856" t="s">
        <v>924</v>
      </c>
    </row>
    <row r="17" spans="1:9" s="384" customFormat="1" ht="13.5" thickTop="1" thickBot="1" x14ac:dyDescent="0.25">
      <c r="A17" s="568">
        <v>1</v>
      </c>
      <c r="B17" s="569">
        <v>2</v>
      </c>
      <c r="C17" s="569">
        <v>3</v>
      </c>
      <c r="D17" s="569">
        <v>4</v>
      </c>
      <c r="E17" s="569">
        <v>5</v>
      </c>
      <c r="F17" s="543">
        <v>6</v>
      </c>
      <c r="G17" s="543">
        <v>7</v>
      </c>
      <c r="H17" s="544">
        <v>8</v>
      </c>
      <c r="I17" s="638" t="s">
        <v>801</v>
      </c>
    </row>
    <row r="18" spans="1:9" ht="15.75" thickTop="1" x14ac:dyDescent="0.25">
      <c r="A18" s="432">
        <v>1502</v>
      </c>
      <c r="B18" s="681">
        <v>3111</v>
      </c>
      <c r="C18" s="681">
        <v>5213</v>
      </c>
      <c r="D18" s="857"/>
      <c r="E18" s="829" t="s">
        <v>1232</v>
      </c>
      <c r="F18" s="858"/>
      <c r="G18" s="858">
        <f>SUM(G19:G20)</f>
        <v>1482</v>
      </c>
      <c r="H18" s="858">
        <f>SUM(H19:H20)</f>
        <v>1482</v>
      </c>
      <c r="I18" s="864">
        <f t="shared" ref="I18:I23" si="0">(H18/G18)*100</f>
        <v>100</v>
      </c>
    </row>
    <row r="19" spans="1:9" x14ac:dyDescent="0.2">
      <c r="A19" s="432"/>
      <c r="B19" s="681"/>
      <c r="C19" s="681"/>
      <c r="D19" s="1120" t="s">
        <v>1189</v>
      </c>
      <c r="E19" s="1332" t="s">
        <v>0</v>
      </c>
      <c r="F19" s="865"/>
      <c r="G19" s="865">
        <v>1419</v>
      </c>
      <c r="H19" s="865">
        <v>1419</v>
      </c>
      <c r="I19" s="866">
        <f t="shared" si="0"/>
        <v>100</v>
      </c>
    </row>
    <row r="20" spans="1:9" ht="15.75" customHeight="1" x14ac:dyDescent="0.2">
      <c r="A20" s="432"/>
      <c r="B20" s="681"/>
      <c r="C20" s="681"/>
      <c r="D20" s="1119" t="s">
        <v>401</v>
      </c>
      <c r="E20" s="1601" t="s">
        <v>1</v>
      </c>
      <c r="F20" s="865"/>
      <c r="G20" s="865">
        <v>63</v>
      </c>
      <c r="H20" s="865">
        <v>63</v>
      </c>
      <c r="I20" s="866">
        <f t="shared" si="0"/>
        <v>100</v>
      </c>
    </row>
    <row r="21" spans="1:9" ht="15" x14ac:dyDescent="0.25">
      <c r="A21" s="432">
        <v>1502</v>
      </c>
      <c r="B21" s="681">
        <v>3141</v>
      </c>
      <c r="C21" s="1467">
        <v>5213</v>
      </c>
      <c r="D21" s="867"/>
      <c r="E21" s="829" t="s">
        <v>1232</v>
      </c>
      <c r="F21" s="858"/>
      <c r="G21" s="858">
        <f>G22</f>
        <v>228</v>
      </c>
      <c r="H21" s="858">
        <f>H22</f>
        <v>228</v>
      </c>
      <c r="I21" s="859">
        <f t="shared" si="0"/>
        <v>100</v>
      </c>
    </row>
    <row r="22" spans="1:9" ht="18" customHeight="1" thickBot="1" x14ac:dyDescent="0.25">
      <c r="A22" s="1488"/>
      <c r="B22" s="868"/>
      <c r="C22" s="868"/>
      <c r="D22" s="1120" t="s">
        <v>1189</v>
      </c>
      <c r="E22" s="1332" t="s">
        <v>0</v>
      </c>
      <c r="F22" s="869"/>
      <c r="G22" s="869">
        <v>228</v>
      </c>
      <c r="H22" s="869">
        <v>228</v>
      </c>
      <c r="I22" s="870">
        <f t="shared" si="0"/>
        <v>100</v>
      </c>
    </row>
    <row r="23" spans="1:9" ht="16.5" thickTop="1" thickBot="1" x14ac:dyDescent="0.3">
      <c r="A23" s="2685" t="s">
        <v>1162</v>
      </c>
      <c r="B23" s="2686"/>
      <c r="C23" s="2686"/>
      <c r="D23" s="2686"/>
      <c r="E23" s="2686"/>
      <c r="F23" s="862">
        <f>SUM(F18,F21)</f>
        <v>0</v>
      </c>
      <c r="G23" s="862">
        <f>SUM(G18,G21)</f>
        <v>1710</v>
      </c>
      <c r="H23" s="862">
        <f>SUM(H18,H21)</f>
        <v>1710</v>
      </c>
      <c r="I23" s="863">
        <f t="shared" si="0"/>
        <v>100</v>
      </c>
    </row>
    <row r="24" spans="1:9" ht="15" thickTop="1" x14ac:dyDescent="0.2"/>
    <row r="26" spans="1:9" ht="20.25" customHeight="1" thickBot="1" x14ac:dyDescent="0.25">
      <c r="A26" s="433" t="s">
        <v>836</v>
      </c>
      <c r="I26" s="855" t="s">
        <v>173</v>
      </c>
    </row>
    <row r="27" spans="1:9" s="107" customFormat="1" ht="12.75" thickTop="1" thickBot="1" x14ac:dyDescent="0.25">
      <c r="A27" s="633" t="s">
        <v>661</v>
      </c>
      <c r="B27" s="810" t="s">
        <v>174</v>
      </c>
      <c r="C27" s="634" t="s">
        <v>175</v>
      </c>
      <c r="D27" s="636" t="s">
        <v>744</v>
      </c>
      <c r="E27" s="636" t="s">
        <v>176</v>
      </c>
      <c r="F27" s="636" t="s">
        <v>177</v>
      </c>
      <c r="G27" s="636" t="s">
        <v>922</v>
      </c>
      <c r="H27" s="636" t="s">
        <v>923</v>
      </c>
      <c r="I27" s="856" t="s">
        <v>924</v>
      </c>
    </row>
    <row r="28" spans="1:9" s="384" customFormat="1" ht="15" customHeight="1" thickTop="1" thickBot="1" x14ac:dyDescent="0.25">
      <c r="A28" s="568">
        <v>1</v>
      </c>
      <c r="B28" s="569">
        <v>2</v>
      </c>
      <c r="C28" s="569">
        <v>3</v>
      </c>
      <c r="D28" s="569">
        <v>4</v>
      </c>
      <c r="E28" s="569">
        <v>5</v>
      </c>
      <c r="F28" s="543">
        <v>6</v>
      </c>
      <c r="G28" s="543">
        <v>7</v>
      </c>
      <c r="H28" s="544">
        <v>8</v>
      </c>
      <c r="I28" s="638" t="s">
        <v>801</v>
      </c>
    </row>
    <row r="29" spans="1:9" s="107" customFormat="1" ht="15.75" thickTop="1" x14ac:dyDescent="0.25">
      <c r="A29" s="432">
        <v>1503</v>
      </c>
      <c r="B29" s="681">
        <v>3112</v>
      </c>
      <c r="C29" s="681">
        <v>5213</v>
      </c>
      <c r="D29" s="857"/>
      <c r="E29" s="829" t="s">
        <v>1232</v>
      </c>
      <c r="F29" s="858"/>
      <c r="G29" s="858">
        <f>SUM(G30:G31)</f>
        <v>3316</v>
      </c>
      <c r="H29" s="858">
        <f>SUM(H30:H31)</f>
        <v>3316</v>
      </c>
      <c r="I29" s="859">
        <f t="shared" ref="I29:I34" si="1">(H29/G29)*100</f>
        <v>100</v>
      </c>
    </row>
    <row r="30" spans="1:9" ht="15.75" customHeight="1" x14ac:dyDescent="0.2">
      <c r="A30" s="432"/>
      <c r="B30" s="783"/>
      <c r="C30" s="783"/>
      <c r="D30" s="1120" t="s">
        <v>1189</v>
      </c>
      <c r="E30" s="1332" t="s">
        <v>0</v>
      </c>
      <c r="F30" s="871"/>
      <c r="G30" s="871">
        <v>3253</v>
      </c>
      <c r="H30" s="871">
        <v>3253</v>
      </c>
      <c r="I30" s="866">
        <f t="shared" si="1"/>
        <v>100</v>
      </c>
    </row>
    <row r="31" spans="1:9" x14ac:dyDescent="0.2">
      <c r="A31" s="432"/>
      <c r="B31" s="783"/>
      <c r="C31" s="783"/>
      <c r="D31" s="1119" t="s">
        <v>401</v>
      </c>
      <c r="E31" s="1601" t="s">
        <v>1</v>
      </c>
      <c r="F31" s="871"/>
      <c r="G31" s="871">
        <v>63</v>
      </c>
      <c r="H31" s="871">
        <v>63</v>
      </c>
      <c r="I31" s="866">
        <f t="shared" si="1"/>
        <v>100</v>
      </c>
    </row>
    <row r="32" spans="1:9" ht="18" customHeight="1" x14ac:dyDescent="0.25">
      <c r="A32" s="432">
        <v>1503</v>
      </c>
      <c r="B32" s="681">
        <v>3141</v>
      </c>
      <c r="C32" s="1467">
        <v>5213</v>
      </c>
      <c r="D32" s="867"/>
      <c r="E32" s="829" t="s">
        <v>1232</v>
      </c>
      <c r="F32" s="858"/>
      <c r="G32" s="858">
        <f>SUM(G33:G33)</f>
        <v>120</v>
      </c>
      <c r="H32" s="858">
        <f>SUM(H33:H33)</f>
        <v>120</v>
      </c>
      <c r="I32" s="859">
        <f t="shared" si="1"/>
        <v>100</v>
      </c>
    </row>
    <row r="33" spans="1:9" ht="15" thickBot="1" x14ac:dyDescent="0.25">
      <c r="A33" s="1488"/>
      <c r="B33" s="868"/>
      <c r="C33" s="868"/>
      <c r="D33" s="1120" t="s">
        <v>1189</v>
      </c>
      <c r="E33" s="1332" t="s">
        <v>0</v>
      </c>
      <c r="F33" s="869"/>
      <c r="G33" s="869">
        <v>120</v>
      </c>
      <c r="H33" s="869">
        <v>120</v>
      </c>
      <c r="I33" s="870">
        <f t="shared" si="1"/>
        <v>100</v>
      </c>
    </row>
    <row r="34" spans="1:9" ht="16.5" thickTop="1" thickBot="1" x14ac:dyDescent="0.3">
      <c r="A34" s="2685" t="s">
        <v>1162</v>
      </c>
      <c r="B34" s="2686"/>
      <c r="C34" s="2686"/>
      <c r="D34" s="2686"/>
      <c r="E34" s="2686"/>
      <c r="F34" s="862">
        <v>0</v>
      </c>
      <c r="G34" s="862">
        <f>SUM(G29,G32)</f>
        <v>3436</v>
      </c>
      <c r="H34" s="862">
        <f>SUM(H29,H32)</f>
        <v>3436</v>
      </c>
      <c r="I34" s="863">
        <f t="shared" si="1"/>
        <v>100</v>
      </c>
    </row>
    <row r="35" spans="1:9" ht="20.25" customHeight="1" thickTop="1" x14ac:dyDescent="0.2"/>
    <row r="36" spans="1:9" ht="20.25" customHeight="1" x14ac:dyDescent="0.2"/>
    <row r="37" spans="1:9" ht="15" thickBot="1" x14ac:dyDescent="0.25">
      <c r="A37" s="433" t="s">
        <v>469</v>
      </c>
      <c r="I37" s="855" t="s">
        <v>173</v>
      </c>
    </row>
    <row r="38" spans="1:9" s="107" customFormat="1" ht="12.75" thickTop="1" thickBot="1" x14ac:dyDescent="0.25">
      <c r="A38" s="633" t="s">
        <v>661</v>
      </c>
      <c r="B38" s="810" t="s">
        <v>174</v>
      </c>
      <c r="C38" s="634" t="s">
        <v>175</v>
      </c>
      <c r="D38" s="636" t="s">
        <v>744</v>
      </c>
      <c r="E38" s="636" t="s">
        <v>176</v>
      </c>
      <c r="F38" s="636" t="s">
        <v>177</v>
      </c>
      <c r="G38" s="636" t="s">
        <v>922</v>
      </c>
      <c r="H38" s="636" t="s">
        <v>923</v>
      </c>
      <c r="I38" s="856" t="s">
        <v>924</v>
      </c>
    </row>
    <row r="39" spans="1:9" s="384" customFormat="1" ht="13.5" thickTop="1" thickBot="1" x14ac:dyDescent="0.25">
      <c r="A39" s="568">
        <v>1</v>
      </c>
      <c r="B39" s="569">
        <v>2</v>
      </c>
      <c r="C39" s="569">
        <v>3</v>
      </c>
      <c r="D39" s="569">
        <v>4</v>
      </c>
      <c r="E39" s="569">
        <v>5</v>
      </c>
      <c r="F39" s="543">
        <v>6</v>
      </c>
      <c r="G39" s="543">
        <v>7</v>
      </c>
      <c r="H39" s="544">
        <v>8</v>
      </c>
      <c r="I39" s="638" t="s">
        <v>801</v>
      </c>
    </row>
    <row r="40" spans="1:9" ht="15.75" thickTop="1" x14ac:dyDescent="0.25">
      <c r="A40" s="432">
        <v>1504</v>
      </c>
      <c r="B40" s="681">
        <v>3111</v>
      </c>
      <c r="C40" s="681">
        <v>5221</v>
      </c>
      <c r="D40" s="857"/>
      <c r="E40" s="829" t="s">
        <v>1233</v>
      </c>
      <c r="F40" s="858"/>
      <c r="G40" s="858">
        <f>G41+G42</f>
        <v>974</v>
      </c>
      <c r="H40" s="858">
        <f>H41+H42</f>
        <v>974</v>
      </c>
      <c r="I40" s="864">
        <f t="shared" ref="I40:I45" si="2">(H40/G40)*100</f>
        <v>100</v>
      </c>
    </row>
    <row r="41" spans="1:9" ht="15.75" customHeight="1" x14ac:dyDescent="0.2">
      <c r="A41" s="432"/>
      <c r="B41" s="783"/>
      <c r="C41" s="783"/>
      <c r="D41" s="1120" t="s">
        <v>1189</v>
      </c>
      <c r="E41" s="1332" t="s">
        <v>0</v>
      </c>
      <c r="F41" s="871"/>
      <c r="G41" s="871">
        <v>898</v>
      </c>
      <c r="H41" s="871">
        <v>898</v>
      </c>
      <c r="I41" s="866">
        <f t="shared" si="2"/>
        <v>100</v>
      </c>
    </row>
    <row r="42" spans="1:9" x14ac:dyDescent="0.2">
      <c r="A42" s="432"/>
      <c r="B42" s="783"/>
      <c r="C42" s="783"/>
      <c r="D42" s="554" t="s">
        <v>401</v>
      </c>
      <c r="E42" s="1601" t="s">
        <v>1</v>
      </c>
      <c r="F42" s="871"/>
      <c r="G42" s="871">
        <v>76</v>
      </c>
      <c r="H42" s="871">
        <v>76</v>
      </c>
      <c r="I42" s="866">
        <f t="shared" si="2"/>
        <v>100</v>
      </c>
    </row>
    <row r="43" spans="1:9" ht="18" customHeight="1" x14ac:dyDescent="0.25">
      <c r="A43" s="432">
        <v>1504</v>
      </c>
      <c r="B43" s="681">
        <v>3141</v>
      </c>
      <c r="C43" s="1467">
        <v>5221</v>
      </c>
      <c r="D43" s="867"/>
      <c r="E43" s="680" t="s">
        <v>1233</v>
      </c>
      <c r="F43" s="858"/>
      <c r="G43" s="858">
        <f>G44</f>
        <v>41</v>
      </c>
      <c r="H43" s="858">
        <f>H44</f>
        <v>41</v>
      </c>
      <c r="I43" s="859">
        <f t="shared" si="2"/>
        <v>100</v>
      </c>
    </row>
    <row r="44" spans="1:9" ht="15" thickBot="1" x14ac:dyDescent="0.25">
      <c r="A44" s="1488"/>
      <c r="B44" s="868"/>
      <c r="C44" s="868"/>
      <c r="D44" s="1132" t="s">
        <v>1189</v>
      </c>
      <c r="E44" s="1332" t="s">
        <v>0</v>
      </c>
      <c r="F44" s="869"/>
      <c r="G44" s="869">
        <v>41</v>
      </c>
      <c r="H44" s="869">
        <v>41</v>
      </c>
      <c r="I44" s="870">
        <f t="shared" si="2"/>
        <v>100</v>
      </c>
    </row>
    <row r="45" spans="1:9" ht="16.5" thickTop="1" thickBot="1" x14ac:dyDescent="0.3">
      <c r="A45" s="2685" t="s">
        <v>1162</v>
      </c>
      <c r="B45" s="2686"/>
      <c r="C45" s="2686"/>
      <c r="D45" s="2686"/>
      <c r="E45" s="2686"/>
      <c r="F45" s="862">
        <f>SUM(F40,F43)</f>
        <v>0</v>
      </c>
      <c r="G45" s="862">
        <f>G40+G43</f>
        <v>1015</v>
      </c>
      <c r="H45" s="862">
        <f>H40+H43</f>
        <v>1015</v>
      </c>
      <c r="I45" s="863">
        <f t="shared" si="2"/>
        <v>100</v>
      </c>
    </row>
    <row r="46" spans="1:9" ht="15" thickTop="1" x14ac:dyDescent="0.2"/>
    <row r="48" spans="1:9" ht="15" thickBot="1" x14ac:dyDescent="0.25">
      <c r="A48" s="433" t="s">
        <v>1277</v>
      </c>
      <c r="I48" s="855" t="s">
        <v>173</v>
      </c>
    </row>
    <row r="49" spans="1:9" thickTop="1" thickBot="1" x14ac:dyDescent="0.25">
      <c r="A49" s="633" t="s">
        <v>661</v>
      </c>
      <c r="B49" s="810" t="s">
        <v>174</v>
      </c>
      <c r="C49" s="634" t="s">
        <v>175</v>
      </c>
      <c r="D49" s="636" t="s">
        <v>744</v>
      </c>
      <c r="E49" s="636" t="s">
        <v>176</v>
      </c>
      <c r="F49" s="636" t="s">
        <v>177</v>
      </c>
      <c r="G49" s="636" t="s">
        <v>922</v>
      </c>
      <c r="H49" s="636" t="s">
        <v>923</v>
      </c>
      <c r="I49" s="856" t="s">
        <v>924</v>
      </c>
    </row>
    <row r="50" spans="1:9" thickTop="1" thickBot="1" x14ac:dyDescent="0.25">
      <c r="A50" s="568">
        <v>1</v>
      </c>
      <c r="B50" s="569">
        <v>2</v>
      </c>
      <c r="C50" s="569">
        <v>3</v>
      </c>
      <c r="D50" s="569">
        <v>4</v>
      </c>
      <c r="E50" s="569">
        <v>5</v>
      </c>
      <c r="F50" s="543">
        <v>6</v>
      </c>
      <c r="G50" s="543">
        <v>7</v>
      </c>
      <c r="H50" s="544">
        <v>8</v>
      </c>
      <c r="I50" s="638" t="s">
        <v>801</v>
      </c>
    </row>
    <row r="51" spans="1:9" ht="15.75" thickTop="1" x14ac:dyDescent="0.25">
      <c r="A51" s="432">
        <v>1506</v>
      </c>
      <c r="B51" s="681">
        <v>3111</v>
      </c>
      <c r="C51" s="681">
        <v>5213</v>
      </c>
      <c r="D51" s="857"/>
      <c r="E51" s="829" t="s">
        <v>1232</v>
      </c>
      <c r="F51" s="858"/>
      <c r="G51" s="858">
        <f>SUM(G52:G52)</f>
        <v>661</v>
      </c>
      <c r="H51" s="858">
        <f>SUM(H52:H52)</f>
        <v>661</v>
      </c>
      <c r="I51" s="864">
        <f>(H51/G51)*100</f>
        <v>100</v>
      </c>
    </row>
    <row r="52" spans="1:9" x14ac:dyDescent="0.2">
      <c r="A52" s="432"/>
      <c r="B52" s="783"/>
      <c r="C52" s="783"/>
      <c r="D52" s="1120" t="s">
        <v>1189</v>
      </c>
      <c r="E52" s="1332" t="s">
        <v>0</v>
      </c>
      <c r="F52" s="871"/>
      <c r="G52" s="871">
        <v>661</v>
      </c>
      <c r="H52" s="871">
        <v>661</v>
      </c>
      <c r="I52" s="866">
        <f>(H52/G52)*100</f>
        <v>100</v>
      </c>
    </row>
    <row r="53" spans="1:9" ht="15" x14ac:dyDescent="0.25">
      <c r="A53" s="432">
        <v>1506</v>
      </c>
      <c r="B53" s="783">
        <v>3141</v>
      </c>
      <c r="C53" s="783">
        <v>5213</v>
      </c>
      <c r="D53" s="1120"/>
      <c r="E53" s="829" t="s">
        <v>1232</v>
      </c>
      <c r="F53" s="871"/>
      <c r="G53" s="884">
        <v>28</v>
      </c>
      <c r="H53" s="884">
        <v>28</v>
      </c>
      <c r="I53" s="859">
        <f>(H53/G53)*100</f>
        <v>100</v>
      </c>
    </row>
    <row r="54" spans="1:9" ht="15" thickBot="1" x14ac:dyDescent="0.25">
      <c r="A54" s="432"/>
      <c r="B54" s="783"/>
      <c r="C54" s="783"/>
      <c r="D54" s="1120" t="s">
        <v>1189</v>
      </c>
      <c r="E54" s="1332" t="s">
        <v>0</v>
      </c>
      <c r="F54" s="871"/>
      <c r="G54" s="871">
        <v>28</v>
      </c>
      <c r="H54" s="871">
        <v>9</v>
      </c>
      <c r="I54" s="866">
        <f>(H54/G54)*100</f>
        <v>32.142857142857146</v>
      </c>
    </row>
    <row r="55" spans="1:9" ht="16.5" thickTop="1" thickBot="1" x14ac:dyDescent="0.3">
      <c r="A55" s="2685" t="s">
        <v>1162</v>
      </c>
      <c r="B55" s="2686"/>
      <c r="C55" s="2686"/>
      <c r="D55" s="2686"/>
      <c r="E55" s="2686"/>
      <c r="F55" s="862">
        <v>0</v>
      </c>
      <c r="G55" s="862">
        <f>G51+G53</f>
        <v>689</v>
      </c>
      <c r="H55" s="862">
        <f>H51+H53</f>
        <v>689</v>
      </c>
      <c r="I55" s="863">
        <f>(H55/G55)*100</f>
        <v>100</v>
      </c>
    </row>
    <row r="56" spans="1:9" ht="15" thickTop="1" x14ac:dyDescent="0.2"/>
    <row r="58" spans="1:9" ht="15" thickBot="1" x14ac:dyDescent="0.25">
      <c r="A58" s="433" t="s">
        <v>1540</v>
      </c>
      <c r="I58" s="855" t="s">
        <v>173</v>
      </c>
    </row>
    <row r="59" spans="1:9" s="107" customFormat="1" ht="15.75" customHeight="1" thickTop="1" thickBot="1" x14ac:dyDescent="0.25">
      <c r="A59" s="633" t="s">
        <v>661</v>
      </c>
      <c r="B59" s="810" t="s">
        <v>174</v>
      </c>
      <c r="C59" s="634" t="s">
        <v>175</v>
      </c>
      <c r="D59" s="636" t="s">
        <v>744</v>
      </c>
      <c r="E59" s="636" t="s">
        <v>176</v>
      </c>
      <c r="F59" s="636" t="s">
        <v>177</v>
      </c>
      <c r="G59" s="636" t="s">
        <v>922</v>
      </c>
      <c r="H59" s="636" t="s">
        <v>923</v>
      </c>
      <c r="I59" s="856" t="s">
        <v>924</v>
      </c>
    </row>
    <row r="60" spans="1:9" s="384" customFormat="1" ht="13.5" thickTop="1" thickBot="1" x14ac:dyDescent="0.25">
      <c r="A60" s="568">
        <v>1</v>
      </c>
      <c r="B60" s="569">
        <v>2</v>
      </c>
      <c r="C60" s="569">
        <v>3</v>
      </c>
      <c r="D60" s="569">
        <v>4</v>
      </c>
      <c r="E60" s="569">
        <v>5</v>
      </c>
      <c r="F60" s="543">
        <v>6</v>
      </c>
      <c r="G60" s="543">
        <v>7</v>
      </c>
      <c r="H60" s="544">
        <v>8</v>
      </c>
      <c r="I60" s="638" t="s">
        <v>801</v>
      </c>
    </row>
    <row r="61" spans="1:9" ht="18" customHeight="1" thickTop="1" x14ac:dyDescent="0.25">
      <c r="A61" s="1466">
        <v>1507</v>
      </c>
      <c r="B61" s="681">
        <v>3111</v>
      </c>
      <c r="C61" s="681">
        <v>5213</v>
      </c>
      <c r="D61" s="877"/>
      <c r="E61" s="829" t="s">
        <v>1232</v>
      </c>
      <c r="F61" s="858"/>
      <c r="G61" s="858">
        <f>G62+G63</f>
        <v>2002</v>
      </c>
      <c r="H61" s="858">
        <f>H62+H63</f>
        <v>2002</v>
      </c>
      <c r="I61" s="864">
        <f t="shared" ref="I61:I66" si="3">(H61/G61)*100</f>
        <v>100</v>
      </c>
    </row>
    <row r="62" spans="1:9" x14ac:dyDescent="0.2">
      <c r="A62" s="435"/>
      <c r="B62" s="878"/>
      <c r="C62" s="681"/>
      <c r="D62" s="1120" t="s">
        <v>1189</v>
      </c>
      <c r="E62" s="1356" t="s">
        <v>0</v>
      </c>
      <c r="F62" s="879"/>
      <c r="G62" s="865">
        <v>1947</v>
      </c>
      <c r="H62" s="879">
        <v>1947</v>
      </c>
      <c r="I62" s="861">
        <f t="shared" si="3"/>
        <v>100</v>
      </c>
    </row>
    <row r="63" spans="1:9" x14ac:dyDescent="0.2">
      <c r="A63" s="432"/>
      <c r="B63" s="779"/>
      <c r="C63" s="681"/>
      <c r="D63" s="554" t="s">
        <v>401</v>
      </c>
      <c r="E63" s="1601" t="s">
        <v>1</v>
      </c>
      <c r="F63" s="865"/>
      <c r="G63" s="871">
        <v>55</v>
      </c>
      <c r="H63" s="865">
        <v>55</v>
      </c>
      <c r="I63" s="861">
        <f t="shared" si="3"/>
        <v>100</v>
      </c>
    </row>
    <row r="64" spans="1:9" ht="15" x14ac:dyDescent="0.25">
      <c r="A64" s="432">
        <v>1507</v>
      </c>
      <c r="B64" s="783">
        <v>3141</v>
      </c>
      <c r="C64" s="681">
        <v>5213</v>
      </c>
      <c r="D64" s="857"/>
      <c r="E64" s="829" t="s">
        <v>1232</v>
      </c>
      <c r="F64" s="873"/>
      <c r="G64" s="873">
        <v>92</v>
      </c>
      <c r="H64" s="873">
        <v>92</v>
      </c>
      <c r="I64" s="874">
        <f t="shared" si="3"/>
        <v>100</v>
      </c>
    </row>
    <row r="65" spans="1:9" ht="15" thickBot="1" x14ac:dyDescent="0.25">
      <c r="A65" s="432"/>
      <c r="B65" s="783"/>
      <c r="C65" s="783"/>
      <c r="D65" s="1132" t="s">
        <v>1189</v>
      </c>
      <c r="E65" s="1356" t="s">
        <v>0</v>
      </c>
      <c r="F65" s="871"/>
      <c r="G65" s="871">
        <v>92</v>
      </c>
      <c r="H65" s="871">
        <v>92</v>
      </c>
      <c r="I65" s="866">
        <f t="shared" si="3"/>
        <v>100</v>
      </c>
    </row>
    <row r="66" spans="1:9" ht="16.5" thickTop="1" thickBot="1" x14ac:dyDescent="0.3">
      <c r="A66" s="2685" t="s">
        <v>1162</v>
      </c>
      <c r="B66" s="2686"/>
      <c r="C66" s="2686"/>
      <c r="D66" s="2686"/>
      <c r="E66" s="2686"/>
      <c r="F66" s="862">
        <f>SUM(F61,F64)</f>
        <v>0</v>
      </c>
      <c r="G66" s="862">
        <f>SUM(G61,G64)</f>
        <v>2094</v>
      </c>
      <c r="H66" s="862">
        <f>SUM(H61,H64,)</f>
        <v>2094</v>
      </c>
      <c r="I66" s="863">
        <f t="shared" si="3"/>
        <v>100</v>
      </c>
    </row>
    <row r="67" spans="1:9" ht="20.25" customHeight="1" thickTop="1" thickBot="1" x14ac:dyDescent="0.25">
      <c r="A67" s="433" t="s">
        <v>1541</v>
      </c>
      <c r="I67" s="855" t="s">
        <v>173</v>
      </c>
    </row>
    <row r="68" spans="1:9" s="107" customFormat="1" ht="12.75" thickTop="1" thickBot="1" x14ac:dyDescent="0.25">
      <c r="A68" s="633" t="s">
        <v>661</v>
      </c>
      <c r="B68" s="810" t="s">
        <v>174</v>
      </c>
      <c r="C68" s="634" t="s">
        <v>175</v>
      </c>
      <c r="D68" s="636" t="s">
        <v>744</v>
      </c>
      <c r="E68" s="636" t="s">
        <v>176</v>
      </c>
      <c r="F68" s="636" t="s">
        <v>177</v>
      </c>
      <c r="G68" s="636" t="s">
        <v>922</v>
      </c>
      <c r="H68" s="636" t="s">
        <v>923</v>
      </c>
      <c r="I68" s="856" t="s">
        <v>924</v>
      </c>
    </row>
    <row r="69" spans="1:9" s="384" customFormat="1" ht="13.5" thickTop="1" thickBot="1" x14ac:dyDescent="0.25">
      <c r="A69" s="568">
        <v>1</v>
      </c>
      <c r="B69" s="569">
        <v>2</v>
      </c>
      <c r="C69" s="569">
        <v>3</v>
      </c>
      <c r="D69" s="569">
        <v>4</v>
      </c>
      <c r="E69" s="569">
        <v>5</v>
      </c>
      <c r="F69" s="543">
        <v>6</v>
      </c>
      <c r="G69" s="543">
        <v>7</v>
      </c>
      <c r="H69" s="544">
        <v>8</v>
      </c>
      <c r="I69" s="638" t="s">
        <v>801</v>
      </c>
    </row>
    <row r="70" spans="1:9" ht="15.75" thickTop="1" x14ac:dyDescent="0.25">
      <c r="A70" s="1466">
        <v>1508</v>
      </c>
      <c r="B70" s="681">
        <v>3111</v>
      </c>
      <c r="C70" s="681">
        <v>5213</v>
      </c>
      <c r="D70" s="877"/>
      <c r="E70" s="829" t="s">
        <v>1232</v>
      </c>
      <c r="F70" s="858"/>
      <c r="G70" s="858">
        <f>G71</f>
        <v>1247</v>
      </c>
      <c r="H70" s="858">
        <f>H71</f>
        <v>1247</v>
      </c>
      <c r="I70" s="864">
        <f>(H70/G70)*100</f>
        <v>100</v>
      </c>
    </row>
    <row r="71" spans="1:9" ht="15.75" customHeight="1" x14ac:dyDescent="0.2">
      <c r="A71" s="435"/>
      <c r="B71" s="878"/>
      <c r="C71" s="681"/>
      <c r="D71" s="1120" t="s">
        <v>1189</v>
      </c>
      <c r="E71" s="1356" t="s">
        <v>0</v>
      </c>
      <c r="F71" s="879"/>
      <c r="G71" s="865">
        <v>1247</v>
      </c>
      <c r="H71" s="879">
        <v>1247</v>
      </c>
      <c r="I71" s="861">
        <f>(H71/G71)*100</f>
        <v>100</v>
      </c>
    </row>
    <row r="72" spans="1:9" ht="15" x14ac:dyDescent="0.25">
      <c r="A72" s="432">
        <v>1508</v>
      </c>
      <c r="B72" s="783">
        <v>3141</v>
      </c>
      <c r="C72" s="681">
        <v>5213</v>
      </c>
      <c r="D72" s="857"/>
      <c r="E72" s="829" t="s">
        <v>1232</v>
      </c>
      <c r="F72" s="873"/>
      <c r="G72" s="873">
        <v>64</v>
      </c>
      <c r="H72" s="873">
        <v>64</v>
      </c>
      <c r="I72" s="874">
        <f>(H72/G72)*100</f>
        <v>100</v>
      </c>
    </row>
    <row r="73" spans="1:9" ht="18" customHeight="1" thickBot="1" x14ac:dyDescent="0.25">
      <c r="A73" s="432"/>
      <c r="B73" s="783"/>
      <c r="C73" s="783"/>
      <c r="D73" s="1132" t="s">
        <v>1189</v>
      </c>
      <c r="E73" s="1356" t="s">
        <v>0</v>
      </c>
      <c r="F73" s="871"/>
      <c r="G73" s="871">
        <v>64</v>
      </c>
      <c r="H73" s="871">
        <v>64</v>
      </c>
      <c r="I73" s="866">
        <f>(H73/G73)*100</f>
        <v>100</v>
      </c>
    </row>
    <row r="74" spans="1:9" ht="16.5" thickTop="1" thickBot="1" x14ac:dyDescent="0.3">
      <c r="A74" s="2685" t="s">
        <v>1162</v>
      </c>
      <c r="B74" s="2686"/>
      <c r="C74" s="2686"/>
      <c r="D74" s="2686"/>
      <c r="E74" s="2686"/>
      <c r="F74" s="862">
        <f>SUM(F70,F72)</f>
        <v>0</v>
      </c>
      <c r="G74" s="862">
        <f>SUM(G70,G72,)</f>
        <v>1311</v>
      </c>
      <c r="H74" s="862">
        <f>SUM(H70,H72,)</f>
        <v>1311</v>
      </c>
      <c r="I74" s="863">
        <f>(H74/G74)*100</f>
        <v>100</v>
      </c>
    </row>
    <row r="75" spans="1:9" ht="15" thickTop="1" x14ac:dyDescent="0.2"/>
    <row r="77" spans="1:9" ht="15" thickBot="1" x14ac:dyDescent="0.25">
      <c r="A77" s="433" t="s">
        <v>1723</v>
      </c>
      <c r="I77" s="855" t="s">
        <v>173</v>
      </c>
    </row>
    <row r="78" spans="1:9" s="107" customFormat="1" ht="20.25" customHeight="1" thickTop="1" thickBot="1" x14ac:dyDescent="0.25">
      <c r="A78" s="633" t="s">
        <v>661</v>
      </c>
      <c r="B78" s="810" t="s">
        <v>174</v>
      </c>
      <c r="C78" s="634" t="s">
        <v>175</v>
      </c>
      <c r="D78" s="636" t="s">
        <v>744</v>
      </c>
      <c r="E78" s="636" t="s">
        <v>176</v>
      </c>
      <c r="F78" s="636" t="s">
        <v>177</v>
      </c>
      <c r="G78" s="636" t="s">
        <v>922</v>
      </c>
      <c r="H78" s="636" t="s">
        <v>923</v>
      </c>
      <c r="I78" s="856" t="s">
        <v>924</v>
      </c>
    </row>
    <row r="79" spans="1:9" s="384" customFormat="1" ht="13.5" thickTop="1" thickBot="1" x14ac:dyDescent="0.25">
      <c r="A79" s="568">
        <v>1</v>
      </c>
      <c r="B79" s="569">
        <v>2</v>
      </c>
      <c r="C79" s="569">
        <v>3</v>
      </c>
      <c r="D79" s="569">
        <v>4</v>
      </c>
      <c r="E79" s="569">
        <v>5</v>
      </c>
      <c r="F79" s="543">
        <v>6</v>
      </c>
      <c r="G79" s="543">
        <v>7</v>
      </c>
      <c r="H79" s="544">
        <v>8</v>
      </c>
      <c r="I79" s="638" t="s">
        <v>801</v>
      </c>
    </row>
    <row r="80" spans="1:9" ht="15" customHeight="1" thickTop="1" x14ac:dyDescent="0.25">
      <c r="A80" s="1466">
        <v>1509</v>
      </c>
      <c r="B80" s="681">
        <v>3111</v>
      </c>
      <c r="C80" s="681">
        <v>5213</v>
      </c>
      <c r="D80" s="877"/>
      <c r="E80" s="829" t="s">
        <v>1232</v>
      </c>
      <c r="F80" s="858"/>
      <c r="G80" s="858">
        <f>G81+G82</f>
        <v>1358</v>
      </c>
      <c r="H80" s="858">
        <f>H81+H82</f>
        <v>1358</v>
      </c>
      <c r="I80" s="864">
        <f t="shared" ref="I80:I85" si="4">(H80/G80)*100</f>
        <v>100</v>
      </c>
    </row>
    <row r="81" spans="1:9" x14ac:dyDescent="0.2">
      <c r="A81" s="435"/>
      <c r="B81" s="878"/>
      <c r="C81" s="681"/>
      <c r="D81" s="1120" t="s">
        <v>1189</v>
      </c>
      <c r="E81" s="1356" t="s">
        <v>0</v>
      </c>
      <c r="F81" s="879"/>
      <c r="G81" s="865">
        <v>1286</v>
      </c>
      <c r="H81" s="879">
        <v>1286</v>
      </c>
      <c r="I81" s="861">
        <f t="shared" si="4"/>
        <v>100</v>
      </c>
    </row>
    <row r="82" spans="1:9" x14ac:dyDescent="0.2">
      <c r="A82" s="432"/>
      <c r="B82" s="779"/>
      <c r="C82" s="681"/>
      <c r="D82" s="554" t="s">
        <v>401</v>
      </c>
      <c r="E82" s="1601" t="s">
        <v>1</v>
      </c>
      <c r="F82" s="865"/>
      <c r="G82" s="871">
        <v>72</v>
      </c>
      <c r="H82" s="879">
        <v>72</v>
      </c>
      <c r="I82" s="861">
        <f t="shared" si="4"/>
        <v>100</v>
      </c>
    </row>
    <row r="83" spans="1:9" ht="15" x14ac:dyDescent="0.25">
      <c r="A83" s="432">
        <v>1509</v>
      </c>
      <c r="B83" s="783">
        <v>3141</v>
      </c>
      <c r="C83" s="681">
        <v>5213</v>
      </c>
      <c r="D83" s="857"/>
      <c r="E83" s="829" t="s">
        <v>1232</v>
      </c>
      <c r="F83" s="873"/>
      <c r="G83" s="873">
        <v>60</v>
      </c>
      <c r="H83" s="873">
        <v>60</v>
      </c>
      <c r="I83" s="874">
        <f t="shared" si="4"/>
        <v>100</v>
      </c>
    </row>
    <row r="84" spans="1:9" ht="15" thickBot="1" x14ac:dyDescent="0.25">
      <c r="A84" s="432"/>
      <c r="B84" s="783"/>
      <c r="C84" s="783"/>
      <c r="D84" s="1132" t="s">
        <v>1189</v>
      </c>
      <c r="E84" s="1356" t="s">
        <v>0</v>
      </c>
      <c r="F84" s="871"/>
      <c r="G84" s="871">
        <v>60</v>
      </c>
      <c r="H84" s="871">
        <v>60</v>
      </c>
      <c r="I84" s="866">
        <f t="shared" si="4"/>
        <v>100</v>
      </c>
    </row>
    <row r="85" spans="1:9" ht="15" customHeight="1" thickTop="1" thickBot="1" x14ac:dyDescent="0.3">
      <c r="A85" s="2685" t="s">
        <v>1162</v>
      </c>
      <c r="B85" s="2686"/>
      <c r="C85" s="2686"/>
      <c r="D85" s="2686"/>
      <c r="E85" s="2686"/>
      <c r="F85" s="862">
        <f>SUM(F80,F83)</f>
        <v>0</v>
      </c>
      <c r="G85" s="862">
        <f>SUM(G80,G83)</f>
        <v>1418</v>
      </c>
      <c r="H85" s="862">
        <f>SUM(H80,H83)</f>
        <v>1418</v>
      </c>
      <c r="I85" s="863">
        <f t="shared" si="4"/>
        <v>100</v>
      </c>
    </row>
    <row r="86" spans="1:9" ht="15.75" customHeight="1" thickTop="1" x14ac:dyDescent="0.2"/>
    <row r="87" spans="1:9" ht="15.75" customHeight="1" x14ac:dyDescent="0.2"/>
    <row r="88" spans="1:9" ht="15.75" customHeight="1" thickBot="1" x14ac:dyDescent="0.25">
      <c r="A88" s="433" t="s">
        <v>1724</v>
      </c>
      <c r="I88" s="855" t="s">
        <v>173</v>
      </c>
    </row>
    <row r="89" spans="1:9" s="107" customFormat="1" ht="15.75" customHeight="1" thickTop="1" thickBot="1" x14ac:dyDescent="0.25">
      <c r="A89" s="633" t="s">
        <v>661</v>
      </c>
      <c r="B89" s="810" t="s">
        <v>174</v>
      </c>
      <c r="C89" s="634" t="s">
        <v>175</v>
      </c>
      <c r="D89" s="636" t="s">
        <v>744</v>
      </c>
      <c r="E89" s="636" t="s">
        <v>176</v>
      </c>
      <c r="F89" s="636" t="s">
        <v>177</v>
      </c>
      <c r="G89" s="636" t="s">
        <v>922</v>
      </c>
      <c r="H89" s="636" t="s">
        <v>923</v>
      </c>
      <c r="I89" s="856" t="s">
        <v>924</v>
      </c>
    </row>
    <row r="90" spans="1:9" s="384" customFormat="1" ht="13.5" thickTop="1" thickBot="1" x14ac:dyDescent="0.25">
      <c r="A90" s="568">
        <v>1</v>
      </c>
      <c r="B90" s="569">
        <v>2</v>
      </c>
      <c r="C90" s="569">
        <v>3</v>
      </c>
      <c r="D90" s="569">
        <v>4</v>
      </c>
      <c r="E90" s="569">
        <v>5</v>
      </c>
      <c r="F90" s="543">
        <v>6</v>
      </c>
      <c r="G90" s="543">
        <v>7</v>
      </c>
      <c r="H90" s="544">
        <v>8</v>
      </c>
      <c r="I90" s="638" t="s">
        <v>801</v>
      </c>
    </row>
    <row r="91" spans="1:9" s="107" customFormat="1" ht="15.75" thickTop="1" x14ac:dyDescent="0.25">
      <c r="A91" s="432">
        <v>1510</v>
      </c>
      <c r="B91" s="681">
        <v>3114</v>
      </c>
      <c r="C91" s="681">
        <v>5213</v>
      </c>
      <c r="D91" s="857"/>
      <c r="E91" s="829" t="s">
        <v>1232</v>
      </c>
      <c r="F91" s="858"/>
      <c r="G91" s="858">
        <f>SUM(G92:G93)</f>
        <v>7008</v>
      </c>
      <c r="H91" s="858">
        <f>SUM(H92:H93)</f>
        <v>7008</v>
      </c>
      <c r="I91" s="859">
        <f>(H91/G91)*100</f>
        <v>100</v>
      </c>
    </row>
    <row r="92" spans="1:9" x14ac:dyDescent="0.2">
      <c r="A92" s="432"/>
      <c r="B92" s="681"/>
      <c r="C92" s="681"/>
      <c r="D92" s="1120" t="s">
        <v>1189</v>
      </c>
      <c r="E92" s="1356" t="s">
        <v>0</v>
      </c>
      <c r="F92" s="865"/>
      <c r="G92" s="865">
        <v>6277</v>
      </c>
      <c r="H92" s="865">
        <v>6277</v>
      </c>
      <c r="I92" s="861">
        <f>(H92/G92)*100</f>
        <v>100</v>
      </c>
    </row>
    <row r="93" spans="1:9" x14ac:dyDescent="0.2">
      <c r="A93" s="432"/>
      <c r="B93" s="681"/>
      <c r="C93" s="681"/>
      <c r="D93" s="1119" t="s">
        <v>401</v>
      </c>
      <c r="E93" s="1601" t="s">
        <v>1</v>
      </c>
      <c r="F93" s="865"/>
      <c r="G93" s="865">
        <v>731</v>
      </c>
      <c r="H93" s="865">
        <v>731</v>
      </c>
      <c r="I93" s="861">
        <f>(H93/G93)*100</f>
        <v>100</v>
      </c>
    </row>
    <row r="94" spans="1:9" s="107" customFormat="1" ht="15" x14ac:dyDescent="0.25">
      <c r="A94" s="432">
        <v>1510</v>
      </c>
      <c r="B94" s="681">
        <v>3124</v>
      </c>
      <c r="C94" s="1467">
        <v>5213</v>
      </c>
      <c r="D94" s="867"/>
      <c r="E94" s="829" t="s">
        <v>1232</v>
      </c>
      <c r="F94" s="858"/>
      <c r="G94" s="858">
        <f>SUM(G95:G96)</f>
        <v>5042</v>
      </c>
      <c r="H94" s="858">
        <f>SUM(H95:H96)</f>
        <v>5042</v>
      </c>
      <c r="I94" s="859">
        <f t="shared" ref="I94:I102" si="5">(H94/G94)*100</f>
        <v>100</v>
      </c>
    </row>
    <row r="95" spans="1:9" x14ac:dyDescent="0.2">
      <c r="A95" s="432"/>
      <c r="B95" s="783"/>
      <c r="C95" s="783"/>
      <c r="D95" s="1120" t="s">
        <v>1189</v>
      </c>
      <c r="E95" s="1356" t="s">
        <v>0</v>
      </c>
      <c r="F95" s="871"/>
      <c r="G95" s="871">
        <v>4916</v>
      </c>
      <c r="H95" s="871">
        <v>4916</v>
      </c>
      <c r="I95" s="866">
        <f t="shared" si="5"/>
        <v>100</v>
      </c>
    </row>
    <row r="96" spans="1:9" x14ac:dyDescent="0.2">
      <c r="A96" s="432"/>
      <c r="B96" s="783"/>
      <c r="C96" s="783"/>
      <c r="D96" s="1119" t="s">
        <v>401</v>
      </c>
      <c r="E96" s="1601" t="s">
        <v>1</v>
      </c>
      <c r="F96" s="871"/>
      <c r="G96" s="871">
        <v>126</v>
      </c>
      <c r="H96" s="871">
        <v>126</v>
      </c>
      <c r="I96" s="866">
        <f t="shared" si="5"/>
        <v>100</v>
      </c>
    </row>
    <row r="97" spans="1:9" ht="15" x14ac:dyDescent="0.25">
      <c r="A97" s="432">
        <v>1510</v>
      </c>
      <c r="B97" s="783">
        <v>3142</v>
      </c>
      <c r="C97" s="1468">
        <v>5213</v>
      </c>
      <c r="D97" s="867"/>
      <c r="E97" s="680" t="s">
        <v>1232</v>
      </c>
      <c r="F97" s="873"/>
      <c r="G97" s="873">
        <f>SUM(G98:G98)</f>
        <v>60</v>
      </c>
      <c r="H97" s="873">
        <f>SUM(H98:H98)</f>
        <v>60</v>
      </c>
      <c r="I97" s="874">
        <f t="shared" si="5"/>
        <v>100</v>
      </c>
    </row>
    <row r="98" spans="1:9" ht="20.25" customHeight="1" x14ac:dyDescent="0.25">
      <c r="A98" s="432"/>
      <c r="B98" s="783"/>
      <c r="C98" s="1468"/>
      <c r="D98" s="1120" t="s">
        <v>1189</v>
      </c>
      <c r="E98" s="1358" t="s">
        <v>0</v>
      </c>
      <c r="F98" s="873"/>
      <c r="G98" s="875">
        <v>60</v>
      </c>
      <c r="H98" s="875">
        <v>60</v>
      </c>
      <c r="I98" s="866">
        <f t="shared" si="5"/>
        <v>100</v>
      </c>
    </row>
    <row r="99" spans="1:9" ht="15" x14ac:dyDescent="0.25">
      <c r="A99" s="432">
        <v>1510</v>
      </c>
      <c r="B99" s="783">
        <v>3143</v>
      </c>
      <c r="C99" s="1468">
        <v>5213</v>
      </c>
      <c r="D99" s="867"/>
      <c r="E99" s="680" t="s">
        <v>1232</v>
      </c>
      <c r="F99" s="873"/>
      <c r="G99" s="873">
        <v>213</v>
      </c>
      <c r="H99" s="873">
        <v>213</v>
      </c>
      <c r="I99" s="874">
        <f t="shared" si="5"/>
        <v>100</v>
      </c>
    </row>
    <row r="100" spans="1:9" x14ac:dyDescent="0.2">
      <c r="A100" s="432"/>
      <c r="B100" s="783"/>
      <c r="C100" s="783"/>
      <c r="D100" s="1120" t="s">
        <v>1189</v>
      </c>
      <c r="E100" s="1358" t="s">
        <v>0</v>
      </c>
      <c r="F100" s="871"/>
      <c r="G100" s="871">
        <v>213</v>
      </c>
      <c r="H100" s="871">
        <v>213</v>
      </c>
      <c r="I100" s="866">
        <f t="shared" si="5"/>
        <v>100</v>
      </c>
    </row>
    <row r="101" spans="1:9" ht="15" x14ac:dyDescent="0.25">
      <c r="A101" s="1599">
        <v>1510</v>
      </c>
      <c r="B101" s="783">
        <v>3145</v>
      </c>
      <c r="C101" s="783">
        <v>5213</v>
      </c>
      <c r="D101" s="857"/>
      <c r="E101" s="680" t="s">
        <v>1232</v>
      </c>
      <c r="F101" s="873"/>
      <c r="G101" s="873">
        <f>SUM(G102:G102)</f>
        <v>840</v>
      </c>
      <c r="H101" s="873">
        <f>SUM(H102:H102)</f>
        <v>840</v>
      </c>
      <c r="I101" s="876">
        <f t="shared" si="5"/>
        <v>100</v>
      </c>
    </row>
    <row r="102" spans="1:9" ht="15" thickBot="1" x14ac:dyDescent="0.25">
      <c r="A102" s="432"/>
      <c r="B102" s="681"/>
      <c r="C102" s="681"/>
      <c r="D102" s="1120" t="s">
        <v>1189</v>
      </c>
      <c r="E102" s="1358" t="s">
        <v>0</v>
      </c>
      <c r="F102" s="865"/>
      <c r="G102" s="865">
        <v>840</v>
      </c>
      <c r="H102" s="865">
        <v>840</v>
      </c>
      <c r="I102" s="866">
        <f t="shared" si="5"/>
        <v>100</v>
      </c>
    </row>
    <row r="103" spans="1:9" ht="16.5" thickTop="1" thickBot="1" x14ac:dyDescent="0.3">
      <c r="A103" s="2685" t="s">
        <v>1162</v>
      </c>
      <c r="B103" s="2686"/>
      <c r="C103" s="2686"/>
      <c r="D103" s="2686"/>
      <c r="E103" s="2686"/>
      <c r="F103" s="862">
        <v>0</v>
      </c>
      <c r="G103" s="862">
        <f>SUM(G91,G94,G97,G99,G101)</f>
        <v>13163</v>
      </c>
      <c r="H103" s="862">
        <f>SUM(H91,H94,H97,H99,H101)</f>
        <v>13163</v>
      </c>
      <c r="I103" s="863">
        <f>(H103/G103)*100</f>
        <v>100</v>
      </c>
    </row>
    <row r="104" spans="1:9" ht="15" thickTop="1" x14ac:dyDescent="0.2"/>
    <row r="106" spans="1:9" ht="18" customHeight="1" thickBot="1" x14ac:dyDescent="0.25">
      <c r="A106" s="433" t="s">
        <v>780</v>
      </c>
      <c r="I106" s="855" t="s">
        <v>173</v>
      </c>
    </row>
    <row r="107" spans="1:9" s="107" customFormat="1" ht="12.75" thickTop="1" thickBot="1" x14ac:dyDescent="0.25">
      <c r="A107" s="633" t="s">
        <v>661</v>
      </c>
      <c r="B107" s="810" t="s">
        <v>174</v>
      </c>
      <c r="C107" s="634" t="s">
        <v>175</v>
      </c>
      <c r="D107" s="636" t="s">
        <v>744</v>
      </c>
      <c r="E107" s="636" t="s">
        <v>176</v>
      </c>
      <c r="F107" s="636" t="s">
        <v>177</v>
      </c>
      <c r="G107" s="636" t="s">
        <v>922</v>
      </c>
      <c r="H107" s="636" t="s">
        <v>923</v>
      </c>
      <c r="I107" s="856" t="s">
        <v>924</v>
      </c>
    </row>
    <row r="108" spans="1:9" s="384" customFormat="1" ht="13.5" thickTop="1" thickBot="1" x14ac:dyDescent="0.25">
      <c r="A108" s="568">
        <v>1</v>
      </c>
      <c r="B108" s="569">
        <v>2</v>
      </c>
      <c r="C108" s="569">
        <v>3</v>
      </c>
      <c r="D108" s="569">
        <v>4</v>
      </c>
      <c r="E108" s="569">
        <v>5</v>
      </c>
      <c r="F108" s="543">
        <v>6</v>
      </c>
      <c r="G108" s="543">
        <v>7</v>
      </c>
      <c r="H108" s="544">
        <v>8</v>
      </c>
      <c r="I108" s="638" t="s">
        <v>801</v>
      </c>
    </row>
    <row r="109" spans="1:9" ht="15.75" thickTop="1" x14ac:dyDescent="0.25">
      <c r="A109" s="1466">
        <v>1511</v>
      </c>
      <c r="B109" s="681">
        <v>3114</v>
      </c>
      <c r="C109" s="681">
        <v>5221</v>
      </c>
      <c r="D109" s="877"/>
      <c r="E109" s="680" t="s">
        <v>1233</v>
      </c>
      <c r="F109" s="858"/>
      <c r="G109" s="858">
        <f>G111+G112+G110</f>
        <v>2057</v>
      </c>
      <c r="H109" s="858">
        <f>H111+H112+H110</f>
        <v>2057</v>
      </c>
      <c r="I109" s="864">
        <f t="shared" ref="I109:I115" si="6">(H109/G109)*100</f>
        <v>100</v>
      </c>
    </row>
    <row r="110" spans="1:9" ht="14.25" customHeight="1" x14ac:dyDescent="0.25">
      <c r="A110" s="435"/>
      <c r="B110" s="878"/>
      <c r="C110" s="681"/>
      <c r="D110" s="1119" t="s">
        <v>970</v>
      </c>
      <c r="E110" s="1355" t="s">
        <v>1278</v>
      </c>
      <c r="F110" s="181"/>
      <c r="G110" s="357">
        <v>15</v>
      </c>
      <c r="H110" s="921">
        <v>15</v>
      </c>
      <c r="I110" s="861">
        <f t="shared" si="6"/>
        <v>100</v>
      </c>
    </row>
    <row r="111" spans="1:9" ht="15" customHeight="1" x14ac:dyDescent="0.2">
      <c r="A111" s="435"/>
      <c r="B111" s="878"/>
      <c r="C111" s="681"/>
      <c r="D111" s="1120" t="s">
        <v>1189</v>
      </c>
      <c r="E111" s="1356" t="s">
        <v>0</v>
      </c>
      <c r="F111" s="879"/>
      <c r="G111" s="865">
        <v>1819</v>
      </c>
      <c r="H111" s="879">
        <v>1819</v>
      </c>
      <c r="I111" s="861">
        <f t="shared" si="6"/>
        <v>100</v>
      </c>
    </row>
    <row r="112" spans="1:9" x14ac:dyDescent="0.2">
      <c r="A112" s="435"/>
      <c r="B112" s="681"/>
      <c r="C112" s="783"/>
      <c r="D112" s="1119" t="s">
        <v>401</v>
      </c>
      <c r="E112" s="1601" t="s">
        <v>1</v>
      </c>
      <c r="F112" s="879"/>
      <c r="G112" s="865">
        <v>223</v>
      </c>
      <c r="H112" s="865">
        <v>223</v>
      </c>
      <c r="I112" s="866">
        <f t="shared" si="6"/>
        <v>100</v>
      </c>
    </row>
    <row r="113" spans="1:9" ht="15.75" customHeight="1" x14ac:dyDescent="0.25">
      <c r="A113" s="432">
        <v>1511</v>
      </c>
      <c r="B113" s="783">
        <v>3141</v>
      </c>
      <c r="C113" s="1468">
        <v>5221</v>
      </c>
      <c r="D113" s="867"/>
      <c r="E113" s="680" t="s">
        <v>1233</v>
      </c>
      <c r="F113" s="873"/>
      <c r="G113" s="873">
        <v>9</v>
      </c>
      <c r="H113" s="873">
        <v>9</v>
      </c>
      <c r="I113" s="874">
        <f t="shared" si="6"/>
        <v>100</v>
      </c>
    </row>
    <row r="114" spans="1:9" ht="15" thickBot="1" x14ac:dyDescent="0.25">
      <c r="A114" s="432"/>
      <c r="B114" s="783"/>
      <c r="C114" s="783"/>
      <c r="D114" s="1132" t="s">
        <v>1189</v>
      </c>
      <c r="E114" s="1356" t="s">
        <v>0</v>
      </c>
      <c r="F114" s="871"/>
      <c r="G114" s="871">
        <v>9</v>
      </c>
      <c r="H114" s="871">
        <v>9</v>
      </c>
      <c r="I114" s="866">
        <f t="shared" si="6"/>
        <v>100</v>
      </c>
    </row>
    <row r="115" spans="1:9" s="1574" customFormat="1" ht="16.5" thickTop="1" thickBot="1" x14ac:dyDescent="0.25">
      <c r="A115" s="2696" t="s">
        <v>1162</v>
      </c>
      <c r="B115" s="2697"/>
      <c r="C115" s="2697"/>
      <c r="D115" s="2697"/>
      <c r="E115" s="2697"/>
      <c r="F115" s="1585">
        <f>SUM(F109,F113)</f>
        <v>0</v>
      </c>
      <c r="G115" s="1585">
        <f>SUM(G109,G113,)</f>
        <v>2066</v>
      </c>
      <c r="H115" s="1585">
        <f>SUM(H109,H113,)</f>
        <v>2066</v>
      </c>
      <c r="I115" s="1586">
        <f t="shared" si="6"/>
        <v>100</v>
      </c>
    </row>
    <row r="116" spans="1:9" s="1574" customFormat="1" ht="15.75" customHeight="1" thickTop="1" x14ac:dyDescent="0.2">
      <c r="B116" s="1588"/>
      <c r="D116" s="1589"/>
      <c r="F116" s="1624"/>
      <c r="G116" s="1624"/>
      <c r="H116" s="1624"/>
      <c r="I116" s="1625"/>
    </row>
    <row r="117" spans="1:9" s="1574" customFormat="1" ht="15.75" customHeight="1" x14ac:dyDescent="0.2">
      <c r="B117" s="1588"/>
      <c r="D117" s="1589"/>
      <c r="F117" s="1624"/>
      <c r="G117" s="1624"/>
      <c r="H117" s="1624"/>
      <c r="I117" s="1625"/>
    </row>
    <row r="118" spans="1:9" s="1574" customFormat="1" ht="15" thickBot="1" x14ac:dyDescent="0.25">
      <c r="A118" s="1602" t="s">
        <v>1725</v>
      </c>
      <c r="B118" s="1588"/>
      <c r="D118" s="1589"/>
      <c r="F118" s="1624"/>
      <c r="G118" s="1624"/>
      <c r="H118" s="1624"/>
      <c r="I118" s="1626" t="s">
        <v>173</v>
      </c>
    </row>
    <row r="119" spans="1:9" s="1632" customFormat="1" ht="12.75" thickTop="1" thickBot="1" x14ac:dyDescent="0.25">
      <c r="A119" s="1627" t="s">
        <v>661</v>
      </c>
      <c r="B119" s="1628" t="s">
        <v>174</v>
      </c>
      <c r="C119" s="1629" t="s">
        <v>175</v>
      </c>
      <c r="D119" s="1630" t="s">
        <v>744</v>
      </c>
      <c r="E119" s="1630" t="s">
        <v>176</v>
      </c>
      <c r="F119" s="1630" t="s">
        <v>177</v>
      </c>
      <c r="G119" s="1630" t="s">
        <v>922</v>
      </c>
      <c r="H119" s="1630" t="s">
        <v>923</v>
      </c>
      <c r="I119" s="1631" t="s">
        <v>924</v>
      </c>
    </row>
    <row r="120" spans="1:9" s="1598" customFormat="1" ht="18" customHeight="1" thickTop="1" thickBot="1" x14ac:dyDescent="0.25">
      <c r="A120" s="1593">
        <v>1</v>
      </c>
      <c r="B120" s="1594">
        <v>2</v>
      </c>
      <c r="C120" s="1594">
        <v>3</v>
      </c>
      <c r="D120" s="1594">
        <v>4</v>
      </c>
      <c r="E120" s="1594">
        <v>5</v>
      </c>
      <c r="F120" s="1595">
        <v>6</v>
      </c>
      <c r="G120" s="1595">
        <v>7</v>
      </c>
      <c r="H120" s="1596">
        <v>8</v>
      </c>
      <c r="I120" s="1597" t="s">
        <v>801</v>
      </c>
    </row>
    <row r="121" spans="1:9" s="1574" customFormat="1" ht="15.75" thickTop="1" x14ac:dyDescent="0.2">
      <c r="A121" s="1599">
        <v>1512</v>
      </c>
      <c r="B121" s="1600">
        <v>3114</v>
      </c>
      <c r="C121" s="1633">
        <v>5221</v>
      </c>
      <c r="D121" s="1634"/>
      <c r="E121" s="1635" t="s">
        <v>1233</v>
      </c>
      <c r="F121" s="1636"/>
      <c r="G121" s="1636">
        <f>SUM(G122:G123)</f>
        <v>4760</v>
      </c>
      <c r="H121" s="1636">
        <f>SUM(H122:H123)</f>
        <v>4760</v>
      </c>
      <c r="I121" s="1637">
        <f t="shared" ref="I121:I130" si="7">(H121/G121)*100</f>
        <v>100</v>
      </c>
    </row>
    <row r="122" spans="1:9" s="1574" customFormat="1" x14ac:dyDescent="0.2">
      <c r="A122" s="1599"/>
      <c r="B122" s="1600"/>
      <c r="C122" s="1633"/>
      <c r="D122" s="1119" t="s">
        <v>1189</v>
      </c>
      <c r="E122" s="1355" t="s">
        <v>0</v>
      </c>
      <c r="F122" s="1367"/>
      <c r="G122" s="1367">
        <v>4298</v>
      </c>
      <c r="H122" s="1367">
        <v>4298</v>
      </c>
      <c r="I122" s="1363">
        <f t="shared" si="7"/>
        <v>100</v>
      </c>
    </row>
    <row r="123" spans="1:9" s="1574" customFormat="1" x14ac:dyDescent="0.2">
      <c r="A123" s="1599"/>
      <c r="B123" s="1616"/>
      <c r="C123" s="1617"/>
      <c r="D123" s="1119" t="s">
        <v>401</v>
      </c>
      <c r="E123" s="1601" t="s">
        <v>1</v>
      </c>
      <c r="F123" s="1362"/>
      <c r="G123" s="1367">
        <v>462</v>
      </c>
      <c r="H123" s="1367">
        <v>462</v>
      </c>
      <c r="I123" s="1363">
        <f t="shared" si="7"/>
        <v>100</v>
      </c>
    </row>
    <row r="124" spans="1:9" s="1574" customFormat="1" ht="15" x14ac:dyDescent="0.2">
      <c r="A124" s="1599">
        <v>1512</v>
      </c>
      <c r="B124" s="1616">
        <v>3124</v>
      </c>
      <c r="C124" s="1616">
        <v>5221</v>
      </c>
      <c r="D124" s="1638"/>
      <c r="E124" s="1639" t="s">
        <v>1233</v>
      </c>
      <c r="F124" s="1640"/>
      <c r="G124" s="1640">
        <f>G126+G125</f>
        <v>1239</v>
      </c>
      <c r="H124" s="1640">
        <f>H126+H125</f>
        <v>1239</v>
      </c>
      <c r="I124" s="1641">
        <f t="shared" si="7"/>
        <v>100</v>
      </c>
    </row>
    <row r="125" spans="1:9" s="1574" customFormat="1" x14ac:dyDescent="0.2">
      <c r="A125" s="1599"/>
      <c r="B125" s="1616"/>
      <c r="C125" s="1616"/>
      <c r="D125" s="1119" t="s">
        <v>1189</v>
      </c>
      <c r="E125" s="1355" t="s">
        <v>0</v>
      </c>
      <c r="F125" s="1362"/>
      <c r="G125" s="1362">
        <v>1124</v>
      </c>
      <c r="H125" s="1362">
        <v>1124</v>
      </c>
      <c r="I125" s="1366">
        <f t="shared" si="7"/>
        <v>100</v>
      </c>
    </row>
    <row r="126" spans="1:9" s="1574" customFormat="1" x14ac:dyDescent="0.2">
      <c r="A126" s="1599"/>
      <c r="B126" s="1616"/>
      <c r="C126" s="1616"/>
      <c r="D126" s="1119" t="s">
        <v>401</v>
      </c>
      <c r="E126" s="1601" t="s">
        <v>1</v>
      </c>
      <c r="F126" s="1362"/>
      <c r="G126" s="1362">
        <v>115</v>
      </c>
      <c r="H126" s="1362">
        <v>115</v>
      </c>
      <c r="I126" s="1366">
        <f t="shared" si="7"/>
        <v>100</v>
      </c>
    </row>
    <row r="127" spans="1:9" s="1574" customFormat="1" ht="15" x14ac:dyDescent="0.2">
      <c r="A127" s="1599">
        <v>1512</v>
      </c>
      <c r="B127" s="1616">
        <v>3141</v>
      </c>
      <c r="C127" s="1616">
        <v>5221</v>
      </c>
      <c r="D127" s="1119"/>
      <c r="E127" s="1639" t="s">
        <v>1233</v>
      </c>
      <c r="F127" s="1362"/>
      <c r="G127" s="1364">
        <v>23</v>
      </c>
      <c r="H127" s="1364">
        <v>23</v>
      </c>
      <c r="I127" s="1365">
        <f t="shared" si="7"/>
        <v>100</v>
      </c>
    </row>
    <row r="128" spans="1:9" s="1574" customFormat="1" x14ac:dyDescent="0.2">
      <c r="A128" s="1599"/>
      <c r="B128" s="1616"/>
      <c r="C128" s="1616"/>
      <c r="D128" s="1119" t="s">
        <v>1189</v>
      </c>
      <c r="E128" s="1355" t="s">
        <v>0</v>
      </c>
      <c r="F128" s="1362"/>
      <c r="G128" s="1362">
        <v>23</v>
      </c>
      <c r="H128" s="1362">
        <v>23</v>
      </c>
      <c r="I128" s="1366">
        <f t="shared" si="7"/>
        <v>100</v>
      </c>
    </row>
    <row r="129" spans="1:9" s="1574" customFormat="1" ht="15" thickBot="1" x14ac:dyDescent="0.25">
      <c r="A129" s="1599"/>
      <c r="B129" s="1616"/>
      <c r="C129" s="1616"/>
      <c r="D129" s="1119"/>
      <c r="E129" s="1355"/>
      <c r="F129" s="1362"/>
      <c r="G129" s="1362"/>
      <c r="H129" s="1362"/>
      <c r="I129" s="1366"/>
    </row>
    <row r="130" spans="1:9" s="1574" customFormat="1" ht="16.5" thickTop="1" thickBot="1" x14ac:dyDescent="0.25">
      <c r="A130" s="2696" t="s">
        <v>1162</v>
      </c>
      <c r="B130" s="2697"/>
      <c r="C130" s="2697"/>
      <c r="D130" s="2697"/>
      <c r="E130" s="2697"/>
      <c r="F130" s="1585">
        <f>SUM(F121)</f>
        <v>0</v>
      </c>
      <c r="G130" s="1585">
        <f>SUM(G121,G124,G127)</f>
        <v>6022</v>
      </c>
      <c r="H130" s="1585">
        <f>SUM(H121,H124,H127)</f>
        <v>6022</v>
      </c>
      <c r="I130" s="1586">
        <f t="shared" si="7"/>
        <v>100</v>
      </c>
    </row>
    <row r="131" spans="1:9" ht="15" thickTop="1" x14ac:dyDescent="0.2"/>
    <row r="134" spans="1:9" s="1574" customFormat="1" ht="15" thickBot="1" x14ac:dyDescent="0.25">
      <c r="A134" s="1602" t="s">
        <v>917</v>
      </c>
      <c r="B134" s="1588"/>
      <c r="D134" s="1589"/>
      <c r="F134" s="1624"/>
      <c r="G134" s="1624"/>
      <c r="H134" s="1624"/>
      <c r="I134" s="1626" t="s">
        <v>173</v>
      </c>
    </row>
    <row r="135" spans="1:9" s="1632" customFormat="1" ht="20.25" customHeight="1" thickTop="1" thickBot="1" x14ac:dyDescent="0.25">
      <c r="A135" s="1627" t="s">
        <v>661</v>
      </c>
      <c r="B135" s="1628" t="s">
        <v>174</v>
      </c>
      <c r="C135" s="1629" t="s">
        <v>175</v>
      </c>
      <c r="D135" s="1630" t="s">
        <v>744</v>
      </c>
      <c r="E135" s="1630" t="s">
        <v>176</v>
      </c>
      <c r="F135" s="1630" t="s">
        <v>177</v>
      </c>
      <c r="G135" s="1630" t="s">
        <v>922</v>
      </c>
      <c r="H135" s="1630" t="s">
        <v>923</v>
      </c>
      <c r="I135" s="1631" t="s">
        <v>924</v>
      </c>
    </row>
    <row r="136" spans="1:9" s="1598" customFormat="1" ht="13.5" thickTop="1" thickBot="1" x14ac:dyDescent="0.25">
      <c r="A136" s="1593">
        <v>1</v>
      </c>
      <c r="B136" s="1594">
        <v>2</v>
      </c>
      <c r="C136" s="1594">
        <v>3</v>
      </c>
      <c r="D136" s="1594">
        <v>4</v>
      </c>
      <c r="E136" s="1594">
        <v>5</v>
      </c>
      <c r="F136" s="1595">
        <v>6</v>
      </c>
      <c r="G136" s="1595">
        <v>7</v>
      </c>
      <c r="H136" s="1596">
        <v>8</v>
      </c>
      <c r="I136" s="1597" t="s">
        <v>801</v>
      </c>
    </row>
    <row r="137" spans="1:9" s="1574" customFormat="1" ht="15.75" thickTop="1" x14ac:dyDescent="0.2">
      <c r="A137" s="1599">
        <v>1513</v>
      </c>
      <c r="B137" s="1600">
        <v>3112</v>
      </c>
      <c r="C137" s="1600">
        <v>5221</v>
      </c>
      <c r="D137" s="1577"/>
      <c r="E137" s="1639" t="s">
        <v>1233</v>
      </c>
      <c r="F137" s="1636"/>
      <c r="G137" s="1642">
        <f>SUM(G138:G139)</f>
        <v>632</v>
      </c>
      <c r="H137" s="1642">
        <f>SUM(H138:H139)</f>
        <v>632</v>
      </c>
      <c r="I137" s="1580">
        <f t="shared" ref="I137:I150" si="8">(H137/G137)*100</f>
        <v>100</v>
      </c>
    </row>
    <row r="138" spans="1:9" s="1574" customFormat="1" x14ac:dyDescent="0.2">
      <c r="A138" s="1599"/>
      <c r="B138" s="1616"/>
      <c r="C138" s="1616"/>
      <c r="D138" s="1119" t="s">
        <v>1189</v>
      </c>
      <c r="E138" s="1355" t="s">
        <v>0</v>
      </c>
      <c r="F138" s="1362"/>
      <c r="G138" s="1362">
        <v>541</v>
      </c>
      <c r="H138" s="1362">
        <v>541</v>
      </c>
      <c r="I138" s="1366">
        <f>(H138/G138)*100</f>
        <v>100</v>
      </c>
    </row>
    <row r="139" spans="1:9" s="1574" customFormat="1" x14ac:dyDescent="0.2">
      <c r="A139" s="1599"/>
      <c r="B139" s="1616"/>
      <c r="C139" s="1616"/>
      <c r="D139" s="1119" t="s">
        <v>401</v>
      </c>
      <c r="E139" s="1601" t="s">
        <v>1</v>
      </c>
      <c r="F139" s="1362"/>
      <c r="G139" s="1362">
        <v>91</v>
      </c>
      <c r="H139" s="1362">
        <v>91</v>
      </c>
      <c r="I139" s="1366">
        <f>(H139/G139)*100</f>
        <v>100</v>
      </c>
    </row>
    <row r="140" spans="1:9" s="1574" customFormat="1" ht="15.75" customHeight="1" x14ac:dyDescent="0.2">
      <c r="A140" s="1599">
        <v>1513</v>
      </c>
      <c r="B140" s="1616">
        <v>3114</v>
      </c>
      <c r="C140" s="1617">
        <v>5221</v>
      </c>
      <c r="D140" s="1634"/>
      <c r="E140" s="1639" t="s">
        <v>1233</v>
      </c>
      <c r="F140" s="1640"/>
      <c r="G140" s="1640">
        <f>SUM(G141:G142)</f>
        <v>8285</v>
      </c>
      <c r="H140" s="1640">
        <f>SUM(H141:H142)</f>
        <v>8285</v>
      </c>
      <c r="I140" s="1641">
        <f t="shared" si="8"/>
        <v>100</v>
      </c>
    </row>
    <row r="141" spans="1:9" s="1574" customFormat="1" ht="15.75" customHeight="1" x14ac:dyDescent="0.2">
      <c r="A141" s="1599"/>
      <c r="B141" s="1616"/>
      <c r="C141" s="1617"/>
      <c r="D141" s="1119" t="s">
        <v>1189</v>
      </c>
      <c r="E141" s="1355" t="s">
        <v>0</v>
      </c>
      <c r="F141" s="1640"/>
      <c r="G141" s="1643">
        <v>7585</v>
      </c>
      <c r="H141" s="1643">
        <v>7585</v>
      </c>
      <c r="I141" s="1366">
        <f t="shared" si="8"/>
        <v>100</v>
      </c>
    </row>
    <row r="142" spans="1:9" s="1574" customFormat="1" ht="15.75" customHeight="1" x14ac:dyDescent="0.2">
      <c r="A142" s="1599"/>
      <c r="B142" s="1616"/>
      <c r="C142" s="1617"/>
      <c r="D142" s="1119" t="s">
        <v>401</v>
      </c>
      <c r="E142" s="1601" t="s">
        <v>1</v>
      </c>
      <c r="F142" s="1640"/>
      <c r="G142" s="1643">
        <v>700</v>
      </c>
      <c r="H142" s="1643">
        <v>700</v>
      </c>
      <c r="I142" s="1366">
        <f t="shared" si="8"/>
        <v>100</v>
      </c>
    </row>
    <row r="143" spans="1:9" s="1574" customFormat="1" ht="15.75" customHeight="1" x14ac:dyDescent="0.2">
      <c r="A143" s="1599">
        <v>1513</v>
      </c>
      <c r="B143" s="1616">
        <v>3124</v>
      </c>
      <c r="C143" s="1617">
        <v>5221</v>
      </c>
      <c r="D143" s="1634"/>
      <c r="E143" s="1639" t="s">
        <v>1233</v>
      </c>
      <c r="F143" s="1640"/>
      <c r="G143" s="1364">
        <f>SUM(G144:G145)</f>
        <v>2849</v>
      </c>
      <c r="H143" s="1364">
        <f>SUM(H144:H145)</f>
        <v>2849</v>
      </c>
      <c r="I143" s="1365">
        <v>100</v>
      </c>
    </row>
    <row r="144" spans="1:9" s="1574" customFormat="1" ht="15.75" customHeight="1" x14ac:dyDescent="0.2">
      <c r="A144" s="1599"/>
      <c r="B144" s="1616"/>
      <c r="C144" s="1617"/>
      <c r="D144" s="1119" t="s">
        <v>1189</v>
      </c>
      <c r="E144" s="1355" t="s">
        <v>0</v>
      </c>
      <c r="F144" s="1640"/>
      <c r="G144" s="1643">
        <v>2539</v>
      </c>
      <c r="H144" s="1643">
        <v>2539</v>
      </c>
      <c r="I144" s="1366">
        <f t="shared" si="8"/>
        <v>100</v>
      </c>
    </row>
    <row r="145" spans="1:9" s="1574" customFormat="1" ht="15.75" customHeight="1" x14ac:dyDescent="0.2">
      <c r="A145" s="1599"/>
      <c r="B145" s="1616"/>
      <c r="C145" s="1617"/>
      <c r="D145" s="1119" t="s">
        <v>401</v>
      </c>
      <c r="E145" s="1601" t="s">
        <v>1</v>
      </c>
      <c r="F145" s="1640"/>
      <c r="G145" s="1643">
        <v>310</v>
      </c>
      <c r="H145" s="1643">
        <v>310</v>
      </c>
      <c r="I145" s="1366">
        <f t="shared" si="8"/>
        <v>100</v>
      </c>
    </row>
    <row r="146" spans="1:9" s="1574" customFormat="1" ht="15.75" customHeight="1" x14ac:dyDescent="0.2">
      <c r="A146" s="1599">
        <v>1513</v>
      </c>
      <c r="B146" s="1616">
        <v>3141</v>
      </c>
      <c r="C146" s="1617">
        <v>5221</v>
      </c>
      <c r="D146" s="1634"/>
      <c r="E146" s="1639" t="s">
        <v>1233</v>
      </c>
      <c r="F146" s="1640"/>
      <c r="G146" s="1364">
        <f>G147</f>
        <v>45</v>
      </c>
      <c r="H146" s="1364">
        <f>H147</f>
        <v>45</v>
      </c>
      <c r="I146" s="1365">
        <f t="shared" si="8"/>
        <v>100</v>
      </c>
    </row>
    <row r="147" spans="1:9" s="1574" customFormat="1" ht="15.75" customHeight="1" x14ac:dyDescent="0.2">
      <c r="A147" s="1599"/>
      <c r="B147" s="1616"/>
      <c r="C147" s="1617"/>
      <c r="D147" s="1119" t="s">
        <v>1189</v>
      </c>
      <c r="E147" s="1355" t="s">
        <v>0</v>
      </c>
      <c r="F147" s="1640"/>
      <c r="G147" s="1643">
        <v>45</v>
      </c>
      <c r="H147" s="1643">
        <v>45</v>
      </c>
      <c r="I147" s="1366">
        <f t="shared" si="8"/>
        <v>100</v>
      </c>
    </row>
    <row r="148" spans="1:9" s="1574" customFormat="1" ht="15.75" customHeight="1" x14ac:dyDescent="0.2">
      <c r="A148" s="1599">
        <v>1513</v>
      </c>
      <c r="B148" s="1616">
        <v>3143</v>
      </c>
      <c r="C148" s="1617">
        <v>5221</v>
      </c>
      <c r="D148" s="1634"/>
      <c r="E148" s="1639" t="s">
        <v>1233</v>
      </c>
      <c r="F148" s="1640"/>
      <c r="G148" s="1364">
        <f>SUM(G149:G149)</f>
        <v>240</v>
      </c>
      <c r="H148" s="1364">
        <f>SUM(H149:H149)</f>
        <v>240</v>
      </c>
      <c r="I148" s="1365">
        <v>100</v>
      </c>
    </row>
    <row r="149" spans="1:9" s="1574" customFormat="1" ht="15.75" customHeight="1" thickBot="1" x14ac:dyDescent="0.25">
      <c r="A149" s="1599"/>
      <c r="B149" s="1616"/>
      <c r="C149" s="1617"/>
      <c r="D149" s="1119" t="s">
        <v>1189</v>
      </c>
      <c r="E149" s="1355" t="s">
        <v>0</v>
      </c>
      <c r="F149" s="1640"/>
      <c r="G149" s="1643">
        <v>240</v>
      </c>
      <c r="H149" s="1643">
        <v>240</v>
      </c>
      <c r="I149" s="1366">
        <f t="shared" si="8"/>
        <v>100</v>
      </c>
    </row>
    <row r="150" spans="1:9" s="1574" customFormat="1" ht="15.75" customHeight="1" thickTop="1" thickBot="1" x14ac:dyDescent="0.25">
      <c r="A150" s="2696" t="s">
        <v>1162</v>
      </c>
      <c r="B150" s="2697"/>
      <c r="C150" s="2697"/>
      <c r="D150" s="2697"/>
      <c r="E150" s="2697"/>
      <c r="F150" s="1585">
        <f>SUM(F137,F140)</f>
        <v>0</v>
      </c>
      <c r="G150" s="1585">
        <f>SUM(G137,G140,G143,G148,G146)</f>
        <v>12051</v>
      </c>
      <c r="H150" s="1585">
        <f>SUM(H137,H140,H143,H148,H146)</f>
        <v>12051</v>
      </c>
      <c r="I150" s="1586">
        <f t="shared" si="8"/>
        <v>100</v>
      </c>
    </row>
    <row r="151" spans="1:9" s="1574" customFormat="1" ht="18" customHeight="1" thickTop="1" x14ac:dyDescent="0.2">
      <c r="B151" s="1588"/>
      <c r="D151" s="1589"/>
      <c r="F151" s="1624"/>
      <c r="G151" s="1624"/>
      <c r="H151" s="1624"/>
      <c r="I151" s="1625"/>
    </row>
    <row r="152" spans="1:9" s="1574" customFormat="1" ht="18" customHeight="1" x14ac:dyDescent="0.2">
      <c r="B152" s="1588"/>
      <c r="D152" s="1589"/>
      <c r="F152" s="1624"/>
      <c r="G152" s="1624"/>
      <c r="H152" s="1624"/>
      <c r="I152" s="1625"/>
    </row>
    <row r="153" spans="1:9" s="1574" customFormat="1" ht="15" thickBot="1" x14ac:dyDescent="0.25">
      <c r="A153" s="1602" t="s">
        <v>921</v>
      </c>
      <c r="B153" s="1588"/>
      <c r="D153" s="1589"/>
      <c r="F153" s="1624"/>
      <c r="G153" s="1624"/>
      <c r="H153" s="1624"/>
      <c r="I153" s="1626" t="s">
        <v>173</v>
      </c>
    </row>
    <row r="154" spans="1:9" s="107" customFormat="1" ht="12.75" thickTop="1" thickBot="1" x14ac:dyDescent="0.25">
      <c r="A154" s="633" t="s">
        <v>661</v>
      </c>
      <c r="B154" s="810" t="s">
        <v>174</v>
      </c>
      <c r="C154" s="634" t="s">
        <v>175</v>
      </c>
      <c r="D154" s="636" t="s">
        <v>744</v>
      </c>
      <c r="E154" s="636" t="s">
        <v>176</v>
      </c>
      <c r="F154" s="636" t="s">
        <v>177</v>
      </c>
      <c r="G154" s="636" t="s">
        <v>922</v>
      </c>
      <c r="H154" s="636" t="s">
        <v>923</v>
      </c>
      <c r="I154" s="856" t="s">
        <v>924</v>
      </c>
    </row>
    <row r="155" spans="1:9" s="384" customFormat="1" ht="20.25" customHeight="1" thickTop="1" thickBot="1" x14ac:dyDescent="0.25">
      <c r="A155" s="568">
        <v>1</v>
      </c>
      <c r="B155" s="569">
        <v>2</v>
      </c>
      <c r="C155" s="569">
        <v>3</v>
      </c>
      <c r="D155" s="569">
        <v>4</v>
      </c>
      <c r="E155" s="569">
        <v>5</v>
      </c>
      <c r="F155" s="543">
        <v>6</v>
      </c>
      <c r="G155" s="543">
        <v>7</v>
      </c>
      <c r="H155" s="544">
        <v>8</v>
      </c>
      <c r="I155" s="638" t="s">
        <v>801</v>
      </c>
    </row>
    <row r="156" spans="1:9" ht="15.75" thickTop="1" x14ac:dyDescent="0.25">
      <c r="A156" s="1477">
        <v>1514</v>
      </c>
      <c r="B156" s="885">
        <v>3111</v>
      </c>
      <c r="C156" s="811">
        <v>5222</v>
      </c>
      <c r="D156" s="877"/>
      <c r="E156" s="886" t="s">
        <v>234</v>
      </c>
      <c r="F156" s="883"/>
      <c r="G156" s="883">
        <f>SUM(G157:G157)</f>
        <v>851</v>
      </c>
      <c r="H156" s="883">
        <f>SUM(H157:H157)</f>
        <v>851</v>
      </c>
      <c r="I156" s="887">
        <f t="shared" ref="I156:I168" si="9">(H156/G156)*100</f>
        <v>100</v>
      </c>
    </row>
    <row r="157" spans="1:9" x14ac:dyDescent="0.2">
      <c r="A157" s="432"/>
      <c r="B157" s="783"/>
      <c r="C157" s="783"/>
      <c r="D157" s="1120" t="s">
        <v>1189</v>
      </c>
      <c r="E157" s="1356" t="s">
        <v>0</v>
      </c>
      <c r="F157" s="871"/>
      <c r="G157" s="871">
        <v>851</v>
      </c>
      <c r="H157" s="871">
        <v>851</v>
      </c>
      <c r="I157" s="866">
        <f t="shared" si="9"/>
        <v>100</v>
      </c>
    </row>
    <row r="158" spans="1:9" ht="15" x14ac:dyDescent="0.25">
      <c r="A158" s="432">
        <v>1514</v>
      </c>
      <c r="B158" s="783">
        <v>3112</v>
      </c>
      <c r="C158" s="1468">
        <v>5222</v>
      </c>
      <c r="D158" s="867"/>
      <c r="E158" s="680" t="s">
        <v>234</v>
      </c>
      <c r="F158" s="873"/>
      <c r="G158" s="873">
        <f>SUM(G159:G160)</f>
        <v>1261</v>
      </c>
      <c r="H158" s="873">
        <f>SUM(H159:H160)</f>
        <v>1261</v>
      </c>
      <c r="I158" s="874">
        <f t="shared" si="9"/>
        <v>100</v>
      </c>
    </row>
    <row r="159" spans="1:9" ht="15.75" customHeight="1" x14ac:dyDescent="0.2">
      <c r="A159" s="432"/>
      <c r="B159" s="783"/>
      <c r="C159" s="783"/>
      <c r="D159" s="1120" t="s">
        <v>1189</v>
      </c>
      <c r="E159" s="1356" t="s">
        <v>0</v>
      </c>
      <c r="F159" s="871"/>
      <c r="G159" s="871">
        <v>1135</v>
      </c>
      <c r="H159" s="871">
        <v>1135</v>
      </c>
      <c r="I159" s="866">
        <f t="shared" si="9"/>
        <v>100</v>
      </c>
    </row>
    <row r="160" spans="1:9" x14ac:dyDescent="0.2">
      <c r="A160" s="432"/>
      <c r="B160" s="783"/>
      <c r="C160" s="783"/>
      <c r="D160" s="1119" t="s">
        <v>401</v>
      </c>
      <c r="E160" s="1601" t="s">
        <v>1</v>
      </c>
      <c r="F160" s="871"/>
      <c r="G160" s="871">
        <v>126</v>
      </c>
      <c r="H160" s="871">
        <v>126</v>
      </c>
      <c r="I160" s="866">
        <f t="shared" si="9"/>
        <v>100</v>
      </c>
    </row>
    <row r="161" spans="1:9" ht="15" x14ac:dyDescent="0.25">
      <c r="A161" s="432">
        <v>1514</v>
      </c>
      <c r="B161" s="783">
        <v>3114</v>
      </c>
      <c r="C161" s="783">
        <v>5222</v>
      </c>
      <c r="D161" s="857"/>
      <c r="E161" s="680" t="s">
        <v>234</v>
      </c>
      <c r="F161" s="873"/>
      <c r="G161" s="873">
        <f>SUM(G162:G163)</f>
        <v>4445</v>
      </c>
      <c r="H161" s="873">
        <f>SUM(H162:H163)</f>
        <v>4445</v>
      </c>
      <c r="I161" s="874">
        <f t="shared" si="9"/>
        <v>100</v>
      </c>
    </row>
    <row r="162" spans="1:9" ht="15" x14ac:dyDescent="0.25">
      <c r="A162" s="432"/>
      <c r="B162" s="783"/>
      <c r="C162" s="783"/>
      <c r="D162" s="1120" t="s">
        <v>1189</v>
      </c>
      <c r="E162" s="1356" t="s">
        <v>0</v>
      </c>
      <c r="F162" s="873"/>
      <c r="G162" s="875">
        <v>3941</v>
      </c>
      <c r="H162" s="875">
        <v>3941</v>
      </c>
      <c r="I162" s="866">
        <f t="shared" si="9"/>
        <v>100</v>
      </c>
    </row>
    <row r="163" spans="1:9" ht="15" x14ac:dyDescent="0.25">
      <c r="A163" s="432"/>
      <c r="B163" s="783"/>
      <c r="C163" s="783"/>
      <c r="D163" s="1119" t="s">
        <v>401</v>
      </c>
      <c r="E163" s="1601" t="s">
        <v>1</v>
      </c>
      <c r="F163" s="873"/>
      <c r="G163" s="875">
        <v>504</v>
      </c>
      <c r="H163" s="875">
        <v>504</v>
      </c>
      <c r="I163" s="866">
        <f t="shared" si="9"/>
        <v>100</v>
      </c>
    </row>
    <row r="164" spans="1:9" ht="15" x14ac:dyDescent="0.25">
      <c r="A164" s="432">
        <v>1514</v>
      </c>
      <c r="B164" s="783">
        <v>3141</v>
      </c>
      <c r="C164" s="783">
        <v>5222</v>
      </c>
      <c r="D164" s="857"/>
      <c r="E164" s="680" t="s">
        <v>234</v>
      </c>
      <c r="F164" s="873"/>
      <c r="G164" s="873">
        <f>SUM(G165:G165)</f>
        <v>67</v>
      </c>
      <c r="H164" s="873">
        <f>SUM(H165:H165)</f>
        <v>67</v>
      </c>
      <c r="I164" s="874">
        <f t="shared" si="9"/>
        <v>100</v>
      </c>
    </row>
    <row r="165" spans="1:9" x14ac:dyDescent="0.2">
      <c r="A165" s="432"/>
      <c r="B165" s="783"/>
      <c r="C165" s="783"/>
      <c r="D165" s="1120" t="s">
        <v>1189</v>
      </c>
      <c r="E165" s="1356" t="s">
        <v>0</v>
      </c>
      <c r="F165" s="871"/>
      <c r="G165" s="871">
        <v>67</v>
      </c>
      <c r="H165" s="871">
        <v>67</v>
      </c>
      <c r="I165" s="866">
        <f t="shared" si="9"/>
        <v>100</v>
      </c>
    </row>
    <row r="166" spans="1:9" ht="15" x14ac:dyDescent="0.25">
      <c r="A166" s="432">
        <v>1514</v>
      </c>
      <c r="B166" s="783">
        <v>3143</v>
      </c>
      <c r="C166" s="783">
        <v>5222</v>
      </c>
      <c r="D166" s="857"/>
      <c r="E166" s="680" t="s">
        <v>234</v>
      </c>
      <c r="F166" s="873"/>
      <c r="G166" s="873">
        <f>SUM(G167:G167)</f>
        <v>142</v>
      </c>
      <c r="H166" s="873">
        <f>SUM(H167:H167)</f>
        <v>142</v>
      </c>
      <c r="I166" s="874">
        <f t="shared" si="9"/>
        <v>100</v>
      </c>
    </row>
    <row r="167" spans="1:9" ht="15" thickBot="1" x14ac:dyDescent="0.25">
      <c r="A167" s="432"/>
      <c r="B167" s="783"/>
      <c r="C167" s="783"/>
      <c r="D167" s="1120" t="s">
        <v>1189</v>
      </c>
      <c r="E167" s="1356" t="s">
        <v>0</v>
      </c>
      <c r="F167" s="871"/>
      <c r="G167" s="871">
        <v>142</v>
      </c>
      <c r="H167" s="871">
        <v>142</v>
      </c>
      <c r="I167" s="866">
        <f t="shared" si="9"/>
        <v>100</v>
      </c>
    </row>
    <row r="168" spans="1:9" ht="16.5" thickTop="1" thickBot="1" x14ac:dyDescent="0.3">
      <c r="A168" s="2685" t="s">
        <v>1162</v>
      </c>
      <c r="B168" s="2686"/>
      <c r="C168" s="2686"/>
      <c r="D168" s="2686"/>
      <c r="E168" s="2686"/>
      <c r="F168" s="862">
        <f>SUM(F156,F158)</f>
        <v>0</v>
      </c>
      <c r="G168" s="862">
        <f>SUM(G156,G158,G161,G164,G166)</f>
        <v>6766</v>
      </c>
      <c r="H168" s="862">
        <f>SUM(H156,H158,H161,H164,H166,)</f>
        <v>6766</v>
      </c>
      <c r="I168" s="863">
        <f t="shared" si="9"/>
        <v>100</v>
      </c>
    </row>
    <row r="169" spans="1:9" ht="18" customHeight="1" thickTop="1" x14ac:dyDescent="0.25">
      <c r="A169" s="369"/>
      <c r="B169" s="369"/>
      <c r="C169" s="369"/>
      <c r="D169" s="369"/>
      <c r="E169" s="369"/>
      <c r="F169" s="181"/>
      <c r="G169" s="181"/>
      <c r="H169" s="181"/>
      <c r="I169" s="210"/>
    </row>
    <row r="170" spans="1:9" ht="18" customHeight="1" x14ac:dyDescent="0.25">
      <c r="A170" s="369"/>
      <c r="B170" s="369"/>
      <c r="C170" s="369"/>
      <c r="D170" s="369"/>
      <c r="E170" s="369"/>
      <c r="F170" s="181"/>
      <c r="G170" s="181"/>
      <c r="H170" s="181"/>
      <c r="I170" s="210"/>
    </row>
    <row r="171" spans="1:9" ht="18" customHeight="1" thickBot="1" x14ac:dyDescent="0.25">
      <c r="A171" s="433" t="s">
        <v>781</v>
      </c>
      <c r="I171" s="855" t="s">
        <v>173</v>
      </c>
    </row>
    <row r="172" spans="1:9" s="107" customFormat="1" ht="12.75" thickTop="1" thickBot="1" x14ac:dyDescent="0.25">
      <c r="A172" s="633" t="s">
        <v>661</v>
      </c>
      <c r="B172" s="810" t="s">
        <v>174</v>
      </c>
      <c r="C172" s="634" t="s">
        <v>175</v>
      </c>
      <c r="D172" s="636" t="s">
        <v>744</v>
      </c>
      <c r="E172" s="636" t="s">
        <v>176</v>
      </c>
      <c r="F172" s="636" t="s">
        <v>177</v>
      </c>
      <c r="G172" s="636" t="s">
        <v>922</v>
      </c>
      <c r="H172" s="636" t="s">
        <v>923</v>
      </c>
      <c r="I172" s="856" t="s">
        <v>924</v>
      </c>
    </row>
    <row r="173" spans="1:9" s="384" customFormat="1" ht="20.25" customHeight="1" thickTop="1" thickBot="1" x14ac:dyDescent="0.25">
      <c r="A173" s="568">
        <v>1</v>
      </c>
      <c r="B173" s="569">
        <v>2</v>
      </c>
      <c r="C173" s="569">
        <v>3</v>
      </c>
      <c r="D173" s="569">
        <v>4</v>
      </c>
      <c r="E173" s="569">
        <v>5</v>
      </c>
      <c r="F173" s="543">
        <v>6</v>
      </c>
      <c r="G173" s="543">
        <v>7</v>
      </c>
      <c r="H173" s="544">
        <v>8</v>
      </c>
      <c r="I173" s="638" t="s">
        <v>801</v>
      </c>
    </row>
    <row r="174" spans="1:9" ht="15.75" thickTop="1" x14ac:dyDescent="0.25">
      <c r="A174" s="1477">
        <v>1515</v>
      </c>
      <c r="B174" s="885">
        <v>3111</v>
      </c>
      <c r="C174" s="811">
        <v>5213</v>
      </c>
      <c r="D174" s="888"/>
      <c r="E174" s="680" t="s">
        <v>1232</v>
      </c>
      <c r="F174" s="883"/>
      <c r="G174" s="883">
        <f>SUM(G175:G175)</f>
        <v>5049</v>
      </c>
      <c r="H174" s="883">
        <f>SUM(H175:H175)</f>
        <v>5049</v>
      </c>
      <c r="I174" s="887">
        <f t="shared" ref="I174:I184" si="10">(H174/G174)*100</f>
        <v>100</v>
      </c>
    </row>
    <row r="175" spans="1:9" x14ac:dyDescent="0.2">
      <c r="A175" s="432"/>
      <c r="B175" s="783"/>
      <c r="C175" s="783"/>
      <c r="D175" s="1120" t="s">
        <v>1189</v>
      </c>
      <c r="E175" s="1356" t="s">
        <v>0</v>
      </c>
      <c r="F175" s="871"/>
      <c r="G175" s="871">
        <v>5049</v>
      </c>
      <c r="H175" s="871">
        <v>5049</v>
      </c>
      <c r="I175" s="866">
        <f t="shared" si="10"/>
        <v>100</v>
      </c>
    </row>
    <row r="176" spans="1:9" ht="15" x14ac:dyDescent="0.25">
      <c r="A176" s="432">
        <v>1515</v>
      </c>
      <c r="B176" s="783">
        <v>3113</v>
      </c>
      <c r="C176" s="1468">
        <v>5213</v>
      </c>
      <c r="D176" s="867"/>
      <c r="E176" s="680" t="s">
        <v>1232</v>
      </c>
      <c r="F176" s="873"/>
      <c r="G176" s="873">
        <f>SUM(G177:G177)</f>
        <v>5078</v>
      </c>
      <c r="H176" s="873">
        <f>SUM(H177:H177)</f>
        <v>5078</v>
      </c>
      <c r="I176" s="874">
        <f t="shared" si="10"/>
        <v>100</v>
      </c>
    </row>
    <row r="177" spans="1:12" ht="15.75" customHeight="1" x14ac:dyDescent="0.2">
      <c r="A177" s="432"/>
      <c r="B177" s="783"/>
      <c r="C177" s="1468"/>
      <c r="D177" s="1120" t="s">
        <v>1189</v>
      </c>
      <c r="E177" s="1356" t="s">
        <v>0</v>
      </c>
      <c r="F177" s="871"/>
      <c r="G177" s="871">
        <v>5078</v>
      </c>
      <c r="H177" s="871">
        <v>5078</v>
      </c>
      <c r="I177" s="866">
        <f>(H177/G177)*100</f>
        <v>100</v>
      </c>
    </row>
    <row r="178" spans="1:12" ht="15.75" customHeight="1" x14ac:dyDescent="0.25">
      <c r="A178" s="432">
        <v>1515</v>
      </c>
      <c r="B178" s="783">
        <v>3141</v>
      </c>
      <c r="C178" s="783">
        <v>5213</v>
      </c>
      <c r="D178" s="857"/>
      <c r="E178" s="680" t="s">
        <v>1232</v>
      </c>
      <c r="F178" s="873"/>
      <c r="G178" s="873">
        <f>SUM(G179:G179)</f>
        <v>320</v>
      </c>
      <c r="H178" s="873">
        <f>SUM(H179:H179)</f>
        <v>320</v>
      </c>
      <c r="I178" s="874">
        <f t="shared" si="10"/>
        <v>100</v>
      </c>
    </row>
    <row r="179" spans="1:12" x14ac:dyDescent="0.2">
      <c r="A179" s="432"/>
      <c r="B179" s="783"/>
      <c r="C179" s="783"/>
      <c r="D179" s="1120" t="s">
        <v>1189</v>
      </c>
      <c r="E179" s="1356" t="s">
        <v>0</v>
      </c>
      <c r="F179" s="871"/>
      <c r="G179" s="871">
        <v>320</v>
      </c>
      <c r="H179" s="871">
        <v>320</v>
      </c>
      <c r="I179" s="866">
        <f t="shared" si="10"/>
        <v>100</v>
      </c>
    </row>
    <row r="180" spans="1:12" ht="15" x14ac:dyDescent="0.25">
      <c r="A180" s="432">
        <v>1515</v>
      </c>
      <c r="B180" s="783">
        <v>3143</v>
      </c>
      <c r="C180" s="783">
        <v>5213</v>
      </c>
      <c r="D180" s="857"/>
      <c r="E180" s="680" t="s">
        <v>1232</v>
      </c>
      <c r="F180" s="873"/>
      <c r="G180" s="873">
        <f>SUM(G181:G181)</f>
        <v>1024</v>
      </c>
      <c r="H180" s="873">
        <f>SUM(H181:H181)</f>
        <v>1024</v>
      </c>
      <c r="I180" s="874">
        <f t="shared" si="10"/>
        <v>100</v>
      </c>
    </row>
    <row r="181" spans="1:12" x14ac:dyDescent="0.2">
      <c r="A181" s="432"/>
      <c r="B181" s="783"/>
      <c r="C181" s="783"/>
      <c r="D181" s="1120" t="s">
        <v>1189</v>
      </c>
      <c r="E181" s="1356" t="s">
        <v>0</v>
      </c>
      <c r="F181" s="871"/>
      <c r="G181" s="871">
        <v>1024</v>
      </c>
      <c r="H181" s="871">
        <v>1024</v>
      </c>
      <c r="I181" s="866">
        <f t="shared" si="10"/>
        <v>100</v>
      </c>
    </row>
    <row r="182" spans="1:12" ht="15" x14ac:dyDescent="0.25">
      <c r="A182" s="432">
        <v>1515</v>
      </c>
      <c r="B182" s="783">
        <v>3421</v>
      </c>
      <c r="C182" s="681">
        <v>5213</v>
      </c>
      <c r="D182" s="857"/>
      <c r="E182" s="680" t="s">
        <v>1232</v>
      </c>
      <c r="F182" s="858"/>
      <c r="G182" s="889">
        <f>G183</f>
        <v>89</v>
      </c>
      <c r="H182" s="884">
        <f>H183</f>
        <v>89</v>
      </c>
      <c r="I182" s="876">
        <f t="shared" si="10"/>
        <v>100</v>
      </c>
    </row>
    <row r="183" spans="1:12" ht="15" thickBot="1" x14ac:dyDescent="0.25">
      <c r="A183" s="432"/>
      <c r="B183" s="681"/>
      <c r="C183" s="681"/>
      <c r="D183" s="1120" t="s">
        <v>1189</v>
      </c>
      <c r="E183" s="1356" t="s">
        <v>0</v>
      </c>
      <c r="F183" s="865"/>
      <c r="G183" s="865">
        <v>89</v>
      </c>
      <c r="H183" s="865">
        <v>89</v>
      </c>
      <c r="I183" s="861">
        <v>100</v>
      </c>
    </row>
    <row r="184" spans="1:12" ht="16.5" thickTop="1" thickBot="1" x14ac:dyDescent="0.3">
      <c r="A184" s="2685" t="s">
        <v>1162</v>
      </c>
      <c r="B184" s="2686"/>
      <c r="C184" s="2686"/>
      <c r="D184" s="2686"/>
      <c r="E184" s="2686"/>
      <c r="F184" s="862">
        <f>SUM(F174,F176)</f>
        <v>0</v>
      </c>
      <c r="G184" s="862">
        <f>SUM(G174,G176,G178,G180,G182)</f>
        <v>11560</v>
      </c>
      <c r="H184" s="862">
        <f>SUM(H174,H176,H178,H180,H182)</f>
        <v>11560</v>
      </c>
      <c r="I184" s="863">
        <f t="shared" si="10"/>
        <v>100</v>
      </c>
      <c r="K184" s="383">
        <f>SUM(G184,G168,G150,G130,G115,G103,G45,G34,G23,G12,G55,G74,G66,G85)</f>
        <v>64677</v>
      </c>
      <c r="L184" s="383">
        <f>SUM(H184,H168,H150,H130,H115,H103,H45,H34,H23,H12,H55,H74,H66,H85)</f>
        <v>64677</v>
      </c>
    </row>
    <row r="185" spans="1:12" ht="18" customHeight="1" thickTop="1" x14ac:dyDescent="0.25">
      <c r="A185" s="369"/>
      <c r="B185" s="369"/>
      <c r="C185" s="369"/>
      <c r="D185" s="369"/>
      <c r="E185" s="369"/>
      <c r="F185" s="181"/>
      <c r="G185" s="181"/>
      <c r="H185" s="181"/>
      <c r="I185" s="210"/>
      <c r="K185" s="383"/>
      <c r="L185" s="383"/>
    </row>
    <row r="186" spans="1:12" ht="18" customHeight="1" x14ac:dyDescent="0.25">
      <c r="A186" s="369"/>
      <c r="B186" s="369"/>
      <c r="C186" s="369"/>
      <c r="D186" s="369"/>
      <c r="E186" s="369"/>
      <c r="F186" s="181"/>
      <c r="G186" s="181"/>
      <c r="H186" s="181"/>
      <c r="I186" s="210"/>
      <c r="K186" s="383"/>
      <c r="L186" s="383"/>
    </row>
    <row r="187" spans="1:12" ht="13.5" customHeight="1" thickBot="1" x14ac:dyDescent="0.25">
      <c r="A187" s="433" t="s">
        <v>344</v>
      </c>
      <c r="I187" s="855" t="s">
        <v>173</v>
      </c>
    </row>
    <row r="188" spans="1:12" s="107" customFormat="1" ht="12.75" thickTop="1" thickBot="1" x14ac:dyDescent="0.25">
      <c r="A188" s="633" t="s">
        <v>661</v>
      </c>
      <c r="B188" s="810" t="s">
        <v>174</v>
      </c>
      <c r="C188" s="634" t="s">
        <v>175</v>
      </c>
      <c r="D188" s="636" t="s">
        <v>744</v>
      </c>
      <c r="E188" s="636" t="s">
        <v>176</v>
      </c>
      <c r="F188" s="636" t="s">
        <v>177</v>
      </c>
      <c r="G188" s="636" t="s">
        <v>922</v>
      </c>
      <c r="H188" s="636" t="s">
        <v>923</v>
      </c>
      <c r="I188" s="856" t="s">
        <v>924</v>
      </c>
    </row>
    <row r="189" spans="1:12" s="384" customFormat="1" ht="20.25" customHeight="1" thickTop="1" thickBot="1" x14ac:dyDescent="0.25">
      <c r="A189" s="568">
        <v>1</v>
      </c>
      <c r="B189" s="569">
        <v>2</v>
      </c>
      <c r="C189" s="569">
        <v>3</v>
      </c>
      <c r="D189" s="569">
        <v>4</v>
      </c>
      <c r="E189" s="569">
        <v>5</v>
      </c>
      <c r="F189" s="543">
        <v>6</v>
      </c>
      <c r="G189" s="543">
        <v>7</v>
      </c>
      <c r="H189" s="544">
        <v>8</v>
      </c>
      <c r="I189" s="638" t="s">
        <v>801</v>
      </c>
    </row>
    <row r="190" spans="1:12" ht="15.75" thickTop="1" x14ac:dyDescent="0.25">
      <c r="A190" s="1477">
        <v>1516</v>
      </c>
      <c r="B190" s="885">
        <v>3113</v>
      </c>
      <c r="C190" s="885">
        <v>5213</v>
      </c>
      <c r="D190" s="890"/>
      <c r="E190" s="829" t="s">
        <v>1232</v>
      </c>
      <c r="F190" s="883"/>
      <c r="G190" s="883">
        <f>SUM(G191:G192)</f>
        <v>3285</v>
      </c>
      <c r="H190" s="883">
        <f>SUM(H191:H192)</f>
        <v>3285</v>
      </c>
      <c r="I190" s="887">
        <f t="shared" ref="I190:I195" si="11">(H190/G190)*100</f>
        <v>100</v>
      </c>
    </row>
    <row r="191" spans="1:12" x14ac:dyDescent="0.2">
      <c r="A191" s="432"/>
      <c r="B191" s="783"/>
      <c r="C191" s="783"/>
      <c r="D191" s="1120" t="s">
        <v>1189</v>
      </c>
      <c r="E191" s="1356" t="s">
        <v>0</v>
      </c>
      <c r="F191" s="871"/>
      <c r="G191" s="871">
        <v>3082</v>
      </c>
      <c r="H191" s="871">
        <v>3082</v>
      </c>
      <c r="I191" s="866">
        <f t="shared" si="11"/>
        <v>100</v>
      </c>
    </row>
    <row r="192" spans="1:12" x14ac:dyDescent="0.2">
      <c r="A192" s="432"/>
      <c r="B192" s="783"/>
      <c r="C192" s="783"/>
      <c r="D192" s="1119" t="s">
        <v>401</v>
      </c>
      <c r="E192" s="1601" t="s">
        <v>1</v>
      </c>
      <c r="F192" s="871"/>
      <c r="G192" s="871">
        <v>203</v>
      </c>
      <c r="H192" s="871">
        <v>203</v>
      </c>
      <c r="I192" s="866">
        <f t="shared" si="11"/>
        <v>100</v>
      </c>
    </row>
    <row r="193" spans="1:9" ht="15" x14ac:dyDescent="0.25">
      <c r="A193" s="432">
        <v>1516</v>
      </c>
      <c r="B193" s="681">
        <v>3143</v>
      </c>
      <c r="C193" s="1467">
        <v>5213</v>
      </c>
      <c r="D193" s="867"/>
      <c r="E193" s="680" t="s">
        <v>1232</v>
      </c>
      <c r="F193" s="858"/>
      <c r="G193" s="858">
        <f>SUM(G194:G194)</f>
        <v>302</v>
      </c>
      <c r="H193" s="858">
        <f>SUM(H194:H194)</f>
        <v>302</v>
      </c>
      <c r="I193" s="859">
        <f t="shared" si="11"/>
        <v>100</v>
      </c>
    </row>
    <row r="194" spans="1:9" ht="15" thickBot="1" x14ac:dyDescent="0.25">
      <c r="A194" s="1488"/>
      <c r="B194" s="868"/>
      <c r="C194" s="868"/>
      <c r="D194" s="733" t="s">
        <v>1189</v>
      </c>
      <c r="E194" s="872" t="s">
        <v>2</v>
      </c>
      <c r="F194" s="869"/>
      <c r="G194" s="869">
        <v>302</v>
      </c>
      <c r="H194" s="869">
        <v>302</v>
      </c>
      <c r="I194" s="870">
        <f t="shared" si="11"/>
        <v>100</v>
      </c>
    </row>
    <row r="195" spans="1:9" ht="15.75" customHeight="1" thickTop="1" thickBot="1" x14ac:dyDescent="0.3">
      <c r="A195" s="2685" t="s">
        <v>1162</v>
      </c>
      <c r="B195" s="2686"/>
      <c r="C195" s="2686"/>
      <c r="D195" s="2686"/>
      <c r="E195" s="2686"/>
      <c r="F195" s="862">
        <f>SUM(F190,F193)</f>
        <v>0</v>
      </c>
      <c r="G195" s="862">
        <f>SUM(G190,G193)</f>
        <v>3587</v>
      </c>
      <c r="H195" s="862">
        <f>SUM(H190,H193,)</f>
        <v>3587</v>
      </c>
      <c r="I195" s="863">
        <f t="shared" si="11"/>
        <v>100</v>
      </c>
    </row>
    <row r="196" spans="1:9" ht="15.75" thickTop="1" x14ac:dyDescent="0.25">
      <c r="A196" s="369"/>
      <c r="B196" s="369"/>
      <c r="C196" s="369"/>
      <c r="D196" s="369"/>
      <c r="E196" s="369"/>
      <c r="F196" s="181"/>
      <c r="G196" s="181"/>
      <c r="H196" s="181"/>
      <c r="I196" s="210"/>
    </row>
    <row r="197" spans="1:9" ht="15" x14ac:dyDescent="0.25">
      <c r="A197" s="369"/>
      <c r="B197" s="369"/>
      <c r="C197" s="369"/>
      <c r="D197" s="369"/>
      <c r="E197" s="369"/>
      <c r="F197" s="181"/>
      <c r="G197" s="181"/>
      <c r="H197" s="181"/>
      <c r="I197" s="210"/>
    </row>
    <row r="198" spans="1:9" ht="15" x14ac:dyDescent="0.25">
      <c r="A198" s="369"/>
      <c r="B198" s="369"/>
      <c r="C198" s="369"/>
      <c r="D198" s="369"/>
      <c r="E198" s="369"/>
      <c r="F198" s="181"/>
      <c r="G198" s="181"/>
      <c r="H198" s="181"/>
      <c r="I198" s="210"/>
    </row>
    <row r="199" spans="1:9" ht="18" customHeight="1" thickBot="1" x14ac:dyDescent="0.25">
      <c r="A199" s="433" t="s">
        <v>514</v>
      </c>
      <c r="I199" s="855" t="s">
        <v>173</v>
      </c>
    </row>
    <row r="200" spans="1:9" s="107" customFormat="1" ht="12.75" thickTop="1" thickBot="1" x14ac:dyDescent="0.25">
      <c r="A200" s="633" t="s">
        <v>661</v>
      </c>
      <c r="B200" s="810" t="s">
        <v>174</v>
      </c>
      <c r="C200" s="634" t="s">
        <v>175</v>
      </c>
      <c r="D200" s="636" t="s">
        <v>744</v>
      </c>
      <c r="E200" s="636" t="s">
        <v>176</v>
      </c>
      <c r="F200" s="636" t="s">
        <v>177</v>
      </c>
      <c r="G200" s="636" t="s">
        <v>922</v>
      </c>
      <c r="H200" s="636" t="s">
        <v>923</v>
      </c>
      <c r="I200" s="856" t="s">
        <v>924</v>
      </c>
    </row>
    <row r="201" spans="1:9" s="384" customFormat="1" ht="20.25" customHeight="1" thickTop="1" thickBot="1" x14ac:dyDescent="0.25">
      <c r="A201" s="568">
        <v>1</v>
      </c>
      <c r="B201" s="569">
        <v>2</v>
      </c>
      <c r="C201" s="569">
        <v>3</v>
      </c>
      <c r="D201" s="569">
        <v>4</v>
      </c>
      <c r="E201" s="569">
        <v>5</v>
      </c>
      <c r="F201" s="543">
        <v>6</v>
      </c>
      <c r="G201" s="543">
        <v>7</v>
      </c>
      <c r="H201" s="544">
        <v>8</v>
      </c>
      <c r="I201" s="638" t="s">
        <v>801</v>
      </c>
    </row>
    <row r="202" spans="1:9" ht="15.75" thickTop="1" x14ac:dyDescent="0.25">
      <c r="A202" s="1477">
        <v>1517</v>
      </c>
      <c r="B202" s="885">
        <v>3112</v>
      </c>
      <c r="C202" s="885">
        <v>5221</v>
      </c>
      <c r="D202" s="890"/>
      <c r="E202" s="829" t="s">
        <v>1233</v>
      </c>
      <c r="F202" s="883"/>
      <c r="G202" s="883">
        <f>SUM(G203:G203)</f>
        <v>2780</v>
      </c>
      <c r="H202" s="883">
        <f>SUM(H203:H203)</f>
        <v>2780</v>
      </c>
      <c r="I202" s="887">
        <f t="shared" ref="I202:I212" si="12">(H202/G202)*100</f>
        <v>100</v>
      </c>
    </row>
    <row r="203" spans="1:9" x14ac:dyDescent="0.2">
      <c r="A203" s="432"/>
      <c r="B203" s="783"/>
      <c r="C203" s="783"/>
      <c r="D203" s="1120" t="s">
        <v>1189</v>
      </c>
      <c r="E203" s="872" t="s">
        <v>2</v>
      </c>
      <c r="F203" s="871"/>
      <c r="G203" s="871">
        <v>2780</v>
      </c>
      <c r="H203" s="871">
        <v>2780</v>
      </c>
      <c r="I203" s="861">
        <f t="shared" si="12"/>
        <v>100</v>
      </c>
    </row>
    <row r="204" spans="1:9" ht="15" x14ac:dyDescent="0.25">
      <c r="A204" s="432">
        <v>1517</v>
      </c>
      <c r="B204" s="783">
        <v>3114</v>
      </c>
      <c r="C204" s="1468">
        <v>5221</v>
      </c>
      <c r="D204" s="867"/>
      <c r="E204" s="680" t="s">
        <v>1233</v>
      </c>
      <c r="F204" s="873"/>
      <c r="G204" s="873">
        <f>SUM(G205:G206)</f>
        <v>17600</v>
      </c>
      <c r="H204" s="873">
        <f>SUM(H205:H206)</f>
        <v>17600</v>
      </c>
      <c r="I204" s="874">
        <f t="shared" si="12"/>
        <v>100</v>
      </c>
    </row>
    <row r="205" spans="1:9" ht="15" x14ac:dyDescent="0.25">
      <c r="A205" s="432"/>
      <c r="B205" s="783"/>
      <c r="C205" s="1468"/>
      <c r="D205" s="1120" t="s">
        <v>1189</v>
      </c>
      <c r="E205" s="872" t="s">
        <v>2</v>
      </c>
      <c r="F205" s="873"/>
      <c r="G205" s="875">
        <v>17008</v>
      </c>
      <c r="H205" s="875">
        <v>17008</v>
      </c>
      <c r="I205" s="866">
        <f>(H205/G205)*100</f>
        <v>100</v>
      </c>
    </row>
    <row r="206" spans="1:9" ht="15.75" customHeight="1" x14ac:dyDescent="0.25">
      <c r="A206" s="432"/>
      <c r="B206" s="783"/>
      <c r="C206" s="1468"/>
      <c r="D206" s="1119" t="s">
        <v>401</v>
      </c>
      <c r="E206" s="1601" t="s">
        <v>1</v>
      </c>
      <c r="F206" s="873"/>
      <c r="G206" s="875">
        <v>592</v>
      </c>
      <c r="H206" s="875">
        <v>592</v>
      </c>
      <c r="I206" s="866">
        <f t="shared" si="12"/>
        <v>100</v>
      </c>
    </row>
    <row r="207" spans="1:9" ht="15.75" customHeight="1" x14ac:dyDescent="0.25">
      <c r="A207" s="432">
        <v>1517</v>
      </c>
      <c r="B207" s="783">
        <v>3141</v>
      </c>
      <c r="C207" s="1468">
        <v>5221</v>
      </c>
      <c r="D207" s="867"/>
      <c r="E207" s="680" t="s">
        <v>1233</v>
      </c>
      <c r="F207" s="873"/>
      <c r="G207" s="873">
        <f>SUM(G208:G208)</f>
        <v>128</v>
      </c>
      <c r="H207" s="873">
        <f>SUM(H208:H208)</f>
        <v>128</v>
      </c>
      <c r="I207" s="874">
        <f>(H207/G207)*100</f>
        <v>100</v>
      </c>
    </row>
    <row r="208" spans="1:9" ht="15.75" customHeight="1" x14ac:dyDescent="0.2">
      <c r="A208" s="432"/>
      <c r="B208" s="783"/>
      <c r="C208" s="783"/>
      <c r="D208" s="1120" t="s">
        <v>1189</v>
      </c>
      <c r="E208" s="872" t="s">
        <v>2</v>
      </c>
      <c r="F208" s="871"/>
      <c r="G208" s="871">
        <v>128</v>
      </c>
      <c r="H208" s="871">
        <v>128</v>
      </c>
      <c r="I208" s="866">
        <f t="shared" si="12"/>
        <v>100</v>
      </c>
    </row>
    <row r="209" spans="1:9" ht="15.75" customHeight="1" x14ac:dyDescent="0.25">
      <c r="A209" s="432">
        <v>1517</v>
      </c>
      <c r="B209" s="783">
        <v>3143</v>
      </c>
      <c r="C209" s="783">
        <v>5221</v>
      </c>
      <c r="D209" s="554"/>
      <c r="E209" s="680" t="s">
        <v>1233</v>
      </c>
      <c r="F209" s="871"/>
      <c r="G209" s="884">
        <f>SUM(G210:G210)</f>
        <v>1274</v>
      </c>
      <c r="H209" s="884">
        <f>SUM(H210:H210)</f>
        <v>1274</v>
      </c>
      <c r="I209" s="874">
        <f>(H209/G209)*100</f>
        <v>100</v>
      </c>
    </row>
    <row r="210" spans="1:9" ht="15.75" customHeight="1" x14ac:dyDescent="0.2">
      <c r="A210" s="432"/>
      <c r="B210" s="783"/>
      <c r="C210" s="783"/>
      <c r="D210" s="1120" t="s">
        <v>1189</v>
      </c>
      <c r="E210" s="1358" t="s">
        <v>0</v>
      </c>
      <c r="F210" s="871"/>
      <c r="G210" s="871">
        <v>1274</v>
      </c>
      <c r="H210" s="871">
        <v>1274</v>
      </c>
      <c r="I210" s="866">
        <f t="shared" si="12"/>
        <v>100</v>
      </c>
    </row>
    <row r="211" spans="1:9" ht="15" x14ac:dyDescent="0.25">
      <c r="A211" s="432">
        <v>1517</v>
      </c>
      <c r="B211" s="783">
        <v>3146</v>
      </c>
      <c r="C211" s="1468">
        <v>5221</v>
      </c>
      <c r="D211" s="867"/>
      <c r="E211" s="1286" t="s">
        <v>1233</v>
      </c>
      <c r="F211" s="873"/>
      <c r="G211" s="873">
        <f>SUM(G212:G212)</f>
        <v>8383</v>
      </c>
      <c r="H211" s="873">
        <f>SUM(H212:H212)</f>
        <v>8383</v>
      </c>
      <c r="I211" s="874">
        <f t="shared" si="12"/>
        <v>100</v>
      </c>
    </row>
    <row r="212" spans="1:9" ht="15" thickBot="1" x14ac:dyDescent="0.25">
      <c r="A212" s="432"/>
      <c r="B212" s="783"/>
      <c r="C212" s="783"/>
      <c r="D212" s="1120" t="s">
        <v>1189</v>
      </c>
      <c r="E212" s="1358" t="s">
        <v>0</v>
      </c>
      <c r="F212" s="871"/>
      <c r="G212" s="871">
        <v>8383</v>
      </c>
      <c r="H212" s="871">
        <v>8383</v>
      </c>
      <c r="I212" s="866">
        <f t="shared" si="12"/>
        <v>100</v>
      </c>
    </row>
    <row r="213" spans="1:9" ht="16.5" thickTop="1" thickBot="1" x14ac:dyDescent="0.3">
      <c r="A213" s="2685" t="s">
        <v>1162</v>
      </c>
      <c r="B213" s="2686"/>
      <c r="C213" s="2686"/>
      <c r="D213" s="2686"/>
      <c r="E213" s="2686"/>
      <c r="F213" s="862">
        <f>SUM(F202,F204)</f>
        <v>0</v>
      </c>
      <c r="G213" s="862">
        <f>SUM(G202,G204,G207,G211,G209)</f>
        <v>30165</v>
      </c>
      <c r="H213" s="862">
        <f>SUM(H202,H204,H207,H211,H209)</f>
        <v>30165</v>
      </c>
      <c r="I213" s="863">
        <f>(H213/G213)*100</f>
        <v>100</v>
      </c>
    </row>
    <row r="214" spans="1:9" ht="15.75" customHeight="1" thickTop="1" x14ac:dyDescent="0.2"/>
    <row r="215" spans="1:9" ht="15.75" customHeight="1" x14ac:dyDescent="0.2"/>
    <row r="216" spans="1:9" ht="18" customHeight="1" thickBot="1" x14ac:dyDescent="0.25">
      <c r="A216" s="433" t="s">
        <v>515</v>
      </c>
      <c r="I216" s="855" t="s">
        <v>173</v>
      </c>
    </row>
    <row r="217" spans="1:9" s="107" customFormat="1" ht="12.75" customHeight="1" thickTop="1" thickBot="1" x14ac:dyDescent="0.25">
      <c r="A217" s="633" t="s">
        <v>661</v>
      </c>
      <c r="B217" s="810" t="s">
        <v>174</v>
      </c>
      <c r="C217" s="634" t="s">
        <v>175</v>
      </c>
      <c r="D217" s="636" t="s">
        <v>744</v>
      </c>
      <c r="E217" s="636" t="s">
        <v>176</v>
      </c>
      <c r="F217" s="636" t="s">
        <v>177</v>
      </c>
      <c r="G217" s="636" t="s">
        <v>922</v>
      </c>
      <c r="H217" s="636" t="s">
        <v>923</v>
      </c>
      <c r="I217" s="856" t="s">
        <v>924</v>
      </c>
    </row>
    <row r="218" spans="1:9" s="384" customFormat="1" ht="12.75" customHeight="1" thickTop="1" thickBot="1" x14ac:dyDescent="0.25">
      <c r="A218" s="568">
        <v>1</v>
      </c>
      <c r="B218" s="569">
        <v>2</v>
      </c>
      <c r="C218" s="569">
        <v>3</v>
      </c>
      <c r="D218" s="569">
        <v>4</v>
      </c>
      <c r="E218" s="569">
        <v>5</v>
      </c>
      <c r="F218" s="543">
        <v>6</v>
      </c>
      <c r="G218" s="543">
        <v>7</v>
      </c>
      <c r="H218" s="544">
        <v>8</v>
      </c>
      <c r="I218" s="638" t="s">
        <v>801</v>
      </c>
    </row>
    <row r="219" spans="1:9" ht="15.75" thickTop="1" x14ac:dyDescent="0.25">
      <c r="A219" s="1477">
        <v>1518</v>
      </c>
      <c r="B219" s="885">
        <v>3114</v>
      </c>
      <c r="C219" s="885">
        <v>5221</v>
      </c>
      <c r="D219" s="890"/>
      <c r="E219" s="829" t="s">
        <v>1233</v>
      </c>
      <c r="F219" s="883"/>
      <c r="G219" s="883">
        <f>SUM(G220:G221)</f>
        <v>6513</v>
      </c>
      <c r="H219" s="883">
        <f>SUM(H220:H221)</f>
        <v>6513</v>
      </c>
      <c r="I219" s="887">
        <f t="shared" ref="I219:I231" si="13">(H219/G219)*100</f>
        <v>100</v>
      </c>
    </row>
    <row r="220" spans="1:9" ht="20.25" customHeight="1" x14ac:dyDescent="0.25">
      <c r="A220" s="432"/>
      <c r="B220" s="783"/>
      <c r="C220" s="783"/>
      <c r="D220" s="1120" t="s">
        <v>1189</v>
      </c>
      <c r="E220" s="1356" t="s">
        <v>0</v>
      </c>
      <c r="F220" s="873"/>
      <c r="G220" s="875">
        <v>5971</v>
      </c>
      <c r="H220" s="875">
        <v>5971</v>
      </c>
      <c r="I220" s="861">
        <f>(H220/G220)*100</f>
        <v>100</v>
      </c>
    </row>
    <row r="221" spans="1:9" ht="15" x14ac:dyDescent="0.25">
      <c r="A221" s="432"/>
      <c r="B221" s="783"/>
      <c r="C221" s="783"/>
      <c r="D221" s="1119" t="s">
        <v>401</v>
      </c>
      <c r="E221" s="1601" t="s">
        <v>1</v>
      </c>
      <c r="F221" s="873"/>
      <c r="G221" s="875">
        <v>542</v>
      </c>
      <c r="H221" s="875">
        <v>542</v>
      </c>
      <c r="I221" s="866">
        <f>(H221/G221)*100</f>
        <v>100</v>
      </c>
    </row>
    <row r="222" spans="1:9" ht="15" x14ac:dyDescent="0.25">
      <c r="A222" s="432">
        <v>1518</v>
      </c>
      <c r="B222" s="783">
        <v>3124</v>
      </c>
      <c r="C222" s="1468">
        <v>5221</v>
      </c>
      <c r="D222" s="867"/>
      <c r="E222" s="680" t="s">
        <v>1233</v>
      </c>
      <c r="F222" s="873"/>
      <c r="G222" s="873">
        <f>SUM(G223:G224)</f>
        <v>1197</v>
      </c>
      <c r="H222" s="873">
        <f>SUM(H223:H224)</f>
        <v>1197</v>
      </c>
      <c r="I222" s="874">
        <f t="shared" si="13"/>
        <v>100</v>
      </c>
    </row>
    <row r="223" spans="1:9" x14ac:dyDescent="0.2">
      <c r="A223" s="432"/>
      <c r="B223" s="783"/>
      <c r="C223" s="783"/>
      <c r="D223" s="1120" t="s">
        <v>1189</v>
      </c>
      <c r="E223" s="1356" t="s">
        <v>0</v>
      </c>
      <c r="F223" s="871"/>
      <c r="G223" s="871">
        <v>1169</v>
      </c>
      <c r="H223" s="871">
        <v>1169</v>
      </c>
      <c r="I223" s="866">
        <f t="shared" si="13"/>
        <v>100</v>
      </c>
    </row>
    <row r="224" spans="1:9" x14ac:dyDescent="0.2">
      <c r="A224" s="432"/>
      <c r="B224" s="783"/>
      <c r="C224" s="783"/>
      <c r="D224" s="1119" t="s">
        <v>401</v>
      </c>
      <c r="E224" s="1601" t="s">
        <v>1</v>
      </c>
      <c r="F224" s="871"/>
      <c r="G224" s="871">
        <v>28</v>
      </c>
      <c r="H224" s="871">
        <v>28</v>
      </c>
      <c r="I224" s="866">
        <f t="shared" si="13"/>
        <v>100</v>
      </c>
    </row>
    <row r="225" spans="1:9" ht="15" customHeight="1" x14ac:dyDescent="0.25">
      <c r="A225" s="432">
        <v>1518</v>
      </c>
      <c r="B225" s="783">
        <v>3141</v>
      </c>
      <c r="C225" s="783">
        <v>5221</v>
      </c>
      <c r="D225" s="1120"/>
      <c r="E225" s="680" t="s">
        <v>1233</v>
      </c>
      <c r="F225" s="871"/>
      <c r="G225" s="884">
        <v>125</v>
      </c>
      <c r="H225" s="884">
        <v>125</v>
      </c>
      <c r="I225" s="876">
        <f t="shared" si="13"/>
        <v>100</v>
      </c>
    </row>
    <row r="226" spans="1:9" x14ac:dyDescent="0.2">
      <c r="A226" s="432"/>
      <c r="B226" s="783"/>
      <c r="C226" s="783"/>
      <c r="D226" s="1120" t="s">
        <v>1189</v>
      </c>
      <c r="E226" s="1356" t="s">
        <v>0</v>
      </c>
      <c r="F226" s="871"/>
      <c r="G226" s="871">
        <v>125</v>
      </c>
      <c r="H226" s="871">
        <v>125</v>
      </c>
      <c r="I226" s="866">
        <f t="shared" si="13"/>
        <v>100</v>
      </c>
    </row>
    <row r="227" spans="1:9" ht="15.75" customHeight="1" x14ac:dyDescent="0.25">
      <c r="A227" s="432">
        <v>1518</v>
      </c>
      <c r="B227" s="783">
        <v>3142</v>
      </c>
      <c r="C227" s="783">
        <v>5221</v>
      </c>
      <c r="D227" s="1120"/>
      <c r="E227" s="680" t="s">
        <v>1233</v>
      </c>
      <c r="F227" s="871"/>
      <c r="G227" s="884">
        <v>36</v>
      </c>
      <c r="H227" s="884">
        <v>36</v>
      </c>
      <c r="I227" s="876">
        <f t="shared" si="13"/>
        <v>100</v>
      </c>
    </row>
    <row r="228" spans="1:9" x14ac:dyDescent="0.2">
      <c r="A228" s="432"/>
      <c r="B228" s="783"/>
      <c r="C228" s="783"/>
      <c r="D228" s="1120" t="s">
        <v>1189</v>
      </c>
      <c r="E228" s="1356" t="s">
        <v>0</v>
      </c>
      <c r="F228" s="871"/>
      <c r="G228" s="871">
        <v>36</v>
      </c>
      <c r="H228" s="871">
        <v>36</v>
      </c>
      <c r="I228" s="866">
        <f t="shared" si="13"/>
        <v>100</v>
      </c>
    </row>
    <row r="229" spans="1:9" ht="15.75" customHeight="1" x14ac:dyDescent="0.25">
      <c r="A229" s="432">
        <v>1518</v>
      </c>
      <c r="B229" s="681">
        <v>3143</v>
      </c>
      <c r="C229" s="1467">
        <v>5221</v>
      </c>
      <c r="D229" s="867"/>
      <c r="E229" s="680" t="s">
        <v>1233</v>
      </c>
      <c r="F229" s="858"/>
      <c r="G229" s="858">
        <v>347</v>
      </c>
      <c r="H229" s="858">
        <v>347</v>
      </c>
      <c r="I229" s="859">
        <f t="shared" si="13"/>
        <v>100</v>
      </c>
    </row>
    <row r="230" spans="1:9" ht="15" thickBot="1" x14ac:dyDescent="0.25">
      <c r="A230" s="1488"/>
      <c r="B230" s="868"/>
      <c r="C230" s="868"/>
      <c r="D230" s="1120" t="s">
        <v>1189</v>
      </c>
      <c r="E230" s="1356" t="s">
        <v>0</v>
      </c>
      <c r="F230" s="869"/>
      <c r="G230" s="869">
        <v>347</v>
      </c>
      <c r="H230" s="869">
        <v>347</v>
      </c>
      <c r="I230" s="870">
        <f t="shared" si="13"/>
        <v>100</v>
      </c>
    </row>
    <row r="231" spans="1:9" ht="18" customHeight="1" thickTop="1" thickBot="1" x14ac:dyDescent="0.3">
      <c r="A231" s="2685" t="s">
        <v>1162</v>
      </c>
      <c r="B231" s="2686"/>
      <c r="C231" s="2686"/>
      <c r="D231" s="2686"/>
      <c r="E231" s="2686"/>
      <c r="F231" s="862">
        <f>SUM(F219,F222)</f>
        <v>0</v>
      </c>
      <c r="G231" s="862">
        <f>SUM(G219,G222,G229,G225,G227)</f>
        <v>8218</v>
      </c>
      <c r="H231" s="862">
        <f>SUM(H219,H222,H229,H225,H227)</f>
        <v>8218</v>
      </c>
      <c r="I231" s="863">
        <f t="shared" si="13"/>
        <v>100</v>
      </c>
    </row>
    <row r="232" spans="1:9" ht="18" customHeight="1" thickTop="1" x14ac:dyDescent="0.25">
      <c r="A232" s="369"/>
      <c r="B232" s="369"/>
      <c r="C232" s="369"/>
      <c r="D232" s="369"/>
      <c r="E232" s="369"/>
      <c r="F232" s="181"/>
      <c r="G232" s="181"/>
      <c r="H232" s="181"/>
      <c r="I232" s="210"/>
    </row>
    <row r="233" spans="1:9" ht="18" customHeight="1" x14ac:dyDescent="0.25">
      <c r="A233" s="369"/>
      <c r="B233" s="369"/>
      <c r="C233" s="369"/>
      <c r="D233" s="369"/>
      <c r="E233" s="369"/>
      <c r="F233" s="181"/>
      <c r="G233" s="181"/>
      <c r="H233" s="181"/>
      <c r="I233" s="210"/>
    </row>
    <row r="234" spans="1:9" ht="15" thickBot="1" x14ac:dyDescent="0.25">
      <c r="A234" s="433" t="s">
        <v>1279</v>
      </c>
      <c r="I234" s="855" t="s">
        <v>173</v>
      </c>
    </row>
    <row r="235" spans="1:9" s="107" customFormat="1" ht="20.25" customHeight="1" thickTop="1" thickBot="1" x14ac:dyDescent="0.25">
      <c r="A235" s="633" t="s">
        <v>661</v>
      </c>
      <c r="B235" s="810" t="s">
        <v>174</v>
      </c>
      <c r="C235" s="634" t="s">
        <v>175</v>
      </c>
      <c r="D235" s="636" t="s">
        <v>744</v>
      </c>
      <c r="E235" s="636" t="s">
        <v>176</v>
      </c>
      <c r="F235" s="636" t="s">
        <v>177</v>
      </c>
      <c r="G235" s="636" t="s">
        <v>922</v>
      </c>
      <c r="H235" s="636" t="s">
        <v>923</v>
      </c>
      <c r="I235" s="856" t="s">
        <v>924</v>
      </c>
    </row>
    <row r="236" spans="1:9" s="384" customFormat="1" ht="13.5" thickTop="1" thickBot="1" x14ac:dyDescent="0.25">
      <c r="A236" s="568">
        <v>1</v>
      </c>
      <c r="B236" s="569">
        <v>2</v>
      </c>
      <c r="C236" s="569">
        <v>3</v>
      </c>
      <c r="D236" s="569">
        <v>4</v>
      </c>
      <c r="E236" s="569">
        <v>5</v>
      </c>
      <c r="F236" s="543">
        <v>6</v>
      </c>
      <c r="G236" s="543">
        <v>7</v>
      </c>
      <c r="H236" s="544">
        <v>8</v>
      </c>
      <c r="I236" s="638" t="s">
        <v>801</v>
      </c>
    </row>
    <row r="237" spans="1:9" ht="15.75" thickTop="1" x14ac:dyDescent="0.25">
      <c r="A237" s="1477">
        <v>1519</v>
      </c>
      <c r="B237" s="885">
        <v>3111</v>
      </c>
      <c r="C237" s="885">
        <v>5213</v>
      </c>
      <c r="D237" s="890"/>
      <c r="E237" s="829" t="s">
        <v>1232</v>
      </c>
      <c r="F237" s="883"/>
      <c r="G237" s="883">
        <f>SUM(G238:G239)</f>
        <v>1837</v>
      </c>
      <c r="H237" s="883">
        <f>SUM(H238:H239)</f>
        <v>1837</v>
      </c>
      <c r="I237" s="887">
        <f t="shared" ref="I237:I249" si="14">(H237/G237)*100</f>
        <v>100</v>
      </c>
    </row>
    <row r="238" spans="1:9" x14ac:dyDescent="0.2">
      <c r="A238" s="432"/>
      <c r="B238" s="783"/>
      <c r="C238" s="783"/>
      <c r="D238" s="1120" t="s">
        <v>1189</v>
      </c>
      <c r="E238" s="1356" t="s">
        <v>0</v>
      </c>
      <c r="F238" s="871"/>
      <c r="G238" s="871">
        <v>1711</v>
      </c>
      <c r="H238" s="871">
        <v>1711</v>
      </c>
      <c r="I238" s="866">
        <f t="shared" si="14"/>
        <v>100</v>
      </c>
    </row>
    <row r="239" spans="1:9" x14ac:dyDescent="0.2">
      <c r="A239" s="432"/>
      <c r="B239" s="783"/>
      <c r="C239" s="783"/>
      <c r="D239" s="1119" t="s">
        <v>401</v>
      </c>
      <c r="E239" s="1601" t="s">
        <v>1</v>
      </c>
      <c r="F239" s="871"/>
      <c r="G239" s="871">
        <v>126</v>
      </c>
      <c r="H239" s="871">
        <v>126</v>
      </c>
      <c r="I239" s="866">
        <f t="shared" si="14"/>
        <v>100</v>
      </c>
    </row>
    <row r="240" spans="1:9" ht="15.75" customHeight="1" x14ac:dyDescent="0.25">
      <c r="A240" s="432">
        <v>1519</v>
      </c>
      <c r="B240" s="681">
        <v>3113</v>
      </c>
      <c r="C240" s="1467">
        <v>5213</v>
      </c>
      <c r="D240" s="867"/>
      <c r="E240" s="680" t="s">
        <v>1232</v>
      </c>
      <c r="F240" s="858"/>
      <c r="G240" s="858">
        <f>SUM(G241:G243)</f>
        <v>5516</v>
      </c>
      <c r="H240" s="858">
        <f>SUM(H241:H243)</f>
        <v>5516</v>
      </c>
      <c r="I240" s="859">
        <f t="shared" si="14"/>
        <v>100</v>
      </c>
    </row>
    <row r="241" spans="1:9" ht="15.75" customHeight="1" x14ac:dyDescent="0.2">
      <c r="A241" s="432"/>
      <c r="B241" s="681"/>
      <c r="C241" s="681"/>
      <c r="D241" s="554" t="s">
        <v>1189</v>
      </c>
      <c r="E241" s="1356" t="s">
        <v>0</v>
      </c>
      <c r="F241" s="865"/>
      <c r="G241" s="865">
        <v>4967</v>
      </c>
      <c r="H241" s="865">
        <v>4967</v>
      </c>
      <c r="I241" s="861">
        <f t="shared" si="14"/>
        <v>100</v>
      </c>
    </row>
    <row r="242" spans="1:9" ht="15.75" customHeight="1" x14ac:dyDescent="0.2">
      <c r="A242" s="432"/>
      <c r="B242" s="681"/>
      <c r="C242" s="681"/>
      <c r="D242" s="1119" t="s">
        <v>401</v>
      </c>
      <c r="E242" s="1601" t="s">
        <v>1</v>
      </c>
      <c r="F242" s="865"/>
      <c r="G242" s="865">
        <v>452</v>
      </c>
      <c r="H242" s="865">
        <v>452</v>
      </c>
      <c r="I242" s="861">
        <f t="shared" si="14"/>
        <v>100</v>
      </c>
    </row>
    <row r="243" spans="1:9" ht="12.75" customHeight="1" x14ac:dyDescent="0.2">
      <c r="A243" s="432"/>
      <c r="B243" s="681"/>
      <c r="C243" s="681"/>
      <c r="D243" s="1391" t="s">
        <v>839</v>
      </c>
      <c r="E243" s="2676" t="s">
        <v>974</v>
      </c>
      <c r="F243" s="865"/>
      <c r="G243" s="865">
        <v>97</v>
      </c>
      <c r="H243" s="865">
        <v>97</v>
      </c>
      <c r="I243" s="861">
        <f t="shared" si="14"/>
        <v>100</v>
      </c>
    </row>
    <row r="244" spans="1:9" ht="12.75" customHeight="1" x14ac:dyDescent="0.2">
      <c r="A244" s="432"/>
      <c r="B244" s="681"/>
      <c r="C244" s="681"/>
      <c r="D244" s="554"/>
      <c r="E244" s="2674"/>
      <c r="F244" s="865"/>
      <c r="G244" s="865"/>
      <c r="H244" s="865"/>
      <c r="I244" s="861"/>
    </row>
    <row r="245" spans="1:9" ht="15" x14ac:dyDescent="0.25">
      <c r="A245" s="432">
        <v>1519</v>
      </c>
      <c r="B245" s="681">
        <v>3141</v>
      </c>
      <c r="C245" s="681">
        <v>5213</v>
      </c>
      <c r="D245" s="1119"/>
      <c r="E245" s="680" t="s">
        <v>1232</v>
      </c>
      <c r="F245" s="865"/>
      <c r="G245" s="889">
        <v>85</v>
      </c>
      <c r="H245" s="889">
        <v>85</v>
      </c>
      <c r="I245" s="891">
        <f t="shared" si="14"/>
        <v>100</v>
      </c>
    </row>
    <row r="246" spans="1:9" x14ac:dyDescent="0.2">
      <c r="A246" s="432"/>
      <c r="B246" s="681"/>
      <c r="C246" s="681"/>
      <c r="D246" s="554" t="s">
        <v>1189</v>
      </c>
      <c r="E246" s="1356" t="s">
        <v>0</v>
      </c>
      <c r="F246" s="865"/>
      <c r="G246" s="865">
        <v>85</v>
      </c>
      <c r="H246" s="865">
        <v>85</v>
      </c>
      <c r="I246" s="861">
        <f t="shared" si="14"/>
        <v>100</v>
      </c>
    </row>
    <row r="247" spans="1:9" ht="15" x14ac:dyDescent="0.25">
      <c r="A247" s="432">
        <v>1519</v>
      </c>
      <c r="B247" s="681">
        <v>3143</v>
      </c>
      <c r="C247" s="681">
        <v>5213</v>
      </c>
      <c r="D247" s="554"/>
      <c r="E247" s="680" t="s">
        <v>1232</v>
      </c>
      <c r="F247" s="865"/>
      <c r="G247" s="889">
        <f>G248</f>
        <v>673</v>
      </c>
      <c r="H247" s="889">
        <f>H248</f>
        <v>673</v>
      </c>
      <c r="I247" s="859">
        <f t="shared" si="14"/>
        <v>100</v>
      </c>
    </row>
    <row r="248" spans="1:9" ht="15" thickBot="1" x14ac:dyDescent="0.25">
      <c r="A248" s="432"/>
      <c r="B248" s="681"/>
      <c r="C248" s="681"/>
      <c r="D248" s="1120" t="s">
        <v>1189</v>
      </c>
      <c r="E248" s="1356" t="s">
        <v>0</v>
      </c>
      <c r="F248" s="865"/>
      <c r="G248" s="865">
        <v>673</v>
      </c>
      <c r="H248" s="865">
        <v>673</v>
      </c>
      <c r="I248" s="866">
        <f t="shared" si="14"/>
        <v>100</v>
      </c>
    </row>
    <row r="249" spans="1:9" ht="18" customHeight="1" thickTop="1" thickBot="1" x14ac:dyDescent="0.3">
      <c r="A249" s="2685" t="s">
        <v>1162</v>
      </c>
      <c r="B249" s="2686"/>
      <c r="C249" s="2686"/>
      <c r="D249" s="2686"/>
      <c r="E249" s="2686"/>
      <c r="F249" s="862">
        <f>SUM(F237,F240)</f>
        <v>0</v>
      </c>
      <c r="G249" s="862">
        <f>SUM(G237,G240,G247,G245)</f>
        <v>8111</v>
      </c>
      <c r="H249" s="862">
        <f>SUM(H237,H240,H247,H245)</f>
        <v>8111</v>
      </c>
      <c r="I249" s="863">
        <f t="shared" si="14"/>
        <v>100</v>
      </c>
    </row>
    <row r="250" spans="1:9" ht="18" customHeight="1" thickTop="1" x14ac:dyDescent="0.25">
      <c r="A250" s="369"/>
      <c r="B250" s="369"/>
      <c r="C250" s="369"/>
      <c r="D250" s="369"/>
      <c r="E250" s="369"/>
      <c r="F250" s="181"/>
      <c r="G250" s="181"/>
      <c r="H250" s="181"/>
      <c r="I250" s="210"/>
    </row>
    <row r="251" spans="1:9" ht="18" customHeight="1" x14ac:dyDescent="0.25">
      <c r="A251" s="369"/>
      <c r="B251" s="369"/>
      <c r="C251" s="369"/>
      <c r="D251" s="369"/>
      <c r="E251" s="369"/>
      <c r="F251" s="181"/>
      <c r="G251" s="181"/>
      <c r="H251" s="181"/>
      <c r="I251" s="210"/>
    </row>
    <row r="252" spans="1:9" ht="20.25" customHeight="1" thickBot="1" x14ac:dyDescent="0.25">
      <c r="A252" s="433" t="s">
        <v>1726</v>
      </c>
      <c r="I252" s="855" t="s">
        <v>173</v>
      </c>
    </row>
    <row r="253" spans="1:9" s="107" customFormat="1" ht="12.75" thickTop="1" thickBot="1" x14ac:dyDescent="0.25">
      <c r="A253" s="633" t="s">
        <v>661</v>
      </c>
      <c r="B253" s="810" t="s">
        <v>174</v>
      </c>
      <c r="C253" s="634" t="s">
        <v>175</v>
      </c>
      <c r="D253" s="636" t="s">
        <v>744</v>
      </c>
      <c r="E253" s="636" t="s">
        <v>176</v>
      </c>
      <c r="F253" s="636" t="s">
        <v>177</v>
      </c>
      <c r="G253" s="636" t="s">
        <v>922</v>
      </c>
      <c r="H253" s="636" t="s">
        <v>923</v>
      </c>
      <c r="I253" s="856" t="s">
        <v>924</v>
      </c>
    </row>
    <row r="254" spans="1:9" s="384" customFormat="1" ht="13.5" thickTop="1" thickBot="1" x14ac:dyDescent="0.25">
      <c r="A254" s="568">
        <v>1</v>
      </c>
      <c r="B254" s="569">
        <v>2</v>
      </c>
      <c r="C254" s="569">
        <v>3</v>
      </c>
      <c r="D254" s="569">
        <v>4</v>
      </c>
      <c r="E254" s="569">
        <v>5</v>
      </c>
      <c r="F254" s="543">
        <v>6</v>
      </c>
      <c r="G254" s="543">
        <v>7</v>
      </c>
      <c r="H254" s="544">
        <v>8</v>
      </c>
      <c r="I254" s="638" t="s">
        <v>801</v>
      </c>
    </row>
    <row r="255" spans="1:9" ht="15" customHeight="1" thickTop="1" x14ac:dyDescent="0.25">
      <c r="A255" s="1477">
        <v>1520</v>
      </c>
      <c r="B255" s="885">
        <v>3111</v>
      </c>
      <c r="C255" s="885">
        <v>5213</v>
      </c>
      <c r="D255" s="890"/>
      <c r="E255" s="829" t="s">
        <v>1232</v>
      </c>
      <c r="F255" s="883"/>
      <c r="G255" s="883">
        <f>SUM(G256:G256)</f>
        <v>868</v>
      </c>
      <c r="H255" s="883">
        <f>SUM(H256:H256)</f>
        <v>868</v>
      </c>
      <c r="I255" s="887">
        <f t="shared" ref="I255:I261" si="15">(H255/G255)*100</f>
        <v>100</v>
      </c>
    </row>
    <row r="256" spans="1:9" x14ac:dyDescent="0.2">
      <c r="A256" s="432"/>
      <c r="B256" s="783"/>
      <c r="C256" s="783"/>
      <c r="D256" s="1120" t="s">
        <v>1189</v>
      </c>
      <c r="E256" s="1356" t="s">
        <v>0</v>
      </c>
      <c r="F256" s="871"/>
      <c r="G256" s="871">
        <v>868</v>
      </c>
      <c r="H256" s="871">
        <v>868</v>
      </c>
      <c r="I256" s="866">
        <f t="shared" si="15"/>
        <v>100</v>
      </c>
    </row>
    <row r="257" spans="1:9" ht="14.25" customHeight="1" x14ac:dyDescent="0.25">
      <c r="A257" s="432">
        <v>1520</v>
      </c>
      <c r="B257" s="681">
        <v>3141</v>
      </c>
      <c r="C257" s="1467">
        <v>5213</v>
      </c>
      <c r="D257" s="867"/>
      <c r="E257" s="680" t="s">
        <v>1232</v>
      </c>
      <c r="F257" s="858"/>
      <c r="G257" s="858">
        <f>SUM(G258:G258)</f>
        <v>41</v>
      </c>
      <c r="H257" s="858">
        <f>SUM(H258:H258)</f>
        <v>41</v>
      </c>
      <c r="I257" s="859">
        <f t="shared" si="15"/>
        <v>100</v>
      </c>
    </row>
    <row r="258" spans="1:9" ht="18" customHeight="1" x14ac:dyDescent="0.2">
      <c r="A258" s="432"/>
      <c r="B258" s="681"/>
      <c r="C258" s="681"/>
      <c r="D258" s="554" t="s">
        <v>1189</v>
      </c>
      <c r="E258" s="1356" t="s">
        <v>0</v>
      </c>
      <c r="F258" s="865"/>
      <c r="G258" s="865">
        <v>41</v>
      </c>
      <c r="H258" s="865">
        <v>41</v>
      </c>
      <c r="I258" s="861">
        <f t="shared" si="15"/>
        <v>100</v>
      </c>
    </row>
    <row r="259" spans="1:9" ht="18" customHeight="1" x14ac:dyDescent="0.25">
      <c r="A259" s="432">
        <v>1520</v>
      </c>
      <c r="B259" s="681">
        <v>3429</v>
      </c>
      <c r="C259" s="681">
        <v>5213</v>
      </c>
      <c r="D259" s="554"/>
      <c r="E259" s="680" t="s">
        <v>1232</v>
      </c>
      <c r="F259" s="865"/>
      <c r="G259" s="889">
        <v>5</v>
      </c>
      <c r="H259" s="889">
        <v>5</v>
      </c>
      <c r="I259" s="859">
        <f t="shared" si="15"/>
        <v>100</v>
      </c>
    </row>
    <row r="260" spans="1:9" ht="18" customHeight="1" thickBot="1" x14ac:dyDescent="0.25">
      <c r="A260" s="432"/>
      <c r="B260" s="681"/>
      <c r="C260" s="681"/>
      <c r="D260" s="1135" t="s">
        <v>1262</v>
      </c>
      <c r="E260" s="1727" t="s">
        <v>1757</v>
      </c>
      <c r="F260" s="865"/>
      <c r="G260" s="865">
        <v>5</v>
      </c>
      <c r="H260" s="865">
        <v>5</v>
      </c>
      <c r="I260" s="861">
        <f t="shared" si="15"/>
        <v>100</v>
      </c>
    </row>
    <row r="261" spans="1:9" ht="16.5" thickTop="1" thickBot="1" x14ac:dyDescent="0.3">
      <c r="A261" s="2685" t="s">
        <v>1162</v>
      </c>
      <c r="B261" s="2686"/>
      <c r="C261" s="2686"/>
      <c r="D261" s="2686"/>
      <c r="E261" s="2686"/>
      <c r="F261" s="862">
        <f>SUM(F255,F257)</f>
        <v>0</v>
      </c>
      <c r="G261" s="862">
        <f>G255+G257+G259</f>
        <v>914</v>
      </c>
      <c r="H261" s="862">
        <f>H255+H257+H259</f>
        <v>914</v>
      </c>
      <c r="I261" s="863">
        <f t="shared" si="15"/>
        <v>100</v>
      </c>
    </row>
    <row r="262" spans="1:9" ht="15.75" thickTop="1" x14ac:dyDescent="0.25">
      <c r="A262" s="369"/>
      <c r="B262" s="369"/>
      <c r="C262" s="369"/>
      <c r="D262" s="369"/>
      <c r="E262" s="369"/>
      <c r="F262" s="181"/>
      <c r="G262" s="181"/>
      <c r="H262" s="181"/>
      <c r="I262" s="210"/>
    </row>
    <row r="263" spans="1:9" ht="15" x14ac:dyDescent="0.25">
      <c r="A263" s="369"/>
      <c r="B263" s="369"/>
      <c r="C263" s="369"/>
      <c r="D263" s="369"/>
      <c r="E263" s="369"/>
      <c r="F263" s="181"/>
      <c r="G263" s="181"/>
      <c r="H263" s="181"/>
      <c r="I263" s="210"/>
    </row>
    <row r="264" spans="1:9" ht="15" thickBot="1" x14ac:dyDescent="0.25">
      <c r="A264" s="433" t="s">
        <v>517</v>
      </c>
      <c r="I264" s="855" t="s">
        <v>173</v>
      </c>
    </row>
    <row r="265" spans="1:9" s="107" customFormat="1" ht="12.75" thickTop="1" thickBot="1" x14ac:dyDescent="0.25">
      <c r="A265" s="633" t="s">
        <v>661</v>
      </c>
      <c r="B265" s="810" t="s">
        <v>174</v>
      </c>
      <c r="C265" s="634" t="s">
        <v>175</v>
      </c>
      <c r="D265" s="636" t="s">
        <v>744</v>
      </c>
      <c r="E265" s="636" t="s">
        <v>176</v>
      </c>
      <c r="F265" s="636" t="s">
        <v>177</v>
      </c>
      <c r="G265" s="636" t="s">
        <v>922</v>
      </c>
      <c r="H265" s="636" t="s">
        <v>923</v>
      </c>
      <c r="I265" s="856" t="s">
        <v>924</v>
      </c>
    </row>
    <row r="266" spans="1:9" s="384" customFormat="1" ht="18" customHeight="1" thickTop="1" thickBot="1" x14ac:dyDescent="0.25">
      <c r="A266" s="568">
        <v>1</v>
      </c>
      <c r="B266" s="569">
        <v>2</v>
      </c>
      <c r="C266" s="569">
        <v>3</v>
      </c>
      <c r="D266" s="569">
        <v>4</v>
      </c>
      <c r="E266" s="569">
        <v>5</v>
      </c>
      <c r="F266" s="543">
        <v>6</v>
      </c>
      <c r="G266" s="543">
        <v>7</v>
      </c>
      <c r="H266" s="544">
        <v>8</v>
      </c>
      <c r="I266" s="638" t="s">
        <v>801</v>
      </c>
    </row>
    <row r="267" spans="1:9" ht="15.75" thickTop="1" x14ac:dyDescent="0.25">
      <c r="A267" s="1477">
        <v>1532</v>
      </c>
      <c r="B267" s="885">
        <v>3122</v>
      </c>
      <c r="C267" s="885">
        <v>5213</v>
      </c>
      <c r="D267" s="890"/>
      <c r="E267" s="829" t="s">
        <v>1232</v>
      </c>
      <c r="F267" s="883"/>
      <c r="G267" s="883">
        <f>SUM(G268:G270)</f>
        <v>3690</v>
      </c>
      <c r="H267" s="883">
        <f>SUM(H268:H270)</f>
        <v>3690</v>
      </c>
      <c r="I267" s="887">
        <f>(H267/G267)*100</f>
        <v>100</v>
      </c>
    </row>
    <row r="268" spans="1:9" ht="15" x14ac:dyDescent="0.25">
      <c r="A268" s="432"/>
      <c r="B268" s="681"/>
      <c r="C268" s="681"/>
      <c r="D268" s="2671" t="s">
        <v>1510</v>
      </c>
      <c r="E268" s="2701" t="s">
        <v>1727</v>
      </c>
      <c r="F268" s="858"/>
      <c r="G268" s="357">
        <v>52</v>
      </c>
      <c r="H268" s="357">
        <v>52</v>
      </c>
      <c r="I268" s="892">
        <v>100</v>
      </c>
    </row>
    <row r="269" spans="1:9" ht="13.5" customHeight="1" x14ac:dyDescent="0.25">
      <c r="A269" s="432"/>
      <c r="B269" s="681"/>
      <c r="C269" s="681"/>
      <c r="D269" s="2672"/>
      <c r="E269" s="2701"/>
      <c r="F269" s="858"/>
      <c r="G269" s="357"/>
      <c r="H269" s="357"/>
      <c r="I269" s="892"/>
    </row>
    <row r="270" spans="1:9" ht="15" thickBot="1" x14ac:dyDescent="0.25">
      <c r="A270" s="432"/>
      <c r="B270" s="681"/>
      <c r="C270" s="681"/>
      <c r="D270" s="1120" t="s">
        <v>1189</v>
      </c>
      <c r="E270" s="1356" t="s">
        <v>0</v>
      </c>
      <c r="F270" s="865"/>
      <c r="G270" s="865">
        <v>3638</v>
      </c>
      <c r="H270" s="865">
        <v>3638</v>
      </c>
      <c r="I270" s="893">
        <f>(H270/G270)*100</f>
        <v>100</v>
      </c>
    </row>
    <row r="271" spans="1:9" ht="16.5" thickTop="1" thickBot="1" x14ac:dyDescent="0.3">
      <c r="A271" s="2685" t="s">
        <v>1162</v>
      </c>
      <c r="B271" s="2686"/>
      <c r="C271" s="2686"/>
      <c r="D271" s="2686"/>
      <c r="E271" s="2686"/>
      <c r="F271" s="862">
        <f>SUM(F267)</f>
        <v>0</v>
      </c>
      <c r="G271" s="862">
        <f>G267</f>
        <v>3690</v>
      </c>
      <c r="H271" s="862">
        <f>H267</f>
        <v>3690</v>
      </c>
      <c r="I271" s="894">
        <f>(H271/G271)*100</f>
        <v>100</v>
      </c>
    </row>
    <row r="272" spans="1:9" ht="15" customHeight="1" thickTop="1" x14ac:dyDescent="0.2"/>
    <row r="273" spans="1:9" ht="15" customHeight="1" x14ac:dyDescent="0.2"/>
    <row r="274" spans="1:9" ht="15" thickBot="1" x14ac:dyDescent="0.25">
      <c r="A274" s="433" t="s">
        <v>268</v>
      </c>
      <c r="I274" s="855" t="s">
        <v>173</v>
      </c>
    </row>
    <row r="275" spans="1:9" s="107" customFormat="1" ht="12.75" thickTop="1" thickBot="1" x14ac:dyDescent="0.25">
      <c r="A275" s="633" t="s">
        <v>661</v>
      </c>
      <c r="B275" s="810" t="s">
        <v>174</v>
      </c>
      <c r="C275" s="634" t="s">
        <v>175</v>
      </c>
      <c r="D275" s="636" t="s">
        <v>744</v>
      </c>
      <c r="E275" s="636" t="s">
        <v>176</v>
      </c>
      <c r="F275" s="636" t="s">
        <v>177</v>
      </c>
      <c r="G275" s="636" t="s">
        <v>922</v>
      </c>
      <c r="H275" s="636" t="s">
        <v>923</v>
      </c>
      <c r="I275" s="856" t="s">
        <v>924</v>
      </c>
    </row>
    <row r="276" spans="1:9" s="384" customFormat="1" ht="18" customHeight="1" thickTop="1" thickBot="1" x14ac:dyDescent="0.25">
      <c r="A276" s="568">
        <v>1</v>
      </c>
      <c r="B276" s="569">
        <v>2</v>
      </c>
      <c r="C276" s="569">
        <v>3</v>
      </c>
      <c r="D276" s="569">
        <v>4</v>
      </c>
      <c r="E276" s="569">
        <v>5</v>
      </c>
      <c r="F276" s="543">
        <v>6</v>
      </c>
      <c r="G276" s="543">
        <v>7</v>
      </c>
      <c r="H276" s="544">
        <v>8</v>
      </c>
      <c r="I276" s="638" t="s">
        <v>801</v>
      </c>
    </row>
    <row r="277" spans="1:9" ht="15.75" thickTop="1" x14ac:dyDescent="0.25">
      <c r="A277" s="1477">
        <v>1533</v>
      </c>
      <c r="B277" s="885">
        <v>3122</v>
      </c>
      <c r="C277" s="885">
        <v>5213</v>
      </c>
      <c r="D277" s="890"/>
      <c r="E277" s="829" t="s">
        <v>1232</v>
      </c>
      <c r="F277" s="883"/>
      <c r="G277" s="883">
        <f>SUM(G278:G278)</f>
        <v>3994</v>
      </c>
      <c r="H277" s="883">
        <f>SUM(H278:H278)</f>
        <v>3994</v>
      </c>
      <c r="I277" s="887">
        <f>(H277/G277)*100</f>
        <v>100</v>
      </c>
    </row>
    <row r="278" spans="1:9" ht="15" thickBot="1" x14ac:dyDescent="0.25">
      <c r="A278" s="432"/>
      <c r="B278" s="783"/>
      <c r="C278" s="783"/>
      <c r="D278" s="1120" t="s">
        <v>1189</v>
      </c>
      <c r="E278" s="1356" t="s">
        <v>0</v>
      </c>
      <c r="F278" s="871"/>
      <c r="G278" s="871">
        <v>3994</v>
      </c>
      <c r="H278" s="871">
        <v>3994</v>
      </c>
      <c r="I278" s="866">
        <f>(H278/G278)*100</f>
        <v>100</v>
      </c>
    </row>
    <row r="279" spans="1:9" s="1574" customFormat="1" ht="20.25" customHeight="1" thickTop="1" thickBot="1" x14ac:dyDescent="0.25">
      <c r="A279" s="2696" t="s">
        <v>1162</v>
      </c>
      <c r="B279" s="2697"/>
      <c r="C279" s="2697"/>
      <c r="D279" s="2697"/>
      <c r="E279" s="2697"/>
      <c r="F279" s="1585">
        <f>SUM(F277)</f>
        <v>0</v>
      </c>
      <c r="G279" s="1585">
        <f>SUM(G277)</f>
        <v>3994</v>
      </c>
      <c r="H279" s="1585">
        <f>SUM(H277)</f>
        <v>3994</v>
      </c>
      <c r="I279" s="1586">
        <f>(H279/G279)*100</f>
        <v>100</v>
      </c>
    </row>
    <row r="280" spans="1:9" s="1574" customFormat="1" ht="15" thickTop="1" x14ac:dyDescent="0.2">
      <c r="B280" s="1588"/>
      <c r="D280" s="1589"/>
      <c r="F280" s="1624"/>
      <c r="G280" s="1624"/>
      <c r="H280" s="1624"/>
      <c r="I280" s="1625"/>
    </row>
    <row r="281" spans="1:9" s="1574" customFormat="1" x14ac:dyDescent="0.2">
      <c r="B281" s="1588"/>
      <c r="D281" s="1589"/>
      <c r="F281" s="1624"/>
      <c r="G281" s="1624"/>
      <c r="H281" s="1624"/>
      <c r="I281" s="1625"/>
    </row>
    <row r="282" spans="1:9" s="1574" customFormat="1" ht="15" customHeight="1" thickBot="1" x14ac:dyDescent="0.25">
      <c r="A282" s="1602" t="s">
        <v>1728</v>
      </c>
      <c r="B282" s="1588"/>
      <c r="D282" s="1589"/>
      <c r="F282" s="1624"/>
      <c r="G282" s="1624"/>
      <c r="H282" s="1624"/>
      <c r="I282" s="1626" t="s">
        <v>173</v>
      </c>
    </row>
    <row r="283" spans="1:9" s="1632" customFormat="1" ht="12.75" thickTop="1" thickBot="1" x14ac:dyDescent="0.25">
      <c r="A283" s="1627" t="s">
        <v>661</v>
      </c>
      <c r="B283" s="1628" t="s">
        <v>174</v>
      </c>
      <c r="C283" s="1629" t="s">
        <v>175</v>
      </c>
      <c r="D283" s="1630" t="s">
        <v>744</v>
      </c>
      <c r="E283" s="1630" t="s">
        <v>176</v>
      </c>
      <c r="F283" s="1630" t="s">
        <v>177</v>
      </c>
      <c r="G283" s="1630" t="s">
        <v>922</v>
      </c>
      <c r="H283" s="1630" t="s">
        <v>923</v>
      </c>
      <c r="I283" s="1631" t="s">
        <v>924</v>
      </c>
    </row>
    <row r="284" spans="1:9" s="1598" customFormat="1" ht="13.5" thickTop="1" thickBot="1" x14ac:dyDescent="0.25">
      <c r="A284" s="1593">
        <v>1</v>
      </c>
      <c r="B284" s="1594">
        <v>2</v>
      </c>
      <c r="C284" s="1594">
        <v>3</v>
      </c>
      <c r="D284" s="1594">
        <v>4</v>
      </c>
      <c r="E284" s="1594">
        <v>5</v>
      </c>
      <c r="F284" s="1595">
        <v>6</v>
      </c>
      <c r="G284" s="1595">
        <v>7</v>
      </c>
      <c r="H284" s="1596">
        <v>8</v>
      </c>
      <c r="I284" s="1597" t="s">
        <v>801</v>
      </c>
    </row>
    <row r="285" spans="1:9" s="1574" customFormat="1" ht="18" customHeight="1" thickTop="1" x14ac:dyDescent="0.2">
      <c r="A285" s="1644">
        <v>1534</v>
      </c>
      <c r="B285" s="1645">
        <v>3122</v>
      </c>
      <c r="C285" s="1645">
        <v>5213</v>
      </c>
      <c r="D285" s="1646"/>
      <c r="E285" s="1635" t="s">
        <v>1232</v>
      </c>
      <c r="F285" s="1642"/>
      <c r="G285" s="1642">
        <f>SUM(G286:G286)</f>
        <v>177</v>
      </c>
      <c r="H285" s="1642">
        <f>SUM(H286:H286)</f>
        <v>162</v>
      </c>
      <c r="I285" s="1647">
        <f>(H285/G285)*100</f>
        <v>91.525423728813564</v>
      </c>
    </row>
    <row r="286" spans="1:9" s="1574" customFormat="1" ht="15" thickBot="1" x14ac:dyDescent="0.25">
      <c r="A286" s="1648"/>
      <c r="B286" s="1649"/>
      <c r="C286" s="1600"/>
      <c r="D286" s="1353" t="s">
        <v>1189</v>
      </c>
      <c r="E286" s="1355" t="s">
        <v>0</v>
      </c>
      <c r="F286" s="1651"/>
      <c r="G286" s="1651">
        <v>177</v>
      </c>
      <c r="H286" s="1651">
        <v>162</v>
      </c>
      <c r="I286" s="1363">
        <f>(H286/G286)*100</f>
        <v>91.525423728813564</v>
      </c>
    </row>
    <row r="287" spans="1:9" s="1574" customFormat="1" ht="16.5" thickTop="1" thickBot="1" x14ac:dyDescent="0.25">
      <c r="A287" s="2702" t="s">
        <v>1162</v>
      </c>
      <c r="B287" s="2703"/>
      <c r="C287" s="2703"/>
      <c r="D287" s="2703"/>
      <c r="E287" s="2704"/>
      <c r="F287" s="1585">
        <f>SUM(F285)</f>
        <v>0</v>
      </c>
      <c r="G287" s="1585">
        <f>SUM(G285)</f>
        <v>177</v>
      </c>
      <c r="H287" s="1585">
        <f>SUM(H285,)</f>
        <v>162</v>
      </c>
      <c r="I287" s="1586">
        <f>(H287/G287)*100</f>
        <v>91.525423728813564</v>
      </c>
    </row>
    <row r="288" spans="1:9" s="1574" customFormat="1" ht="20.25" customHeight="1" thickTop="1" x14ac:dyDescent="0.2">
      <c r="B288" s="1588"/>
      <c r="D288" s="1589"/>
      <c r="F288" s="1624"/>
      <c r="G288" s="1624"/>
      <c r="H288" s="1624"/>
      <c r="I288" s="1625"/>
    </row>
    <row r="289" spans="1:256" s="1574" customFormat="1" ht="20.25" customHeight="1" x14ac:dyDescent="0.2">
      <c r="B289" s="1588"/>
      <c r="D289" s="1589"/>
      <c r="F289" s="1624"/>
      <c r="G289" s="1624"/>
      <c r="H289" s="1624"/>
      <c r="I289" s="1625"/>
    </row>
    <row r="290" spans="1:256" s="1574" customFormat="1" ht="15" thickBot="1" x14ac:dyDescent="0.25">
      <c r="A290" s="1602" t="s">
        <v>1542</v>
      </c>
      <c r="B290" s="1588"/>
      <c r="D290" s="1589"/>
      <c r="F290" s="1624"/>
      <c r="G290" s="1624"/>
      <c r="H290" s="1624"/>
      <c r="I290" s="1626" t="s">
        <v>173</v>
      </c>
    </row>
    <row r="291" spans="1:256" s="1632" customFormat="1" ht="15" customHeight="1" thickTop="1" thickBot="1" x14ac:dyDescent="0.25">
      <c r="A291" s="1627" t="s">
        <v>661</v>
      </c>
      <c r="B291" s="1628" t="s">
        <v>174</v>
      </c>
      <c r="C291" s="1629" t="s">
        <v>175</v>
      </c>
      <c r="D291" s="1630" t="s">
        <v>744</v>
      </c>
      <c r="E291" s="1630" t="s">
        <v>176</v>
      </c>
      <c r="F291" s="1630" t="s">
        <v>177</v>
      </c>
      <c r="G291" s="1630" t="s">
        <v>922</v>
      </c>
      <c r="H291" s="1630" t="s">
        <v>923</v>
      </c>
      <c r="I291" s="1631" t="s">
        <v>924</v>
      </c>
    </row>
    <row r="292" spans="1:256" s="1598" customFormat="1" ht="13.5" thickTop="1" thickBot="1" x14ac:dyDescent="0.25">
      <c r="A292" s="1593">
        <v>1</v>
      </c>
      <c r="B292" s="1594">
        <v>2</v>
      </c>
      <c r="C292" s="1594">
        <v>3</v>
      </c>
      <c r="D292" s="1594">
        <v>4</v>
      </c>
      <c r="E292" s="1594">
        <v>5</v>
      </c>
      <c r="F292" s="1595">
        <v>6</v>
      </c>
      <c r="G292" s="1595">
        <v>7</v>
      </c>
      <c r="H292" s="1596">
        <v>8</v>
      </c>
      <c r="I292" s="1597" t="s">
        <v>801</v>
      </c>
    </row>
    <row r="293" spans="1:256" s="1574" customFormat="1" ht="15.75" thickTop="1" x14ac:dyDescent="0.2">
      <c r="A293" s="1644">
        <v>1535</v>
      </c>
      <c r="B293" s="1645">
        <v>3122</v>
      </c>
      <c r="C293" s="1645">
        <v>5213</v>
      </c>
      <c r="D293" s="1646"/>
      <c r="E293" s="1635" t="s">
        <v>1232</v>
      </c>
      <c r="F293" s="1642"/>
      <c r="G293" s="1642">
        <f>SUM(G294:G295)</f>
        <v>3921</v>
      </c>
      <c r="H293" s="1642">
        <f>SUM(H294:H295)</f>
        <v>3921</v>
      </c>
      <c r="I293" s="1647">
        <f>(H293/G293)*100</f>
        <v>100</v>
      </c>
      <c r="IV293" s="1587">
        <f>SUM(I293:IU293)</f>
        <v>100</v>
      </c>
    </row>
    <row r="294" spans="1:256" s="1574" customFormat="1" ht="15" x14ac:dyDescent="0.2">
      <c r="A294" s="1599"/>
      <c r="B294" s="1616"/>
      <c r="C294" s="1616"/>
      <c r="D294" s="1119" t="s">
        <v>1604</v>
      </c>
      <c r="E294" s="1927" t="s">
        <v>1719</v>
      </c>
      <c r="F294" s="1640"/>
      <c r="G294" s="1643">
        <v>2</v>
      </c>
      <c r="H294" s="1643">
        <v>2</v>
      </c>
      <c r="I294" s="1366">
        <f>(H294/G294)*100</f>
        <v>100</v>
      </c>
      <c r="IV294" s="1587"/>
    </row>
    <row r="295" spans="1:256" s="1574" customFormat="1" ht="15" customHeight="1" thickBot="1" x14ac:dyDescent="0.25">
      <c r="A295" s="1599"/>
      <c r="B295" s="1616"/>
      <c r="C295" s="1616"/>
      <c r="D295" s="1119" t="s">
        <v>1189</v>
      </c>
      <c r="E295" s="1355" t="s">
        <v>0</v>
      </c>
      <c r="F295" s="1362"/>
      <c r="G295" s="1362">
        <v>3919</v>
      </c>
      <c r="H295" s="1362">
        <v>3919</v>
      </c>
      <c r="I295" s="1366">
        <f>(H295/G295)*100</f>
        <v>100</v>
      </c>
      <c r="IV295" s="1574">
        <f>SUM(A295:IU295)</f>
        <v>7938</v>
      </c>
    </row>
    <row r="296" spans="1:256" s="1574" customFormat="1" ht="16.5" thickTop="1" thickBot="1" x14ac:dyDescent="0.25">
      <c r="A296" s="2696" t="s">
        <v>1162</v>
      </c>
      <c r="B296" s="2697"/>
      <c r="C296" s="2697"/>
      <c r="D296" s="2697"/>
      <c r="E296" s="2697"/>
      <c r="F296" s="1585">
        <f>SUM(F293)</f>
        <v>0</v>
      </c>
      <c r="G296" s="1585">
        <f>SUM(G293)</f>
        <v>3921</v>
      </c>
      <c r="H296" s="1585">
        <f>SUM(H293)</f>
        <v>3921</v>
      </c>
      <c r="I296" s="1586">
        <f>(H296/G296)*100</f>
        <v>100</v>
      </c>
      <c r="IV296" s="1587">
        <f>SUM(IV293:IV295)</f>
        <v>8038</v>
      </c>
    </row>
    <row r="297" spans="1:256" s="1574" customFormat="1" ht="15" thickTop="1" x14ac:dyDescent="0.2">
      <c r="B297" s="1588"/>
      <c r="D297" s="1589"/>
      <c r="F297" s="1624"/>
      <c r="G297" s="1624"/>
      <c r="H297" s="1624"/>
      <c r="I297" s="1625"/>
    </row>
    <row r="298" spans="1:256" s="1574" customFormat="1" ht="15" thickBot="1" x14ac:dyDescent="0.25">
      <c r="A298" s="1602" t="s">
        <v>1972</v>
      </c>
      <c r="B298" s="1588"/>
      <c r="D298" s="1589"/>
      <c r="F298" s="1624"/>
      <c r="G298" s="1624"/>
      <c r="H298" s="1624"/>
      <c r="I298" s="1626" t="s">
        <v>173</v>
      </c>
    </row>
    <row r="299" spans="1:256" s="1632" customFormat="1" ht="18" customHeight="1" thickTop="1" thickBot="1" x14ac:dyDescent="0.25">
      <c r="A299" s="1627" t="s">
        <v>661</v>
      </c>
      <c r="B299" s="1628" t="s">
        <v>174</v>
      </c>
      <c r="C299" s="1629" t="s">
        <v>175</v>
      </c>
      <c r="D299" s="1630" t="s">
        <v>744</v>
      </c>
      <c r="E299" s="1630" t="s">
        <v>176</v>
      </c>
      <c r="F299" s="1630" t="s">
        <v>177</v>
      </c>
      <c r="G299" s="1630" t="s">
        <v>922</v>
      </c>
      <c r="H299" s="1630" t="s">
        <v>923</v>
      </c>
      <c r="I299" s="1631" t="s">
        <v>924</v>
      </c>
    </row>
    <row r="300" spans="1:256" s="1598" customFormat="1" ht="18" customHeight="1" thickTop="1" thickBot="1" x14ac:dyDescent="0.25">
      <c r="A300" s="1593">
        <v>1</v>
      </c>
      <c r="B300" s="1594">
        <v>2</v>
      </c>
      <c r="C300" s="1594">
        <v>3</v>
      </c>
      <c r="D300" s="1594">
        <v>4</v>
      </c>
      <c r="E300" s="1594">
        <v>5</v>
      </c>
      <c r="F300" s="1595">
        <v>6</v>
      </c>
      <c r="G300" s="1595">
        <v>7</v>
      </c>
      <c r="H300" s="1596">
        <v>8</v>
      </c>
      <c r="I300" s="1597" t="s">
        <v>801</v>
      </c>
    </row>
    <row r="301" spans="1:256" s="1574" customFormat="1" ht="15.75" thickTop="1" x14ac:dyDescent="0.2">
      <c r="A301" s="1644">
        <v>1536</v>
      </c>
      <c r="B301" s="1645">
        <v>3122</v>
      </c>
      <c r="C301" s="1645">
        <v>5213</v>
      </c>
      <c r="D301" s="1646"/>
      <c r="E301" s="1635" t="s">
        <v>1232</v>
      </c>
      <c r="F301" s="1642"/>
      <c r="G301" s="1642">
        <f>SUM(G302:G302)</f>
        <v>6717</v>
      </c>
      <c r="H301" s="1642">
        <f>SUM(H302:H302)</f>
        <v>6717</v>
      </c>
      <c r="I301" s="1647">
        <f t="shared" ref="I301:I309" si="16">(H301/G301)*100</f>
        <v>100</v>
      </c>
      <c r="IV301" s="1587">
        <f>SUM(I301:IU301)</f>
        <v>100</v>
      </c>
    </row>
    <row r="302" spans="1:256" s="1574" customFormat="1" ht="20.25" customHeight="1" x14ac:dyDescent="0.2">
      <c r="A302" s="1599"/>
      <c r="B302" s="1616"/>
      <c r="C302" s="1616"/>
      <c r="D302" s="1119" t="s">
        <v>1189</v>
      </c>
      <c r="E302" s="1355" t="s">
        <v>0</v>
      </c>
      <c r="F302" s="1362"/>
      <c r="G302" s="1362">
        <v>6717</v>
      </c>
      <c r="H302" s="1367">
        <v>6717</v>
      </c>
      <c r="I302" s="1363">
        <f t="shared" si="16"/>
        <v>100</v>
      </c>
      <c r="IV302" s="1574">
        <f>SUM(A302:IU302)</f>
        <v>13534</v>
      </c>
    </row>
    <row r="303" spans="1:256" s="1574" customFormat="1" ht="15" x14ac:dyDescent="0.2">
      <c r="A303" s="1599">
        <v>1536</v>
      </c>
      <c r="B303" s="1616">
        <v>3123</v>
      </c>
      <c r="C303" s="1616">
        <v>5213</v>
      </c>
      <c r="D303" s="1652"/>
      <c r="E303" s="1639" t="s">
        <v>1232</v>
      </c>
      <c r="F303" s="1640"/>
      <c r="G303" s="1640">
        <f>SUM(G304:G304)</f>
        <v>1688</v>
      </c>
      <c r="H303" s="1640">
        <f>SUM(H304:H304)</f>
        <v>1688</v>
      </c>
      <c r="I303" s="1641">
        <f t="shared" si="16"/>
        <v>100</v>
      </c>
      <c r="IV303" s="1587">
        <f>SUM(I303:IU303)</f>
        <v>100</v>
      </c>
    </row>
    <row r="304" spans="1:256" s="1574" customFormat="1" x14ac:dyDescent="0.2">
      <c r="A304" s="1599"/>
      <c r="B304" s="1616"/>
      <c r="C304" s="1616"/>
      <c r="D304" s="1119" t="s">
        <v>1189</v>
      </c>
      <c r="E304" s="1355" t="s">
        <v>0</v>
      </c>
      <c r="F304" s="1362"/>
      <c r="G304" s="1362">
        <v>1688</v>
      </c>
      <c r="H304" s="1362">
        <v>1688</v>
      </c>
      <c r="I304" s="1366">
        <f t="shared" si="16"/>
        <v>100</v>
      </c>
    </row>
    <row r="305" spans="1:256" s="1574" customFormat="1" ht="15" customHeight="1" x14ac:dyDescent="0.2">
      <c r="A305" s="1599">
        <v>1536</v>
      </c>
      <c r="B305" s="1600">
        <v>3142</v>
      </c>
      <c r="C305" s="1600">
        <v>5213</v>
      </c>
      <c r="D305" s="1653"/>
      <c r="E305" s="1639" t="s">
        <v>1232</v>
      </c>
      <c r="F305" s="1367"/>
      <c r="G305" s="1654">
        <v>66</v>
      </c>
      <c r="H305" s="1364">
        <v>66</v>
      </c>
      <c r="I305" s="1655">
        <f t="shared" si="16"/>
        <v>100</v>
      </c>
    </row>
    <row r="306" spans="1:256" s="1574" customFormat="1" x14ac:dyDescent="0.2">
      <c r="A306" s="1599"/>
      <c r="B306" s="1600"/>
      <c r="C306" s="1600"/>
      <c r="D306" s="1119" t="s">
        <v>1189</v>
      </c>
      <c r="E306" s="1355" t="s">
        <v>0</v>
      </c>
      <c r="F306" s="1367"/>
      <c r="G306" s="1367">
        <v>66</v>
      </c>
      <c r="H306" s="1367">
        <v>66</v>
      </c>
      <c r="I306" s="1363">
        <f t="shared" si="16"/>
        <v>100</v>
      </c>
    </row>
    <row r="307" spans="1:256" s="1574" customFormat="1" ht="15" x14ac:dyDescent="0.2">
      <c r="A307" s="1599">
        <v>1536</v>
      </c>
      <c r="B307" s="1600">
        <v>3429</v>
      </c>
      <c r="C307" s="1600">
        <v>5213</v>
      </c>
      <c r="D307" s="1119"/>
      <c r="E307" s="1639" t="s">
        <v>1232</v>
      </c>
      <c r="F307" s="1367"/>
      <c r="G307" s="1654">
        <v>25</v>
      </c>
      <c r="H307" s="1654">
        <v>25</v>
      </c>
      <c r="I307" s="1655">
        <f t="shared" si="16"/>
        <v>100</v>
      </c>
    </row>
    <row r="308" spans="1:256" s="1574" customFormat="1" ht="15" thickBot="1" x14ac:dyDescent="0.25">
      <c r="A308" s="1599"/>
      <c r="B308" s="1600"/>
      <c r="C308" s="1600"/>
      <c r="D308" s="1656" t="s">
        <v>1262</v>
      </c>
      <c r="E308" s="1657" t="s">
        <v>1973</v>
      </c>
      <c r="F308" s="1367"/>
      <c r="G308" s="1367">
        <v>25</v>
      </c>
      <c r="H308" s="1367">
        <v>25</v>
      </c>
      <c r="I308" s="1363">
        <f t="shared" si="16"/>
        <v>100</v>
      </c>
    </row>
    <row r="309" spans="1:256" s="1574" customFormat="1" ht="16.5" thickTop="1" thickBot="1" x14ac:dyDescent="0.25">
      <c r="A309" s="2696" t="s">
        <v>1162</v>
      </c>
      <c r="B309" s="2697"/>
      <c r="C309" s="2697"/>
      <c r="D309" s="2697"/>
      <c r="E309" s="2697"/>
      <c r="F309" s="1585">
        <f>SUM(F301)</f>
        <v>0</v>
      </c>
      <c r="G309" s="1585">
        <f>SUM(G301,G303,G305,G307)</f>
        <v>8496</v>
      </c>
      <c r="H309" s="1585">
        <f>SUM(H301,H303,H305,H307)</f>
        <v>8496</v>
      </c>
      <c r="I309" s="1586">
        <f t="shared" si="16"/>
        <v>100</v>
      </c>
      <c r="IV309" s="1587">
        <f>SUM(IV301:IV302)</f>
        <v>13634</v>
      </c>
    </row>
    <row r="310" spans="1:256" s="1574" customFormat="1" ht="18" customHeight="1" thickTop="1" x14ac:dyDescent="0.2">
      <c r="A310" s="1571"/>
      <c r="B310" s="1571"/>
      <c r="C310" s="1571"/>
      <c r="D310" s="1571"/>
      <c r="E310" s="1571"/>
      <c r="F310" s="1614"/>
      <c r="G310" s="1614"/>
      <c r="H310" s="1614"/>
      <c r="I310" s="1615"/>
      <c r="IV310" s="1587"/>
    </row>
    <row r="311" spans="1:256" s="1574" customFormat="1" ht="15" thickBot="1" x14ac:dyDescent="0.25">
      <c r="A311" s="1602" t="s">
        <v>1543</v>
      </c>
      <c r="B311" s="1588"/>
      <c r="D311" s="1589"/>
      <c r="F311" s="1624"/>
      <c r="G311" s="1624"/>
      <c r="H311" s="1624"/>
      <c r="I311" s="1626" t="s">
        <v>173</v>
      </c>
    </row>
    <row r="312" spans="1:256" s="1632" customFormat="1" ht="20.25" customHeight="1" thickTop="1" thickBot="1" x14ac:dyDescent="0.25">
      <c r="A312" s="1627" t="s">
        <v>661</v>
      </c>
      <c r="B312" s="1628" t="s">
        <v>174</v>
      </c>
      <c r="C312" s="1629" t="s">
        <v>175</v>
      </c>
      <c r="D312" s="1630" t="s">
        <v>744</v>
      </c>
      <c r="E312" s="1630" t="s">
        <v>176</v>
      </c>
      <c r="F312" s="1630" t="s">
        <v>177</v>
      </c>
      <c r="G312" s="1630" t="s">
        <v>922</v>
      </c>
      <c r="H312" s="1630" t="s">
        <v>923</v>
      </c>
      <c r="I312" s="1631" t="s">
        <v>924</v>
      </c>
    </row>
    <row r="313" spans="1:256" s="1598" customFormat="1" ht="13.5" thickTop="1" thickBot="1" x14ac:dyDescent="0.25">
      <c r="A313" s="1593">
        <v>1</v>
      </c>
      <c r="B313" s="1594">
        <v>2</v>
      </c>
      <c r="C313" s="1594">
        <v>3</v>
      </c>
      <c r="D313" s="1594">
        <v>4</v>
      </c>
      <c r="E313" s="1594">
        <v>5</v>
      </c>
      <c r="F313" s="1595">
        <v>6</v>
      </c>
      <c r="G313" s="1595">
        <v>7</v>
      </c>
      <c r="H313" s="1596">
        <v>8</v>
      </c>
      <c r="I313" s="1597" t="s">
        <v>801</v>
      </c>
    </row>
    <row r="314" spans="1:256" s="1574" customFormat="1" ht="15.75" thickTop="1" x14ac:dyDescent="0.2">
      <c r="A314" s="1644">
        <v>1537</v>
      </c>
      <c r="B314" s="1645">
        <v>3122</v>
      </c>
      <c r="C314" s="1645">
        <v>5213</v>
      </c>
      <c r="D314" s="1646"/>
      <c r="E314" s="1635" t="s">
        <v>1232</v>
      </c>
      <c r="F314" s="1642"/>
      <c r="G314" s="1642">
        <f>SUM(G315:G316)</f>
        <v>7515</v>
      </c>
      <c r="H314" s="1642">
        <f>SUM(H315:H316)</f>
        <v>7515</v>
      </c>
      <c r="I314" s="1647">
        <f>(H314/G314)*100</f>
        <v>100</v>
      </c>
      <c r="IV314" s="1587">
        <f>SUM(I314:IU314)</f>
        <v>100</v>
      </c>
    </row>
    <row r="315" spans="1:256" s="1574" customFormat="1" ht="15" x14ac:dyDescent="0.2">
      <c r="A315" s="1599"/>
      <c r="B315" s="1616"/>
      <c r="C315" s="1616"/>
      <c r="D315" s="1119" t="s">
        <v>1604</v>
      </c>
      <c r="E315" s="1927" t="s">
        <v>1719</v>
      </c>
      <c r="F315" s="1640"/>
      <c r="G315" s="1643">
        <v>4</v>
      </c>
      <c r="H315" s="1643">
        <v>4</v>
      </c>
      <c r="I315" s="1650">
        <v>100</v>
      </c>
      <c r="IV315" s="1587"/>
    </row>
    <row r="316" spans="1:256" s="1574" customFormat="1" ht="14.25" customHeight="1" x14ac:dyDescent="0.2">
      <c r="A316" s="1599"/>
      <c r="B316" s="1616"/>
      <c r="C316" s="1616"/>
      <c r="D316" s="1119" t="s">
        <v>1189</v>
      </c>
      <c r="E316" s="1355" t="s">
        <v>0</v>
      </c>
      <c r="F316" s="1362"/>
      <c r="G316" s="1362">
        <v>7511</v>
      </c>
      <c r="H316" s="1362">
        <v>7511</v>
      </c>
      <c r="I316" s="1650">
        <v>100</v>
      </c>
    </row>
    <row r="317" spans="1:256" s="1574" customFormat="1" ht="15" x14ac:dyDescent="0.2">
      <c r="A317" s="1599">
        <v>1537</v>
      </c>
      <c r="B317" s="1616">
        <v>3142</v>
      </c>
      <c r="C317" s="1616">
        <v>5213</v>
      </c>
      <c r="D317" s="781"/>
      <c r="E317" s="1639" t="s">
        <v>1232</v>
      </c>
      <c r="F317" s="1362"/>
      <c r="G317" s="1364">
        <f>G318</f>
        <v>132</v>
      </c>
      <c r="H317" s="1364">
        <f>H318</f>
        <v>132</v>
      </c>
      <c r="I317" s="1655">
        <v>100</v>
      </c>
    </row>
    <row r="318" spans="1:256" s="1574" customFormat="1" ht="15" thickBot="1" x14ac:dyDescent="0.25">
      <c r="A318" s="1599"/>
      <c r="B318" s="1616"/>
      <c r="C318" s="1616"/>
      <c r="D318" s="781" t="s">
        <v>1189</v>
      </c>
      <c r="E318" s="1658" t="s">
        <v>2</v>
      </c>
      <c r="F318" s="1362"/>
      <c r="G318" s="1362">
        <v>132</v>
      </c>
      <c r="H318" s="1362">
        <v>132</v>
      </c>
      <c r="I318" s="1650">
        <v>100</v>
      </c>
    </row>
    <row r="319" spans="1:256" s="1574" customFormat="1" ht="16.5" thickTop="1" thickBot="1" x14ac:dyDescent="0.25">
      <c r="A319" s="2696" t="s">
        <v>1162</v>
      </c>
      <c r="B319" s="2697"/>
      <c r="C319" s="2697"/>
      <c r="D319" s="2697"/>
      <c r="E319" s="2697"/>
      <c r="F319" s="1585">
        <v>0</v>
      </c>
      <c r="G319" s="1585">
        <f>SUM(G314,G317)</f>
        <v>7647</v>
      </c>
      <c r="H319" s="1585">
        <f>SUM(H314,H317)</f>
        <v>7647</v>
      </c>
      <c r="I319" s="1586">
        <f>(H319/G319)*100</f>
        <v>100</v>
      </c>
      <c r="IV319" s="1587">
        <f>SUM(IV311:IV314)</f>
        <v>100</v>
      </c>
    </row>
    <row r="320" spans="1:256" s="1574" customFormat="1" ht="15" thickTop="1" x14ac:dyDescent="0.2">
      <c r="B320" s="1588"/>
      <c r="D320" s="1589"/>
      <c r="F320" s="1624"/>
      <c r="G320" s="1624"/>
      <c r="H320" s="1624"/>
      <c r="I320" s="1625"/>
    </row>
    <row r="321" spans="1:256" s="1574" customFormat="1" ht="18" customHeight="1" thickBot="1" x14ac:dyDescent="0.25">
      <c r="A321" s="1602" t="s">
        <v>570</v>
      </c>
      <c r="B321" s="1588"/>
      <c r="D321" s="1589"/>
      <c r="F321" s="1624"/>
      <c r="G321" s="1624"/>
      <c r="H321" s="1624"/>
      <c r="I321" s="1626" t="s">
        <v>173</v>
      </c>
    </row>
    <row r="322" spans="1:256" s="1632" customFormat="1" ht="12.75" thickTop="1" thickBot="1" x14ac:dyDescent="0.25">
      <c r="A322" s="1627" t="s">
        <v>661</v>
      </c>
      <c r="B322" s="1628" t="s">
        <v>174</v>
      </c>
      <c r="C322" s="1629" t="s">
        <v>175</v>
      </c>
      <c r="D322" s="1630" t="s">
        <v>744</v>
      </c>
      <c r="E322" s="1630" t="s">
        <v>176</v>
      </c>
      <c r="F322" s="1630" t="s">
        <v>177</v>
      </c>
      <c r="G322" s="1630" t="s">
        <v>922</v>
      </c>
      <c r="H322" s="1630" t="s">
        <v>923</v>
      </c>
      <c r="I322" s="1631" t="s">
        <v>924</v>
      </c>
    </row>
    <row r="323" spans="1:256" s="1598" customFormat="1" ht="20.25" customHeight="1" thickTop="1" thickBot="1" x14ac:dyDescent="0.25">
      <c r="A323" s="1593">
        <v>1</v>
      </c>
      <c r="B323" s="1594">
        <v>2</v>
      </c>
      <c r="C323" s="1594">
        <v>3</v>
      </c>
      <c r="D323" s="1594">
        <v>4</v>
      </c>
      <c r="E323" s="1594">
        <v>5</v>
      </c>
      <c r="F323" s="1595">
        <v>6</v>
      </c>
      <c r="G323" s="1595">
        <v>7</v>
      </c>
      <c r="H323" s="1596">
        <v>8</v>
      </c>
      <c r="I323" s="1597" t="s">
        <v>801</v>
      </c>
    </row>
    <row r="324" spans="1:256" s="1574" customFormat="1" ht="15.75" thickTop="1" x14ac:dyDescent="0.2">
      <c r="A324" s="1644">
        <v>1539</v>
      </c>
      <c r="B324" s="1645">
        <v>3122</v>
      </c>
      <c r="C324" s="1645">
        <v>5213</v>
      </c>
      <c r="D324" s="1646"/>
      <c r="E324" s="1635" t="s">
        <v>1232</v>
      </c>
      <c r="F324" s="1642"/>
      <c r="G324" s="1642">
        <f>SUM(G325:G325)</f>
        <v>9288</v>
      </c>
      <c r="H324" s="1642">
        <f>SUM(H325:H325)</f>
        <v>9288</v>
      </c>
      <c r="I324" s="1647">
        <f>(H324/G324)*100</f>
        <v>100</v>
      </c>
      <c r="IV324" s="1587">
        <f>SUM(I324:IU324)</f>
        <v>100</v>
      </c>
    </row>
    <row r="325" spans="1:256" s="1574" customFormat="1" x14ac:dyDescent="0.2">
      <c r="A325" s="1599"/>
      <c r="B325" s="1616"/>
      <c r="C325" s="1600"/>
      <c r="D325" s="1119" t="s">
        <v>1189</v>
      </c>
      <c r="E325" s="1355" t="s">
        <v>0</v>
      </c>
      <c r="F325" s="1367"/>
      <c r="G325" s="1367">
        <v>9288</v>
      </c>
      <c r="H325" s="1367">
        <v>9288</v>
      </c>
      <c r="I325" s="1363">
        <f>(H325/G325)*100</f>
        <v>100</v>
      </c>
      <c r="IV325" s="1574">
        <f>SUM(A325:IU325)</f>
        <v>18676</v>
      </c>
    </row>
    <row r="326" spans="1:256" s="1574" customFormat="1" ht="15" customHeight="1" x14ac:dyDescent="0.2">
      <c r="A326" s="1599">
        <v>1539</v>
      </c>
      <c r="B326" s="1600">
        <v>3146</v>
      </c>
      <c r="C326" s="1600">
        <v>5213</v>
      </c>
      <c r="D326" s="1638"/>
      <c r="E326" s="1639" t="s">
        <v>1232</v>
      </c>
      <c r="F326" s="1654"/>
      <c r="G326" s="1654">
        <f>G327</f>
        <v>1595</v>
      </c>
      <c r="H326" s="1654">
        <f>H327</f>
        <v>1595</v>
      </c>
      <c r="I326" s="1655">
        <f>(H326/G326)*100</f>
        <v>100</v>
      </c>
    </row>
    <row r="327" spans="1:256" s="1574" customFormat="1" ht="15" thickBot="1" x14ac:dyDescent="0.25">
      <c r="A327" s="1599"/>
      <c r="B327" s="1600"/>
      <c r="C327" s="1600"/>
      <c r="D327" s="1119" t="s">
        <v>1189</v>
      </c>
      <c r="E327" s="1355" t="s">
        <v>0</v>
      </c>
      <c r="F327" s="1367"/>
      <c r="G327" s="1367">
        <v>1595</v>
      </c>
      <c r="H327" s="1367">
        <v>1595</v>
      </c>
      <c r="I327" s="1363">
        <v>100</v>
      </c>
    </row>
    <row r="328" spans="1:256" s="1574" customFormat="1" ht="16.5" thickTop="1" thickBot="1" x14ac:dyDescent="0.25">
      <c r="A328" s="2696" t="s">
        <v>1162</v>
      </c>
      <c r="B328" s="2697"/>
      <c r="C328" s="2697"/>
      <c r="D328" s="2697"/>
      <c r="E328" s="2697"/>
      <c r="F328" s="1585">
        <f>SUM(F324)</f>
        <v>0</v>
      </c>
      <c r="G328" s="1585">
        <f>SUM(G324,G326)</f>
        <v>10883</v>
      </c>
      <c r="H328" s="1585">
        <f>SUM(H324,H326)</f>
        <v>10883</v>
      </c>
      <c r="I328" s="1586">
        <f>(H328/G328)*100</f>
        <v>100</v>
      </c>
      <c r="IV328" s="1587">
        <f>SUM(IV324:IV325)</f>
        <v>18776</v>
      </c>
    </row>
    <row r="329" spans="1:256" s="1574" customFormat="1" ht="18" customHeight="1" thickTop="1" thickBot="1" x14ac:dyDescent="0.25">
      <c r="A329" s="1602" t="s">
        <v>1729</v>
      </c>
      <c r="B329" s="1588"/>
      <c r="D329" s="1589"/>
      <c r="F329" s="1624"/>
      <c r="G329" s="1624"/>
      <c r="H329" s="1624"/>
      <c r="I329" s="1626" t="s">
        <v>173</v>
      </c>
    </row>
    <row r="330" spans="1:256" s="1632" customFormat="1" ht="12.75" thickTop="1" thickBot="1" x14ac:dyDescent="0.25">
      <c r="A330" s="1627" t="s">
        <v>661</v>
      </c>
      <c r="B330" s="1628" t="s">
        <v>174</v>
      </c>
      <c r="C330" s="1629" t="s">
        <v>175</v>
      </c>
      <c r="D330" s="1630" t="s">
        <v>744</v>
      </c>
      <c r="E330" s="1630" t="s">
        <v>176</v>
      </c>
      <c r="F330" s="1630" t="s">
        <v>177</v>
      </c>
      <c r="G330" s="1630" t="s">
        <v>922</v>
      </c>
      <c r="H330" s="1630" t="s">
        <v>923</v>
      </c>
      <c r="I330" s="1631" t="s">
        <v>924</v>
      </c>
    </row>
    <row r="331" spans="1:256" s="1598" customFormat="1" ht="13.5" thickTop="1" thickBot="1" x14ac:dyDescent="0.25">
      <c r="A331" s="1593">
        <v>1</v>
      </c>
      <c r="B331" s="1594">
        <v>2</v>
      </c>
      <c r="C331" s="1594">
        <v>3</v>
      </c>
      <c r="D331" s="1594">
        <v>4</v>
      </c>
      <c r="E331" s="1594">
        <v>5</v>
      </c>
      <c r="F331" s="1595">
        <v>6</v>
      </c>
      <c r="G331" s="1595">
        <v>7</v>
      </c>
      <c r="H331" s="1596">
        <v>8</v>
      </c>
      <c r="I331" s="1597" t="s">
        <v>801</v>
      </c>
    </row>
    <row r="332" spans="1:256" s="1598" customFormat="1" ht="15.75" thickTop="1" x14ac:dyDescent="0.2">
      <c r="A332" s="1599">
        <v>1540</v>
      </c>
      <c r="B332" s="1600">
        <v>3121</v>
      </c>
      <c r="C332" s="1600">
        <v>5213</v>
      </c>
      <c r="D332" s="1638"/>
      <c r="E332" s="1635" t="s">
        <v>1232</v>
      </c>
      <c r="F332" s="1636"/>
      <c r="G332" s="1636">
        <v>1610</v>
      </c>
      <c r="H332" s="1636">
        <v>1610</v>
      </c>
      <c r="I332" s="1637">
        <f>(H332/G332)*100</f>
        <v>100</v>
      </c>
    </row>
    <row r="333" spans="1:256" s="1598" customFormat="1" ht="20.25" customHeight="1" x14ac:dyDescent="0.2">
      <c r="A333" s="1599"/>
      <c r="B333" s="1616"/>
      <c r="C333" s="1616"/>
      <c r="D333" s="1119" t="s">
        <v>1189</v>
      </c>
      <c r="E333" s="1355" t="s">
        <v>0</v>
      </c>
      <c r="F333" s="1640"/>
      <c r="G333" s="1643">
        <v>1610</v>
      </c>
      <c r="H333" s="1643">
        <v>1610</v>
      </c>
      <c r="I333" s="1650">
        <v>100</v>
      </c>
    </row>
    <row r="334" spans="1:256" s="1574" customFormat="1" ht="15" x14ac:dyDescent="0.2">
      <c r="A334" s="1599">
        <v>1540</v>
      </c>
      <c r="B334" s="1600">
        <v>3122</v>
      </c>
      <c r="C334" s="1600">
        <v>5213</v>
      </c>
      <c r="D334" s="1638"/>
      <c r="E334" s="1635" t="s">
        <v>1232</v>
      </c>
      <c r="F334" s="1636"/>
      <c r="G334" s="1636">
        <f>SUM(G335:G335)</f>
        <v>4122</v>
      </c>
      <c r="H334" s="1636">
        <f>SUM(H335:H335)</f>
        <v>4122</v>
      </c>
      <c r="I334" s="1637">
        <f>(H334/G334)*100</f>
        <v>100</v>
      </c>
      <c r="IV334" s="1587">
        <f>SUM(I334:IU334)</f>
        <v>100</v>
      </c>
    </row>
    <row r="335" spans="1:256" s="1574" customFormat="1" x14ac:dyDescent="0.2">
      <c r="A335" s="1599"/>
      <c r="B335" s="1616"/>
      <c r="C335" s="1616"/>
      <c r="D335" s="1119" t="s">
        <v>1189</v>
      </c>
      <c r="E335" s="1355" t="s">
        <v>0</v>
      </c>
      <c r="F335" s="1367"/>
      <c r="G335" s="1362">
        <v>4122</v>
      </c>
      <c r="H335" s="1362">
        <v>4122</v>
      </c>
      <c r="I335" s="1366">
        <f>(H335/G335)*100</f>
        <v>100</v>
      </c>
      <c r="IV335" s="1574">
        <f>SUM(A335:IU335)</f>
        <v>8344</v>
      </c>
    </row>
    <row r="336" spans="1:256" s="1574" customFormat="1" ht="15" x14ac:dyDescent="0.2">
      <c r="A336" s="1599">
        <v>1540</v>
      </c>
      <c r="B336" s="1616">
        <v>3419</v>
      </c>
      <c r="C336" s="1616">
        <v>5213</v>
      </c>
      <c r="D336" s="781"/>
      <c r="E336" s="1635" t="s">
        <v>1232</v>
      </c>
      <c r="F336" s="1636"/>
      <c r="G336" s="1636">
        <v>25</v>
      </c>
      <c r="H336" s="1636">
        <f>H337</f>
        <v>19</v>
      </c>
      <c r="I336" s="1637">
        <f>(H336/G336)*100</f>
        <v>76</v>
      </c>
    </row>
    <row r="337" spans="1:256" s="1574" customFormat="1" ht="18" customHeight="1" thickBot="1" x14ac:dyDescent="0.25">
      <c r="A337" s="1599"/>
      <c r="B337" s="1616"/>
      <c r="C337" s="1616"/>
      <c r="D337" s="1656" t="s">
        <v>1262</v>
      </c>
      <c r="E337" s="1657" t="s">
        <v>1973</v>
      </c>
      <c r="F337" s="1362"/>
      <c r="G337" s="1362">
        <v>25</v>
      </c>
      <c r="H337" s="1362">
        <v>19</v>
      </c>
      <c r="I337" s="1366">
        <f>(H337/G337)*100</f>
        <v>76</v>
      </c>
    </row>
    <row r="338" spans="1:256" s="1574" customFormat="1" ht="18" customHeight="1" thickTop="1" thickBot="1" x14ac:dyDescent="0.25">
      <c r="A338" s="2696" t="s">
        <v>1162</v>
      </c>
      <c r="B338" s="2697"/>
      <c r="C338" s="2697"/>
      <c r="D338" s="2697"/>
      <c r="E338" s="2705"/>
      <c r="F338" s="1585">
        <f>SUM(F334)</f>
        <v>0</v>
      </c>
      <c r="G338" s="1585">
        <f>SUM(G334,G336,G332)</f>
        <v>5757</v>
      </c>
      <c r="H338" s="1585">
        <f>SUM(H334,H336,H332)</f>
        <v>5751</v>
      </c>
      <c r="I338" s="1586">
        <f>(H338/G338)*100</f>
        <v>99.895779051589372</v>
      </c>
      <c r="IV338" s="1587">
        <f>SUM(IV334:IV335)</f>
        <v>8444</v>
      </c>
    </row>
    <row r="339" spans="1:256" s="1574" customFormat="1" ht="18" customHeight="1" thickTop="1" x14ac:dyDescent="0.2">
      <c r="B339" s="1588"/>
      <c r="D339" s="1589"/>
      <c r="F339" s="1624"/>
      <c r="G339" s="1624"/>
      <c r="H339" s="1624"/>
      <c r="I339" s="1625"/>
    </row>
    <row r="340" spans="1:256" s="1574" customFormat="1" ht="18" customHeight="1" x14ac:dyDescent="0.2">
      <c r="B340" s="1588"/>
      <c r="D340" s="1589"/>
      <c r="F340" s="1624"/>
      <c r="G340" s="1624"/>
      <c r="H340" s="1624"/>
      <c r="I340" s="1625"/>
    </row>
    <row r="341" spans="1:256" s="1574" customFormat="1" ht="15" thickBot="1" x14ac:dyDescent="0.25">
      <c r="A341" s="1602" t="s">
        <v>571</v>
      </c>
      <c r="B341" s="1588"/>
      <c r="D341" s="1589"/>
      <c r="F341" s="1624"/>
      <c r="G341" s="1624"/>
      <c r="H341" s="1624"/>
      <c r="I341" s="1626" t="s">
        <v>173</v>
      </c>
    </row>
    <row r="342" spans="1:256" s="1632" customFormat="1" ht="20.25" customHeight="1" thickTop="1" thickBot="1" x14ac:dyDescent="0.25">
      <c r="A342" s="1627" t="s">
        <v>661</v>
      </c>
      <c r="B342" s="1628" t="s">
        <v>174</v>
      </c>
      <c r="C342" s="1629" t="s">
        <v>175</v>
      </c>
      <c r="D342" s="1630" t="s">
        <v>744</v>
      </c>
      <c r="E342" s="1630" t="s">
        <v>176</v>
      </c>
      <c r="F342" s="1630" t="s">
        <v>177</v>
      </c>
      <c r="G342" s="1630" t="s">
        <v>922</v>
      </c>
      <c r="H342" s="1630" t="s">
        <v>923</v>
      </c>
      <c r="I342" s="1631" t="s">
        <v>924</v>
      </c>
    </row>
    <row r="343" spans="1:256" s="1598" customFormat="1" ht="13.5" thickTop="1" thickBot="1" x14ac:dyDescent="0.25">
      <c r="A343" s="1593">
        <v>1</v>
      </c>
      <c r="B343" s="1594">
        <v>2</v>
      </c>
      <c r="C343" s="1594">
        <v>3</v>
      </c>
      <c r="D343" s="1594">
        <v>4</v>
      </c>
      <c r="E343" s="1594">
        <v>5</v>
      </c>
      <c r="F343" s="1595">
        <v>6</v>
      </c>
      <c r="G343" s="1595">
        <v>7</v>
      </c>
      <c r="H343" s="1596">
        <v>8</v>
      </c>
      <c r="I343" s="1597" t="s">
        <v>801</v>
      </c>
    </row>
    <row r="344" spans="1:256" s="1574" customFormat="1" ht="15.75" thickTop="1" x14ac:dyDescent="0.2">
      <c r="A344" s="1644">
        <v>1542</v>
      </c>
      <c r="B344" s="1645">
        <v>3150</v>
      </c>
      <c r="C344" s="1645">
        <v>5213</v>
      </c>
      <c r="D344" s="1646"/>
      <c r="E344" s="1635" t="s">
        <v>1232</v>
      </c>
      <c r="F344" s="1642"/>
      <c r="G344" s="1642">
        <f>SUM(G345:G345)</f>
        <v>3701</v>
      </c>
      <c r="H344" s="1642">
        <f>SUM(H345:H345)</f>
        <v>3701</v>
      </c>
      <c r="I344" s="1647">
        <f>(H344/G344)*100</f>
        <v>100</v>
      </c>
      <c r="IV344" s="1587">
        <f>SUM(I344:IU344)</f>
        <v>100</v>
      </c>
    </row>
    <row r="345" spans="1:256" s="1574" customFormat="1" ht="14.25" customHeight="1" thickBot="1" x14ac:dyDescent="0.25">
      <c r="A345" s="1599"/>
      <c r="B345" s="1616"/>
      <c r="C345" s="1616"/>
      <c r="D345" s="1119" t="s">
        <v>1189</v>
      </c>
      <c r="E345" s="1357" t="s">
        <v>0</v>
      </c>
      <c r="F345" s="1362"/>
      <c r="G345" s="1362">
        <v>3701</v>
      </c>
      <c r="H345" s="1362">
        <v>3701</v>
      </c>
      <c r="I345" s="1366">
        <f>(H345/G345)*100</f>
        <v>100</v>
      </c>
      <c r="IV345" s="1587"/>
    </row>
    <row r="346" spans="1:256" s="1574" customFormat="1" ht="16.5" thickTop="1" thickBot="1" x14ac:dyDescent="0.25">
      <c r="A346" s="2696" t="s">
        <v>1162</v>
      </c>
      <c r="B346" s="2697"/>
      <c r="C346" s="2697"/>
      <c r="D346" s="2697"/>
      <c r="E346" s="2697"/>
      <c r="F346" s="1585">
        <f>SUM(F344)</f>
        <v>0</v>
      </c>
      <c r="G346" s="1585">
        <f>SUM(G344)</f>
        <v>3701</v>
      </c>
      <c r="H346" s="1585">
        <f>SUM(H344)</f>
        <v>3701</v>
      </c>
      <c r="I346" s="1586">
        <f>(H346/G346)*100</f>
        <v>100</v>
      </c>
      <c r="IV346" s="1587">
        <f>SUM(IV344:IV345)</f>
        <v>100</v>
      </c>
    </row>
    <row r="347" spans="1:256" s="1574" customFormat="1" ht="15.75" thickTop="1" x14ac:dyDescent="0.2">
      <c r="A347" s="1571"/>
      <c r="B347" s="1571"/>
      <c r="C347" s="1571"/>
      <c r="D347" s="1571"/>
      <c r="E347" s="1571"/>
      <c r="F347" s="1614"/>
      <c r="G347" s="1614"/>
      <c r="H347" s="1614"/>
      <c r="I347" s="1615"/>
      <c r="IV347" s="1587"/>
    </row>
    <row r="348" spans="1:256" s="1574" customFormat="1" ht="18" customHeight="1" x14ac:dyDescent="0.2">
      <c r="A348" s="1571"/>
      <c r="B348" s="1571"/>
      <c r="C348" s="1571"/>
      <c r="D348" s="1571"/>
      <c r="E348" s="1571"/>
      <c r="F348" s="1614"/>
      <c r="G348" s="1614"/>
      <c r="H348" s="1614"/>
      <c r="I348" s="1615"/>
      <c r="IV348" s="1587"/>
    </row>
    <row r="349" spans="1:256" s="1574" customFormat="1" ht="15" thickBot="1" x14ac:dyDescent="0.25">
      <c r="A349" s="1602" t="s">
        <v>171</v>
      </c>
      <c r="B349" s="1588"/>
      <c r="D349" s="1589"/>
      <c r="F349" s="1624"/>
      <c r="G349" s="1624"/>
      <c r="H349" s="1624"/>
      <c r="I349" s="1626" t="s">
        <v>173</v>
      </c>
    </row>
    <row r="350" spans="1:256" s="1632" customFormat="1" ht="12.75" thickTop="1" thickBot="1" x14ac:dyDescent="0.25">
      <c r="A350" s="1627" t="s">
        <v>661</v>
      </c>
      <c r="B350" s="1628" t="s">
        <v>174</v>
      </c>
      <c r="C350" s="1629" t="s">
        <v>175</v>
      </c>
      <c r="D350" s="1630" t="s">
        <v>744</v>
      </c>
      <c r="E350" s="1630" t="s">
        <v>176</v>
      </c>
      <c r="F350" s="1630" t="s">
        <v>177</v>
      </c>
      <c r="G350" s="1630" t="s">
        <v>922</v>
      </c>
      <c r="H350" s="1630" t="s">
        <v>923</v>
      </c>
      <c r="I350" s="1631" t="s">
        <v>924</v>
      </c>
    </row>
    <row r="351" spans="1:256" s="1598" customFormat="1" ht="13.5" thickTop="1" thickBot="1" x14ac:dyDescent="0.25">
      <c r="A351" s="1593">
        <v>1</v>
      </c>
      <c r="B351" s="1594">
        <v>2</v>
      </c>
      <c r="C351" s="1594">
        <v>3</v>
      </c>
      <c r="D351" s="1594">
        <v>4</v>
      </c>
      <c r="E351" s="1594">
        <v>5</v>
      </c>
      <c r="F351" s="1595">
        <v>6</v>
      </c>
      <c r="G351" s="1595">
        <v>7</v>
      </c>
      <c r="H351" s="1596">
        <v>8</v>
      </c>
      <c r="I351" s="1597" t="s">
        <v>801</v>
      </c>
    </row>
    <row r="352" spans="1:256" s="1574" customFormat="1" ht="15.75" thickTop="1" x14ac:dyDescent="0.2">
      <c r="A352" s="1644">
        <v>1543</v>
      </c>
      <c r="B352" s="1645">
        <v>3122</v>
      </c>
      <c r="C352" s="1645">
        <v>5213</v>
      </c>
      <c r="D352" s="1646"/>
      <c r="E352" s="1635" t="s">
        <v>1232</v>
      </c>
      <c r="F352" s="1642"/>
      <c r="G352" s="1642">
        <f>SUM(G353:G353)</f>
        <v>2875</v>
      </c>
      <c r="H352" s="1642">
        <f>SUM(H353:H353)</f>
        <v>2875</v>
      </c>
      <c r="I352" s="1647">
        <f>(H352/G352)*100</f>
        <v>100</v>
      </c>
      <c r="IV352" s="1587">
        <f>SUM(I352:IU352)</f>
        <v>100</v>
      </c>
    </row>
    <row r="353" spans="1:256" s="1574" customFormat="1" ht="20.25" customHeight="1" thickBot="1" x14ac:dyDescent="0.25">
      <c r="A353" s="1599"/>
      <c r="B353" s="1616"/>
      <c r="C353" s="1616"/>
      <c r="D353" s="1119" t="s">
        <v>1189</v>
      </c>
      <c r="E353" s="1355" t="s">
        <v>0</v>
      </c>
      <c r="F353" s="1362"/>
      <c r="G353" s="1362">
        <v>2875</v>
      </c>
      <c r="H353" s="1362">
        <v>2875</v>
      </c>
      <c r="I353" s="1366">
        <f>(H353/G353)*100</f>
        <v>100</v>
      </c>
    </row>
    <row r="354" spans="1:256" s="1574" customFormat="1" ht="16.5" thickTop="1" thickBot="1" x14ac:dyDescent="0.25">
      <c r="A354" s="2702" t="s">
        <v>1162</v>
      </c>
      <c r="B354" s="2703"/>
      <c r="C354" s="2703"/>
      <c r="D354" s="2703"/>
      <c r="E354" s="2704"/>
      <c r="F354" s="1585">
        <f>SUM(F352)</f>
        <v>0</v>
      </c>
      <c r="G354" s="1585">
        <f>SUM(G352)</f>
        <v>2875</v>
      </c>
      <c r="H354" s="1585">
        <f>H352</f>
        <v>2875</v>
      </c>
      <c r="I354" s="1586">
        <f>(H354/G354)*100</f>
        <v>100</v>
      </c>
      <c r="IV354" s="1587">
        <f>SUM(IV352:IV353)</f>
        <v>100</v>
      </c>
    </row>
    <row r="355" spans="1:256" s="1574" customFormat="1" ht="15" thickTop="1" x14ac:dyDescent="0.2">
      <c r="B355" s="1588"/>
      <c r="D355" s="1589"/>
      <c r="F355" s="1624"/>
      <c r="G355" s="1624"/>
      <c r="H355" s="1624"/>
      <c r="I355" s="1625"/>
    </row>
    <row r="356" spans="1:256" s="1574" customFormat="1" ht="15" customHeight="1" x14ac:dyDescent="0.2">
      <c r="B356" s="1588"/>
      <c r="D356" s="1589"/>
      <c r="F356" s="1624"/>
      <c r="G356" s="1624"/>
      <c r="H356" s="1624"/>
      <c r="I356" s="1625"/>
    </row>
    <row r="357" spans="1:256" s="1574" customFormat="1" ht="15" thickBot="1" x14ac:dyDescent="0.25">
      <c r="A357" s="1602" t="s">
        <v>572</v>
      </c>
      <c r="B357" s="1588"/>
      <c r="D357" s="1589"/>
      <c r="F357" s="1624"/>
      <c r="G357" s="1624"/>
      <c r="H357" s="1624"/>
      <c r="I357" s="1626" t="s">
        <v>173</v>
      </c>
    </row>
    <row r="358" spans="1:256" s="1632" customFormat="1" ht="12.75" thickTop="1" thickBot="1" x14ac:dyDescent="0.25">
      <c r="A358" s="1627" t="s">
        <v>661</v>
      </c>
      <c r="B358" s="1628" t="s">
        <v>174</v>
      </c>
      <c r="C358" s="1629" t="s">
        <v>175</v>
      </c>
      <c r="D358" s="1630" t="s">
        <v>744</v>
      </c>
      <c r="E358" s="1630" t="s">
        <v>176</v>
      </c>
      <c r="F358" s="1630" t="s">
        <v>177</v>
      </c>
      <c r="G358" s="1630" t="s">
        <v>922</v>
      </c>
      <c r="H358" s="1630" t="s">
        <v>923</v>
      </c>
      <c r="I358" s="1631" t="s">
        <v>924</v>
      </c>
    </row>
    <row r="359" spans="1:256" s="1598" customFormat="1" ht="18" customHeight="1" thickTop="1" thickBot="1" x14ac:dyDescent="0.25">
      <c r="A359" s="1593">
        <v>1</v>
      </c>
      <c r="B359" s="1594">
        <v>2</v>
      </c>
      <c r="C359" s="1594">
        <v>3</v>
      </c>
      <c r="D359" s="1594">
        <v>4</v>
      </c>
      <c r="E359" s="1594">
        <v>5</v>
      </c>
      <c r="F359" s="1595">
        <v>6</v>
      </c>
      <c r="G359" s="1595">
        <v>7</v>
      </c>
      <c r="H359" s="1596">
        <v>8</v>
      </c>
      <c r="I359" s="1597" t="s">
        <v>801</v>
      </c>
    </row>
    <row r="360" spans="1:256" s="1574" customFormat="1" ht="15.75" thickTop="1" x14ac:dyDescent="0.2">
      <c r="A360" s="1644">
        <v>1544</v>
      </c>
      <c r="B360" s="1645">
        <v>3122</v>
      </c>
      <c r="C360" s="1645">
        <v>5213</v>
      </c>
      <c r="D360" s="1646"/>
      <c r="E360" s="1635" t="s">
        <v>1232</v>
      </c>
      <c r="F360" s="1642"/>
      <c r="G360" s="1642">
        <f>SUM(G361:G361)</f>
        <v>6129</v>
      </c>
      <c r="H360" s="1642">
        <f>SUM(H361:H361)</f>
        <v>6129</v>
      </c>
      <c r="I360" s="1647">
        <f>(H360/G360)*100</f>
        <v>100</v>
      </c>
      <c r="IV360" s="1587">
        <f>SUM(I360:IU360)</f>
        <v>100</v>
      </c>
    </row>
    <row r="361" spans="1:256" s="1574" customFormat="1" ht="15" thickBot="1" x14ac:dyDescent="0.25">
      <c r="A361" s="1599"/>
      <c r="B361" s="1616"/>
      <c r="C361" s="1616"/>
      <c r="D361" s="1119" t="s">
        <v>1189</v>
      </c>
      <c r="E361" s="1355" t="s">
        <v>0</v>
      </c>
      <c r="F361" s="1362"/>
      <c r="G361" s="1362">
        <v>6129</v>
      </c>
      <c r="H361" s="1362">
        <v>6129</v>
      </c>
      <c r="I361" s="1366">
        <f>(H361/G361)*100</f>
        <v>100</v>
      </c>
      <c r="IV361" s="1574">
        <f>SUM(A361:IU361)</f>
        <v>12358</v>
      </c>
    </row>
    <row r="362" spans="1:256" s="1574" customFormat="1" ht="16.5" thickTop="1" thickBot="1" x14ac:dyDescent="0.25">
      <c r="A362" s="2696" t="s">
        <v>1162</v>
      </c>
      <c r="B362" s="2697"/>
      <c r="C362" s="2697"/>
      <c r="D362" s="2697"/>
      <c r="E362" s="2697"/>
      <c r="F362" s="1585">
        <f>SUM(F360)</f>
        <v>0</v>
      </c>
      <c r="G362" s="1585">
        <f>G360</f>
        <v>6129</v>
      </c>
      <c r="H362" s="1585">
        <f>H360</f>
        <v>6129</v>
      </c>
      <c r="I362" s="1586">
        <f>(H362/G362)*100</f>
        <v>100</v>
      </c>
      <c r="IV362" s="1587">
        <f>SUM(IV360:IV361)</f>
        <v>12458</v>
      </c>
    </row>
    <row r="363" spans="1:256" s="1574" customFormat="1" ht="15" thickTop="1" x14ac:dyDescent="0.2">
      <c r="B363" s="1588"/>
      <c r="D363" s="1589"/>
      <c r="F363" s="1624"/>
      <c r="G363" s="1624"/>
      <c r="H363" s="1624"/>
      <c r="I363" s="1625"/>
    </row>
    <row r="364" spans="1:256" s="1574" customFormat="1" ht="15.75" customHeight="1" x14ac:dyDescent="0.2">
      <c r="B364" s="1588"/>
      <c r="D364" s="1589"/>
      <c r="F364" s="1624"/>
      <c r="G364" s="1624"/>
      <c r="H364" s="1624"/>
      <c r="I364" s="1625"/>
    </row>
    <row r="365" spans="1:256" s="1574" customFormat="1" ht="15" thickBot="1" x14ac:dyDescent="0.25">
      <c r="A365" s="1602" t="s">
        <v>31</v>
      </c>
      <c r="B365" s="1588"/>
      <c r="D365" s="1589"/>
      <c r="F365" s="1624"/>
      <c r="G365" s="1624"/>
      <c r="H365" s="1624"/>
      <c r="I365" s="1626" t="s">
        <v>173</v>
      </c>
    </row>
    <row r="366" spans="1:256" s="1632" customFormat="1" ht="12.75" thickTop="1" thickBot="1" x14ac:dyDescent="0.25">
      <c r="A366" s="1627" t="s">
        <v>661</v>
      </c>
      <c r="B366" s="1628" t="s">
        <v>174</v>
      </c>
      <c r="C366" s="1629" t="s">
        <v>175</v>
      </c>
      <c r="D366" s="1630" t="s">
        <v>744</v>
      </c>
      <c r="E366" s="1630" t="s">
        <v>176</v>
      </c>
      <c r="F366" s="1630" t="s">
        <v>177</v>
      </c>
      <c r="G366" s="1630" t="s">
        <v>922</v>
      </c>
      <c r="H366" s="1630" t="s">
        <v>923</v>
      </c>
      <c r="I366" s="1631" t="s">
        <v>924</v>
      </c>
    </row>
    <row r="367" spans="1:256" s="1598" customFormat="1" ht="15" customHeight="1" thickTop="1" thickBot="1" x14ac:dyDescent="0.25">
      <c r="A367" s="1593">
        <v>1</v>
      </c>
      <c r="B367" s="1594">
        <v>2</v>
      </c>
      <c r="C367" s="1594">
        <v>3</v>
      </c>
      <c r="D367" s="1594">
        <v>4</v>
      </c>
      <c r="E367" s="1594">
        <v>5</v>
      </c>
      <c r="F367" s="1595">
        <v>6</v>
      </c>
      <c r="G367" s="1595">
        <v>7</v>
      </c>
      <c r="H367" s="1596">
        <v>8</v>
      </c>
      <c r="I367" s="1597" t="s">
        <v>801</v>
      </c>
    </row>
    <row r="368" spans="1:256" s="1574" customFormat="1" ht="15.75" thickTop="1" x14ac:dyDescent="0.2">
      <c r="A368" s="1644">
        <v>1545</v>
      </c>
      <c r="B368" s="1645">
        <v>3122</v>
      </c>
      <c r="C368" s="1645">
        <v>5213</v>
      </c>
      <c r="D368" s="1646"/>
      <c r="E368" s="1635" t="s">
        <v>1232</v>
      </c>
      <c r="F368" s="1642"/>
      <c r="G368" s="1642">
        <f>SUM(G369:G369)</f>
        <v>2678</v>
      </c>
      <c r="H368" s="1642">
        <f>SUM(H369:H369)</f>
        <v>2678</v>
      </c>
      <c r="I368" s="1647">
        <f>(H368/G368)*100</f>
        <v>100</v>
      </c>
      <c r="IV368" s="1587">
        <f>SUM(I368:IU368)</f>
        <v>100</v>
      </c>
    </row>
    <row r="369" spans="1:256" s="1574" customFormat="1" ht="15" thickBot="1" x14ac:dyDescent="0.25">
      <c r="A369" s="1599"/>
      <c r="B369" s="1616"/>
      <c r="C369" s="1616"/>
      <c r="D369" s="1119" t="s">
        <v>1189</v>
      </c>
      <c r="E369" s="1357" t="s">
        <v>0</v>
      </c>
      <c r="F369" s="1362"/>
      <c r="G369" s="1362">
        <v>2678</v>
      </c>
      <c r="H369" s="1362">
        <v>2678</v>
      </c>
      <c r="I369" s="1366">
        <f>(H369/G369)*100</f>
        <v>100</v>
      </c>
      <c r="IV369" s="1587"/>
    </row>
    <row r="370" spans="1:256" s="1574" customFormat="1" ht="18" customHeight="1" thickTop="1" thickBot="1" x14ac:dyDescent="0.25">
      <c r="A370" s="2696" t="s">
        <v>1162</v>
      </c>
      <c r="B370" s="2697"/>
      <c r="C370" s="2697"/>
      <c r="D370" s="2697"/>
      <c r="E370" s="2697"/>
      <c r="F370" s="1585">
        <f>SUM(F368)</f>
        <v>0</v>
      </c>
      <c r="G370" s="1585">
        <f>SUM(G368)</f>
        <v>2678</v>
      </c>
      <c r="H370" s="1585">
        <f>SUM(H368)</f>
        <v>2678</v>
      </c>
      <c r="I370" s="1586">
        <f>(H370/G370)*100</f>
        <v>100</v>
      </c>
      <c r="IV370" s="1587">
        <f>SUM(IV368:IV369)</f>
        <v>100</v>
      </c>
    </row>
    <row r="371" spans="1:256" s="1574" customFormat="1" ht="15" thickTop="1" x14ac:dyDescent="0.2">
      <c r="B371" s="1588"/>
      <c r="D371" s="1589"/>
      <c r="F371" s="1624"/>
      <c r="G371" s="1624"/>
      <c r="H371" s="1624"/>
      <c r="I371" s="1625"/>
    </row>
    <row r="372" spans="1:256" s="1574" customFormat="1" x14ac:dyDescent="0.2">
      <c r="B372" s="1588"/>
      <c r="D372" s="1589"/>
      <c r="F372" s="1624"/>
      <c r="G372" s="1624"/>
      <c r="H372" s="1624"/>
      <c r="I372" s="1625"/>
    </row>
    <row r="373" spans="1:256" s="1574" customFormat="1" ht="15" thickBot="1" x14ac:dyDescent="0.25">
      <c r="A373" s="1602" t="s">
        <v>1974</v>
      </c>
      <c r="B373" s="1588"/>
      <c r="D373" s="1589"/>
      <c r="F373" s="1624"/>
      <c r="G373" s="1624"/>
      <c r="H373" s="1624"/>
      <c r="I373" s="1626" t="s">
        <v>173</v>
      </c>
    </row>
    <row r="374" spans="1:256" s="1632" customFormat="1" ht="12.75" thickTop="1" thickBot="1" x14ac:dyDescent="0.25">
      <c r="A374" s="1627" t="s">
        <v>661</v>
      </c>
      <c r="B374" s="1628" t="s">
        <v>174</v>
      </c>
      <c r="C374" s="1629" t="s">
        <v>175</v>
      </c>
      <c r="D374" s="1630" t="s">
        <v>744</v>
      </c>
      <c r="E374" s="1630" t="s">
        <v>176</v>
      </c>
      <c r="F374" s="1630" t="s">
        <v>177</v>
      </c>
      <c r="G374" s="1630" t="s">
        <v>922</v>
      </c>
      <c r="H374" s="1630" t="s">
        <v>923</v>
      </c>
      <c r="I374" s="1631" t="s">
        <v>924</v>
      </c>
    </row>
    <row r="375" spans="1:256" s="1598" customFormat="1" ht="20.25" customHeight="1" thickTop="1" thickBot="1" x14ac:dyDescent="0.25">
      <c r="A375" s="1593">
        <v>1</v>
      </c>
      <c r="B375" s="1594">
        <v>2</v>
      </c>
      <c r="C375" s="1594">
        <v>3</v>
      </c>
      <c r="D375" s="1594">
        <v>4</v>
      </c>
      <c r="E375" s="1594">
        <v>5</v>
      </c>
      <c r="F375" s="1595">
        <v>6</v>
      </c>
      <c r="G375" s="1595">
        <v>7</v>
      </c>
      <c r="H375" s="1596">
        <v>8</v>
      </c>
      <c r="I375" s="1597" t="s">
        <v>801</v>
      </c>
    </row>
    <row r="376" spans="1:256" s="1574" customFormat="1" ht="15.75" thickTop="1" x14ac:dyDescent="0.2">
      <c r="A376" s="1644">
        <v>1550</v>
      </c>
      <c r="B376" s="1645">
        <v>3123</v>
      </c>
      <c r="C376" s="1645">
        <v>5213</v>
      </c>
      <c r="D376" s="1646"/>
      <c r="E376" s="1635" t="s">
        <v>1232</v>
      </c>
      <c r="F376" s="1642"/>
      <c r="G376" s="1642">
        <f>SUM(G377:G377)</f>
        <v>9153</v>
      </c>
      <c r="H376" s="1642">
        <f>SUM(H377:H377)</f>
        <v>9153</v>
      </c>
      <c r="I376" s="1647">
        <f t="shared" ref="I376:I382" si="17">(H376/G376)*100</f>
        <v>100</v>
      </c>
      <c r="IV376" s="1587">
        <f>SUM(I376:IU376)</f>
        <v>100</v>
      </c>
    </row>
    <row r="377" spans="1:256" s="1574" customFormat="1" x14ac:dyDescent="0.2">
      <c r="A377" s="1599"/>
      <c r="B377" s="1616"/>
      <c r="C377" s="1616"/>
      <c r="D377" s="1119" t="s">
        <v>1189</v>
      </c>
      <c r="E377" s="1355" t="s">
        <v>0</v>
      </c>
      <c r="F377" s="1367"/>
      <c r="G377" s="1367">
        <v>9153</v>
      </c>
      <c r="H377" s="1367">
        <v>9153</v>
      </c>
      <c r="I377" s="1363">
        <f t="shared" si="17"/>
        <v>100</v>
      </c>
      <c r="IV377" s="1574">
        <f>SUM(A377:IU377)</f>
        <v>18406</v>
      </c>
    </row>
    <row r="378" spans="1:256" s="1574" customFormat="1" ht="15" customHeight="1" x14ac:dyDescent="0.2">
      <c r="A378" s="1599">
        <v>1550</v>
      </c>
      <c r="B378" s="1616">
        <v>3141</v>
      </c>
      <c r="C378" s="1616">
        <v>5213</v>
      </c>
      <c r="D378" s="1638"/>
      <c r="E378" s="1639" t="s">
        <v>1232</v>
      </c>
      <c r="F378" s="1640"/>
      <c r="G378" s="1640">
        <f>SUM(G379)</f>
        <v>1070</v>
      </c>
      <c r="H378" s="1640">
        <f>SUM(H379)</f>
        <v>1070</v>
      </c>
      <c r="I378" s="1641">
        <f t="shared" si="17"/>
        <v>100</v>
      </c>
      <c r="IV378" s="1587">
        <f>SUM(I378:IU378)</f>
        <v>100</v>
      </c>
    </row>
    <row r="379" spans="1:256" s="1574" customFormat="1" x14ac:dyDescent="0.2">
      <c r="A379" s="1599"/>
      <c r="B379" s="1616"/>
      <c r="C379" s="1616"/>
      <c r="D379" s="1119" t="s">
        <v>1189</v>
      </c>
      <c r="E379" s="1355" t="s">
        <v>0</v>
      </c>
      <c r="F379" s="1362"/>
      <c r="G379" s="1362">
        <v>1070</v>
      </c>
      <c r="H379" s="1362">
        <v>1070</v>
      </c>
      <c r="I379" s="1366">
        <f t="shared" si="17"/>
        <v>100</v>
      </c>
      <c r="IV379" s="1574">
        <f>SUM(A379:IU379)</f>
        <v>2240</v>
      </c>
    </row>
    <row r="380" spans="1:256" s="1574" customFormat="1" ht="15" x14ac:dyDescent="0.2">
      <c r="A380" s="1599">
        <v>1550</v>
      </c>
      <c r="B380" s="1616">
        <v>3142</v>
      </c>
      <c r="C380" s="1616">
        <v>5213</v>
      </c>
      <c r="D380" s="1638"/>
      <c r="E380" s="1639" t="s">
        <v>1232</v>
      </c>
      <c r="F380" s="1640"/>
      <c r="G380" s="1640">
        <f>SUM(G381:G381)</f>
        <v>784</v>
      </c>
      <c r="H380" s="1640">
        <f>SUM(H381:H381)</f>
        <v>784</v>
      </c>
      <c r="I380" s="1641">
        <f t="shared" si="17"/>
        <v>100</v>
      </c>
      <c r="IV380" s="1587">
        <f>SUM(I380:IU380)</f>
        <v>100</v>
      </c>
    </row>
    <row r="381" spans="1:256" s="1574" customFormat="1" ht="15" thickBot="1" x14ac:dyDescent="0.25">
      <c r="A381" s="1599"/>
      <c r="B381" s="1616"/>
      <c r="C381" s="1616"/>
      <c r="D381" s="781" t="s">
        <v>1189</v>
      </c>
      <c r="E381" s="1658" t="s">
        <v>2</v>
      </c>
      <c r="F381" s="1362"/>
      <c r="G381" s="1362">
        <v>784</v>
      </c>
      <c r="H381" s="1362">
        <v>784</v>
      </c>
      <c r="I381" s="1366">
        <f t="shared" si="17"/>
        <v>100</v>
      </c>
      <c r="IV381" s="1574">
        <f>SUM(A381:IU381)</f>
        <v>1668</v>
      </c>
    </row>
    <row r="382" spans="1:256" s="1574" customFormat="1" ht="16.5" thickTop="1" thickBot="1" x14ac:dyDescent="0.25">
      <c r="A382" s="2696" t="s">
        <v>1162</v>
      </c>
      <c r="B382" s="2697"/>
      <c r="C382" s="2697"/>
      <c r="D382" s="2697"/>
      <c r="E382" s="2697"/>
      <c r="F382" s="1585">
        <f>SUM(F376)</f>
        <v>0</v>
      </c>
      <c r="G382" s="1585">
        <f>SUM(G380,G378,G376)</f>
        <v>11007</v>
      </c>
      <c r="H382" s="1585">
        <f>SUM(H380,H378,H376)</f>
        <v>11007</v>
      </c>
      <c r="I382" s="1586">
        <f t="shared" si="17"/>
        <v>100</v>
      </c>
      <c r="IV382" s="1587">
        <f>SUM(IV376:IV377)</f>
        <v>18506</v>
      </c>
    </row>
    <row r="383" spans="1:256" s="1574" customFormat="1" ht="15.75" thickTop="1" x14ac:dyDescent="0.2">
      <c r="A383" s="1571"/>
      <c r="B383" s="1571"/>
      <c r="C383" s="1571"/>
      <c r="D383" s="1571"/>
      <c r="E383" s="1571"/>
      <c r="F383" s="1614"/>
      <c r="G383" s="1614"/>
      <c r="H383" s="1614"/>
      <c r="I383" s="1615"/>
      <c r="IV383" s="1587"/>
    </row>
    <row r="384" spans="1:256" s="1574" customFormat="1" ht="15" thickBot="1" x14ac:dyDescent="0.25">
      <c r="A384" s="1602" t="s">
        <v>573</v>
      </c>
      <c r="B384" s="1588"/>
      <c r="D384" s="1589"/>
      <c r="F384" s="1624"/>
      <c r="G384" s="1624"/>
      <c r="H384" s="1624"/>
      <c r="I384" s="1626" t="s">
        <v>173</v>
      </c>
    </row>
    <row r="385" spans="1:256" s="1632" customFormat="1" ht="18" customHeight="1" thickTop="1" thickBot="1" x14ac:dyDescent="0.25">
      <c r="A385" s="1627" t="s">
        <v>661</v>
      </c>
      <c r="B385" s="1628" t="s">
        <v>174</v>
      </c>
      <c r="C385" s="1629" t="s">
        <v>175</v>
      </c>
      <c r="D385" s="1630" t="s">
        <v>744</v>
      </c>
      <c r="E385" s="1630" t="s">
        <v>176</v>
      </c>
      <c r="F385" s="1630" t="s">
        <v>177</v>
      </c>
      <c r="G385" s="1630" t="s">
        <v>922</v>
      </c>
      <c r="H385" s="1630" t="s">
        <v>923</v>
      </c>
      <c r="I385" s="1631" t="s">
        <v>924</v>
      </c>
    </row>
    <row r="386" spans="1:256" s="1598" customFormat="1" ht="18" customHeight="1" thickTop="1" thickBot="1" x14ac:dyDescent="0.25">
      <c r="A386" s="1593">
        <v>1</v>
      </c>
      <c r="B386" s="1594">
        <v>2</v>
      </c>
      <c r="C386" s="1594">
        <v>3</v>
      </c>
      <c r="D386" s="1594">
        <v>4</v>
      </c>
      <c r="E386" s="1594">
        <v>5</v>
      </c>
      <c r="F386" s="1595">
        <v>6</v>
      </c>
      <c r="G386" s="1595">
        <v>7</v>
      </c>
      <c r="H386" s="1596">
        <v>8</v>
      </c>
      <c r="I386" s="1597" t="s">
        <v>801</v>
      </c>
    </row>
    <row r="387" spans="1:256" s="1574" customFormat="1" ht="15.75" thickTop="1" x14ac:dyDescent="0.2">
      <c r="A387" s="1644">
        <v>1551</v>
      </c>
      <c r="B387" s="1645">
        <v>3123</v>
      </c>
      <c r="C387" s="1645">
        <v>5213</v>
      </c>
      <c r="D387" s="1646"/>
      <c r="E387" s="1635" t="s">
        <v>1232</v>
      </c>
      <c r="F387" s="1642"/>
      <c r="G387" s="1642">
        <f>SUM(G388:G389)</f>
        <v>3996</v>
      </c>
      <c r="H387" s="1642">
        <f>SUM(H388:H389)</f>
        <v>3996</v>
      </c>
      <c r="I387" s="1647">
        <f>(H387/G387)*100</f>
        <v>100</v>
      </c>
      <c r="IV387" s="1587">
        <f>SUM(I387:IU387)</f>
        <v>100</v>
      </c>
    </row>
    <row r="388" spans="1:256" s="1574" customFormat="1" ht="20.25" customHeight="1" x14ac:dyDescent="0.2">
      <c r="A388" s="1599"/>
      <c r="B388" s="1616"/>
      <c r="C388" s="1616"/>
      <c r="D388" s="1391" t="s">
        <v>968</v>
      </c>
      <c r="E388" s="1354" t="s">
        <v>969</v>
      </c>
      <c r="F388" s="1636"/>
      <c r="G388" s="1449">
        <v>71</v>
      </c>
      <c r="H388" s="1449">
        <v>71</v>
      </c>
      <c r="I388" s="1650">
        <v>100</v>
      </c>
      <c r="IV388" s="1587"/>
    </row>
    <row r="389" spans="1:256" s="1574" customFormat="1" x14ac:dyDescent="0.2">
      <c r="A389" s="1599"/>
      <c r="B389" s="1616"/>
      <c r="C389" s="1616"/>
      <c r="D389" s="1119" t="s">
        <v>1189</v>
      </c>
      <c r="E389" s="1355" t="s">
        <v>0</v>
      </c>
      <c r="F389" s="1367"/>
      <c r="G389" s="1367">
        <v>3925</v>
      </c>
      <c r="H389" s="1367">
        <v>3925</v>
      </c>
      <c r="I389" s="1363">
        <f>(H389/G389)*100</f>
        <v>100</v>
      </c>
      <c r="IV389" s="1574">
        <f>SUM(A389:IU389)</f>
        <v>7950</v>
      </c>
    </row>
    <row r="390" spans="1:256" s="1574" customFormat="1" ht="15" x14ac:dyDescent="0.2">
      <c r="A390" s="1599">
        <v>1551</v>
      </c>
      <c r="B390" s="1616">
        <v>3124</v>
      </c>
      <c r="C390" s="1616">
        <v>5213</v>
      </c>
      <c r="D390" s="1653"/>
      <c r="E390" s="1639" t="s">
        <v>1232</v>
      </c>
      <c r="F390" s="1640"/>
      <c r="G390" s="1640">
        <f>SUM(G391:G392)</f>
        <v>1702</v>
      </c>
      <c r="H390" s="1640">
        <f>SUM(H391:H392)</f>
        <v>1702</v>
      </c>
      <c r="I390" s="1641">
        <f>(H390/G390)*100</f>
        <v>100</v>
      </c>
      <c r="IV390" s="1587">
        <f>SUM(I390:IU390)</f>
        <v>100</v>
      </c>
    </row>
    <row r="391" spans="1:256" s="1574" customFormat="1" ht="15" x14ac:dyDescent="0.2">
      <c r="A391" s="1599"/>
      <c r="B391" s="1616"/>
      <c r="C391" s="1616"/>
      <c r="D391" s="1391" t="s">
        <v>968</v>
      </c>
      <c r="E391" s="1354" t="s">
        <v>969</v>
      </c>
      <c r="F391" s="1640"/>
      <c r="G391" s="1643">
        <v>72</v>
      </c>
      <c r="H391" s="1643">
        <v>72</v>
      </c>
      <c r="I391" s="1659">
        <v>100</v>
      </c>
      <c r="IV391" s="1587"/>
    </row>
    <row r="392" spans="1:256" s="1574" customFormat="1" ht="15" customHeight="1" thickBot="1" x14ac:dyDescent="0.25">
      <c r="A392" s="1599"/>
      <c r="B392" s="1616"/>
      <c r="C392" s="1616"/>
      <c r="D392" s="1119" t="s">
        <v>1189</v>
      </c>
      <c r="E392" s="1355" t="s">
        <v>0</v>
      </c>
      <c r="F392" s="1362"/>
      <c r="G392" s="1362">
        <v>1630</v>
      </c>
      <c r="H392" s="1362">
        <v>1630</v>
      </c>
      <c r="I392" s="1366">
        <f>(H392/G392)*100</f>
        <v>100</v>
      </c>
      <c r="IV392" s="1574">
        <f>SUM(A392:IU392)</f>
        <v>3360</v>
      </c>
    </row>
    <row r="393" spans="1:256" s="1574" customFormat="1" ht="16.5" thickTop="1" thickBot="1" x14ac:dyDescent="0.25">
      <c r="A393" s="2696" t="s">
        <v>1162</v>
      </c>
      <c r="B393" s="2697"/>
      <c r="C393" s="2697"/>
      <c r="D393" s="2697"/>
      <c r="E393" s="2697"/>
      <c r="F393" s="1585">
        <f>SUM(F387)</f>
        <v>0</v>
      </c>
      <c r="G393" s="1585">
        <f>SUM(G387,G390)</f>
        <v>5698</v>
      </c>
      <c r="H393" s="1585">
        <f>SUM(H387,H390)</f>
        <v>5698</v>
      </c>
      <c r="I393" s="1586">
        <f>(H393/G393)*100</f>
        <v>100</v>
      </c>
      <c r="IV393" s="1587">
        <f>SUM(IV387:IV389)</f>
        <v>8050</v>
      </c>
    </row>
    <row r="394" spans="1:256" s="1574" customFormat="1" ht="15" thickTop="1" x14ac:dyDescent="0.2">
      <c r="B394" s="1588"/>
      <c r="D394" s="1589"/>
      <c r="F394" s="1624"/>
      <c r="G394" s="1624"/>
      <c r="H394" s="1624"/>
      <c r="I394" s="1625"/>
    </row>
    <row r="395" spans="1:256" s="1574" customFormat="1" ht="15" thickBot="1" x14ac:dyDescent="0.25">
      <c r="A395" s="1602" t="s">
        <v>983</v>
      </c>
      <c r="B395" s="1588"/>
      <c r="D395" s="1589"/>
      <c r="F395" s="1624"/>
      <c r="G395" s="1624"/>
      <c r="H395" s="1624"/>
      <c r="I395" s="1626" t="s">
        <v>173</v>
      </c>
    </row>
    <row r="396" spans="1:256" s="1632" customFormat="1" ht="12.75" thickTop="1" thickBot="1" x14ac:dyDescent="0.25">
      <c r="A396" s="1627" t="s">
        <v>661</v>
      </c>
      <c r="B396" s="1628" t="s">
        <v>174</v>
      </c>
      <c r="C396" s="1629" t="s">
        <v>175</v>
      </c>
      <c r="D396" s="1630" t="s">
        <v>744</v>
      </c>
      <c r="E396" s="1630" t="s">
        <v>176</v>
      </c>
      <c r="F396" s="1630" t="s">
        <v>177</v>
      </c>
      <c r="G396" s="1630" t="s">
        <v>922</v>
      </c>
      <c r="H396" s="1630" t="s">
        <v>923</v>
      </c>
      <c r="I396" s="1631" t="s">
        <v>924</v>
      </c>
    </row>
    <row r="397" spans="1:256" s="1598" customFormat="1" ht="18" customHeight="1" thickTop="1" thickBot="1" x14ac:dyDescent="0.25">
      <c r="A397" s="1593">
        <v>1</v>
      </c>
      <c r="B397" s="1594">
        <v>2</v>
      </c>
      <c r="C397" s="1594">
        <v>3</v>
      </c>
      <c r="D397" s="1594">
        <v>4</v>
      </c>
      <c r="E397" s="1594">
        <v>5</v>
      </c>
      <c r="F397" s="1595">
        <v>6</v>
      </c>
      <c r="G397" s="1595">
        <v>7</v>
      </c>
      <c r="H397" s="1596">
        <v>8</v>
      </c>
      <c r="I397" s="1597" t="s">
        <v>801</v>
      </c>
    </row>
    <row r="398" spans="1:256" s="1574" customFormat="1" ht="15.75" thickTop="1" x14ac:dyDescent="0.2">
      <c r="A398" s="1644">
        <v>1552</v>
      </c>
      <c r="B398" s="1645">
        <v>3124</v>
      </c>
      <c r="C398" s="1645">
        <v>5213</v>
      </c>
      <c r="D398" s="1646"/>
      <c r="E398" s="1635" t="s">
        <v>1232</v>
      </c>
      <c r="F398" s="1642"/>
      <c r="G398" s="1642">
        <f>SUM(G399:G400)</f>
        <v>3220</v>
      </c>
      <c r="H398" s="1642">
        <f>SUM(H399:H400)</f>
        <v>3220</v>
      </c>
      <c r="I398" s="1647">
        <f>(H398/G398)*100</f>
        <v>100</v>
      </c>
      <c r="IV398" s="1587">
        <f>SUM(I398:IU398)</f>
        <v>100</v>
      </c>
    </row>
    <row r="399" spans="1:256" s="1574" customFormat="1" ht="15" x14ac:dyDescent="0.2">
      <c r="A399" s="1599"/>
      <c r="B399" s="1600"/>
      <c r="C399" s="1600"/>
      <c r="D399" s="1391" t="s">
        <v>968</v>
      </c>
      <c r="E399" s="1354" t="s">
        <v>969</v>
      </c>
      <c r="F399" s="1636"/>
      <c r="G399" s="1449">
        <v>64</v>
      </c>
      <c r="H399" s="1449">
        <v>64</v>
      </c>
      <c r="I399" s="1650">
        <v>100</v>
      </c>
      <c r="IV399" s="1587"/>
    </row>
    <row r="400" spans="1:256" s="1574" customFormat="1" ht="14.25" customHeight="1" thickBot="1" x14ac:dyDescent="0.25">
      <c r="A400" s="1599"/>
      <c r="B400" s="1600"/>
      <c r="C400" s="1600"/>
      <c r="D400" s="1119" t="s">
        <v>1189</v>
      </c>
      <c r="E400" s="1355" t="s">
        <v>0</v>
      </c>
      <c r="F400" s="1367"/>
      <c r="G400" s="1367">
        <v>3156</v>
      </c>
      <c r="H400" s="1367">
        <v>3156</v>
      </c>
      <c r="I400" s="1363">
        <f>(H400/G400)*100</f>
        <v>100</v>
      </c>
      <c r="IV400" s="1574">
        <f>SUM(A400:IU400)</f>
        <v>6412</v>
      </c>
    </row>
    <row r="401" spans="1:256" s="1574" customFormat="1" ht="20.25" customHeight="1" thickTop="1" thickBot="1" x14ac:dyDescent="0.25">
      <c r="A401" s="2696" t="s">
        <v>1162</v>
      </c>
      <c r="B401" s="2697"/>
      <c r="C401" s="2697"/>
      <c r="D401" s="2697"/>
      <c r="E401" s="2697"/>
      <c r="F401" s="1585">
        <f>SUM(F398)</f>
        <v>0</v>
      </c>
      <c r="G401" s="1585">
        <f>SUM(G398)</f>
        <v>3220</v>
      </c>
      <c r="H401" s="1585">
        <f>SUM(H398)</f>
        <v>3220</v>
      </c>
      <c r="I401" s="1586">
        <f>(H401/G401)*100</f>
        <v>100</v>
      </c>
      <c r="IV401" s="1587">
        <f>SUM(IV398:IV400)</f>
        <v>6512</v>
      </c>
    </row>
    <row r="402" spans="1:256" s="1574" customFormat="1" ht="15" thickTop="1" x14ac:dyDescent="0.2">
      <c r="B402" s="1588"/>
      <c r="D402" s="1589"/>
      <c r="F402" s="1624"/>
      <c r="G402" s="1624"/>
      <c r="H402" s="1624"/>
      <c r="I402" s="1625"/>
    </row>
    <row r="403" spans="1:256" s="1574" customFormat="1" ht="15" thickBot="1" x14ac:dyDescent="0.25">
      <c r="A403" s="1602" t="s">
        <v>1730</v>
      </c>
      <c r="B403" s="1588"/>
      <c r="D403" s="1589"/>
      <c r="F403" s="1624"/>
      <c r="G403" s="1624"/>
      <c r="H403" s="1624"/>
      <c r="I403" s="1626" t="s">
        <v>173</v>
      </c>
    </row>
    <row r="404" spans="1:256" s="1632" customFormat="1" ht="12.75" thickTop="1" thickBot="1" x14ac:dyDescent="0.25">
      <c r="A404" s="1627" t="s">
        <v>661</v>
      </c>
      <c r="B404" s="1628" t="s">
        <v>174</v>
      </c>
      <c r="C404" s="1629" t="s">
        <v>175</v>
      </c>
      <c r="D404" s="1630" t="s">
        <v>744</v>
      </c>
      <c r="E404" s="1630" t="s">
        <v>176</v>
      </c>
      <c r="F404" s="1630" t="s">
        <v>177</v>
      </c>
      <c r="G404" s="1630" t="s">
        <v>922</v>
      </c>
      <c r="H404" s="1630" t="s">
        <v>923</v>
      </c>
      <c r="I404" s="1631" t="s">
        <v>924</v>
      </c>
    </row>
    <row r="405" spans="1:256" s="1598" customFormat="1" ht="18" customHeight="1" thickTop="1" thickBot="1" x14ac:dyDescent="0.25">
      <c r="A405" s="1593">
        <v>1</v>
      </c>
      <c r="B405" s="1594">
        <v>2</v>
      </c>
      <c r="C405" s="1594">
        <v>3</v>
      </c>
      <c r="D405" s="1594">
        <v>4</v>
      </c>
      <c r="E405" s="1594">
        <v>5</v>
      </c>
      <c r="F405" s="1595">
        <v>6</v>
      </c>
      <c r="G405" s="1595">
        <v>7</v>
      </c>
      <c r="H405" s="1596">
        <v>8</v>
      </c>
      <c r="I405" s="1597" t="s">
        <v>801</v>
      </c>
    </row>
    <row r="406" spans="1:256" s="1574" customFormat="1" ht="15.75" thickTop="1" x14ac:dyDescent="0.2">
      <c r="A406" s="1644">
        <v>1553</v>
      </c>
      <c r="B406" s="1645">
        <v>3123</v>
      </c>
      <c r="C406" s="1645">
        <v>5213</v>
      </c>
      <c r="D406" s="1646"/>
      <c r="E406" s="1635" t="s">
        <v>1232</v>
      </c>
      <c r="F406" s="1642"/>
      <c r="G406" s="1642">
        <f>SUM(G407:G407)</f>
        <v>20230</v>
      </c>
      <c r="H406" s="1642">
        <f>SUM(H407:H407)</f>
        <v>20230</v>
      </c>
      <c r="I406" s="1647">
        <f>(H406/G406)*100</f>
        <v>100</v>
      </c>
      <c r="IV406" s="1587">
        <f>SUM(I406:IU406)</f>
        <v>100</v>
      </c>
    </row>
    <row r="407" spans="1:256" s="1574" customFormat="1" ht="15" thickBot="1" x14ac:dyDescent="0.25">
      <c r="A407" s="1599"/>
      <c r="B407" s="1600"/>
      <c r="C407" s="1600"/>
      <c r="D407" s="1119" t="s">
        <v>1189</v>
      </c>
      <c r="E407" s="1357" t="s">
        <v>0</v>
      </c>
      <c r="F407" s="1367"/>
      <c r="G407" s="1367">
        <v>20230</v>
      </c>
      <c r="H407" s="1367">
        <v>20230</v>
      </c>
      <c r="I407" s="1363">
        <f>(H407/G407)*100</f>
        <v>100</v>
      </c>
      <c r="IV407" s="1574">
        <f>SUM(A407:IU407)</f>
        <v>40560</v>
      </c>
    </row>
    <row r="408" spans="1:256" s="1574" customFormat="1" ht="16.5" thickTop="1" thickBot="1" x14ac:dyDescent="0.25">
      <c r="A408" s="2696" t="s">
        <v>1162</v>
      </c>
      <c r="B408" s="2697"/>
      <c r="C408" s="2697"/>
      <c r="D408" s="2697"/>
      <c r="E408" s="2697"/>
      <c r="F408" s="1585">
        <f>SUM(F406)</f>
        <v>0</v>
      </c>
      <c r="G408" s="1585">
        <f>G406</f>
        <v>20230</v>
      </c>
      <c r="H408" s="1585">
        <f>H406</f>
        <v>20230</v>
      </c>
      <c r="I408" s="1586">
        <f>(H408/G408)*100</f>
        <v>100</v>
      </c>
      <c r="IV408" s="1587">
        <f>SUM(IV406:IV407)</f>
        <v>40660</v>
      </c>
    </row>
    <row r="409" spans="1:256" s="1574" customFormat="1" ht="20.25" customHeight="1" thickTop="1" x14ac:dyDescent="0.2">
      <c r="B409" s="1588"/>
      <c r="D409" s="1589"/>
      <c r="F409" s="1624"/>
      <c r="G409" s="1624"/>
      <c r="H409" s="1624"/>
      <c r="I409" s="1625"/>
    </row>
    <row r="410" spans="1:256" s="1574" customFormat="1" ht="14.25" customHeight="1" thickBot="1" x14ac:dyDescent="0.25">
      <c r="A410" s="1602" t="s">
        <v>984</v>
      </c>
      <c r="B410" s="1588"/>
      <c r="D410" s="1589"/>
      <c r="F410" s="1624"/>
      <c r="G410" s="1624"/>
      <c r="H410" s="1624"/>
      <c r="I410" s="1626" t="s">
        <v>173</v>
      </c>
    </row>
    <row r="411" spans="1:256" s="1632" customFormat="1" ht="12.75" thickTop="1" thickBot="1" x14ac:dyDescent="0.25">
      <c r="A411" s="1627" t="s">
        <v>661</v>
      </c>
      <c r="B411" s="1628" t="s">
        <v>174</v>
      </c>
      <c r="C411" s="1629" t="s">
        <v>175</v>
      </c>
      <c r="D411" s="1630" t="s">
        <v>744</v>
      </c>
      <c r="E411" s="1630" t="s">
        <v>176</v>
      </c>
      <c r="F411" s="1630" t="s">
        <v>177</v>
      </c>
      <c r="G411" s="1630" t="s">
        <v>922</v>
      </c>
      <c r="H411" s="1630" t="s">
        <v>923</v>
      </c>
      <c r="I411" s="1631" t="s">
        <v>924</v>
      </c>
    </row>
    <row r="412" spans="1:256" s="1598" customFormat="1" ht="13.5" thickTop="1" thickBot="1" x14ac:dyDescent="0.25">
      <c r="A412" s="1593">
        <v>1</v>
      </c>
      <c r="B412" s="1594">
        <v>2</v>
      </c>
      <c r="C412" s="1594">
        <v>3</v>
      </c>
      <c r="D412" s="1594">
        <v>4</v>
      </c>
      <c r="E412" s="1594">
        <v>5</v>
      </c>
      <c r="F412" s="1595">
        <v>6</v>
      </c>
      <c r="G412" s="1595">
        <v>7</v>
      </c>
      <c r="H412" s="1596">
        <v>8</v>
      </c>
      <c r="I412" s="1597" t="s">
        <v>801</v>
      </c>
    </row>
    <row r="413" spans="1:256" s="1574" customFormat="1" ht="18" customHeight="1" thickTop="1" x14ac:dyDescent="0.2">
      <c r="A413" s="1644">
        <v>1554</v>
      </c>
      <c r="B413" s="1645">
        <v>3123</v>
      </c>
      <c r="C413" s="1645">
        <v>5213</v>
      </c>
      <c r="D413" s="1646"/>
      <c r="E413" s="1635" t="s">
        <v>1232</v>
      </c>
      <c r="F413" s="1642"/>
      <c r="G413" s="1642">
        <f>SUM(G414:G415)</f>
        <v>9783</v>
      </c>
      <c r="H413" s="1642">
        <f>SUM(H414:H415)</f>
        <v>9783</v>
      </c>
      <c r="I413" s="1647">
        <f>(H413/G413)*100</f>
        <v>100</v>
      </c>
      <c r="IV413" s="1587">
        <f>SUM(I413:IU413)</f>
        <v>100</v>
      </c>
    </row>
    <row r="414" spans="1:256" s="1574" customFormat="1" x14ac:dyDescent="0.2">
      <c r="A414" s="1599"/>
      <c r="B414" s="1616"/>
      <c r="C414" s="1616"/>
      <c r="D414" s="1391" t="s">
        <v>968</v>
      </c>
      <c r="E414" s="1354" t="s">
        <v>969</v>
      </c>
      <c r="F414" s="1643"/>
      <c r="G414" s="1643">
        <v>20</v>
      </c>
      <c r="H414" s="1643">
        <v>20</v>
      </c>
      <c r="I414" s="1650">
        <v>100</v>
      </c>
      <c r="IV414" s="1587"/>
    </row>
    <row r="415" spans="1:256" s="1574" customFormat="1" ht="15" thickBot="1" x14ac:dyDescent="0.25">
      <c r="A415" s="1599"/>
      <c r="B415" s="1616"/>
      <c r="C415" s="1616"/>
      <c r="D415" s="1119" t="s">
        <v>1189</v>
      </c>
      <c r="E415" s="1355" t="s">
        <v>0</v>
      </c>
      <c r="F415" s="1362"/>
      <c r="G415" s="1362">
        <v>9763</v>
      </c>
      <c r="H415" s="1362">
        <v>9763</v>
      </c>
      <c r="I415" s="1650">
        <v>100</v>
      </c>
      <c r="IV415" s="1574">
        <f>SUM(A415:IU415)</f>
        <v>19626</v>
      </c>
    </row>
    <row r="416" spans="1:256" s="1574" customFormat="1" ht="16.5" thickTop="1" thickBot="1" x14ac:dyDescent="0.25">
      <c r="A416" s="2696" t="s">
        <v>1162</v>
      </c>
      <c r="B416" s="2697"/>
      <c r="C416" s="2697"/>
      <c r="D416" s="2697"/>
      <c r="E416" s="2697"/>
      <c r="F416" s="1585">
        <f>SUM(F413)</f>
        <v>0</v>
      </c>
      <c r="G416" s="1585">
        <f>SUM(G413,)</f>
        <v>9783</v>
      </c>
      <c r="H416" s="1585">
        <f>H413</f>
        <v>9783</v>
      </c>
      <c r="I416" s="1586">
        <f>(H416/G416)*100</f>
        <v>100</v>
      </c>
      <c r="IV416" s="1587">
        <f>SUM(IV413:IV415)</f>
        <v>19726</v>
      </c>
    </row>
    <row r="417" spans="1:256" s="1574" customFormat="1" ht="15" thickTop="1" x14ac:dyDescent="0.2">
      <c r="B417" s="1588"/>
      <c r="D417" s="1589"/>
      <c r="F417" s="1624"/>
      <c r="G417" s="1624"/>
      <c r="H417" s="1624"/>
      <c r="I417" s="1625"/>
    </row>
    <row r="418" spans="1:256" s="1574" customFormat="1" x14ac:dyDescent="0.2">
      <c r="B418" s="1588"/>
      <c r="D418" s="1589"/>
      <c r="F418" s="1624"/>
      <c r="G418" s="1624"/>
      <c r="H418" s="1624"/>
      <c r="I418" s="1625"/>
    </row>
    <row r="419" spans="1:256" s="1574" customFormat="1" ht="14.25" customHeight="1" thickBot="1" x14ac:dyDescent="0.25">
      <c r="A419" s="1602" t="s">
        <v>1977</v>
      </c>
      <c r="B419" s="1588"/>
      <c r="D419" s="1589"/>
      <c r="F419" s="1624"/>
      <c r="G419" s="1624"/>
      <c r="H419" s="1624"/>
      <c r="I419" s="1626" t="s">
        <v>173</v>
      </c>
    </row>
    <row r="420" spans="1:256" s="1632" customFormat="1" ht="12.75" thickTop="1" thickBot="1" x14ac:dyDescent="0.25">
      <c r="A420" s="1627" t="s">
        <v>661</v>
      </c>
      <c r="B420" s="1628" t="s">
        <v>174</v>
      </c>
      <c r="C420" s="1629" t="s">
        <v>175</v>
      </c>
      <c r="D420" s="1630" t="s">
        <v>744</v>
      </c>
      <c r="E420" s="1630" t="s">
        <v>176</v>
      </c>
      <c r="F420" s="1630" t="s">
        <v>177</v>
      </c>
      <c r="G420" s="1630" t="s">
        <v>922</v>
      </c>
      <c r="H420" s="1630" t="s">
        <v>923</v>
      </c>
      <c r="I420" s="1631" t="s">
        <v>924</v>
      </c>
    </row>
    <row r="421" spans="1:256" s="1598" customFormat="1" ht="13.5" thickTop="1" thickBot="1" x14ac:dyDescent="0.25">
      <c r="A421" s="1593">
        <v>1</v>
      </c>
      <c r="B421" s="1594">
        <v>2</v>
      </c>
      <c r="C421" s="1594">
        <v>3</v>
      </c>
      <c r="D421" s="1594">
        <v>4</v>
      </c>
      <c r="E421" s="1594">
        <v>5</v>
      </c>
      <c r="F421" s="1595">
        <v>6</v>
      </c>
      <c r="G421" s="1595">
        <v>7</v>
      </c>
      <c r="H421" s="1596">
        <v>8</v>
      </c>
      <c r="I421" s="1597" t="s">
        <v>801</v>
      </c>
    </row>
    <row r="422" spans="1:256" s="1574" customFormat="1" ht="15.75" customHeight="1" thickTop="1" x14ac:dyDescent="0.2">
      <c r="A422" s="1644">
        <v>1555</v>
      </c>
      <c r="B422" s="1645">
        <v>3150</v>
      </c>
      <c r="C422" s="1645">
        <v>5221</v>
      </c>
      <c r="D422" s="1646"/>
      <c r="E422" s="2679" t="s">
        <v>728</v>
      </c>
      <c r="F422" s="1642"/>
      <c r="G422" s="1642">
        <f>SUM(G424:G424)</f>
        <v>3542</v>
      </c>
      <c r="H422" s="1642">
        <f>SUM(H424:H424)</f>
        <v>3542</v>
      </c>
      <c r="I422" s="1647">
        <f>(H422/G422)*100</f>
        <v>100</v>
      </c>
      <c r="IV422" s="1587">
        <f>SUM(I422:IU422)</f>
        <v>100</v>
      </c>
    </row>
    <row r="423" spans="1:256" s="1574" customFormat="1" ht="13.5" customHeight="1" x14ac:dyDescent="0.2">
      <c r="A423" s="1599"/>
      <c r="B423" s="1616"/>
      <c r="C423" s="1616"/>
      <c r="D423" s="1638"/>
      <c r="E423" s="2679"/>
      <c r="F423" s="1640"/>
      <c r="G423" s="1640"/>
      <c r="H423" s="1640"/>
      <c r="I423" s="1637"/>
      <c r="IV423" s="1587"/>
    </row>
    <row r="424" spans="1:256" s="1574" customFormat="1" ht="15" thickBot="1" x14ac:dyDescent="0.25">
      <c r="A424" s="1599"/>
      <c r="B424" s="1616"/>
      <c r="C424" s="1616"/>
      <c r="D424" s="1119" t="s">
        <v>1189</v>
      </c>
      <c r="E424" s="1355" t="s">
        <v>0</v>
      </c>
      <c r="F424" s="1362"/>
      <c r="G424" s="1362">
        <v>3542</v>
      </c>
      <c r="H424" s="1362">
        <v>3542</v>
      </c>
      <c r="I424" s="1650">
        <v>100</v>
      </c>
      <c r="IV424" s="1574">
        <f>SUM(A424:IU424)</f>
        <v>7184</v>
      </c>
    </row>
    <row r="425" spans="1:256" s="1574" customFormat="1" ht="16.5" thickTop="1" thickBot="1" x14ac:dyDescent="0.25">
      <c r="A425" s="2696" t="s">
        <v>1162</v>
      </c>
      <c r="B425" s="2697"/>
      <c r="C425" s="2697"/>
      <c r="D425" s="2697"/>
      <c r="E425" s="2697"/>
      <c r="F425" s="1585">
        <f>SUM(F422)</f>
        <v>0</v>
      </c>
      <c r="G425" s="1585">
        <f>SUM(G422,)</f>
        <v>3542</v>
      </c>
      <c r="H425" s="1585">
        <f>H422</f>
        <v>3542</v>
      </c>
      <c r="I425" s="1586">
        <f>(H425/G425)*100</f>
        <v>100</v>
      </c>
      <c r="IV425" s="1587">
        <f>SUM(IV422:IV424)</f>
        <v>7284</v>
      </c>
    </row>
    <row r="426" spans="1:256" s="1574" customFormat="1" ht="15" thickTop="1" x14ac:dyDescent="0.2">
      <c r="B426" s="1588"/>
      <c r="D426" s="1589"/>
      <c r="F426" s="1624"/>
      <c r="G426" s="1624"/>
      <c r="H426" s="1624"/>
      <c r="I426" s="1625"/>
    </row>
    <row r="427" spans="1:256" s="1574" customFormat="1" ht="15" thickBot="1" x14ac:dyDescent="0.25">
      <c r="A427" s="1602" t="s">
        <v>172</v>
      </c>
      <c r="B427" s="1588"/>
      <c r="D427" s="1589"/>
      <c r="F427" s="1624"/>
      <c r="G427" s="1624"/>
      <c r="H427" s="1624"/>
      <c r="I427" s="1626" t="s">
        <v>173</v>
      </c>
    </row>
    <row r="428" spans="1:256" s="1632" customFormat="1" ht="12.75" thickTop="1" thickBot="1" x14ac:dyDescent="0.25">
      <c r="A428" s="1627" t="s">
        <v>661</v>
      </c>
      <c r="B428" s="1628" t="s">
        <v>174</v>
      </c>
      <c r="C428" s="1629" t="s">
        <v>175</v>
      </c>
      <c r="D428" s="1630" t="s">
        <v>744</v>
      </c>
      <c r="E428" s="1630" t="s">
        <v>176</v>
      </c>
      <c r="F428" s="1630" t="s">
        <v>177</v>
      </c>
      <c r="G428" s="1630" t="s">
        <v>922</v>
      </c>
      <c r="H428" s="1630" t="s">
        <v>923</v>
      </c>
      <c r="I428" s="1631" t="s">
        <v>924</v>
      </c>
    </row>
    <row r="429" spans="1:256" s="1598" customFormat="1" ht="13.5" thickTop="1" thickBot="1" x14ac:dyDescent="0.25">
      <c r="A429" s="1593">
        <v>1</v>
      </c>
      <c r="B429" s="1594">
        <v>2</v>
      </c>
      <c r="C429" s="1594">
        <v>3</v>
      </c>
      <c r="D429" s="1594">
        <v>4</v>
      </c>
      <c r="E429" s="1594">
        <v>5</v>
      </c>
      <c r="F429" s="1595">
        <v>6</v>
      </c>
      <c r="G429" s="1595">
        <v>7</v>
      </c>
      <c r="H429" s="1596">
        <v>8</v>
      </c>
      <c r="I429" s="1597" t="s">
        <v>801</v>
      </c>
    </row>
    <row r="430" spans="1:256" s="1574" customFormat="1" ht="15.75" thickTop="1" x14ac:dyDescent="0.2">
      <c r="A430" s="1644">
        <v>1560</v>
      </c>
      <c r="B430" s="1645">
        <v>3231</v>
      </c>
      <c r="C430" s="1645">
        <v>5213</v>
      </c>
      <c r="D430" s="1646"/>
      <c r="E430" s="1635" t="s">
        <v>1232</v>
      </c>
      <c r="F430" s="1642"/>
      <c r="G430" s="1642">
        <f>SUM(G431:G431)</f>
        <v>2073</v>
      </c>
      <c r="H430" s="1642">
        <f>SUM(H431:H431)</f>
        <v>2073</v>
      </c>
      <c r="I430" s="1647">
        <f>(H430/G430)*100</f>
        <v>100</v>
      </c>
      <c r="IV430" s="1587">
        <f>SUM(I430:IU430)</f>
        <v>100</v>
      </c>
    </row>
    <row r="431" spans="1:256" s="1574" customFormat="1" ht="15" thickBot="1" x14ac:dyDescent="0.25">
      <c r="A431" s="1599"/>
      <c r="B431" s="1616"/>
      <c r="C431" s="1616"/>
      <c r="D431" s="1119" t="s">
        <v>1189</v>
      </c>
      <c r="E431" s="1357" t="s">
        <v>0</v>
      </c>
      <c r="F431" s="1362"/>
      <c r="G431" s="1362">
        <v>2073</v>
      </c>
      <c r="H431" s="1362">
        <v>2073</v>
      </c>
      <c r="I431" s="1366">
        <f>(H431/G431)*100</f>
        <v>100</v>
      </c>
      <c r="IV431" s="1574">
        <f>SUM(A431:IU431)</f>
        <v>4246</v>
      </c>
    </row>
    <row r="432" spans="1:256" s="1574" customFormat="1" ht="16.5" thickTop="1" thickBot="1" x14ac:dyDescent="0.25">
      <c r="A432" s="2696" t="s">
        <v>1162</v>
      </c>
      <c r="B432" s="2697"/>
      <c r="C432" s="2697"/>
      <c r="D432" s="2697"/>
      <c r="E432" s="2697"/>
      <c r="F432" s="1585">
        <f>SUM(F430)</f>
        <v>0</v>
      </c>
      <c r="G432" s="1585">
        <f>SUM(G430)</f>
        <v>2073</v>
      </c>
      <c r="H432" s="1585">
        <f>SUM(H430)</f>
        <v>2073</v>
      </c>
      <c r="I432" s="1586">
        <f>(H432/G432)*100</f>
        <v>100</v>
      </c>
      <c r="IV432" s="1587">
        <f>SUM(IV430:IV431)</f>
        <v>4346</v>
      </c>
    </row>
    <row r="433" spans="1:256" s="1574" customFormat="1" ht="15" thickTop="1" x14ac:dyDescent="0.2">
      <c r="B433" s="1588"/>
      <c r="D433" s="1589"/>
      <c r="F433" s="1624"/>
      <c r="G433" s="1624"/>
      <c r="H433" s="1624"/>
      <c r="I433" s="1625"/>
    </row>
    <row r="434" spans="1:256" s="1574" customFormat="1" ht="20.25" customHeight="1" thickBot="1" x14ac:dyDescent="0.25">
      <c r="A434" s="1602" t="s">
        <v>829</v>
      </c>
      <c r="B434" s="1588"/>
      <c r="D434" s="1589"/>
      <c r="F434" s="1624"/>
      <c r="G434" s="1624"/>
      <c r="H434" s="1624"/>
      <c r="I434" s="1626" t="s">
        <v>173</v>
      </c>
    </row>
    <row r="435" spans="1:256" s="1632" customFormat="1" ht="12.75" thickTop="1" thickBot="1" x14ac:dyDescent="0.25">
      <c r="A435" s="1627" t="s">
        <v>661</v>
      </c>
      <c r="B435" s="1628" t="s">
        <v>174</v>
      </c>
      <c r="C435" s="1629" t="s">
        <v>175</v>
      </c>
      <c r="D435" s="1630" t="s">
        <v>744</v>
      </c>
      <c r="E435" s="1630" t="s">
        <v>176</v>
      </c>
      <c r="F435" s="1630" t="s">
        <v>177</v>
      </c>
      <c r="G435" s="1630" t="s">
        <v>922</v>
      </c>
      <c r="H435" s="1630" t="s">
        <v>923</v>
      </c>
      <c r="I435" s="1631" t="s">
        <v>924</v>
      </c>
    </row>
    <row r="436" spans="1:256" s="1598" customFormat="1" ht="13.5" thickTop="1" thickBot="1" x14ac:dyDescent="0.25">
      <c r="A436" s="1593">
        <v>1</v>
      </c>
      <c r="B436" s="1594">
        <v>2</v>
      </c>
      <c r="C436" s="1594">
        <v>3</v>
      </c>
      <c r="D436" s="1594">
        <v>4</v>
      </c>
      <c r="E436" s="1594">
        <v>5</v>
      </c>
      <c r="F436" s="1595">
        <v>6</v>
      </c>
      <c r="G436" s="1595">
        <v>7</v>
      </c>
      <c r="H436" s="1596">
        <v>8</v>
      </c>
      <c r="I436" s="1597" t="s">
        <v>801</v>
      </c>
    </row>
    <row r="437" spans="1:256" s="1574" customFormat="1" ht="15.75" thickTop="1" x14ac:dyDescent="0.2">
      <c r="A437" s="1644">
        <v>1561</v>
      </c>
      <c r="B437" s="1645">
        <v>3231</v>
      </c>
      <c r="C437" s="1645">
        <v>5213</v>
      </c>
      <c r="D437" s="1646"/>
      <c r="E437" s="1635" t="s">
        <v>1232</v>
      </c>
      <c r="F437" s="1642"/>
      <c r="G437" s="1642">
        <f>SUM(G438:G438)</f>
        <v>629</v>
      </c>
      <c r="H437" s="1642">
        <f>SUM(H438:H438)</f>
        <v>629</v>
      </c>
      <c r="I437" s="1647">
        <f>(H437/G437)*100</f>
        <v>100</v>
      </c>
      <c r="IV437" s="1587">
        <f>SUM(I437:IU437)</f>
        <v>100</v>
      </c>
    </row>
    <row r="438" spans="1:256" s="1574" customFormat="1" ht="18" customHeight="1" thickBot="1" x14ac:dyDescent="0.25">
      <c r="A438" s="1599"/>
      <c r="B438" s="1616"/>
      <c r="C438" s="1616"/>
      <c r="D438" s="1119" t="s">
        <v>1189</v>
      </c>
      <c r="E438" s="1357" t="s">
        <v>0</v>
      </c>
      <c r="F438" s="1362"/>
      <c r="G438" s="1362">
        <v>629</v>
      </c>
      <c r="H438" s="1362">
        <v>629</v>
      </c>
      <c r="I438" s="1366">
        <f>(H438/G438)*100</f>
        <v>100</v>
      </c>
      <c r="IV438" s="1574">
        <f>SUM(A438:IU438)</f>
        <v>1358</v>
      </c>
    </row>
    <row r="439" spans="1:256" s="1574" customFormat="1" ht="16.5" thickTop="1" thickBot="1" x14ac:dyDescent="0.25">
      <c r="A439" s="2696" t="s">
        <v>1162</v>
      </c>
      <c r="B439" s="2697"/>
      <c r="C439" s="2697"/>
      <c r="D439" s="2697"/>
      <c r="E439" s="2697"/>
      <c r="F439" s="1585">
        <f>SUM(F437)</f>
        <v>0</v>
      </c>
      <c r="G439" s="1585">
        <f>SUM(G437)</f>
        <v>629</v>
      </c>
      <c r="H439" s="1585">
        <f>SUM(H437)</f>
        <v>629</v>
      </c>
      <c r="I439" s="1586">
        <f>(H439/G439)*100</f>
        <v>100</v>
      </c>
      <c r="K439" s="1587">
        <f>SUM(G439,G432,G416,G408,G401,G393,G382,G354,G346,G338,G328,G362,G370,G319,G309,G296,G287,G279,G271,G231,G213,G195,G249,G446,G261,G425)</f>
        <v>169441</v>
      </c>
      <c r="L439" s="1587">
        <f>SUM(H439,H432,H416,H408,H401,H393,H382,H354,H346,H338,H328,H362,H370,H319,H309,H296,H287,H279,H271,H231,H213,H195,H249,H446,H261,H425)</f>
        <v>169420</v>
      </c>
      <c r="IV439" s="1587">
        <f>SUM(IV437:IV438)</f>
        <v>1458</v>
      </c>
    </row>
    <row r="440" spans="1:256" s="1574" customFormat="1" ht="15" thickTop="1" x14ac:dyDescent="0.2">
      <c r="B440" s="1588"/>
      <c r="D440" s="1589"/>
      <c r="F440" s="1624"/>
      <c r="G440" s="1624"/>
      <c r="H440" s="1624"/>
      <c r="I440" s="1625"/>
      <c r="K440" s="1587"/>
      <c r="L440" s="1587"/>
    </row>
    <row r="441" spans="1:256" s="1574" customFormat="1" ht="15" thickBot="1" x14ac:dyDescent="0.25">
      <c r="A441" s="1602" t="s">
        <v>1731</v>
      </c>
      <c r="B441" s="1588"/>
      <c r="D441" s="1589"/>
      <c r="F441" s="1624"/>
      <c r="G441" s="1624"/>
      <c r="H441" s="1624"/>
      <c r="I441" s="1626" t="s">
        <v>173</v>
      </c>
    </row>
    <row r="442" spans="1:256" s="1632" customFormat="1" ht="12.75" thickTop="1" thickBot="1" x14ac:dyDescent="0.25">
      <c r="A442" s="1627" t="s">
        <v>661</v>
      </c>
      <c r="B442" s="1628" t="s">
        <v>174</v>
      </c>
      <c r="C442" s="1629" t="s">
        <v>175</v>
      </c>
      <c r="D442" s="1630" t="s">
        <v>744</v>
      </c>
      <c r="E442" s="1630" t="s">
        <v>176</v>
      </c>
      <c r="F442" s="1630" t="s">
        <v>177</v>
      </c>
      <c r="G442" s="1630" t="s">
        <v>922</v>
      </c>
      <c r="H442" s="1630" t="s">
        <v>923</v>
      </c>
      <c r="I442" s="1631" t="s">
        <v>924</v>
      </c>
    </row>
    <row r="443" spans="1:256" s="1598" customFormat="1" ht="13.5" thickTop="1" thickBot="1" x14ac:dyDescent="0.25">
      <c r="A443" s="1593">
        <v>1</v>
      </c>
      <c r="B443" s="1594">
        <v>2</v>
      </c>
      <c r="C443" s="1594">
        <v>3</v>
      </c>
      <c r="D443" s="1594">
        <v>4</v>
      </c>
      <c r="E443" s="1594">
        <v>5</v>
      </c>
      <c r="F443" s="1595">
        <v>6</v>
      </c>
      <c r="G443" s="1595">
        <v>7</v>
      </c>
      <c r="H443" s="1596">
        <v>8</v>
      </c>
      <c r="I443" s="1597" t="s">
        <v>801</v>
      </c>
    </row>
    <row r="444" spans="1:256" s="1574" customFormat="1" ht="20.25" customHeight="1" thickTop="1" x14ac:dyDescent="0.2">
      <c r="A444" s="1644">
        <v>1562</v>
      </c>
      <c r="B444" s="1645">
        <v>3231</v>
      </c>
      <c r="C444" s="1645">
        <v>5212</v>
      </c>
      <c r="D444" s="1646"/>
      <c r="E444" s="1635" t="s">
        <v>1732</v>
      </c>
      <c r="F444" s="1642"/>
      <c r="G444" s="1642">
        <f>SUM(G445:G445)</f>
        <v>2316</v>
      </c>
      <c r="H444" s="1642">
        <f>SUM(H445:H445)</f>
        <v>2316</v>
      </c>
      <c r="I444" s="1647">
        <f>(H444/G444)*100</f>
        <v>100</v>
      </c>
      <c r="IV444" s="1587">
        <f>SUM(I444:IU444)</f>
        <v>100</v>
      </c>
    </row>
    <row r="445" spans="1:256" s="1574" customFormat="1" ht="15" thickBot="1" x14ac:dyDescent="0.25">
      <c r="A445" s="1599"/>
      <c r="B445" s="1616"/>
      <c r="C445" s="1616"/>
      <c r="D445" s="1119" t="s">
        <v>1189</v>
      </c>
      <c r="E445" s="1357" t="s">
        <v>0</v>
      </c>
      <c r="F445" s="1362"/>
      <c r="G445" s="1362">
        <v>2316</v>
      </c>
      <c r="H445" s="1362">
        <v>2316</v>
      </c>
      <c r="I445" s="1366">
        <f>(H445/G445)*100</f>
        <v>100</v>
      </c>
      <c r="IV445" s="1574">
        <f>SUM(A445:IU445)</f>
        <v>4732</v>
      </c>
    </row>
    <row r="446" spans="1:256" s="1574" customFormat="1" ht="16.5" thickTop="1" thickBot="1" x14ac:dyDescent="0.25">
      <c r="A446" s="2696" t="s">
        <v>1162</v>
      </c>
      <c r="B446" s="2697"/>
      <c r="C446" s="2697"/>
      <c r="D446" s="2697"/>
      <c r="E446" s="2697"/>
      <c r="F446" s="1585">
        <f>SUM(F444)</f>
        <v>0</v>
      </c>
      <c r="G446" s="1585">
        <f>SUM(G444)</f>
        <v>2316</v>
      </c>
      <c r="H446" s="1585">
        <f>SUM(H444)</f>
        <v>2316</v>
      </c>
      <c r="I446" s="1586">
        <f>(H446/G446)*100</f>
        <v>100</v>
      </c>
      <c r="K446" s="1587">
        <f>K439+K184</f>
        <v>234118</v>
      </c>
      <c r="L446" s="1587">
        <f>L439+L184</f>
        <v>234097</v>
      </c>
      <c r="IV446" s="1587">
        <f>SUM(IV444:IV445)</f>
        <v>4832</v>
      </c>
    </row>
    <row r="447" spans="1:256" s="1574" customFormat="1" ht="15" thickTop="1" x14ac:dyDescent="0.2">
      <c r="B447" s="1588"/>
      <c r="D447" s="1589"/>
      <c r="F447" s="1624"/>
      <c r="G447" s="1624"/>
      <c r="H447" s="1624"/>
      <c r="I447" s="1625"/>
    </row>
    <row r="449" spans="1:256" ht="15.75" hidden="1" x14ac:dyDescent="0.2">
      <c r="A449" s="842" t="s">
        <v>1976</v>
      </c>
    </row>
    <row r="450" spans="1:256" ht="15" hidden="1" thickBot="1" x14ac:dyDescent="0.25"/>
    <row r="451" spans="1:256" s="1632" customFormat="1" ht="18" hidden="1" customHeight="1" thickTop="1" thickBot="1" x14ac:dyDescent="0.25">
      <c r="A451" s="1627" t="s">
        <v>661</v>
      </c>
      <c r="B451" s="1628" t="s">
        <v>174</v>
      </c>
      <c r="C451" s="1629" t="s">
        <v>175</v>
      </c>
      <c r="D451" s="1630" t="s">
        <v>744</v>
      </c>
      <c r="E451" s="1630" t="s">
        <v>176</v>
      </c>
      <c r="F451" s="1630" t="s">
        <v>177</v>
      </c>
      <c r="G451" s="1630" t="s">
        <v>922</v>
      </c>
      <c r="H451" s="1630" t="s">
        <v>923</v>
      </c>
      <c r="I451" s="1631" t="s">
        <v>924</v>
      </c>
    </row>
    <row r="452" spans="1:256" s="1598" customFormat="1" ht="18" hidden="1" customHeight="1" thickTop="1" thickBot="1" x14ac:dyDescent="0.25">
      <c r="A452" s="1593">
        <v>1</v>
      </c>
      <c r="B452" s="1594">
        <v>2</v>
      </c>
      <c r="C452" s="1594">
        <v>3</v>
      </c>
      <c r="D452" s="1594">
        <v>4</v>
      </c>
      <c r="E452" s="1594">
        <v>5</v>
      </c>
      <c r="F452" s="1595">
        <v>6</v>
      </c>
      <c r="G452" s="1595">
        <v>7</v>
      </c>
      <c r="H452" s="1596">
        <v>8</v>
      </c>
      <c r="I452" s="1597" t="s">
        <v>801</v>
      </c>
    </row>
    <row r="453" spans="1:256" s="1574" customFormat="1" ht="15.75" hidden="1" thickTop="1" x14ac:dyDescent="0.2">
      <c r="A453" s="1644"/>
      <c r="B453" s="1645">
        <v>3299</v>
      </c>
      <c r="C453" s="1645">
        <v>5213</v>
      </c>
      <c r="D453" s="1646"/>
      <c r="E453" s="1635" t="s">
        <v>1232</v>
      </c>
      <c r="F453" s="1642"/>
      <c r="G453" s="1642">
        <f>SUM(G454:G455)</f>
        <v>185</v>
      </c>
      <c r="H453" s="1642">
        <f>SUM(H454:H455)</f>
        <v>15</v>
      </c>
      <c r="I453" s="1647">
        <f>(H453/G453)*100</f>
        <v>8.1081081081081088</v>
      </c>
      <c r="IV453" s="1587">
        <f>SUM(I453:IU453)</f>
        <v>8.1081081081081088</v>
      </c>
    </row>
    <row r="454" spans="1:256" s="1574" customFormat="1" ht="14.25" hidden="1" customHeight="1" x14ac:dyDescent="0.2">
      <c r="A454" s="1599"/>
      <c r="B454" s="1616"/>
      <c r="C454" s="1616"/>
      <c r="D454" s="2384" t="s">
        <v>1262</v>
      </c>
      <c r="E454" s="2385" t="s">
        <v>1973</v>
      </c>
      <c r="F454" s="1636"/>
      <c r="G454" s="1449">
        <v>15</v>
      </c>
      <c r="H454" s="1449">
        <v>15</v>
      </c>
      <c r="I454" s="1650">
        <v>100</v>
      </c>
      <c r="IV454" s="1587"/>
    </row>
    <row r="455" spans="1:256" s="1574" customFormat="1" hidden="1" x14ac:dyDescent="0.2">
      <c r="A455" s="1599"/>
      <c r="B455" s="1616"/>
      <c r="C455" s="1616"/>
      <c r="D455" s="1119" t="s">
        <v>1189</v>
      </c>
      <c r="E455" s="1355" t="s">
        <v>0</v>
      </c>
      <c r="F455" s="1367"/>
      <c r="G455" s="1367">
        <v>170</v>
      </c>
      <c r="H455" s="1367">
        <v>0</v>
      </c>
      <c r="I455" s="1363">
        <f>(H455/G455)*100</f>
        <v>0</v>
      </c>
      <c r="IV455" s="1574">
        <f>SUM(A455:IU455)</f>
        <v>170</v>
      </c>
    </row>
    <row r="456" spans="1:256" s="1574" customFormat="1" ht="15" hidden="1" x14ac:dyDescent="0.2">
      <c r="A456" s="1599"/>
      <c r="B456" s="1616">
        <v>3299</v>
      </c>
      <c r="C456" s="1616">
        <v>5493</v>
      </c>
      <c r="D456" s="1653"/>
      <c r="E456" s="1639" t="s">
        <v>1975</v>
      </c>
      <c r="F456" s="1640"/>
      <c r="G456" s="1640">
        <f>SUM(G457:G459)</f>
        <v>1158</v>
      </c>
      <c r="H456" s="1640">
        <f>SUM(H457:H459)</f>
        <v>1132</v>
      </c>
      <c r="I456" s="1641">
        <f>(H456/G456)*100</f>
        <v>97.754749568221072</v>
      </c>
      <c r="IV456" s="1587">
        <f>SUM(I456:IU456)</f>
        <v>97.754749568221072</v>
      </c>
    </row>
    <row r="457" spans="1:256" s="1574" customFormat="1" ht="15" hidden="1" x14ac:dyDescent="0.2">
      <c r="A457" s="1599"/>
      <c r="B457" s="1616"/>
      <c r="C457" s="1616"/>
      <c r="D457" s="2384" t="s">
        <v>1262</v>
      </c>
      <c r="E457" s="2385" t="s">
        <v>1973</v>
      </c>
      <c r="F457" s="1640"/>
      <c r="G457" s="1643">
        <v>10</v>
      </c>
      <c r="H457" s="1643">
        <v>10</v>
      </c>
      <c r="I457" s="1659">
        <v>100</v>
      </c>
      <c r="IV457" s="1587"/>
    </row>
    <row r="458" spans="1:256" s="1574" customFormat="1" hidden="1" x14ac:dyDescent="0.2">
      <c r="A458" s="1599"/>
      <c r="B458" s="1616"/>
      <c r="C458" s="1616"/>
      <c r="D458" s="1170" t="s">
        <v>1588</v>
      </c>
      <c r="E458" s="1924" t="s">
        <v>1587</v>
      </c>
      <c r="F458" s="1643">
        <v>500</v>
      </c>
      <c r="G458" s="1643">
        <v>48</v>
      </c>
      <c r="H458" s="1643">
        <v>48</v>
      </c>
      <c r="I458" s="1659">
        <v>100</v>
      </c>
      <c r="IV458" s="1587"/>
    </row>
    <row r="459" spans="1:256" s="1574" customFormat="1" ht="15" hidden="1" thickBot="1" x14ac:dyDescent="0.25">
      <c r="A459" s="1599"/>
      <c r="B459" s="1616"/>
      <c r="C459" s="1616"/>
      <c r="D459" s="1120" t="s">
        <v>339</v>
      </c>
      <c r="E459" s="1177" t="s">
        <v>340</v>
      </c>
      <c r="F459" s="1643">
        <v>1500</v>
      </c>
      <c r="G459" s="1643">
        <v>1100</v>
      </c>
      <c r="H459" s="1643">
        <v>1074</v>
      </c>
      <c r="I459" s="1659">
        <v>100</v>
      </c>
      <c r="IV459" s="1587"/>
    </row>
    <row r="460" spans="1:256" s="1574" customFormat="1" ht="16.5" hidden="1" thickTop="1" thickBot="1" x14ac:dyDescent="0.25">
      <c r="A460" s="2696" t="s">
        <v>1162</v>
      </c>
      <c r="B460" s="2697"/>
      <c r="C460" s="2697"/>
      <c r="D460" s="2697"/>
      <c r="E460" s="2697"/>
      <c r="F460" s="1585">
        <f>F458+F459</f>
        <v>2000</v>
      </c>
      <c r="G460" s="1585">
        <f>SUM(G453,G456)</f>
        <v>1343</v>
      </c>
      <c r="H460" s="1585">
        <f>SUM(H453,H456)</f>
        <v>1147</v>
      </c>
      <c r="I460" s="1586">
        <f>(H460/G460)*100</f>
        <v>85.405807892777361</v>
      </c>
      <c r="K460" s="1587">
        <f>K446+G460</f>
        <v>235461</v>
      </c>
      <c r="L460" s="1587">
        <f>L446+H460</f>
        <v>235244</v>
      </c>
      <c r="IV460" s="1587">
        <f>SUM(IV453:IV455)</f>
        <v>178.1081081081081</v>
      </c>
    </row>
    <row r="461" spans="1:256" ht="15" hidden="1" thickTop="1" x14ac:dyDescent="0.2">
      <c r="K461" s="383">
        <v>235461</v>
      </c>
      <c r="L461" s="383">
        <v>235245</v>
      </c>
    </row>
    <row r="462" spans="1:256" hidden="1" x14ac:dyDescent="0.2">
      <c r="K462" s="383">
        <f>K461-K460</f>
        <v>0</v>
      </c>
      <c r="L462" s="383">
        <f>L461-L460</f>
        <v>1</v>
      </c>
    </row>
  </sheetData>
  <mergeCells count="45">
    <mergeCell ref="A12:E12"/>
    <mergeCell ref="A287:E287"/>
    <mergeCell ref="A296:E296"/>
    <mergeCell ref="A279:E279"/>
    <mergeCell ref="A231:E231"/>
    <mergeCell ref="A249:E249"/>
    <mergeCell ref="A23:E23"/>
    <mergeCell ref="A34:E34"/>
    <mergeCell ref="A45:E45"/>
    <mergeCell ref="A55:E55"/>
    <mergeCell ref="A66:E66"/>
    <mergeCell ref="A74:E74"/>
    <mergeCell ref="A85:E85"/>
    <mergeCell ref="A103:E103"/>
    <mergeCell ref="A115:E115"/>
    <mergeCell ref="A130:E130"/>
    <mergeCell ref="A150:E150"/>
    <mergeCell ref="A168:E168"/>
    <mergeCell ref="A184:E184"/>
    <mergeCell ref="A195:E195"/>
    <mergeCell ref="A213:E213"/>
    <mergeCell ref="A261:E261"/>
    <mergeCell ref="D268:D269"/>
    <mergeCell ref="E268:E269"/>
    <mergeCell ref="A271:E271"/>
    <mergeCell ref="E243:E244"/>
    <mergeCell ref="A309:E309"/>
    <mergeCell ref="A319:E319"/>
    <mergeCell ref="A328:E328"/>
    <mergeCell ref="A338:E338"/>
    <mergeCell ref="A346:E346"/>
    <mergeCell ref="A460:E460"/>
    <mergeCell ref="A425:E425"/>
    <mergeCell ref="E422:E423"/>
    <mergeCell ref="A354:E354"/>
    <mergeCell ref="A362:E362"/>
    <mergeCell ref="A382:E382"/>
    <mergeCell ref="A393:E393"/>
    <mergeCell ref="A401:E401"/>
    <mergeCell ref="A370:E370"/>
    <mergeCell ref="A432:E432"/>
    <mergeCell ref="A439:E439"/>
    <mergeCell ref="A446:E446"/>
    <mergeCell ref="A408:E408"/>
    <mergeCell ref="A416:E416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85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 enableFormatConditionsCalculation="0">
    <tabColor rgb="FF00B0F0"/>
  </sheetPr>
  <dimension ref="A1:U604"/>
  <sheetViews>
    <sheetView showGridLines="0" view="pageBreakPreview" topLeftCell="A61" zoomScaleNormal="100" zoomScaleSheetLayoutView="100" workbookViewId="0">
      <selection activeCell="A582" sqref="A582"/>
    </sheetView>
  </sheetViews>
  <sheetFormatPr defaultRowHeight="14.25" x14ac:dyDescent="0.2"/>
  <cols>
    <col min="1" max="2" width="4.7109375" style="1850" customWidth="1"/>
    <col min="3" max="3" width="8.7109375" style="667" customWidth="1"/>
    <col min="4" max="4" width="44.28515625" style="382" customWidth="1"/>
    <col min="5" max="5" width="13.5703125" style="1848" customWidth="1"/>
    <col min="6" max="6" width="13.7109375" style="1848" customWidth="1"/>
    <col min="7" max="7" width="15.5703125" style="1848" customWidth="1"/>
    <col min="8" max="8" width="8.140625" style="800" customWidth="1"/>
    <col min="9" max="9" width="9.140625" style="382"/>
    <col min="10" max="12" width="12.42578125" style="382" bestFit="1" customWidth="1"/>
    <col min="13" max="13" width="10.42578125" style="382" customWidth="1"/>
    <col min="14" max="16384" width="9.140625" style="382"/>
  </cols>
  <sheetData>
    <row r="1" spans="1:9" s="664" customFormat="1" ht="18.75" thickBot="1" x14ac:dyDescent="0.3">
      <c r="A1" s="479" t="s">
        <v>919</v>
      </c>
      <c r="B1" s="480"/>
      <c r="C1" s="486"/>
      <c r="D1" s="482"/>
      <c r="E1" s="487"/>
      <c r="F1" s="488" t="s">
        <v>927</v>
      </c>
      <c r="G1" s="489"/>
      <c r="H1" s="825"/>
    </row>
    <row r="2" spans="1:9" x14ac:dyDescent="0.2">
      <c r="A2" s="1849"/>
    </row>
    <row r="3" spans="1:9" s="525" customFormat="1" x14ac:dyDescent="0.2">
      <c r="A3" s="1851" t="s">
        <v>387</v>
      </c>
      <c r="B3" s="1852"/>
      <c r="C3" s="2302" t="s">
        <v>1784</v>
      </c>
      <c r="E3" s="1848"/>
      <c r="F3" s="1848"/>
      <c r="G3" s="1848"/>
      <c r="H3" s="800"/>
    </row>
    <row r="4" spans="1:9" x14ac:dyDescent="0.2">
      <c r="A4" s="1849"/>
      <c r="C4" s="2302" t="s">
        <v>1781</v>
      </c>
    </row>
    <row r="5" spans="1:9" x14ac:dyDescent="0.2">
      <c r="A5" s="1849"/>
      <c r="C5" s="1853"/>
    </row>
    <row r="6" spans="1:9" x14ac:dyDescent="0.2">
      <c r="A6" s="1849"/>
      <c r="C6" s="1853"/>
    </row>
    <row r="7" spans="1:9" s="433" customFormat="1" ht="15.75" x14ac:dyDescent="0.25">
      <c r="A7" s="677" t="s">
        <v>925</v>
      </c>
      <c r="B7" s="1874"/>
      <c r="C7" s="835"/>
      <c r="E7" s="489"/>
      <c r="F7" s="489"/>
      <c r="G7" s="489"/>
      <c r="H7" s="825"/>
    </row>
    <row r="9" spans="1:9" ht="15" thickBot="1" x14ac:dyDescent="0.25">
      <c r="H9" s="1855" t="s">
        <v>173</v>
      </c>
    </row>
    <row r="10" spans="1:9" s="107" customFormat="1" ht="20.25" customHeight="1" thickTop="1" thickBot="1" x14ac:dyDescent="0.25">
      <c r="A10" s="633" t="s">
        <v>174</v>
      </c>
      <c r="B10" s="634" t="s">
        <v>175</v>
      </c>
      <c r="C10" s="678" t="s">
        <v>744</v>
      </c>
      <c r="D10" s="636" t="s">
        <v>176</v>
      </c>
      <c r="E10" s="636" t="s">
        <v>177</v>
      </c>
      <c r="F10" s="636" t="s">
        <v>922</v>
      </c>
      <c r="G10" s="636" t="s">
        <v>923</v>
      </c>
      <c r="H10" s="637" t="s">
        <v>924</v>
      </c>
    </row>
    <row r="11" spans="1:9" s="384" customFormat="1" ht="13.5" thickTop="1" thickBot="1" x14ac:dyDescent="0.25">
      <c r="A11" s="568">
        <v>1</v>
      </c>
      <c r="B11" s="569">
        <v>2</v>
      </c>
      <c r="C11" s="569">
        <v>3</v>
      </c>
      <c r="D11" s="569">
        <v>4</v>
      </c>
      <c r="E11" s="569">
        <v>5</v>
      </c>
      <c r="F11" s="543">
        <v>6</v>
      </c>
      <c r="G11" s="543">
        <v>7</v>
      </c>
      <c r="H11" s="638" t="s">
        <v>61</v>
      </c>
      <c r="I11" s="107"/>
    </row>
    <row r="12" spans="1:9" s="384" customFormat="1" ht="15.75" thickTop="1" x14ac:dyDescent="0.25">
      <c r="A12" s="1416">
        <v>4324</v>
      </c>
      <c r="B12" s="85">
        <v>5222</v>
      </c>
      <c r="C12" s="1875"/>
      <c r="D12" s="1219" t="s">
        <v>342</v>
      </c>
      <c r="E12" s="71"/>
      <c r="F12" s="313">
        <v>5130</v>
      </c>
      <c r="G12" s="315">
        <v>5130</v>
      </c>
      <c r="H12" s="212">
        <f>(G12/F12)*100</f>
        <v>100</v>
      </c>
      <c r="I12" s="107"/>
    </row>
    <row r="13" spans="1:9" s="384" customFormat="1" ht="15" x14ac:dyDescent="0.25">
      <c r="A13" s="1416"/>
      <c r="B13" s="85"/>
      <c r="C13" s="554" t="s">
        <v>612</v>
      </c>
      <c r="D13" s="2678" t="s">
        <v>613</v>
      </c>
      <c r="E13" s="71"/>
      <c r="F13" s="314">
        <v>5130</v>
      </c>
      <c r="G13" s="316">
        <v>5130</v>
      </c>
      <c r="H13" s="1125">
        <f>(G13/F13)*100</f>
        <v>100</v>
      </c>
      <c r="I13" s="107"/>
    </row>
    <row r="14" spans="1:9" s="384" customFormat="1" ht="15" x14ac:dyDescent="0.25">
      <c r="A14" s="1416"/>
      <c r="B14" s="85"/>
      <c r="C14" s="554"/>
      <c r="D14" s="2678"/>
      <c r="E14" s="71"/>
      <c r="F14" s="313"/>
      <c r="G14" s="315"/>
      <c r="H14" s="212"/>
      <c r="I14" s="107"/>
    </row>
    <row r="15" spans="1:9" s="1876" customFormat="1" ht="15" x14ac:dyDescent="0.25">
      <c r="A15" s="1416">
        <v>4339</v>
      </c>
      <c r="B15" s="85">
        <v>5169</v>
      </c>
      <c r="C15" s="1875"/>
      <c r="D15" s="128" t="s">
        <v>892</v>
      </c>
      <c r="E15" s="71">
        <v>900</v>
      </c>
      <c r="F15" s="313">
        <v>899</v>
      </c>
      <c r="G15" s="315">
        <v>899</v>
      </c>
      <c r="H15" s="212">
        <f>(G15/F15)*100</f>
        <v>100</v>
      </c>
    </row>
    <row r="16" spans="1:9" s="1876" customFormat="1" ht="15" x14ac:dyDescent="0.25">
      <c r="A16" s="1416">
        <v>4349</v>
      </c>
      <c r="B16" s="268">
        <v>5169</v>
      </c>
      <c r="C16" s="1875"/>
      <c r="D16" s="128" t="s">
        <v>892</v>
      </c>
      <c r="E16" s="71">
        <f>E17+E18</f>
        <v>560</v>
      </c>
      <c r="F16" s="71">
        <f>F17+F18</f>
        <v>305</v>
      </c>
      <c r="G16" s="71">
        <f>G17+G18</f>
        <v>304</v>
      </c>
      <c r="H16" s="212">
        <f>(G16/F16)*100</f>
        <v>99.672131147540995</v>
      </c>
    </row>
    <row r="17" spans="1:21" s="1107" customFormat="1" x14ac:dyDescent="0.2">
      <c r="A17" s="1416"/>
      <c r="B17" s="85"/>
      <c r="C17" s="1120" t="s">
        <v>792</v>
      </c>
      <c r="D17" s="1114" t="s">
        <v>1321</v>
      </c>
      <c r="E17" s="55">
        <v>430</v>
      </c>
      <c r="F17" s="314">
        <v>195</v>
      </c>
      <c r="G17" s="316">
        <v>194</v>
      </c>
      <c r="H17" s="1125">
        <f>(G17/F17)*100</f>
        <v>99.487179487179489</v>
      </c>
    </row>
    <row r="18" spans="1:21" s="1107" customFormat="1" x14ac:dyDescent="0.2">
      <c r="A18" s="1416"/>
      <c r="B18" s="85"/>
      <c r="C18" s="1119" t="s">
        <v>1785</v>
      </c>
      <c r="D18" s="166" t="s">
        <v>1786</v>
      </c>
      <c r="E18" s="55">
        <v>130</v>
      </c>
      <c r="F18" s="314">
        <v>110</v>
      </c>
      <c r="G18" s="316">
        <v>110</v>
      </c>
      <c r="H18" s="1125">
        <f>(G18/F18)*100</f>
        <v>100</v>
      </c>
    </row>
    <row r="19" spans="1:21" s="1876" customFormat="1" ht="15" x14ac:dyDescent="0.25">
      <c r="A19" s="1220">
        <v>4349</v>
      </c>
      <c r="B19" s="268">
        <v>5221</v>
      </c>
      <c r="C19" s="1877"/>
      <c r="D19" s="2712" t="s">
        <v>728</v>
      </c>
      <c r="E19" s="60"/>
      <c r="F19" s="315">
        <f>F21+F22+F23</f>
        <v>668</v>
      </c>
      <c r="G19" s="315">
        <f>G21+G22+G23</f>
        <v>668</v>
      </c>
      <c r="H19" s="212">
        <f>(G19/F19)*100</f>
        <v>100</v>
      </c>
      <c r="I19" s="1878"/>
      <c r="J19" s="1878"/>
      <c r="K19" s="1878"/>
      <c r="L19" s="1878"/>
      <c r="M19" s="1878"/>
      <c r="N19" s="1878"/>
      <c r="O19" s="1878"/>
      <c r="P19" s="1878"/>
      <c r="Q19" s="1878"/>
      <c r="R19" s="1878"/>
      <c r="S19" s="1878"/>
      <c r="T19" s="1878"/>
      <c r="U19" s="1878"/>
    </row>
    <row r="20" spans="1:21" s="1107" customFormat="1" x14ac:dyDescent="0.2">
      <c r="A20" s="1220"/>
      <c r="B20" s="268"/>
      <c r="C20" s="1119"/>
      <c r="D20" s="2712"/>
      <c r="E20" s="124"/>
      <c r="F20" s="314"/>
      <c r="G20" s="316"/>
      <c r="H20" s="1125"/>
      <c r="I20" s="1159"/>
      <c r="J20" s="1159"/>
      <c r="K20" s="1159"/>
      <c r="L20" s="1159"/>
      <c r="M20" s="1159"/>
      <c r="N20" s="1159"/>
      <c r="O20" s="1159"/>
      <c r="P20" s="1159"/>
      <c r="Q20" s="1159"/>
      <c r="R20" s="1159"/>
      <c r="S20" s="1159"/>
      <c r="T20" s="1159"/>
      <c r="U20" s="1159"/>
    </row>
    <row r="21" spans="1:21" s="1107" customFormat="1" x14ac:dyDescent="0.2">
      <c r="A21" s="1220"/>
      <c r="B21" s="268"/>
      <c r="C21" s="1166" t="s">
        <v>761</v>
      </c>
      <c r="D21" s="1856" t="s">
        <v>762</v>
      </c>
      <c r="E21" s="124"/>
      <c r="F21" s="314">
        <v>44</v>
      </c>
      <c r="G21" s="316">
        <v>44</v>
      </c>
      <c r="H21" s="1125">
        <f>(G21/F21)*100</f>
        <v>100</v>
      </c>
      <c r="I21" s="1159"/>
      <c r="J21" s="1159"/>
      <c r="K21" s="1159"/>
      <c r="L21" s="1159"/>
      <c r="M21" s="1159"/>
      <c r="N21" s="1159"/>
      <c r="O21" s="1159"/>
      <c r="P21" s="1159"/>
      <c r="Q21" s="1159"/>
      <c r="R21" s="1159"/>
      <c r="S21" s="1159"/>
      <c r="T21" s="1159"/>
      <c r="U21" s="1159"/>
    </row>
    <row r="22" spans="1:21" s="1107" customFormat="1" x14ac:dyDescent="0.2">
      <c r="A22" s="1220"/>
      <c r="B22" s="268"/>
      <c r="C22" s="1119" t="s">
        <v>68</v>
      </c>
      <c r="D22" s="1857" t="s">
        <v>69</v>
      </c>
      <c r="E22" s="124"/>
      <c r="F22" s="314">
        <v>38</v>
      </c>
      <c r="G22" s="316">
        <v>38</v>
      </c>
      <c r="H22" s="1125">
        <f>(G22/F22)*100</f>
        <v>100</v>
      </c>
      <c r="I22" s="1159"/>
      <c r="J22" s="1159"/>
      <c r="K22" s="1159"/>
      <c r="L22" s="1159"/>
      <c r="M22" s="1159"/>
      <c r="N22" s="1159"/>
      <c r="O22" s="1159"/>
      <c r="P22" s="1159"/>
      <c r="Q22" s="1159"/>
      <c r="R22" s="1159"/>
      <c r="S22" s="1159"/>
      <c r="T22" s="1159"/>
      <c r="U22" s="1159"/>
    </row>
    <row r="23" spans="1:21" s="1107" customFormat="1" x14ac:dyDescent="0.2">
      <c r="A23" s="1220"/>
      <c r="B23" s="268"/>
      <c r="C23" s="1119" t="s">
        <v>1591</v>
      </c>
      <c r="D23" s="2675" t="s">
        <v>1592</v>
      </c>
      <c r="E23" s="124"/>
      <c r="F23" s="314">
        <v>586</v>
      </c>
      <c r="G23" s="316">
        <v>586</v>
      </c>
      <c r="H23" s="1125">
        <f>(G23/F23)*100</f>
        <v>100</v>
      </c>
      <c r="I23" s="1159"/>
      <c r="J23" s="1159"/>
      <c r="K23" s="1159"/>
      <c r="L23" s="1159"/>
      <c r="M23" s="1159"/>
      <c r="N23" s="1159"/>
      <c r="O23" s="1159"/>
      <c r="P23" s="1159"/>
      <c r="Q23" s="1159"/>
      <c r="R23" s="1159"/>
      <c r="S23" s="1159"/>
      <c r="T23" s="1159"/>
      <c r="U23" s="1159"/>
    </row>
    <row r="24" spans="1:21" s="1107" customFormat="1" x14ac:dyDescent="0.2">
      <c r="A24" s="1220"/>
      <c r="B24" s="268"/>
      <c r="C24" s="1119"/>
      <c r="D24" s="2714"/>
      <c r="E24" s="124"/>
      <c r="F24" s="314"/>
      <c r="G24" s="316"/>
      <c r="H24" s="1125"/>
      <c r="I24" s="1159"/>
      <c r="J24" s="1159"/>
      <c r="K24" s="1159"/>
      <c r="L24" s="1159"/>
      <c r="M24" s="1159"/>
      <c r="N24" s="1159"/>
      <c r="O24" s="1159"/>
      <c r="P24" s="1159"/>
      <c r="Q24" s="1159"/>
      <c r="R24" s="1159"/>
      <c r="S24" s="1159"/>
      <c r="T24" s="1159"/>
      <c r="U24" s="1159"/>
    </row>
    <row r="25" spans="1:21" s="1876" customFormat="1" ht="15" x14ac:dyDescent="0.25">
      <c r="A25" s="1220">
        <v>4349</v>
      </c>
      <c r="B25" s="268">
        <v>5222</v>
      </c>
      <c r="C25" s="1877"/>
      <c r="D25" s="1219" t="s">
        <v>342</v>
      </c>
      <c r="E25" s="60"/>
      <c r="F25" s="315">
        <f>F26+F27+F28</f>
        <v>2873</v>
      </c>
      <c r="G25" s="315">
        <f>G26+G27+G28</f>
        <v>2873</v>
      </c>
      <c r="H25" s="212">
        <f>(G25/F25)*100</f>
        <v>100</v>
      </c>
      <c r="I25" s="1878"/>
      <c r="J25" s="1878"/>
      <c r="K25" s="1878"/>
      <c r="L25" s="1878"/>
      <c r="M25" s="1878"/>
      <c r="N25" s="1878"/>
      <c r="O25" s="1878"/>
      <c r="P25" s="1878"/>
      <c r="Q25" s="1878"/>
      <c r="R25" s="1878"/>
      <c r="S25" s="1878"/>
      <c r="T25" s="1878"/>
      <c r="U25" s="1878"/>
    </row>
    <row r="26" spans="1:21" s="1107" customFormat="1" x14ac:dyDescent="0.2">
      <c r="A26" s="1220"/>
      <c r="B26" s="268"/>
      <c r="C26" s="1166" t="s">
        <v>761</v>
      </c>
      <c r="D26" s="1856" t="s">
        <v>762</v>
      </c>
      <c r="E26" s="124"/>
      <c r="F26" s="314">
        <v>246</v>
      </c>
      <c r="G26" s="316">
        <v>246</v>
      </c>
      <c r="H26" s="1125">
        <f t="shared" ref="H26:H33" si="0">(G26/F26)*100</f>
        <v>100</v>
      </c>
      <c r="I26" s="1159"/>
      <c r="J26" s="1159"/>
      <c r="K26" s="1159"/>
      <c r="L26" s="1159"/>
      <c r="M26" s="1159"/>
      <c r="N26" s="1159"/>
      <c r="O26" s="1159"/>
      <c r="P26" s="1159"/>
      <c r="Q26" s="1159"/>
      <c r="R26" s="1159"/>
      <c r="S26" s="1159"/>
      <c r="T26" s="1159"/>
      <c r="U26" s="1159"/>
    </row>
    <row r="27" spans="1:21" s="1107" customFormat="1" x14ac:dyDescent="0.2">
      <c r="A27" s="1220"/>
      <c r="B27" s="268"/>
      <c r="C27" s="1119" t="s">
        <v>68</v>
      </c>
      <c r="D27" s="1857" t="s">
        <v>69</v>
      </c>
      <c r="E27" s="124"/>
      <c r="F27" s="314">
        <v>69</v>
      </c>
      <c r="G27" s="316">
        <v>69</v>
      </c>
      <c r="H27" s="1125">
        <f t="shared" si="0"/>
        <v>100</v>
      </c>
      <c r="I27" s="1159"/>
      <c r="J27" s="1159"/>
      <c r="K27" s="1159"/>
      <c r="L27" s="1159"/>
      <c r="M27" s="1159"/>
      <c r="N27" s="1159"/>
      <c r="O27" s="1159"/>
      <c r="P27" s="1159"/>
      <c r="Q27" s="1159"/>
      <c r="R27" s="1159"/>
      <c r="S27" s="1159"/>
      <c r="T27" s="1159"/>
      <c r="U27" s="1159"/>
    </row>
    <row r="28" spans="1:21" s="1107" customFormat="1" x14ac:dyDescent="0.2">
      <c r="A28" s="1220"/>
      <c r="B28" s="268"/>
      <c r="C28" s="1119" t="s">
        <v>1591</v>
      </c>
      <c r="D28" s="2675" t="s">
        <v>1592</v>
      </c>
      <c r="E28" s="124"/>
      <c r="F28" s="314">
        <v>2558</v>
      </c>
      <c r="G28" s="316">
        <v>2558</v>
      </c>
      <c r="H28" s="1125">
        <f t="shared" si="0"/>
        <v>100</v>
      </c>
      <c r="I28" s="1159"/>
      <c r="J28" s="1159"/>
      <c r="K28" s="1159"/>
      <c r="L28" s="1159"/>
      <c r="M28" s="1159"/>
      <c r="N28" s="1159"/>
      <c r="O28" s="1159"/>
      <c r="P28" s="1159"/>
      <c r="Q28" s="1159"/>
      <c r="R28" s="1159"/>
      <c r="S28" s="1159"/>
      <c r="T28" s="1159"/>
      <c r="U28" s="1159"/>
    </row>
    <row r="29" spans="1:21" s="1107" customFormat="1" x14ac:dyDescent="0.2">
      <c r="A29" s="1220"/>
      <c r="B29" s="268"/>
      <c r="C29" s="1119"/>
      <c r="D29" s="2714"/>
      <c r="E29" s="124"/>
      <c r="F29" s="314"/>
      <c r="G29" s="316"/>
      <c r="H29" s="1125"/>
      <c r="I29" s="1159"/>
      <c r="J29" s="1159"/>
      <c r="K29" s="1159"/>
      <c r="L29" s="1159"/>
      <c r="M29" s="1159"/>
      <c r="N29" s="1159"/>
      <c r="O29" s="1159"/>
      <c r="P29" s="1159"/>
      <c r="Q29" s="1159"/>
      <c r="R29" s="1159"/>
      <c r="S29" s="1159"/>
      <c r="T29" s="1159"/>
      <c r="U29" s="1159"/>
    </row>
    <row r="30" spans="1:21" s="1876" customFormat="1" ht="15" x14ac:dyDescent="0.25">
      <c r="A30" s="1220">
        <v>4349</v>
      </c>
      <c r="B30" s="268">
        <v>5223</v>
      </c>
      <c r="C30" s="1877"/>
      <c r="D30" s="309" t="s">
        <v>1302</v>
      </c>
      <c r="E30" s="60"/>
      <c r="F30" s="315">
        <f>F31+F32+F33</f>
        <v>2704</v>
      </c>
      <c r="G30" s="315">
        <f>G31+G32+G33</f>
        <v>2704</v>
      </c>
      <c r="H30" s="212">
        <f>(G30/F30)*100</f>
        <v>100</v>
      </c>
      <c r="I30" s="1878"/>
      <c r="J30" s="1878"/>
      <c r="K30" s="1878"/>
      <c r="L30" s="1878"/>
      <c r="M30" s="1878"/>
      <c r="N30" s="1878"/>
      <c r="O30" s="1878"/>
      <c r="P30" s="1878"/>
      <c r="Q30" s="1878"/>
      <c r="R30" s="1878"/>
      <c r="S30" s="1878"/>
      <c r="T30" s="1878"/>
      <c r="U30" s="1878"/>
    </row>
    <row r="31" spans="1:21" s="1107" customFormat="1" x14ac:dyDescent="0.2">
      <c r="A31" s="1220"/>
      <c r="B31" s="268"/>
      <c r="C31" s="1166" t="s">
        <v>761</v>
      </c>
      <c r="D31" s="1856" t="s">
        <v>762</v>
      </c>
      <c r="E31" s="124"/>
      <c r="F31" s="314">
        <v>210</v>
      </c>
      <c r="G31" s="316">
        <v>210</v>
      </c>
      <c r="H31" s="1125">
        <f t="shared" si="0"/>
        <v>100</v>
      </c>
      <c r="I31" s="1159"/>
      <c r="J31" s="1159"/>
      <c r="K31" s="1159"/>
      <c r="L31" s="1159"/>
      <c r="M31" s="1159"/>
      <c r="N31" s="1159"/>
      <c r="O31" s="1159"/>
      <c r="P31" s="1159"/>
      <c r="Q31" s="1159"/>
      <c r="R31" s="1159"/>
      <c r="S31" s="1159"/>
      <c r="T31" s="1159"/>
      <c r="U31" s="1159"/>
    </row>
    <row r="32" spans="1:21" s="1107" customFormat="1" x14ac:dyDescent="0.2">
      <c r="A32" s="1220"/>
      <c r="B32" s="268"/>
      <c r="C32" s="1119" t="s">
        <v>68</v>
      </c>
      <c r="D32" s="1857" t="s">
        <v>69</v>
      </c>
      <c r="E32" s="124"/>
      <c r="F32" s="314">
        <v>43</v>
      </c>
      <c r="G32" s="316">
        <v>43</v>
      </c>
      <c r="H32" s="1125">
        <f t="shared" si="0"/>
        <v>100</v>
      </c>
      <c r="I32" s="1159"/>
      <c r="J32" s="1159"/>
      <c r="K32" s="1159"/>
      <c r="L32" s="1159"/>
      <c r="M32" s="1159"/>
      <c r="N32" s="1159"/>
      <c r="O32" s="1159"/>
      <c r="P32" s="1159"/>
      <c r="Q32" s="1159"/>
      <c r="R32" s="1159"/>
      <c r="S32" s="1159"/>
      <c r="T32" s="1159"/>
      <c r="U32" s="1159"/>
    </row>
    <row r="33" spans="1:21" s="1107" customFormat="1" x14ac:dyDescent="0.2">
      <c r="A33" s="1220"/>
      <c r="B33" s="268"/>
      <c r="C33" s="1119" t="s">
        <v>1591</v>
      </c>
      <c r="D33" s="2675" t="s">
        <v>1592</v>
      </c>
      <c r="E33" s="124"/>
      <c r="F33" s="314">
        <v>2451</v>
      </c>
      <c r="G33" s="316">
        <v>2451</v>
      </c>
      <c r="H33" s="1125">
        <f t="shared" si="0"/>
        <v>100</v>
      </c>
      <c r="I33" s="1159"/>
      <c r="J33" s="1159"/>
      <c r="K33" s="1159"/>
      <c r="L33" s="1159"/>
      <c r="M33" s="1159"/>
      <c r="N33" s="1159"/>
      <c r="O33" s="1159"/>
      <c r="P33" s="1159"/>
      <c r="Q33" s="1159"/>
      <c r="R33" s="1159"/>
      <c r="S33" s="1159"/>
      <c r="T33" s="1159"/>
      <c r="U33" s="1159"/>
    </row>
    <row r="34" spans="1:21" s="1107" customFormat="1" x14ac:dyDescent="0.2">
      <c r="A34" s="1220"/>
      <c r="B34" s="268"/>
      <c r="C34" s="1119"/>
      <c r="D34" s="2714"/>
      <c r="E34" s="124"/>
      <c r="F34" s="314"/>
      <c r="G34" s="316"/>
      <c r="H34" s="1125"/>
      <c r="I34" s="1159"/>
      <c r="J34" s="1159"/>
      <c r="K34" s="1159"/>
      <c r="L34" s="1159"/>
      <c r="M34" s="1159"/>
      <c r="N34" s="1159"/>
      <c r="O34" s="1159"/>
      <c r="P34" s="1159"/>
      <c r="Q34" s="1159"/>
      <c r="R34" s="1159"/>
      <c r="S34" s="1159"/>
      <c r="T34" s="1159"/>
      <c r="U34" s="1159"/>
    </row>
    <row r="35" spans="1:21" s="1876" customFormat="1" ht="12.75" customHeight="1" x14ac:dyDescent="0.25">
      <c r="A35" s="1220">
        <v>4349</v>
      </c>
      <c r="B35" s="268">
        <v>5229</v>
      </c>
      <c r="C35" s="1877"/>
      <c r="D35" s="309" t="s">
        <v>70</v>
      </c>
      <c r="E35" s="60">
        <f>E36+E37+E38</f>
        <v>3650</v>
      </c>
      <c r="F35" s="313">
        <f>F36+F37+F38</f>
        <v>0</v>
      </c>
      <c r="G35" s="315">
        <v>0</v>
      </c>
      <c r="H35" s="212">
        <v>0</v>
      </c>
      <c r="I35" s="1878"/>
      <c r="J35" s="1878"/>
      <c r="K35" s="1878"/>
      <c r="L35" s="1878"/>
      <c r="M35" s="1878"/>
      <c r="N35" s="1878"/>
      <c r="O35" s="1878"/>
      <c r="P35" s="1878"/>
      <c r="Q35" s="1878"/>
      <c r="R35" s="1878"/>
      <c r="S35" s="1878"/>
      <c r="T35" s="1878"/>
      <c r="U35" s="1878"/>
    </row>
    <row r="36" spans="1:21" s="1107" customFormat="1" x14ac:dyDescent="0.2">
      <c r="A36" s="1220"/>
      <c r="B36" s="268"/>
      <c r="C36" s="1166" t="s">
        <v>761</v>
      </c>
      <c r="D36" s="1856" t="s">
        <v>762</v>
      </c>
      <c r="E36" s="124">
        <v>500</v>
      </c>
      <c r="F36" s="314">
        <v>0</v>
      </c>
      <c r="G36" s="316">
        <v>0</v>
      </c>
      <c r="H36" s="1125">
        <v>0</v>
      </c>
      <c r="I36" s="1159"/>
      <c r="J36" s="1159"/>
      <c r="K36" s="1159"/>
      <c r="L36" s="1159"/>
      <c r="M36" s="1159"/>
      <c r="N36" s="1159"/>
      <c r="O36" s="1159"/>
      <c r="P36" s="1159"/>
      <c r="Q36" s="1159"/>
      <c r="R36" s="1159"/>
      <c r="S36" s="1159"/>
      <c r="T36" s="1159"/>
      <c r="U36" s="1159"/>
    </row>
    <row r="37" spans="1:21" s="1107" customFormat="1" x14ac:dyDescent="0.2">
      <c r="A37" s="1220"/>
      <c r="B37" s="268"/>
      <c r="C37" s="1119" t="s">
        <v>68</v>
      </c>
      <c r="D37" s="1857" t="s">
        <v>69</v>
      </c>
      <c r="E37" s="124">
        <v>150</v>
      </c>
      <c r="F37" s="314">
        <v>0</v>
      </c>
      <c r="G37" s="316">
        <v>0</v>
      </c>
      <c r="H37" s="1125">
        <v>0</v>
      </c>
      <c r="I37" s="1159"/>
      <c r="J37" s="1159"/>
      <c r="K37" s="1159"/>
      <c r="L37" s="1159"/>
      <c r="M37" s="1159"/>
      <c r="N37" s="1159"/>
      <c r="O37" s="1159"/>
      <c r="P37" s="1159"/>
      <c r="Q37" s="1159"/>
      <c r="R37" s="1159"/>
      <c r="S37" s="1159"/>
      <c r="T37" s="1159"/>
      <c r="U37" s="1159"/>
    </row>
    <row r="38" spans="1:21" s="1107" customFormat="1" x14ac:dyDescent="0.2">
      <c r="A38" s="1220"/>
      <c r="B38" s="268"/>
      <c r="C38" s="1119" t="s">
        <v>1591</v>
      </c>
      <c r="D38" s="2675" t="s">
        <v>1592</v>
      </c>
      <c r="E38" s="124">
        <v>3000</v>
      </c>
      <c r="F38" s="314">
        <v>0</v>
      </c>
      <c r="G38" s="316">
        <v>0</v>
      </c>
      <c r="H38" s="1125">
        <v>0</v>
      </c>
      <c r="I38" s="1159"/>
      <c r="J38" s="1159"/>
      <c r="K38" s="1159"/>
      <c r="L38" s="1159"/>
      <c r="M38" s="1159"/>
      <c r="N38" s="1159"/>
      <c r="O38" s="1159"/>
      <c r="P38" s="1159"/>
      <c r="Q38" s="1159"/>
      <c r="R38" s="1159"/>
      <c r="S38" s="1159"/>
      <c r="T38" s="1159"/>
      <c r="U38" s="1159"/>
    </row>
    <row r="39" spans="1:21" s="1107" customFormat="1" x14ac:dyDescent="0.2">
      <c r="A39" s="1220"/>
      <c r="B39" s="268"/>
      <c r="C39" s="1119"/>
      <c r="D39" s="2714"/>
      <c r="E39" s="124"/>
      <c r="F39" s="316"/>
      <c r="G39" s="446"/>
      <c r="H39" s="1125"/>
      <c r="I39" s="1159"/>
      <c r="J39" s="1159"/>
      <c r="K39" s="1159"/>
      <c r="L39" s="1159"/>
      <c r="M39" s="1159"/>
      <c r="N39" s="1159"/>
      <c r="O39" s="1159"/>
      <c r="P39" s="1159"/>
      <c r="Q39" s="1159"/>
      <c r="R39" s="1159"/>
      <c r="S39" s="1159"/>
      <c r="T39" s="1159"/>
      <c r="U39" s="1159"/>
    </row>
    <row r="40" spans="1:21" s="1876" customFormat="1" ht="15" x14ac:dyDescent="0.25">
      <c r="A40" s="1220">
        <v>4399</v>
      </c>
      <c r="B40" s="268">
        <v>5164</v>
      </c>
      <c r="C40" s="1877"/>
      <c r="D40" s="87" t="s">
        <v>182</v>
      </c>
      <c r="E40" s="60"/>
      <c r="F40" s="313">
        <v>7</v>
      </c>
      <c r="G40" s="315">
        <v>7</v>
      </c>
      <c r="H40" s="212">
        <f t="shared" ref="H40:H46" si="1">(G40/F40)*100</f>
        <v>100</v>
      </c>
      <c r="I40" s="1878"/>
      <c r="J40" s="1878"/>
      <c r="K40" s="1878"/>
      <c r="L40" s="1878"/>
      <c r="M40" s="1878"/>
      <c r="N40" s="1878"/>
      <c r="O40" s="1878"/>
      <c r="P40" s="1878"/>
      <c r="Q40" s="1878"/>
      <c r="R40" s="1878"/>
      <c r="S40" s="1878"/>
      <c r="T40" s="1878"/>
      <c r="U40" s="1878"/>
    </row>
    <row r="41" spans="1:21" s="1878" customFormat="1" ht="14.25" customHeight="1" x14ac:dyDescent="0.25">
      <c r="A41" s="1220">
        <v>4399</v>
      </c>
      <c r="B41" s="268">
        <v>5169</v>
      </c>
      <c r="C41" s="1877"/>
      <c r="D41" s="128" t="s">
        <v>892</v>
      </c>
      <c r="E41" s="60">
        <f>E42+E43</f>
        <v>4966</v>
      </c>
      <c r="F41" s="60">
        <f>F42+F43</f>
        <v>5385</v>
      </c>
      <c r="G41" s="60">
        <f>G42+G43</f>
        <v>5383</v>
      </c>
      <c r="H41" s="212">
        <f t="shared" si="1"/>
        <v>99.962859795728875</v>
      </c>
      <c r="I41" s="1879"/>
      <c r="J41" s="1196"/>
    </row>
    <row r="42" spans="1:21" s="1159" customFormat="1" ht="14.25" customHeight="1" x14ac:dyDescent="0.2">
      <c r="A42" s="1220"/>
      <c r="B42" s="268"/>
      <c r="C42" s="1119" t="s">
        <v>792</v>
      </c>
      <c r="D42" s="312" t="s">
        <v>1321</v>
      </c>
      <c r="E42" s="124">
        <v>4466</v>
      </c>
      <c r="F42" s="314">
        <v>5219</v>
      </c>
      <c r="G42" s="316">
        <v>5218</v>
      </c>
      <c r="H42" s="1125">
        <f t="shared" si="1"/>
        <v>99.980839241233951</v>
      </c>
      <c r="I42" s="147"/>
      <c r="J42" s="1858"/>
    </row>
    <row r="43" spans="1:21" s="1159" customFormat="1" ht="14.25" customHeight="1" x14ac:dyDescent="0.2">
      <c r="A43" s="1220"/>
      <c r="B43" s="268"/>
      <c r="C43" s="1119" t="s">
        <v>710</v>
      </c>
      <c r="D43" s="166" t="s">
        <v>711</v>
      </c>
      <c r="E43" s="124">
        <v>500</v>
      </c>
      <c r="F43" s="314">
        <v>166</v>
      </c>
      <c r="G43" s="316">
        <v>165</v>
      </c>
      <c r="H43" s="1415">
        <f t="shared" si="1"/>
        <v>99.397590361445793</v>
      </c>
      <c r="I43" s="147"/>
      <c r="J43" s="1858"/>
    </row>
    <row r="44" spans="1:21" s="1878" customFormat="1" ht="14.25" customHeight="1" x14ac:dyDescent="0.25">
      <c r="A44" s="1220">
        <v>4399</v>
      </c>
      <c r="B44" s="268">
        <v>5175</v>
      </c>
      <c r="C44" s="1877"/>
      <c r="D44" s="128" t="s">
        <v>707</v>
      </c>
      <c r="E44" s="60">
        <v>80</v>
      </c>
      <c r="F44" s="315">
        <f>F45+F46</f>
        <v>55</v>
      </c>
      <c r="G44" s="315">
        <f>G45+G46</f>
        <v>53</v>
      </c>
      <c r="H44" s="212">
        <f t="shared" si="1"/>
        <v>96.36363636363636</v>
      </c>
      <c r="I44" s="1879"/>
      <c r="J44" s="1196"/>
    </row>
    <row r="45" spans="1:21" s="1159" customFormat="1" ht="14.25" customHeight="1" x14ac:dyDescent="0.2">
      <c r="A45" s="1220"/>
      <c r="B45" s="268"/>
      <c r="C45" s="1119" t="s">
        <v>792</v>
      </c>
      <c r="D45" s="312" t="s">
        <v>1321</v>
      </c>
      <c r="E45" s="124">
        <v>80</v>
      </c>
      <c r="F45" s="314">
        <v>51</v>
      </c>
      <c r="G45" s="316">
        <v>50</v>
      </c>
      <c r="H45" s="1125">
        <f t="shared" si="1"/>
        <v>98.039215686274503</v>
      </c>
      <c r="I45" s="147"/>
      <c r="J45" s="1858"/>
    </row>
    <row r="46" spans="1:21" s="1159" customFormat="1" ht="14.25" customHeight="1" x14ac:dyDescent="0.2">
      <c r="A46" s="1220"/>
      <c r="B46" s="268"/>
      <c r="C46" s="1119" t="s">
        <v>710</v>
      </c>
      <c r="D46" s="166" t="s">
        <v>711</v>
      </c>
      <c r="E46" s="124"/>
      <c r="F46" s="314">
        <v>4</v>
      </c>
      <c r="G46" s="316">
        <v>3</v>
      </c>
      <c r="H46" s="1125">
        <f t="shared" si="1"/>
        <v>75</v>
      </c>
      <c r="I46" s="147"/>
      <c r="J46" s="1858"/>
    </row>
    <row r="47" spans="1:21" s="1878" customFormat="1" ht="14.25" customHeight="1" x14ac:dyDescent="0.25">
      <c r="A47" s="1220">
        <v>4399</v>
      </c>
      <c r="B47" s="268">
        <v>5213</v>
      </c>
      <c r="C47" s="1880"/>
      <c r="D47" s="1131" t="s">
        <v>343</v>
      </c>
      <c r="E47" s="60"/>
      <c r="F47" s="315">
        <v>200</v>
      </c>
      <c r="G47" s="315">
        <v>200</v>
      </c>
      <c r="H47" s="212">
        <f>(G47/F47)*100</f>
        <v>100</v>
      </c>
      <c r="I47" s="1879"/>
      <c r="J47" s="1196"/>
    </row>
    <row r="48" spans="1:21" s="1878" customFormat="1" ht="14.25" customHeight="1" x14ac:dyDescent="0.25">
      <c r="A48" s="1220"/>
      <c r="B48" s="268"/>
      <c r="C48" s="1135" t="s">
        <v>262</v>
      </c>
      <c r="D48" s="1114" t="s">
        <v>333</v>
      </c>
      <c r="E48" s="60"/>
      <c r="F48" s="314">
        <v>200</v>
      </c>
      <c r="G48" s="316">
        <v>200</v>
      </c>
      <c r="H48" s="1125">
        <f>(G48/F48)*100</f>
        <v>100</v>
      </c>
      <c r="I48" s="1879"/>
      <c r="J48" s="1196"/>
    </row>
    <row r="49" spans="1:21" s="1878" customFormat="1" ht="14.25" customHeight="1" x14ac:dyDescent="0.25">
      <c r="A49" s="1220">
        <v>4399</v>
      </c>
      <c r="B49" s="268">
        <v>5221</v>
      </c>
      <c r="C49" s="1880"/>
      <c r="D49" s="2712" t="s">
        <v>728</v>
      </c>
      <c r="E49" s="60"/>
      <c r="F49" s="315">
        <f>F51+F52</f>
        <v>100</v>
      </c>
      <c r="G49" s="315">
        <f>G51+G52</f>
        <v>100</v>
      </c>
      <c r="H49" s="212">
        <f>(G49/F49)*100</f>
        <v>100</v>
      </c>
      <c r="I49" s="1879"/>
      <c r="J49" s="1196"/>
    </row>
    <row r="50" spans="1:21" s="1159" customFormat="1" ht="14.25" customHeight="1" x14ac:dyDescent="0.2">
      <c r="A50" s="1220"/>
      <c r="B50" s="268"/>
      <c r="C50" s="1120"/>
      <c r="D50" s="2712"/>
      <c r="E50" s="124"/>
      <c r="F50" s="314"/>
      <c r="G50" s="316"/>
      <c r="H50" s="1125"/>
      <c r="I50" s="147"/>
      <c r="J50" s="1858"/>
    </row>
    <row r="51" spans="1:21" s="1159" customFormat="1" ht="14.25" customHeight="1" x14ac:dyDescent="0.2">
      <c r="A51" s="1220"/>
      <c r="B51" s="1514"/>
      <c r="C51" s="1135" t="s">
        <v>262</v>
      </c>
      <c r="D51" s="1114" t="s">
        <v>333</v>
      </c>
      <c r="E51" s="124"/>
      <c r="F51" s="314">
        <v>50</v>
      </c>
      <c r="G51" s="316">
        <v>50</v>
      </c>
      <c r="H51" s="1125">
        <f t="shared" ref="H51:H63" si="2">(G51/F51)*100</f>
        <v>100</v>
      </c>
      <c r="I51" s="147"/>
      <c r="J51" s="1858"/>
    </row>
    <row r="52" spans="1:21" s="1159" customFormat="1" ht="14.25" customHeight="1" x14ac:dyDescent="0.2">
      <c r="A52" s="1220"/>
      <c r="B52" s="1514"/>
      <c r="C52" s="1135" t="s">
        <v>1262</v>
      </c>
      <c r="D52" s="1114" t="s">
        <v>1757</v>
      </c>
      <c r="E52" s="124"/>
      <c r="F52" s="314">
        <v>50</v>
      </c>
      <c r="G52" s="316">
        <v>50</v>
      </c>
      <c r="H52" s="1125">
        <f t="shared" si="2"/>
        <v>100</v>
      </c>
      <c r="I52" s="147"/>
      <c r="J52" s="1858"/>
    </row>
    <row r="53" spans="1:21" s="1878" customFormat="1" ht="14.25" customHeight="1" x14ac:dyDescent="0.25">
      <c r="A53" s="1220">
        <v>4399</v>
      </c>
      <c r="B53" s="268">
        <v>5222</v>
      </c>
      <c r="C53" s="1880"/>
      <c r="D53" s="1219" t="s">
        <v>342</v>
      </c>
      <c r="E53" s="60"/>
      <c r="F53" s="315">
        <f>F54+F55</f>
        <v>1560</v>
      </c>
      <c r="G53" s="315">
        <f>G54+G55</f>
        <v>1560</v>
      </c>
      <c r="H53" s="212">
        <f t="shared" si="2"/>
        <v>100</v>
      </c>
      <c r="I53" s="1879"/>
      <c r="J53" s="1196"/>
    </row>
    <row r="54" spans="1:21" s="1159" customFormat="1" ht="14.25" customHeight="1" x14ac:dyDescent="0.2">
      <c r="A54" s="1220"/>
      <c r="B54" s="268"/>
      <c r="C54" s="1135" t="s">
        <v>262</v>
      </c>
      <c r="D54" s="1114" t="s">
        <v>333</v>
      </c>
      <c r="E54" s="124"/>
      <c r="F54" s="314">
        <v>830</v>
      </c>
      <c r="G54" s="316">
        <v>830</v>
      </c>
      <c r="H54" s="1125">
        <f t="shared" si="2"/>
        <v>100</v>
      </c>
      <c r="I54" s="147"/>
      <c r="J54" s="1858"/>
    </row>
    <row r="55" spans="1:21" s="1159" customFormat="1" ht="14.25" customHeight="1" x14ac:dyDescent="0.2">
      <c r="A55" s="1220"/>
      <c r="B55" s="268"/>
      <c r="C55" s="1135" t="s">
        <v>1262</v>
      </c>
      <c r="D55" s="1114" t="s">
        <v>1757</v>
      </c>
      <c r="E55" s="124"/>
      <c r="F55" s="314">
        <v>730</v>
      </c>
      <c r="G55" s="316">
        <v>730</v>
      </c>
      <c r="H55" s="1125">
        <f t="shared" si="2"/>
        <v>100</v>
      </c>
      <c r="I55" s="147"/>
      <c r="J55" s="1858"/>
    </row>
    <row r="56" spans="1:21" s="1878" customFormat="1" ht="14.25" customHeight="1" x14ac:dyDescent="0.25">
      <c r="A56" s="1220">
        <v>4399</v>
      </c>
      <c r="B56" s="268">
        <v>5339</v>
      </c>
      <c r="C56" s="1880"/>
      <c r="D56" s="87" t="s">
        <v>1299</v>
      </c>
      <c r="E56" s="60"/>
      <c r="F56" s="313">
        <v>65</v>
      </c>
      <c r="G56" s="315">
        <v>65</v>
      </c>
      <c r="H56" s="212">
        <f t="shared" si="2"/>
        <v>100</v>
      </c>
      <c r="I56" s="1879"/>
      <c r="J56" s="1196"/>
    </row>
    <row r="57" spans="1:21" s="1159" customFormat="1" ht="14.25" customHeight="1" x14ac:dyDescent="0.2">
      <c r="A57" s="1220"/>
      <c r="B57" s="268"/>
      <c r="C57" s="1135" t="s">
        <v>262</v>
      </c>
      <c r="D57" s="1114" t="s">
        <v>333</v>
      </c>
      <c r="E57" s="124"/>
      <c r="F57" s="314">
        <v>65</v>
      </c>
      <c r="G57" s="316">
        <v>65</v>
      </c>
      <c r="H57" s="1125">
        <f t="shared" si="2"/>
        <v>100</v>
      </c>
      <c r="I57" s="147"/>
      <c r="J57" s="1858"/>
    </row>
    <row r="58" spans="1:21" s="1878" customFormat="1" ht="14.25" customHeight="1" x14ac:dyDescent="0.25">
      <c r="A58" s="1220">
        <v>4399</v>
      </c>
      <c r="B58" s="268">
        <v>5493</v>
      </c>
      <c r="C58" s="1880"/>
      <c r="D58" s="309" t="s">
        <v>730</v>
      </c>
      <c r="E58" s="60"/>
      <c r="F58" s="313">
        <v>30</v>
      </c>
      <c r="G58" s="315">
        <v>30</v>
      </c>
      <c r="H58" s="212">
        <f t="shared" si="2"/>
        <v>100</v>
      </c>
      <c r="I58" s="1879"/>
      <c r="J58" s="1196"/>
    </row>
    <row r="59" spans="1:21" s="1159" customFormat="1" ht="14.25" customHeight="1" x14ac:dyDescent="0.2">
      <c r="A59" s="1220"/>
      <c r="B59" s="268"/>
      <c r="C59" s="1135" t="s">
        <v>1262</v>
      </c>
      <c r="D59" s="1114" t="s">
        <v>1757</v>
      </c>
      <c r="E59" s="124"/>
      <c r="F59" s="314">
        <v>30</v>
      </c>
      <c r="G59" s="316">
        <v>30</v>
      </c>
      <c r="H59" s="1125">
        <f t="shared" si="2"/>
        <v>100</v>
      </c>
      <c r="I59" s="147"/>
      <c r="J59" s="1858"/>
    </row>
    <row r="60" spans="1:21" s="1159" customFormat="1" ht="14.25" customHeight="1" x14ac:dyDescent="0.25">
      <c r="A60" s="1220">
        <v>4399</v>
      </c>
      <c r="B60" s="268">
        <v>5532</v>
      </c>
      <c r="C60" s="1135"/>
      <c r="D60" s="87" t="s">
        <v>1787</v>
      </c>
      <c r="E60" s="124"/>
      <c r="F60" s="313">
        <v>194</v>
      </c>
      <c r="G60" s="315">
        <v>194</v>
      </c>
      <c r="H60" s="212">
        <f t="shared" si="2"/>
        <v>100</v>
      </c>
      <c r="I60" s="147"/>
      <c r="J60" s="1858"/>
    </row>
    <row r="61" spans="1:21" s="1159" customFormat="1" ht="14.25" customHeight="1" x14ac:dyDescent="0.2">
      <c r="A61" s="1220"/>
      <c r="B61" s="268"/>
      <c r="C61" s="1119" t="s">
        <v>1411</v>
      </c>
      <c r="D61" s="2668" t="s">
        <v>1412</v>
      </c>
      <c r="E61" s="124"/>
      <c r="F61" s="314">
        <v>194</v>
      </c>
      <c r="G61" s="316">
        <v>194</v>
      </c>
      <c r="H61" s="1125">
        <f t="shared" si="2"/>
        <v>100</v>
      </c>
      <c r="I61" s="147"/>
      <c r="J61" s="1858"/>
    </row>
    <row r="62" spans="1:21" s="1159" customFormat="1" ht="14.25" customHeight="1" x14ac:dyDescent="0.2">
      <c r="A62" s="1220"/>
      <c r="B62" s="268"/>
      <c r="C62" s="1119"/>
      <c r="D62" s="2669"/>
      <c r="E62" s="124"/>
      <c r="F62" s="314"/>
      <c r="G62" s="316"/>
      <c r="H62" s="1125"/>
      <c r="I62" s="147"/>
      <c r="J62" s="1858"/>
    </row>
    <row r="63" spans="1:21" s="1878" customFormat="1" ht="14.25" customHeight="1" x14ac:dyDescent="0.25">
      <c r="A63" s="1416">
        <v>6172</v>
      </c>
      <c r="B63" s="85">
        <v>5161</v>
      </c>
      <c r="C63" s="1880"/>
      <c r="D63" s="87" t="s">
        <v>313</v>
      </c>
      <c r="E63" s="71">
        <v>5</v>
      </c>
      <c r="F63" s="313">
        <v>4</v>
      </c>
      <c r="G63" s="315">
        <v>2</v>
      </c>
      <c r="H63" s="212">
        <f t="shared" si="2"/>
        <v>50</v>
      </c>
      <c r="I63" s="1876"/>
      <c r="J63" s="1876"/>
      <c r="K63" s="1876"/>
      <c r="L63" s="1876"/>
      <c r="M63" s="1876"/>
      <c r="N63" s="1876"/>
      <c r="O63" s="1876"/>
      <c r="P63" s="1876"/>
      <c r="Q63" s="1876"/>
      <c r="R63" s="1876"/>
      <c r="S63" s="1876"/>
      <c r="T63" s="1876"/>
      <c r="U63" s="1876"/>
    </row>
    <row r="64" spans="1:21" s="1878" customFormat="1" ht="14.25" customHeight="1" x14ac:dyDescent="0.25">
      <c r="A64" s="1416">
        <v>6172</v>
      </c>
      <c r="B64" s="85">
        <v>5169</v>
      </c>
      <c r="C64" s="1880"/>
      <c r="D64" s="87" t="s">
        <v>892</v>
      </c>
      <c r="E64" s="71">
        <v>10</v>
      </c>
      <c r="F64" s="313">
        <v>0</v>
      </c>
      <c r="G64" s="315">
        <v>0</v>
      </c>
      <c r="H64" s="212">
        <v>0</v>
      </c>
      <c r="I64" s="1876"/>
      <c r="J64" s="1876"/>
      <c r="K64" s="1876"/>
      <c r="L64" s="1876"/>
      <c r="M64" s="1876"/>
      <c r="N64" s="1876"/>
      <c r="O64" s="1876"/>
      <c r="P64" s="1876"/>
      <c r="Q64" s="1876"/>
      <c r="R64" s="1876"/>
      <c r="S64" s="1876"/>
      <c r="T64" s="1876"/>
      <c r="U64" s="1876"/>
    </row>
    <row r="65" spans="1:21" s="1878" customFormat="1" ht="14.25" customHeight="1" thickBot="1" x14ac:dyDescent="0.3">
      <c r="A65" s="1522">
        <v>6172</v>
      </c>
      <c r="B65" s="1210">
        <v>5192</v>
      </c>
      <c r="C65" s="1881"/>
      <c r="D65" s="1211" t="s">
        <v>1290</v>
      </c>
      <c r="E65" s="1175">
        <v>20</v>
      </c>
      <c r="F65" s="445">
        <v>0</v>
      </c>
      <c r="G65" s="443">
        <v>0</v>
      </c>
      <c r="H65" s="267">
        <v>0</v>
      </c>
      <c r="I65" s="1876"/>
      <c r="J65" s="1876"/>
      <c r="K65" s="1876"/>
      <c r="L65" s="1876"/>
      <c r="M65" s="1876"/>
      <c r="N65" s="1876"/>
      <c r="O65" s="1876"/>
      <c r="P65" s="1876"/>
      <c r="Q65" s="1876"/>
      <c r="R65" s="1876"/>
      <c r="S65" s="1876"/>
      <c r="T65" s="1876"/>
      <c r="U65" s="1876"/>
    </row>
    <row r="66" spans="1:21" s="1069" customFormat="1" ht="35.25" customHeight="1" thickTop="1" thickBot="1" x14ac:dyDescent="0.3">
      <c r="A66" s="1031" t="s">
        <v>256</v>
      </c>
      <c r="B66" s="1882"/>
      <c r="C66" s="1883"/>
      <c r="D66" s="1882"/>
      <c r="E66" s="1884">
        <f>E15+E16+E35+E41+E44+E63+E64+E65</f>
        <v>10191</v>
      </c>
      <c r="F66" s="1884">
        <f>F12+F15+F16+F19+F25+F30+F35+F40+F41+F44+F47+F49+F53+F56+F58+F60+F63+F64+F65</f>
        <v>20179</v>
      </c>
      <c r="G66" s="1884">
        <f>G12+G15+G16+G19+G25+G30+G35+G40+G41+G44+G47+G49+G53+G56+G58+G60+G63+G64+G65</f>
        <v>20172</v>
      </c>
      <c r="H66" s="1885">
        <f>(G66/F66)*100</f>
        <v>99.965310471282024</v>
      </c>
    </row>
    <row r="67" spans="1:21" ht="15" thickTop="1" x14ac:dyDescent="0.2"/>
    <row r="70" spans="1:21" s="534" customFormat="1" ht="15.75" x14ac:dyDescent="0.25">
      <c r="A70" s="33" t="s">
        <v>1310</v>
      </c>
      <c r="B70" s="33"/>
      <c r="C70" s="667"/>
      <c r="E70" s="1350"/>
      <c r="F70" s="1350"/>
      <c r="G70" s="1350"/>
      <c r="H70" s="668"/>
    </row>
    <row r="71" spans="1:21" s="534" customFormat="1" ht="13.5" thickBot="1" x14ac:dyDescent="0.25">
      <c r="A71" s="702"/>
      <c r="B71" s="702"/>
      <c r="C71" s="667"/>
      <c r="E71" s="1350"/>
      <c r="F71" s="1350"/>
      <c r="G71" s="1350"/>
      <c r="H71" s="668" t="s">
        <v>173</v>
      </c>
    </row>
    <row r="72" spans="1:21" s="107" customFormat="1" ht="20.25" customHeight="1" thickTop="1" thickBot="1" x14ac:dyDescent="0.25">
      <c r="A72" s="633" t="s">
        <v>174</v>
      </c>
      <c r="B72" s="634" t="s">
        <v>175</v>
      </c>
      <c r="C72" s="678" t="s">
        <v>744</v>
      </c>
      <c r="D72" s="636" t="s">
        <v>176</v>
      </c>
      <c r="E72" s="636" t="s">
        <v>177</v>
      </c>
      <c r="F72" s="636" t="s">
        <v>922</v>
      </c>
      <c r="G72" s="636" t="s">
        <v>923</v>
      </c>
      <c r="H72" s="637" t="s">
        <v>924</v>
      </c>
    </row>
    <row r="73" spans="1:21" s="384" customFormat="1" ht="13.5" thickTop="1" thickBot="1" x14ac:dyDescent="0.25">
      <c r="A73" s="568">
        <v>1</v>
      </c>
      <c r="B73" s="569">
        <v>2</v>
      </c>
      <c r="C73" s="569">
        <v>3</v>
      </c>
      <c r="D73" s="569">
        <v>4</v>
      </c>
      <c r="E73" s="569">
        <v>5</v>
      </c>
      <c r="F73" s="543">
        <v>6</v>
      </c>
      <c r="G73" s="543">
        <v>7</v>
      </c>
      <c r="H73" s="638" t="s">
        <v>61</v>
      </c>
      <c r="I73" s="107"/>
    </row>
    <row r="74" spans="1:21" s="384" customFormat="1" ht="18" customHeight="1" thickTop="1" x14ac:dyDescent="0.25">
      <c r="A74" s="50">
        <v>4399</v>
      </c>
      <c r="B74" s="31">
        <v>6322</v>
      </c>
      <c r="C74" s="1166"/>
      <c r="D74" s="1438" t="s">
        <v>1205</v>
      </c>
      <c r="E74" s="415"/>
      <c r="F74" s="1262">
        <v>400</v>
      </c>
      <c r="G74" s="413">
        <v>400</v>
      </c>
      <c r="H74" s="203">
        <f>G74/F74*100</f>
        <v>100</v>
      </c>
      <c r="I74" s="107"/>
    </row>
    <row r="75" spans="1:21" s="384" customFormat="1" ht="15" thickBot="1" x14ac:dyDescent="0.25">
      <c r="A75" s="50"/>
      <c r="B75" s="31"/>
      <c r="C75" s="1135" t="s">
        <v>262</v>
      </c>
      <c r="D75" s="1114" t="s">
        <v>333</v>
      </c>
      <c r="E75" s="1517"/>
      <c r="F75" s="1518">
        <v>400</v>
      </c>
      <c r="G75" s="1462">
        <v>400</v>
      </c>
      <c r="H75" s="1116">
        <f>G75/F75*100</f>
        <v>100</v>
      </c>
      <c r="I75" s="107"/>
    </row>
    <row r="76" spans="1:21" s="361" customFormat="1" ht="33.75" customHeight="1" thickTop="1" thickBot="1" x14ac:dyDescent="0.3">
      <c r="A76" s="639" t="s">
        <v>257</v>
      </c>
      <c r="B76" s="642"/>
      <c r="C76" s="683"/>
      <c r="D76" s="642"/>
      <c r="E76" s="807">
        <v>0</v>
      </c>
      <c r="F76" s="807">
        <f>F74</f>
        <v>400</v>
      </c>
      <c r="G76" s="807">
        <f>G74</f>
        <v>400</v>
      </c>
      <c r="H76" s="1198">
        <f>(G76/F76)*100</f>
        <v>100</v>
      </c>
      <c r="J76" s="701"/>
      <c r="K76" s="701"/>
      <c r="L76" s="701"/>
      <c r="M76" s="701"/>
    </row>
    <row r="77" spans="1:21" ht="15" thickTop="1" x14ac:dyDescent="0.2"/>
    <row r="83" spans="1:9" s="433" customFormat="1" ht="15.75" x14ac:dyDescent="0.25">
      <c r="A83" s="677" t="s">
        <v>660</v>
      </c>
      <c r="B83" s="1874"/>
      <c r="C83" s="835"/>
      <c r="E83" s="489"/>
      <c r="F83" s="489"/>
      <c r="G83" s="489"/>
      <c r="H83" s="825"/>
    </row>
    <row r="84" spans="1:9" ht="15" x14ac:dyDescent="0.2">
      <c r="A84" s="1854"/>
    </row>
    <row r="85" spans="1:9" s="433" customFormat="1" ht="15.75" x14ac:dyDescent="0.25">
      <c r="A85" s="703" t="s">
        <v>1372</v>
      </c>
      <c r="B85" s="1874"/>
      <c r="C85" s="835"/>
      <c r="E85" s="489" t="s">
        <v>1371</v>
      </c>
      <c r="F85" s="489"/>
      <c r="G85" s="489"/>
      <c r="H85" s="825"/>
    </row>
    <row r="86" spans="1:9" ht="15" thickBot="1" x14ac:dyDescent="0.25">
      <c r="A86" s="1849"/>
      <c r="H86" s="1855" t="s">
        <v>173</v>
      </c>
    </row>
    <row r="87" spans="1:9" s="711" customFormat="1" ht="20.25" customHeight="1" thickTop="1" thickBot="1" x14ac:dyDescent="0.25">
      <c r="A87" s="788" t="s">
        <v>174</v>
      </c>
      <c r="B87" s="706" t="s">
        <v>175</v>
      </c>
      <c r="C87" s="707" t="s">
        <v>744</v>
      </c>
      <c r="D87" s="708" t="s">
        <v>176</v>
      </c>
      <c r="E87" s="709" t="s">
        <v>177</v>
      </c>
      <c r="F87" s="709" t="s">
        <v>922</v>
      </c>
      <c r="G87" s="709" t="s">
        <v>923</v>
      </c>
      <c r="H87" s="710" t="s">
        <v>924</v>
      </c>
    </row>
    <row r="88" spans="1:9" s="384" customFormat="1" ht="13.5" thickTop="1" thickBot="1" x14ac:dyDescent="0.25">
      <c r="A88" s="568">
        <v>1</v>
      </c>
      <c r="B88" s="569">
        <v>2</v>
      </c>
      <c r="C88" s="569">
        <v>3</v>
      </c>
      <c r="D88" s="569">
        <v>4</v>
      </c>
      <c r="E88" s="569">
        <v>5</v>
      </c>
      <c r="F88" s="543">
        <v>6</v>
      </c>
      <c r="G88" s="543">
        <v>7</v>
      </c>
      <c r="H88" s="638" t="s">
        <v>61</v>
      </c>
      <c r="I88" s="107"/>
    </row>
    <row r="89" spans="1:9" s="433" customFormat="1" ht="15.75" thickTop="1" x14ac:dyDescent="0.25">
      <c r="A89" s="1886">
        <v>4357</v>
      </c>
      <c r="B89" s="1887">
        <v>5331</v>
      </c>
      <c r="C89" s="1888"/>
      <c r="D89" s="626" t="s">
        <v>249</v>
      </c>
      <c r="E89" s="728">
        <f>E90+E91</f>
        <v>2165</v>
      </c>
      <c r="F89" s="728">
        <f>F90+F91</f>
        <v>3025</v>
      </c>
      <c r="G89" s="728">
        <f>G90+G91</f>
        <v>3025</v>
      </c>
      <c r="H89" s="715">
        <f>G89/F89*100</f>
        <v>100</v>
      </c>
    </row>
    <row r="90" spans="1:9" x14ac:dyDescent="0.2">
      <c r="A90" s="1859"/>
      <c r="B90" s="1860"/>
      <c r="C90" s="719" t="s">
        <v>611</v>
      </c>
      <c r="D90" s="1467" t="s">
        <v>1322</v>
      </c>
      <c r="E90" s="747">
        <v>433</v>
      </c>
      <c r="F90" s="747">
        <v>438</v>
      </c>
      <c r="G90" s="747">
        <v>438</v>
      </c>
      <c r="H90" s="830">
        <f>(G90/F90)*100</f>
        <v>100</v>
      </c>
    </row>
    <row r="91" spans="1:9" ht="15" thickBot="1" x14ac:dyDescent="0.25">
      <c r="A91" s="1859"/>
      <c r="B91" s="1861"/>
      <c r="C91" s="554" t="s">
        <v>606</v>
      </c>
      <c r="D91" s="734" t="s">
        <v>1141</v>
      </c>
      <c r="E91" s="747">
        <v>1732</v>
      </c>
      <c r="F91" s="747">
        <v>2587</v>
      </c>
      <c r="G91" s="747">
        <v>2587</v>
      </c>
      <c r="H91" s="830">
        <f>(G91/F91)*100</f>
        <v>100</v>
      </c>
    </row>
    <row r="92" spans="1:9" s="368" customFormat="1" ht="18" thickTop="1" thickBot="1" x14ac:dyDescent="0.3">
      <c r="A92" s="720" t="s">
        <v>1162</v>
      </c>
      <c r="B92" s="721"/>
      <c r="C92" s="722"/>
      <c r="D92" s="723"/>
      <c r="E92" s="735">
        <f>SUM(E89)</f>
        <v>2165</v>
      </c>
      <c r="F92" s="735">
        <f>F89</f>
        <v>3025</v>
      </c>
      <c r="G92" s="735">
        <f>G89</f>
        <v>3025</v>
      </c>
      <c r="H92" s="831">
        <f>G92/F92*100</f>
        <v>100</v>
      </c>
    </row>
    <row r="93" spans="1:9" s="368" customFormat="1" ht="17.25" thickTop="1" x14ac:dyDescent="0.25">
      <c r="A93" s="362"/>
      <c r="B93" s="363"/>
      <c r="C93" s="364"/>
      <c r="D93" s="365"/>
      <c r="E93" s="366"/>
      <c r="F93" s="366"/>
      <c r="G93" s="366"/>
      <c r="H93" s="367"/>
    </row>
    <row r="94" spans="1:9" s="368" customFormat="1" ht="27.75" customHeight="1" thickBot="1" x14ac:dyDescent="0.3">
      <c r="A94" s="792" t="s">
        <v>1374</v>
      </c>
      <c r="B94" s="740"/>
      <c r="C94" s="741"/>
      <c r="D94" s="742"/>
      <c r="E94" s="833">
        <f>SUM(E92)</f>
        <v>2165</v>
      </c>
      <c r="F94" s="833">
        <f>SUM(F92)</f>
        <v>3025</v>
      </c>
      <c r="G94" s="833">
        <f>SUM(G92)</f>
        <v>3025</v>
      </c>
      <c r="H94" s="797">
        <f>(G94/F94)*100</f>
        <v>100</v>
      </c>
    </row>
    <row r="95" spans="1:9" ht="15" thickTop="1" x14ac:dyDescent="0.2"/>
    <row r="98" spans="1:12" s="433" customFormat="1" ht="15.75" x14ac:dyDescent="0.25">
      <c r="A98" s="703" t="s">
        <v>306</v>
      </c>
      <c r="B98" s="1874"/>
      <c r="C98" s="835"/>
      <c r="E98" s="489" t="s">
        <v>1373</v>
      </c>
      <c r="F98" s="489"/>
      <c r="G98" s="489"/>
      <c r="H98" s="825"/>
    </row>
    <row r="99" spans="1:12" ht="15" thickBot="1" x14ac:dyDescent="0.25">
      <c r="A99" s="1849"/>
      <c r="H99" s="1855" t="s">
        <v>173</v>
      </c>
    </row>
    <row r="100" spans="1:12" s="711" customFormat="1" ht="20.25" customHeight="1" thickTop="1" thickBot="1" x14ac:dyDescent="0.25">
      <c r="A100" s="788" t="s">
        <v>174</v>
      </c>
      <c r="B100" s="706" t="s">
        <v>175</v>
      </c>
      <c r="C100" s="707" t="s">
        <v>744</v>
      </c>
      <c r="D100" s="708" t="s">
        <v>176</v>
      </c>
      <c r="E100" s="709" t="s">
        <v>177</v>
      </c>
      <c r="F100" s="709" t="s">
        <v>922</v>
      </c>
      <c r="G100" s="709" t="s">
        <v>923</v>
      </c>
      <c r="H100" s="710" t="s">
        <v>924</v>
      </c>
    </row>
    <row r="101" spans="1:12" s="384" customFormat="1" ht="13.5" thickTop="1" thickBot="1" x14ac:dyDescent="0.25">
      <c r="A101" s="568">
        <v>1</v>
      </c>
      <c r="B101" s="569">
        <v>2</v>
      </c>
      <c r="C101" s="569">
        <v>3</v>
      </c>
      <c r="D101" s="569">
        <v>4</v>
      </c>
      <c r="E101" s="569">
        <v>5</v>
      </c>
      <c r="F101" s="543">
        <v>6</v>
      </c>
      <c r="G101" s="543">
        <v>7</v>
      </c>
      <c r="H101" s="638" t="s">
        <v>61</v>
      </c>
      <c r="I101" s="107"/>
    </row>
    <row r="102" spans="1:12" s="433" customFormat="1" ht="15.75" thickTop="1" x14ac:dyDescent="0.25">
      <c r="A102" s="1886">
        <v>4357</v>
      </c>
      <c r="B102" s="1887">
        <v>5331</v>
      </c>
      <c r="C102" s="1888"/>
      <c r="D102" s="626" t="s">
        <v>249</v>
      </c>
      <c r="E102" s="728">
        <f>E103+E104</f>
        <v>3813</v>
      </c>
      <c r="F102" s="728">
        <f>F103+F104</f>
        <v>4184</v>
      </c>
      <c r="G102" s="728">
        <f>G103+G104</f>
        <v>4184</v>
      </c>
      <c r="H102" s="715">
        <f>G102/F102*100</f>
        <v>100</v>
      </c>
    </row>
    <row r="103" spans="1:12" x14ac:dyDescent="0.2">
      <c r="A103" s="1859"/>
      <c r="B103" s="1860"/>
      <c r="C103" s="719" t="s">
        <v>611</v>
      </c>
      <c r="D103" s="1467" t="s">
        <v>1322</v>
      </c>
      <c r="E103" s="747">
        <v>453</v>
      </c>
      <c r="F103" s="747">
        <v>412</v>
      </c>
      <c r="G103" s="747">
        <v>412</v>
      </c>
      <c r="H103" s="830">
        <f>(G103/F103)*100</f>
        <v>100</v>
      </c>
    </row>
    <row r="104" spans="1:12" x14ac:dyDescent="0.2">
      <c r="A104" s="1859"/>
      <c r="B104" s="1861"/>
      <c r="C104" s="554" t="s">
        <v>606</v>
      </c>
      <c r="D104" s="734" t="s">
        <v>1141</v>
      </c>
      <c r="E104" s="747">
        <v>3360</v>
      </c>
      <c r="F104" s="747">
        <v>3772</v>
      </c>
      <c r="G104" s="747">
        <v>3772</v>
      </c>
      <c r="H104" s="830">
        <f>(G104/F104)*100</f>
        <v>100</v>
      </c>
    </row>
    <row r="105" spans="1:12" ht="15" x14ac:dyDescent="0.25">
      <c r="A105" s="1890">
        <v>4357</v>
      </c>
      <c r="B105" s="2325">
        <v>5336</v>
      </c>
      <c r="C105" s="1893"/>
      <c r="D105" s="1845" t="s">
        <v>1788</v>
      </c>
      <c r="E105" s="1508">
        <v>0</v>
      </c>
      <c r="F105" s="1508">
        <f>F106+F107</f>
        <v>217</v>
      </c>
      <c r="G105" s="1508">
        <f>G106+G107</f>
        <v>217</v>
      </c>
      <c r="H105" s="2326">
        <f>G105/F105*100</f>
        <v>100</v>
      </c>
    </row>
    <row r="106" spans="1:12" x14ac:dyDescent="0.2">
      <c r="A106" s="1859"/>
      <c r="B106" s="1861"/>
      <c r="C106" s="554" t="s">
        <v>1424</v>
      </c>
      <c r="D106" s="1871" t="s">
        <v>1425</v>
      </c>
      <c r="E106" s="747"/>
      <c r="F106" s="747">
        <v>32</v>
      </c>
      <c r="G106" s="747">
        <v>32</v>
      </c>
      <c r="H106" s="830">
        <f>(G106/F106)*100</f>
        <v>100</v>
      </c>
    </row>
    <row r="107" spans="1:12" ht="15" thickBot="1" x14ac:dyDescent="0.25">
      <c r="A107" s="1859"/>
      <c r="B107" s="1861"/>
      <c r="C107" s="554" t="s">
        <v>1426</v>
      </c>
      <c r="D107" s="1872" t="s">
        <v>1427</v>
      </c>
      <c r="E107" s="747"/>
      <c r="F107" s="747">
        <v>185</v>
      </c>
      <c r="G107" s="747">
        <v>185</v>
      </c>
      <c r="H107" s="830">
        <f>(G107/F107)*100</f>
        <v>100</v>
      </c>
    </row>
    <row r="108" spans="1:12" s="368" customFormat="1" ht="20.25" customHeight="1" thickTop="1" thickBot="1" x14ac:dyDescent="0.3">
      <c r="A108" s="720" t="s">
        <v>1162</v>
      </c>
      <c r="B108" s="721"/>
      <c r="C108" s="722"/>
      <c r="D108" s="723"/>
      <c r="E108" s="735">
        <f>SUM(E102)</f>
        <v>3813</v>
      </c>
      <c r="F108" s="735">
        <f>F102+F105</f>
        <v>4401</v>
      </c>
      <c r="G108" s="735">
        <f>G102+G105</f>
        <v>4401</v>
      </c>
      <c r="H108" s="831">
        <f>(G108/F108)*100</f>
        <v>100</v>
      </c>
      <c r="J108" s="834"/>
      <c r="K108" s="834"/>
      <c r="L108" s="834"/>
    </row>
    <row r="109" spans="1:12" s="433" customFormat="1" ht="15.75" thickTop="1" x14ac:dyDescent="0.25">
      <c r="A109" s="1886">
        <v>4357</v>
      </c>
      <c r="B109" s="1887">
        <v>6351</v>
      </c>
      <c r="C109" s="1888"/>
      <c r="D109" s="626" t="s">
        <v>1234</v>
      </c>
      <c r="E109" s="728">
        <f>E110</f>
        <v>0</v>
      </c>
      <c r="F109" s="728">
        <f>F110</f>
        <v>219</v>
      </c>
      <c r="G109" s="728">
        <f>G110</f>
        <v>219</v>
      </c>
      <c r="H109" s="715">
        <f>G109/F109*100</f>
        <v>100</v>
      </c>
    </row>
    <row r="110" spans="1:12" ht="15" thickBot="1" x14ac:dyDescent="0.25">
      <c r="A110" s="1859"/>
      <c r="B110" s="1860"/>
      <c r="C110" s="730" t="s">
        <v>793</v>
      </c>
      <c r="D110" s="119" t="s">
        <v>932</v>
      </c>
      <c r="E110" s="747"/>
      <c r="F110" s="747">
        <v>219</v>
      </c>
      <c r="G110" s="836">
        <v>219</v>
      </c>
      <c r="H110" s="830">
        <f>(G110/F110)*100</f>
        <v>100</v>
      </c>
    </row>
    <row r="111" spans="1:12" s="368" customFormat="1" ht="20.25" customHeight="1" thickTop="1" thickBot="1" x14ac:dyDescent="0.3">
      <c r="A111" s="720" t="s">
        <v>1163</v>
      </c>
      <c r="B111" s="721"/>
      <c r="C111" s="722"/>
      <c r="D111" s="723"/>
      <c r="E111" s="735">
        <f>E109</f>
        <v>0</v>
      </c>
      <c r="F111" s="735">
        <f>SUM(F109)</f>
        <v>219</v>
      </c>
      <c r="G111" s="735">
        <f>SUM(G109)</f>
        <v>219</v>
      </c>
      <c r="H111" s="831">
        <f>SUM(H109)</f>
        <v>100</v>
      </c>
    </row>
    <row r="112" spans="1:12" ht="15" thickTop="1" x14ac:dyDescent="0.2">
      <c r="A112" s="1849"/>
    </row>
    <row r="113" spans="1:9" s="368" customFormat="1" ht="27.75" customHeight="1" thickBot="1" x14ac:dyDescent="0.3">
      <c r="A113" s="792" t="s">
        <v>307</v>
      </c>
      <c r="B113" s="740"/>
      <c r="C113" s="741"/>
      <c r="D113" s="742"/>
      <c r="E113" s="833">
        <f>SUM(E108,E111)</f>
        <v>3813</v>
      </c>
      <c r="F113" s="833">
        <f>SUM(F108,F111)</f>
        <v>4620</v>
      </c>
      <c r="G113" s="833">
        <f>SUM(G108,G111)</f>
        <v>4620</v>
      </c>
      <c r="H113" s="797">
        <f>(G113/F113)*100</f>
        <v>100</v>
      </c>
    </row>
    <row r="114" spans="1:9" ht="15" thickTop="1" x14ac:dyDescent="0.2"/>
    <row r="118" spans="1:9" s="503" customFormat="1" ht="15.75" x14ac:dyDescent="0.25">
      <c r="A118" s="703" t="s">
        <v>1789</v>
      </c>
      <c r="B118" s="754"/>
      <c r="C118" s="835"/>
      <c r="E118" s="489" t="s">
        <v>1375</v>
      </c>
      <c r="F118" s="489"/>
      <c r="G118" s="489"/>
      <c r="H118" s="825"/>
    </row>
    <row r="119" spans="1:9" ht="15" thickBot="1" x14ac:dyDescent="0.25">
      <c r="A119" s="1849"/>
      <c r="H119" s="1855" t="s">
        <v>173</v>
      </c>
    </row>
    <row r="120" spans="1:9" s="711" customFormat="1" ht="20.25" customHeight="1" thickTop="1" thickBot="1" x14ac:dyDescent="0.25">
      <c r="A120" s="788" t="s">
        <v>174</v>
      </c>
      <c r="B120" s="706" t="s">
        <v>175</v>
      </c>
      <c r="C120" s="707" t="s">
        <v>744</v>
      </c>
      <c r="D120" s="708" t="s">
        <v>176</v>
      </c>
      <c r="E120" s="709" t="s">
        <v>177</v>
      </c>
      <c r="F120" s="709" t="s">
        <v>922</v>
      </c>
      <c r="G120" s="709" t="s">
        <v>923</v>
      </c>
      <c r="H120" s="710" t="s">
        <v>924</v>
      </c>
    </row>
    <row r="121" spans="1:9" s="384" customFormat="1" ht="13.5" thickTop="1" thickBot="1" x14ac:dyDescent="0.25">
      <c r="A121" s="568">
        <v>1</v>
      </c>
      <c r="B121" s="569">
        <v>2</v>
      </c>
      <c r="C121" s="569">
        <v>3</v>
      </c>
      <c r="D121" s="569">
        <v>4</v>
      </c>
      <c r="E121" s="569">
        <v>5</v>
      </c>
      <c r="F121" s="543">
        <v>6</v>
      </c>
      <c r="G121" s="543">
        <v>7</v>
      </c>
      <c r="H121" s="638" t="s">
        <v>61</v>
      </c>
      <c r="I121" s="107"/>
    </row>
    <row r="122" spans="1:9" s="433" customFormat="1" ht="15.75" thickTop="1" x14ac:dyDescent="0.25">
      <c r="A122" s="1886">
        <v>4357</v>
      </c>
      <c r="B122" s="1887">
        <v>5331</v>
      </c>
      <c r="C122" s="1888"/>
      <c r="D122" s="626" t="s">
        <v>249</v>
      </c>
      <c r="E122" s="728">
        <f>E123+E124</f>
        <v>4327</v>
      </c>
      <c r="F122" s="728">
        <f>F123+F124</f>
        <v>5763</v>
      </c>
      <c r="G122" s="728">
        <f>G123+G124</f>
        <v>5763</v>
      </c>
      <c r="H122" s="715">
        <f>G122/F122*100</f>
        <v>100</v>
      </c>
    </row>
    <row r="123" spans="1:9" x14ac:dyDescent="0.2">
      <c r="A123" s="1859"/>
      <c r="B123" s="1860"/>
      <c r="C123" s="719" t="s">
        <v>611</v>
      </c>
      <c r="D123" s="1467" t="s">
        <v>1322</v>
      </c>
      <c r="E123" s="747">
        <v>1076</v>
      </c>
      <c r="F123" s="747">
        <v>1072</v>
      </c>
      <c r="G123" s="747">
        <v>1072</v>
      </c>
      <c r="H123" s="830">
        <f>(G123/F123)*100</f>
        <v>100</v>
      </c>
    </row>
    <row r="124" spans="1:9" ht="15" thickBot="1" x14ac:dyDescent="0.25">
      <c r="A124" s="1859"/>
      <c r="B124" s="1861"/>
      <c r="C124" s="554" t="s">
        <v>606</v>
      </c>
      <c r="D124" s="734" t="s">
        <v>1141</v>
      </c>
      <c r="E124" s="747">
        <v>3251</v>
      </c>
      <c r="F124" s="747">
        <v>4691</v>
      </c>
      <c r="G124" s="747">
        <v>4691</v>
      </c>
      <c r="H124" s="830">
        <f>(G124/F124)*100</f>
        <v>100</v>
      </c>
    </row>
    <row r="125" spans="1:9" s="368" customFormat="1" ht="20.25" customHeight="1" thickTop="1" thickBot="1" x14ac:dyDescent="0.3">
      <c r="A125" s="720" t="s">
        <v>1162</v>
      </c>
      <c r="B125" s="721"/>
      <c r="C125" s="722"/>
      <c r="D125" s="723"/>
      <c r="E125" s="735">
        <f>SUM(E122)</f>
        <v>4327</v>
      </c>
      <c r="F125" s="735">
        <f>F122</f>
        <v>5763</v>
      </c>
      <c r="G125" s="735">
        <f>G122</f>
        <v>5763</v>
      </c>
      <c r="H125" s="831">
        <f>(G125/F125)*100</f>
        <v>100</v>
      </c>
    </row>
    <row r="126" spans="1:9" s="832" customFormat="1" ht="20.25" customHeight="1" thickTop="1" x14ac:dyDescent="0.25">
      <c r="A126" s="1862"/>
      <c r="B126" s="1863"/>
      <c r="C126" s="1864"/>
      <c r="D126" s="1865"/>
      <c r="E126" s="1866"/>
      <c r="F126" s="1866"/>
      <c r="G126" s="1866"/>
      <c r="H126" s="1867"/>
    </row>
    <row r="127" spans="1:9" s="368" customFormat="1" ht="27.75" customHeight="1" thickBot="1" x14ac:dyDescent="0.3">
      <c r="A127" s="792" t="s">
        <v>1252</v>
      </c>
      <c r="B127" s="740"/>
      <c r="C127" s="741"/>
      <c r="D127" s="742"/>
      <c r="E127" s="833">
        <f>SUM(E125)</f>
        <v>4327</v>
      </c>
      <c r="F127" s="833">
        <f>SUM(F125)</f>
        <v>5763</v>
      </c>
      <c r="G127" s="833">
        <f>SUM(G125)</f>
        <v>5763</v>
      </c>
      <c r="H127" s="797">
        <f>(G127/F127)*100</f>
        <v>100</v>
      </c>
    </row>
    <row r="128" spans="1:9" s="832" customFormat="1" ht="15" customHeight="1" thickTop="1" x14ac:dyDescent="0.25">
      <c r="A128" s="1862"/>
      <c r="B128" s="1863"/>
      <c r="C128" s="1864"/>
      <c r="D128" s="1865"/>
      <c r="E128" s="1866"/>
      <c r="F128" s="1866"/>
      <c r="G128" s="1866"/>
      <c r="H128" s="1867"/>
    </row>
    <row r="129" spans="1:9" s="832" customFormat="1" ht="15" customHeight="1" x14ac:dyDescent="0.25">
      <c r="A129" s="1862"/>
      <c r="B129" s="1863"/>
      <c r="C129" s="1864"/>
      <c r="D129" s="1865"/>
      <c r="E129" s="1866"/>
      <c r="F129" s="1866"/>
      <c r="G129" s="1866"/>
      <c r="H129" s="1867"/>
    </row>
    <row r="130" spans="1:9" s="832" customFormat="1" ht="15" customHeight="1" x14ac:dyDescent="0.25">
      <c r="A130" s="1862"/>
      <c r="B130" s="1863"/>
      <c r="C130" s="1864"/>
      <c r="D130" s="1865"/>
      <c r="E130" s="1866"/>
      <c r="F130" s="1866"/>
      <c r="G130" s="1866"/>
      <c r="H130" s="1867"/>
    </row>
    <row r="131" spans="1:9" s="832" customFormat="1" ht="15" customHeight="1" x14ac:dyDescent="0.25">
      <c r="A131" s="1862"/>
      <c r="B131" s="1863"/>
      <c r="C131" s="1864"/>
      <c r="D131" s="1865"/>
      <c r="E131" s="1866"/>
      <c r="F131" s="1866"/>
      <c r="G131" s="1866"/>
      <c r="H131" s="1867"/>
    </row>
    <row r="132" spans="1:9" s="433" customFormat="1" ht="15.75" x14ac:dyDescent="0.25">
      <c r="A132" s="703" t="s">
        <v>1253</v>
      </c>
      <c r="B132" s="1874"/>
      <c r="C132" s="835"/>
      <c r="E132" s="489" t="s">
        <v>1376</v>
      </c>
      <c r="F132" s="489"/>
      <c r="G132" s="489"/>
      <c r="H132" s="825"/>
    </row>
    <row r="133" spans="1:9" ht="15" thickBot="1" x14ac:dyDescent="0.25">
      <c r="A133" s="1849"/>
      <c r="H133" s="1855" t="s">
        <v>173</v>
      </c>
    </row>
    <row r="134" spans="1:9" s="711" customFormat="1" ht="20.25" customHeight="1" thickTop="1" thickBot="1" x14ac:dyDescent="0.25">
      <c r="A134" s="788" t="s">
        <v>174</v>
      </c>
      <c r="B134" s="706" t="s">
        <v>175</v>
      </c>
      <c r="C134" s="707" t="s">
        <v>744</v>
      </c>
      <c r="D134" s="708" t="s">
        <v>176</v>
      </c>
      <c r="E134" s="709" t="s">
        <v>177</v>
      </c>
      <c r="F134" s="709" t="s">
        <v>922</v>
      </c>
      <c r="G134" s="709" t="s">
        <v>923</v>
      </c>
      <c r="H134" s="710" t="s">
        <v>924</v>
      </c>
    </row>
    <row r="135" spans="1:9" s="384" customFormat="1" ht="13.5" thickTop="1" thickBot="1" x14ac:dyDescent="0.25">
      <c r="A135" s="568">
        <v>1</v>
      </c>
      <c r="B135" s="569">
        <v>2</v>
      </c>
      <c r="C135" s="569">
        <v>3</v>
      </c>
      <c r="D135" s="569">
        <v>4</v>
      </c>
      <c r="E135" s="569">
        <v>5</v>
      </c>
      <c r="F135" s="543">
        <v>6</v>
      </c>
      <c r="G135" s="543">
        <v>7</v>
      </c>
      <c r="H135" s="638" t="s">
        <v>61</v>
      </c>
      <c r="I135" s="107"/>
    </row>
    <row r="136" spans="1:9" s="433" customFormat="1" ht="15.75" thickTop="1" x14ac:dyDescent="0.25">
      <c r="A136" s="1886">
        <v>4351</v>
      </c>
      <c r="B136" s="1887">
        <v>5331</v>
      </c>
      <c r="C136" s="1888"/>
      <c r="D136" s="626" t="s">
        <v>249</v>
      </c>
      <c r="E136" s="728">
        <f>E137+E138</f>
        <v>254</v>
      </c>
      <c r="F136" s="728">
        <f>F137+F138</f>
        <v>1151</v>
      </c>
      <c r="G136" s="728">
        <f>G137+G138</f>
        <v>1151</v>
      </c>
      <c r="H136" s="715">
        <f>G136/F136*100</f>
        <v>100</v>
      </c>
    </row>
    <row r="137" spans="1:9" x14ac:dyDescent="0.2">
      <c r="A137" s="1859"/>
      <c r="B137" s="1860"/>
      <c r="C137" s="719" t="s">
        <v>611</v>
      </c>
      <c r="D137" s="1467" t="s">
        <v>1322</v>
      </c>
      <c r="E137" s="747">
        <v>62</v>
      </c>
      <c r="F137" s="747">
        <v>69</v>
      </c>
      <c r="G137" s="747">
        <v>69</v>
      </c>
      <c r="H137" s="830">
        <f>(G137/F137)*100</f>
        <v>100</v>
      </c>
    </row>
    <row r="138" spans="1:9" ht="15" thickBot="1" x14ac:dyDescent="0.25">
      <c r="A138" s="1859"/>
      <c r="B138" s="1860"/>
      <c r="C138" s="554" t="s">
        <v>606</v>
      </c>
      <c r="D138" s="734" t="s">
        <v>1141</v>
      </c>
      <c r="E138" s="747">
        <v>192</v>
      </c>
      <c r="F138" s="747">
        <v>1082</v>
      </c>
      <c r="G138" s="747">
        <v>1082</v>
      </c>
      <c r="H138" s="830">
        <f>(G138/F138)*100</f>
        <v>100</v>
      </c>
    </row>
    <row r="139" spans="1:9" s="368" customFormat="1" ht="20.25" customHeight="1" thickTop="1" thickBot="1" x14ac:dyDescent="0.3">
      <c r="A139" s="720" t="s">
        <v>1162</v>
      </c>
      <c r="B139" s="721"/>
      <c r="C139" s="722"/>
      <c r="D139" s="723"/>
      <c r="E139" s="735">
        <f>SUM(E136)</f>
        <v>254</v>
      </c>
      <c r="F139" s="735">
        <f>SUM(F136)</f>
        <v>1151</v>
      </c>
      <c r="G139" s="735">
        <f>SUM(G136)</f>
        <v>1151</v>
      </c>
      <c r="H139" s="831">
        <f>(G139/F139)*100</f>
        <v>100</v>
      </c>
    </row>
    <row r="140" spans="1:9" s="433" customFormat="1" ht="15.75" thickTop="1" x14ac:dyDescent="0.25">
      <c r="A140" s="1874"/>
      <c r="B140" s="1874"/>
      <c r="C140" s="835"/>
      <c r="E140" s="489"/>
      <c r="F140" s="489"/>
      <c r="G140" s="489"/>
      <c r="H140" s="825"/>
    </row>
    <row r="141" spans="1:9" s="368" customFormat="1" ht="27.75" customHeight="1" thickBot="1" x14ac:dyDescent="0.3">
      <c r="A141" s="792" t="s">
        <v>421</v>
      </c>
      <c r="B141" s="740"/>
      <c r="C141" s="741"/>
      <c r="D141" s="742"/>
      <c r="E141" s="833">
        <f>SUM(E139)</f>
        <v>254</v>
      </c>
      <c r="F141" s="833">
        <f>SUM(F139)</f>
        <v>1151</v>
      </c>
      <c r="G141" s="833">
        <f>SUM(G139)</f>
        <v>1151</v>
      </c>
      <c r="H141" s="797">
        <f>(G141/F141)*100</f>
        <v>100</v>
      </c>
    </row>
    <row r="142" spans="1:9" s="832" customFormat="1" ht="14.25" customHeight="1" thickTop="1" x14ac:dyDescent="0.25">
      <c r="A142" s="1862"/>
      <c r="B142" s="1863"/>
      <c r="C142" s="1864"/>
      <c r="D142" s="1865"/>
      <c r="E142" s="1866"/>
      <c r="F142" s="1866"/>
      <c r="G142" s="1866"/>
      <c r="H142" s="1867"/>
    </row>
    <row r="143" spans="1:9" s="832" customFormat="1" ht="14.25" customHeight="1" x14ac:dyDescent="0.25">
      <c r="A143" s="1862"/>
      <c r="B143" s="1863"/>
      <c r="C143" s="1864"/>
      <c r="D143" s="1865"/>
      <c r="E143" s="1866"/>
      <c r="F143" s="1866"/>
      <c r="G143" s="1866"/>
      <c r="H143" s="1867"/>
    </row>
    <row r="144" spans="1:9" s="832" customFormat="1" ht="14.25" customHeight="1" x14ac:dyDescent="0.25">
      <c r="A144" s="1862"/>
      <c r="B144" s="1863"/>
      <c r="C144" s="1864"/>
      <c r="D144" s="1865"/>
      <c r="E144" s="1866"/>
      <c r="F144" s="1866"/>
      <c r="G144" s="1866"/>
      <c r="H144" s="1867"/>
    </row>
    <row r="145" spans="1:9" s="832" customFormat="1" ht="14.25" customHeight="1" x14ac:dyDescent="0.25">
      <c r="A145" s="1862"/>
      <c r="B145" s="1863"/>
      <c r="C145" s="1864"/>
      <c r="D145" s="1865"/>
      <c r="E145" s="1866"/>
      <c r="F145" s="1866"/>
      <c r="G145" s="1866"/>
      <c r="H145" s="1867"/>
    </row>
    <row r="146" spans="1:9" s="503" customFormat="1" ht="15.75" x14ac:dyDescent="0.25">
      <c r="A146" s="703" t="s">
        <v>423</v>
      </c>
      <c r="B146" s="754"/>
      <c r="C146" s="835"/>
      <c r="E146" s="489" t="s">
        <v>1377</v>
      </c>
      <c r="F146" s="489"/>
      <c r="G146" s="489"/>
      <c r="H146" s="825"/>
    </row>
    <row r="147" spans="1:9" ht="15" thickBot="1" x14ac:dyDescent="0.25">
      <c r="A147" s="1849"/>
      <c r="H147" s="1855" t="s">
        <v>173</v>
      </c>
    </row>
    <row r="148" spans="1:9" s="711" customFormat="1" ht="20.25" customHeight="1" thickTop="1" thickBot="1" x14ac:dyDescent="0.25">
      <c r="A148" s="788" t="s">
        <v>174</v>
      </c>
      <c r="B148" s="706" t="s">
        <v>175</v>
      </c>
      <c r="C148" s="707" t="s">
        <v>744</v>
      </c>
      <c r="D148" s="708" t="s">
        <v>176</v>
      </c>
      <c r="E148" s="709" t="s">
        <v>177</v>
      </c>
      <c r="F148" s="709" t="s">
        <v>922</v>
      </c>
      <c r="G148" s="709" t="s">
        <v>923</v>
      </c>
      <c r="H148" s="710" t="s">
        <v>924</v>
      </c>
    </row>
    <row r="149" spans="1:9" s="384" customFormat="1" ht="13.5" thickTop="1" thickBot="1" x14ac:dyDescent="0.25">
      <c r="A149" s="568">
        <v>1</v>
      </c>
      <c r="B149" s="569">
        <v>2</v>
      </c>
      <c r="C149" s="569">
        <v>3</v>
      </c>
      <c r="D149" s="569">
        <v>4</v>
      </c>
      <c r="E149" s="569">
        <v>5</v>
      </c>
      <c r="F149" s="543">
        <v>6</v>
      </c>
      <c r="G149" s="543">
        <v>7</v>
      </c>
      <c r="H149" s="638" t="s">
        <v>61</v>
      </c>
      <c r="I149" s="107"/>
    </row>
    <row r="150" spans="1:9" s="433" customFormat="1" ht="15.75" thickTop="1" x14ac:dyDescent="0.25">
      <c r="A150" s="1886">
        <v>4357</v>
      </c>
      <c r="B150" s="1887">
        <v>5331</v>
      </c>
      <c r="C150" s="1888"/>
      <c r="D150" s="626" t="s">
        <v>249</v>
      </c>
      <c r="E150" s="728">
        <f>E151+E152</f>
        <v>6441</v>
      </c>
      <c r="F150" s="728">
        <f>F151+F152</f>
        <v>9191</v>
      </c>
      <c r="G150" s="728">
        <f>G151+G152</f>
        <v>9191</v>
      </c>
      <c r="H150" s="715">
        <f>G150/F150*100</f>
        <v>100</v>
      </c>
    </row>
    <row r="151" spans="1:9" x14ac:dyDescent="0.2">
      <c r="A151" s="1859"/>
      <c r="B151" s="1860"/>
      <c r="C151" s="719" t="s">
        <v>611</v>
      </c>
      <c r="D151" s="1467" t="s">
        <v>1322</v>
      </c>
      <c r="E151" s="747">
        <v>850</v>
      </c>
      <c r="F151" s="747">
        <v>839</v>
      </c>
      <c r="G151" s="747">
        <v>839</v>
      </c>
      <c r="H151" s="830">
        <f>(G151/F151)*100</f>
        <v>100</v>
      </c>
    </row>
    <row r="152" spans="1:9" ht="15" thickBot="1" x14ac:dyDescent="0.25">
      <c r="A152" s="1859"/>
      <c r="B152" s="1860"/>
      <c r="C152" s="554" t="s">
        <v>606</v>
      </c>
      <c r="D152" s="734" t="s">
        <v>1141</v>
      </c>
      <c r="E152" s="747">
        <v>5591</v>
      </c>
      <c r="F152" s="747">
        <v>8352</v>
      </c>
      <c r="G152" s="747">
        <v>8352</v>
      </c>
      <c r="H152" s="830">
        <f>(G152/F152)*100</f>
        <v>100</v>
      </c>
    </row>
    <row r="153" spans="1:9" s="368" customFormat="1" ht="20.25" customHeight="1" thickTop="1" thickBot="1" x14ac:dyDescent="0.3">
      <c r="A153" s="720" t="s">
        <v>1162</v>
      </c>
      <c r="B153" s="721"/>
      <c r="C153" s="722"/>
      <c r="D153" s="723"/>
      <c r="E153" s="735">
        <f>SUM(E150)</f>
        <v>6441</v>
      </c>
      <c r="F153" s="735">
        <f>SUM(F150)</f>
        <v>9191</v>
      </c>
      <c r="G153" s="735">
        <f>SUM(G150)</f>
        <v>9191</v>
      </c>
      <c r="H153" s="831">
        <f>(G153/F153)*100</f>
        <v>100</v>
      </c>
    </row>
    <row r="154" spans="1:9" s="433" customFormat="1" ht="15.75" thickTop="1" x14ac:dyDescent="0.25">
      <c r="A154" s="1886">
        <v>4357</v>
      </c>
      <c r="B154" s="1887">
        <v>6351</v>
      </c>
      <c r="C154" s="1888"/>
      <c r="D154" s="626" t="s">
        <v>1234</v>
      </c>
      <c r="E154" s="728">
        <f>E155</f>
        <v>0</v>
      </c>
      <c r="F154" s="728">
        <f>F155</f>
        <v>70</v>
      </c>
      <c r="G154" s="728">
        <f>G155</f>
        <v>70</v>
      </c>
      <c r="H154" s="715">
        <f>G154/F154*100</f>
        <v>100</v>
      </c>
    </row>
    <row r="155" spans="1:9" ht="15" thickBot="1" x14ac:dyDescent="0.25">
      <c r="A155" s="1859"/>
      <c r="B155" s="1860"/>
      <c r="C155" s="730" t="s">
        <v>793</v>
      </c>
      <c r="D155" s="119" t="s">
        <v>932</v>
      </c>
      <c r="E155" s="747"/>
      <c r="F155" s="747">
        <v>70</v>
      </c>
      <c r="G155" s="836">
        <v>70</v>
      </c>
      <c r="H155" s="830">
        <f>(G155/F155)*100</f>
        <v>100</v>
      </c>
    </row>
    <row r="156" spans="1:9" s="368" customFormat="1" ht="20.25" customHeight="1" thickTop="1" thickBot="1" x14ac:dyDescent="0.3">
      <c r="A156" s="720" t="s">
        <v>1163</v>
      </c>
      <c r="B156" s="721"/>
      <c r="C156" s="722"/>
      <c r="D156" s="723"/>
      <c r="E156" s="735">
        <f>E154</f>
        <v>0</v>
      </c>
      <c r="F156" s="735">
        <f>SUM(F154)</f>
        <v>70</v>
      </c>
      <c r="G156" s="735">
        <f>SUM(G154)</f>
        <v>70</v>
      </c>
      <c r="H156" s="831">
        <f>SUM(H154)</f>
        <v>100</v>
      </c>
    </row>
    <row r="157" spans="1:9" s="368" customFormat="1" ht="20.25" customHeight="1" thickTop="1" x14ac:dyDescent="0.25">
      <c r="A157" s="362"/>
      <c r="B157" s="363"/>
      <c r="C157" s="364"/>
      <c r="D157" s="365"/>
      <c r="E157" s="366"/>
      <c r="F157" s="366"/>
      <c r="G157" s="366"/>
      <c r="H157" s="367"/>
    </row>
    <row r="158" spans="1:9" s="368" customFormat="1" ht="27.75" customHeight="1" thickBot="1" x14ac:dyDescent="0.3">
      <c r="A158" s="792" t="s">
        <v>424</v>
      </c>
      <c r="B158" s="740"/>
      <c r="C158" s="741"/>
      <c r="D158" s="742"/>
      <c r="E158" s="833">
        <f>E153+E156</f>
        <v>6441</v>
      </c>
      <c r="F158" s="833">
        <f>F153+F156</f>
        <v>9261</v>
      </c>
      <c r="G158" s="833">
        <f>G153+G156</f>
        <v>9261</v>
      </c>
      <c r="H158" s="797">
        <f>(G158/F158)*100</f>
        <v>100</v>
      </c>
    </row>
    <row r="159" spans="1:9" ht="15" thickTop="1" x14ac:dyDescent="0.2">
      <c r="A159" s="1849"/>
    </row>
    <row r="160" spans="1:9" x14ac:dyDescent="0.2">
      <c r="A160" s="1849"/>
    </row>
    <row r="161" spans="1:9" x14ac:dyDescent="0.2">
      <c r="A161" s="1849"/>
    </row>
    <row r="162" spans="1:9" x14ac:dyDescent="0.2">
      <c r="A162" s="1849"/>
    </row>
    <row r="163" spans="1:9" s="503" customFormat="1" ht="15.75" x14ac:dyDescent="0.25">
      <c r="A163" s="703" t="s">
        <v>1428</v>
      </c>
      <c r="B163" s="754"/>
      <c r="C163" s="835"/>
      <c r="E163" s="489" t="s">
        <v>1255</v>
      </c>
      <c r="F163" s="489"/>
      <c r="G163" s="489"/>
      <c r="H163" s="825"/>
    </row>
    <row r="164" spans="1:9" ht="15" thickBot="1" x14ac:dyDescent="0.25">
      <c r="A164" s="1849"/>
      <c r="H164" s="1855" t="s">
        <v>173</v>
      </c>
    </row>
    <row r="165" spans="1:9" s="711" customFormat="1" ht="20.25" customHeight="1" thickTop="1" thickBot="1" x14ac:dyDescent="0.25">
      <c r="A165" s="788" t="s">
        <v>174</v>
      </c>
      <c r="B165" s="706" t="s">
        <v>175</v>
      </c>
      <c r="C165" s="707" t="s">
        <v>744</v>
      </c>
      <c r="D165" s="708" t="s">
        <v>176</v>
      </c>
      <c r="E165" s="709" t="s">
        <v>177</v>
      </c>
      <c r="F165" s="709" t="s">
        <v>922</v>
      </c>
      <c r="G165" s="709" t="s">
        <v>923</v>
      </c>
      <c r="H165" s="710" t="s">
        <v>924</v>
      </c>
    </row>
    <row r="166" spans="1:9" s="384" customFormat="1" ht="13.5" thickTop="1" thickBot="1" x14ac:dyDescent="0.25">
      <c r="A166" s="568">
        <v>1</v>
      </c>
      <c r="B166" s="569">
        <v>2</v>
      </c>
      <c r="C166" s="569">
        <v>3</v>
      </c>
      <c r="D166" s="569">
        <v>4</v>
      </c>
      <c r="E166" s="569">
        <v>5</v>
      </c>
      <c r="F166" s="543">
        <v>6</v>
      </c>
      <c r="G166" s="543">
        <v>7</v>
      </c>
      <c r="H166" s="638" t="s">
        <v>61</v>
      </c>
      <c r="I166" s="107"/>
    </row>
    <row r="167" spans="1:9" s="433" customFormat="1" ht="15.75" thickTop="1" x14ac:dyDescent="0.25">
      <c r="A167" s="1886">
        <v>4357</v>
      </c>
      <c r="B167" s="1887">
        <v>5331</v>
      </c>
      <c r="C167" s="1888"/>
      <c r="D167" s="626" t="s">
        <v>249</v>
      </c>
      <c r="E167" s="728">
        <f>E168+E169</f>
        <v>1024</v>
      </c>
      <c r="F167" s="728">
        <f>F168+F169</f>
        <v>1204</v>
      </c>
      <c r="G167" s="728">
        <f>G168+G169</f>
        <v>1204</v>
      </c>
      <c r="H167" s="715">
        <f>G167/F167*100</f>
        <v>100</v>
      </c>
    </row>
    <row r="168" spans="1:9" x14ac:dyDescent="0.2">
      <c r="A168" s="1859"/>
      <c r="B168" s="1860"/>
      <c r="C168" s="719" t="s">
        <v>611</v>
      </c>
      <c r="D168" s="1467" t="s">
        <v>1322</v>
      </c>
      <c r="E168" s="747">
        <v>166</v>
      </c>
      <c r="F168" s="747">
        <v>222</v>
      </c>
      <c r="G168" s="747">
        <v>222</v>
      </c>
      <c r="H168" s="830">
        <f>(G168/F168)*100</f>
        <v>100</v>
      </c>
    </row>
    <row r="169" spans="1:9" ht="15" thickBot="1" x14ac:dyDescent="0.25">
      <c r="A169" s="1859"/>
      <c r="B169" s="1860"/>
      <c r="C169" s="554" t="s">
        <v>606</v>
      </c>
      <c r="D169" s="734" t="s">
        <v>1141</v>
      </c>
      <c r="E169" s="747">
        <v>858</v>
      </c>
      <c r="F169" s="747">
        <v>982</v>
      </c>
      <c r="G169" s="747">
        <v>982</v>
      </c>
      <c r="H169" s="830">
        <f>(G169/F169)*100</f>
        <v>100</v>
      </c>
    </row>
    <row r="170" spans="1:9" s="368" customFormat="1" ht="20.25" customHeight="1" thickTop="1" thickBot="1" x14ac:dyDescent="0.3">
      <c r="A170" s="720" t="s">
        <v>1162</v>
      </c>
      <c r="B170" s="721"/>
      <c r="C170" s="722"/>
      <c r="D170" s="723"/>
      <c r="E170" s="735">
        <f>SUM(E167)</f>
        <v>1024</v>
      </c>
      <c r="F170" s="735">
        <f>SUM(F167)</f>
        <v>1204</v>
      </c>
      <c r="G170" s="735">
        <f>SUM(G167)</f>
        <v>1204</v>
      </c>
      <c r="H170" s="831">
        <f>(G170/F170)*100</f>
        <v>100</v>
      </c>
    </row>
    <row r="171" spans="1:9" s="832" customFormat="1" ht="20.25" customHeight="1" thickTop="1" x14ac:dyDescent="0.25">
      <c r="A171" s="1862"/>
      <c r="B171" s="1863"/>
      <c r="C171" s="1864"/>
      <c r="D171" s="1865"/>
      <c r="E171" s="1866"/>
      <c r="F171" s="1866"/>
      <c r="G171" s="1866"/>
      <c r="H171" s="1867"/>
    </row>
    <row r="172" spans="1:9" s="368" customFormat="1" ht="27.75" customHeight="1" thickBot="1" x14ac:dyDescent="0.3">
      <c r="A172" s="792" t="s">
        <v>1429</v>
      </c>
      <c r="B172" s="740"/>
      <c r="C172" s="741"/>
      <c r="D172" s="742"/>
      <c r="E172" s="833">
        <f>SUM(E170)</f>
        <v>1024</v>
      </c>
      <c r="F172" s="833">
        <f>SUM(F170)</f>
        <v>1204</v>
      </c>
      <c r="G172" s="833">
        <f>SUM(G170)</f>
        <v>1204</v>
      </c>
      <c r="H172" s="797">
        <f>(G172/F172)*100</f>
        <v>100</v>
      </c>
    </row>
    <row r="173" spans="1:9" s="848" customFormat="1" ht="15.75" thickTop="1" x14ac:dyDescent="0.2">
      <c r="F173" s="1848"/>
      <c r="G173" s="1848"/>
      <c r="H173" s="800"/>
    </row>
    <row r="174" spans="1:9" s="848" customFormat="1" ht="15" x14ac:dyDescent="0.2">
      <c r="F174" s="1848"/>
      <c r="G174" s="1848"/>
      <c r="H174" s="800"/>
    </row>
    <row r="175" spans="1:9" s="848" customFormat="1" ht="15" x14ac:dyDescent="0.2">
      <c r="F175" s="1848"/>
      <c r="G175" s="1848"/>
      <c r="H175" s="800"/>
    </row>
    <row r="176" spans="1:9" s="848" customFormat="1" ht="15" x14ac:dyDescent="0.2">
      <c r="F176" s="1848"/>
      <c r="G176" s="1848"/>
      <c r="H176" s="800"/>
    </row>
    <row r="177" spans="1:9" s="503" customFormat="1" ht="15.75" x14ac:dyDescent="0.25">
      <c r="A177" s="703" t="s">
        <v>425</v>
      </c>
      <c r="B177" s="754"/>
      <c r="C177" s="835"/>
      <c r="E177" s="489" t="s">
        <v>1256</v>
      </c>
      <c r="F177" s="489"/>
      <c r="G177" s="489"/>
      <c r="H177" s="825"/>
    </row>
    <row r="178" spans="1:9" ht="15" thickBot="1" x14ac:dyDescent="0.25">
      <c r="A178" s="1849"/>
      <c r="H178" s="1855" t="s">
        <v>173</v>
      </c>
    </row>
    <row r="179" spans="1:9" s="711" customFormat="1" ht="20.25" customHeight="1" thickTop="1" thickBot="1" x14ac:dyDescent="0.25">
      <c r="A179" s="788" t="s">
        <v>174</v>
      </c>
      <c r="B179" s="706" t="s">
        <v>175</v>
      </c>
      <c r="C179" s="707" t="s">
        <v>744</v>
      </c>
      <c r="D179" s="708" t="s">
        <v>176</v>
      </c>
      <c r="E179" s="709" t="s">
        <v>177</v>
      </c>
      <c r="F179" s="709" t="s">
        <v>922</v>
      </c>
      <c r="G179" s="709" t="s">
        <v>923</v>
      </c>
      <c r="H179" s="710" t="s">
        <v>924</v>
      </c>
    </row>
    <row r="180" spans="1:9" s="384" customFormat="1" ht="13.5" thickTop="1" thickBot="1" x14ac:dyDescent="0.25">
      <c r="A180" s="568">
        <v>1</v>
      </c>
      <c r="B180" s="569">
        <v>2</v>
      </c>
      <c r="C180" s="569">
        <v>3</v>
      </c>
      <c r="D180" s="569">
        <v>4</v>
      </c>
      <c r="E180" s="569">
        <v>5</v>
      </c>
      <c r="F180" s="543">
        <v>6</v>
      </c>
      <c r="G180" s="543">
        <v>7</v>
      </c>
      <c r="H180" s="638" t="s">
        <v>61</v>
      </c>
      <c r="I180" s="107"/>
    </row>
    <row r="181" spans="1:9" s="433" customFormat="1" ht="15.75" thickTop="1" x14ac:dyDescent="0.25">
      <c r="A181" s="1886">
        <v>4357</v>
      </c>
      <c r="B181" s="1887">
        <v>5331</v>
      </c>
      <c r="C181" s="1888"/>
      <c r="D181" s="626" t="s">
        <v>249</v>
      </c>
      <c r="E181" s="728">
        <f>E182+E183</f>
        <v>3837</v>
      </c>
      <c r="F181" s="728">
        <f>F182+F183</f>
        <v>5719</v>
      </c>
      <c r="G181" s="728">
        <f>G182+G183</f>
        <v>5719</v>
      </c>
      <c r="H181" s="715">
        <f>G181/F181*100</f>
        <v>100</v>
      </c>
    </row>
    <row r="182" spans="1:9" x14ac:dyDescent="0.2">
      <c r="A182" s="1859"/>
      <c r="B182" s="1860"/>
      <c r="C182" s="719" t="s">
        <v>611</v>
      </c>
      <c r="D182" s="1467" t="s">
        <v>1322</v>
      </c>
      <c r="E182" s="747">
        <v>1200</v>
      </c>
      <c r="F182" s="747">
        <v>1476</v>
      </c>
      <c r="G182" s="747">
        <v>1476</v>
      </c>
      <c r="H182" s="830">
        <f>(G182/F182)*100</f>
        <v>100</v>
      </c>
    </row>
    <row r="183" spans="1:9" ht="15" thickBot="1" x14ac:dyDescent="0.25">
      <c r="A183" s="1859"/>
      <c r="B183" s="1861"/>
      <c r="C183" s="554" t="s">
        <v>606</v>
      </c>
      <c r="D183" s="734" t="s">
        <v>1141</v>
      </c>
      <c r="E183" s="747">
        <v>2637</v>
      </c>
      <c r="F183" s="747">
        <v>4243</v>
      </c>
      <c r="G183" s="747">
        <v>4243</v>
      </c>
      <c r="H183" s="830">
        <f>(G183/F183)*100</f>
        <v>100</v>
      </c>
    </row>
    <row r="184" spans="1:9" s="368" customFormat="1" ht="20.25" customHeight="1" thickTop="1" thickBot="1" x14ac:dyDescent="0.3">
      <c r="A184" s="720" t="s">
        <v>1162</v>
      </c>
      <c r="B184" s="721"/>
      <c r="C184" s="722"/>
      <c r="D184" s="723"/>
      <c r="E184" s="735">
        <f>SUM(E181)</f>
        <v>3837</v>
      </c>
      <c r="F184" s="735">
        <f>SUM(F181)</f>
        <v>5719</v>
      </c>
      <c r="G184" s="735">
        <f>SUM(G181)</f>
        <v>5719</v>
      </c>
      <c r="H184" s="831">
        <f>(G184/F184)*100</f>
        <v>100</v>
      </c>
    </row>
    <row r="185" spans="1:9" s="368" customFormat="1" ht="20.25" customHeight="1" thickTop="1" x14ac:dyDescent="0.25">
      <c r="A185" s="362"/>
      <c r="B185" s="363"/>
      <c r="C185" s="364"/>
      <c r="D185" s="365"/>
      <c r="E185" s="366"/>
      <c r="F185" s="366"/>
      <c r="G185" s="366"/>
      <c r="H185" s="367"/>
    </row>
    <row r="186" spans="1:9" s="368" customFormat="1" ht="27.75" customHeight="1" thickBot="1" x14ac:dyDescent="0.3">
      <c r="A186" s="792" t="s">
        <v>758</v>
      </c>
      <c r="B186" s="740"/>
      <c r="C186" s="741"/>
      <c r="D186" s="742"/>
      <c r="E186" s="833">
        <f>SUM(E184)</f>
        <v>3837</v>
      </c>
      <c r="F186" s="833">
        <f>SUM(F184)</f>
        <v>5719</v>
      </c>
      <c r="G186" s="833">
        <f>SUM(G184)</f>
        <v>5719</v>
      </c>
      <c r="H186" s="797">
        <f>(G186/F186)*100</f>
        <v>100</v>
      </c>
    </row>
    <row r="187" spans="1:9" ht="15" thickTop="1" x14ac:dyDescent="0.2"/>
    <row r="193" spans="1:9" s="503" customFormat="1" ht="15.75" x14ac:dyDescent="0.25">
      <c r="A193" s="703" t="s">
        <v>463</v>
      </c>
      <c r="B193" s="754"/>
      <c r="C193" s="835"/>
      <c r="E193" s="489" t="s">
        <v>464</v>
      </c>
      <c r="F193" s="489"/>
      <c r="G193" s="489"/>
      <c r="H193" s="825"/>
    </row>
    <row r="194" spans="1:9" ht="15" thickBot="1" x14ac:dyDescent="0.25">
      <c r="A194" s="1849"/>
      <c r="H194" s="1855" t="s">
        <v>173</v>
      </c>
    </row>
    <row r="195" spans="1:9" s="711" customFormat="1" ht="20.25" customHeight="1" thickTop="1" thickBot="1" x14ac:dyDescent="0.25">
      <c r="A195" s="788" t="s">
        <v>174</v>
      </c>
      <c r="B195" s="706" t="s">
        <v>175</v>
      </c>
      <c r="C195" s="707" t="s">
        <v>744</v>
      </c>
      <c r="D195" s="708" t="s">
        <v>176</v>
      </c>
      <c r="E195" s="709" t="s">
        <v>177</v>
      </c>
      <c r="F195" s="709" t="s">
        <v>922</v>
      </c>
      <c r="G195" s="709" t="s">
        <v>923</v>
      </c>
      <c r="H195" s="710" t="s">
        <v>924</v>
      </c>
    </row>
    <row r="196" spans="1:9" s="384" customFormat="1" ht="13.5" thickTop="1" thickBot="1" x14ac:dyDescent="0.25">
      <c r="A196" s="568">
        <v>1</v>
      </c>
      <c r="B196" s="569">
        <v>2</v>
      </c>
      <c r="C196" s="569">
        <v>3</v>
      </c>
      <c r="D196" s="569">
        <v>4</v>
      </c>
      <c r="E196" s="569">
        <v>5</v>
      </c>
      <c r="F196" s="543">
        <v>6</v>
      </c>
      <c r="G196" s="543">
        <v>7</v>
      </c>
      <c r="H196" s="638" t="s">
        <v>61</v>
      </c>
      <c r="I196" s="107"/>
    </row>
    <row r="197" spans="1:9" s="433" customFormat="1" ht="15.75" thickTop="1" x14ac:dyDescent="0.25">
      <c r="A197" s="1886">
        <v>4357</v>
      </c>
      <c r="B197" s="1887">
        <v>5331</v>
      </c>
      <c r="C197" s="1888"/>
      <c r="D197" s="626" t="s">
        <v>249</v>
      </c>
      <c r="E197" s="728">
        <f>E198+E199</f>
        <v>18188</v>
      </c>
      <c r="F197" s="728">
        <f>F198+F199</f>
        <v>20188</v>
      </c>
      <c r="G197" s="728">
        <f>G198+G199</f>
        <v>20188</v>
      </c>
      <c r="H197" s="715">
        <f>G197/F197*100</f>
        <v>100</v>
      </c>
    </row>
    <row r="198" spans="1:9" x14ac:dyDescent="0.2">
      <c r="A198" s="1859"/>
      <c r="B198" s="1860"/>
      <c r="C198" s="719" t="s">
        <v>611</v>
      </c>
      <c r="D198" s="1467" t="s">
        <v>1322</v>
      </c>
      <c r="E198" s="747">
        <v>2281</v>
      </c>
      <c r="F198" s="747">
        <v>2281</v>
      </c>
      <c r="G198" s="747">
        <v>2281</v>
      </c>
      <c r="H198" s="830">
        <f>(G198/F198)*100</f>
        <v>100</v>
      </c>
    </row>
    <row r="199" spans="1:9" ht="15" thickBot="1" x14ac:dyDescent="0.25">
      <c r="A199" s="1859"/>
      <c r="B199" s="1860"/>
      <c r="C199" s="554" t="s">
        <v>606</v>
      </c>
      <c r="D199" s="734" t="s">
        <v>1141</v>
      </c>
      <c r="E199" s="747">
        <v>15907</v>
      </c>
      <c r="F199" s="747">
        <v>17907</v>
      </c>
      <c r="G199" s="747">
        <v>17907</v>
      </c>
      <c r="H199" s="830">
        <f>(G199/F199)*100</f>
        <v>100</v>
      </c>
    </row>
    <row r="200" spans="1:9" s="368" customFormat="1" ht="20.25" customHeight="1" thickTop="1" thickBot="1" x14ac:dyDescent="0.3">
      <c r="A200" s="720" t="s">
        <v>1162</v>
      </c>
      <c r="B200" s="721"/>
      <c r="C200" s="722"/>
      <c r="D200" s="723"/>
      <c r="E200" s="735">
        <f>SUM(E197)</f>
        <v>18188</v>
      </c>
      <c r="F200" s="735">
        <f>SUM(F197)</f>
        <v>20188</v>
      </c>
      <c r="G200" s="735">
        <f>SUM(G197)</f>
        <v>20188</v>
      </c>
      <c r="H200" s="831">
        <f>(G200/F200)*100</f>
        <v>100</v>
      </c>
    </row>
    <row r="201" spans="1:9" s="433" customFormat="1" ht="15.75" thickTop="1" x14ac:dyDescent="0.25">
      <c r="A201" s="787"/>
      <c r="B201" s="1874"/>
      <c r="C201" s="835"/>
      <c r="E201" s="489"/>
      <c r="F201" s="489"/>
      <c r="G201" s="489"/>
      <c r="H201" s="825"/>
    </row>
    <row r="202" spans="1:9" s="368" customFormat="1" ht="27.75" customHeight="1" thickBot="1" x14ac:dyDescent="0.3">
      <c r="A202" s="792" t="s">
        <v>1383</v>
      </c>
      <c r="B202" s="740"/>
      <c r="C202" s="741"/>
      <c r="D202" s="742"/>
      <c r="E202" s="833">
        <f>SUM(E200)</f>
        <v>18188</v>
      </c>
      <c r="F202" s="833">
        <f>SUM(F200)</f>
        <v>20188</v>
      </c>
      <c r="G202" s="833">
        <f>SUM(G200)</f>
        <v>20188</v>
      </c>
      <c r="H202" s="797">
        <f>(G202/F202)*100</f>
        <v>100</v>
      </c>
    </row>
    <row r="203" spans="1:9" s="832" customFormat="1" ht="14.25" customHeight="1" thickTop="1" x14ac:dyDescent="0.25">
      <c r="A203" s="1862"/>
      <c r="B203" s="1863"/>
      <c r="C203" s="1868"/>
      <c r="D203" s="1865"/>
      <c r="E203" s="836"/>
      <c r="F203" s="836"/>
      <c r="G203" s="836"/>
      <c r="H203" s="1869"/>
    </row>
    <row r="204" spans="1:9" s="832" customFormat="1" ht="14.25" customHeight="1" x14ac:dyDescent="0.25">
      <c r="A204" s="1862"/>
      <c r="B204" s="1863"/>
      <c r="C204" s="1868"/>
      <c r="D204" s="1865"/>
      <c r="E204" s="836"/>
      <c r="F204" s="836"/>
      <c r="G204" s="836"/>
      <c r="H204" s="1869"/>
    </row>
    <row r="205" spans="1:9" s="832" customFormat="1" ht="14.25" customHeight="1" x14ac:dyDescent="0.25">
      <c r="A205" s="1862"/>
      <c r="B205" s="1863"/>
      <c r="C205" s="1868"/>
      <c r="D205" s="1865"/>
      <c r="E205" s="836"/>
      <c r="F205" s="836"/>
      <c r="G205" s="836"/>
      <c r="H205" s="1869"/>
    </row>
    <row r="206" spans="1:9" s="832" customFormat="1" ht="14.25" customHeight="1" x14ac:dyDescent="0.25">
      <c r="A206" s="1862"/>
      <c r="B206" s="1863"/>
      <c r="C206" s="1868"/>
      <c r="D206" s="1865"/>
      <c r="E206" s="836"/>
      <c r="F206" s="836"/>
      <c r="G206" s="836"/>
      <c r="H206" s="1869"/>
    </row>
    <row r="207" spans="1:9" s="503" customFormat="1" ht="15.75" x14ac:dyDescent="0.25">
      <c r="A207" s="703" t="s">
        <v>73</v>
      </c>
      <c r="B207" s="1889"/>
      <c r="C207" s="1889"/>
      <c r="D207" s="1889"/>
      <c r="E207" s="489" t="s">
        <v>465</v>
      </c>
      <c r="F207" s="489"/>
      <c r="G207" s="489"/>
      <c r="H207" s="825"/>
    </row>
    <row r="208" spans="1:9" ht="15" thickBot="1" x14ac:dyDescent="0.25">
      <c r="A208" s="1849"/>
      <c r="H208" s="1855" t="s">
        <v>173</v>
      </c>
    </row>
    <row r="209" spans="1:12" s="711" customFormat="1" ht="20.25" customHeight="1" thickTop="1" thickBot="1" x14ac:dyDescent="0.25">
      <c r="A209" s="788" t="s">
        <v>174</v>
      </c>
      <c r="B209" s="706" t="s">
        <v>175</v>
      </c>
      <c r="C209" s="707" t="s">
        <v>744</v>
      </c>
      <c r="D209" s="708" t="s">
        <v>176</v>
      </c>
      <c r="E209" s="709" t="s">
        <v>177</v>
      </c>
      <c r="F209" s="709" t="s">
        <v>922</v>
      </c>
      <c r="G209" s="709" t="s">
        <v>923</v>
      </c>
      <c r="H209" s="710" t="s">
        <v>924</v>
      </c>
    </row>
    <row r="210" spans="1:12" s="384" customFormat="1" ht="13.5" thickTop="1" thickBot="1" x14ac:dyDescent="0.25">
      <c r="A210" s="568">
        <v>1</v>
      </c>
      <c r="B210" s="569">
        <v>2</v>
      </c>
      <c r="C210" s="569">
        <v>3</v>
      </c>
      <c r="D210" s="569">
        <v>4</v>
      </c>
      <c r="E210" s="569">
        <v>5</v>
      </c>
      <c r="F210" s="543">
        <v>6</v>
      </c>
      <c r="G210" s="543">
        <v>7</v>
      </c>
      <c r="H210" s="638" t="s">
        <v>61</v>
      </c>
      <c r="I210" s="107"/>
    </row>
    <row r="211" spans="1:12" s="433" customFormat="1" ht="15.75" thickTop="1" x14ac:dyDescent="0.25">
      <c r="A211" s="1886">
        <v>4351</v>
      </c>
      <c r="B211" s="1887">
        <v>5331</v>
      </c>
      <c r="C211" s="1888"/>
      <c r="D211" s="626" t="s">
        <v>249</v>
      </c>
      <c r="E211" s="728">
        <f>E212+E213</f>
        <v>6446</v>
      </c>
      <c r="F211" s="728">
        <f>F212+F213+F214</f>
        <v>14285</v>
      </c>
      <c r="G211" s="728">
        <f>G212+G213+G214</f>
        <v>14285</v>
      </c>
      <c r="H211" s="715">
        <f>G211/F211*100</f>
        <v>100</v>
      </c>
    </row>
    <row r="212" spans="1:12" x14ac:dyDescent="0.2">
      <c r="A212" s="1859"/>
      <c r="B212" s="1860"/>
      <c r="C212" s="719" t="s">
        <v>611</v>
      </c>
      <c r="D212" s="1467" t="s">
        <v>1322</v>
      </c>
      <c r="E212" s="747">
        <v>1394</v>
      </c>
      <c r="F212" s="747">
        <v>1479</v>
      </c>
      <c r="G212" s="747">
        <v>1479</v>
      </c>
      <c r="H212" s="830">
        <f>(G212/F212)*100</f>
        <v>100</v>
      </c>
    </row>
    <row r="213" spans="1:12" x14ac:dyDescent="0.2">
      <c r="A213" s="1859"/>
      <c r="B213" s="1860"/>
      <c r="C213" s="554" t="s">
        <v>606</v>
      </c>
      <c r="D213" s="734" t="s">
        <v>1141</v>
      </c>
      <c r="E213" s="747">
        <v>5052</v>
      </c>
      <c r="F213" s="747">
        <v>12321</v>
      </c>
      <c r="G213" s="747">
        <v>12321</v>
      </c>
      <c r="H213" s="830">
        <f>(G213/F213)*100</f>
        <v>100</v>
      </c>
    </row>
    <row r="214" spans="1:12" ht="15" thickBot="1" x14ac:dyDescent="0.25">
      <c r="A214" s="1859"/>
      <c r="B214" s="1860"/>
      <c r="C214" s="554" t="s">
        <v>1183</v>
      </c>
      <c r="D214" s="571" t="s">
        <v>1192</v>
      </c>
      <c r="E214" s="747"/>
      <c r="F214" s="747">
        <v>485</v>
      </c>
      <c r="G214" s="747">
        <v>485</v>
      </c>
      <c r="H214" s="830">
        <f>(G214/F214)*100</f>
        <v>100</v>
      </c>
    </row>
    <row r="215" spans="1:12" s="368" customFormat="1" ht="20.25" customHeight="1" thickTop="1" thickBot="1" x14ac:dyDescent="0.3">
      <c r="A215" s="720" t="s">
        <v>1162</v>
      </c>
      <c r="B215" s="721"/>
      <c r="C215" s="722"/>
      <c r="D215" s="723"/>
      <c r="E215" s="735">
        <f>SUM(E211)</f>
        <v>6446</v>
      </c>
      <c r="F215" s="735">
        <f>SUM(F211)</f>
        <v>14285</v>
      </c>
      <c r="G215" s="735">
        <f>SUM(G211)</f>
        <v>14285</v>
      </c>
      <c r="H215" s="831">
        <f>(G215/F215)*100</f>
        <v>100</v>
      </c>
    </row>
    <row r="216" spans="1:12" ht="15" thickTop="1" x14ac:dyDescent="0.2">
      <c r="A216" s="1849"/>
    </row>
    <row r="217" spans="1:12" s="368" customFormat="1" ht="27.75" customHeight="1" thickBot="1" x14ac:dyDescent="0.3">
      <c r="A217" s="792" t="s">
        <v>74</v>
      </c>
      <c r="B217" s="740"/>
      <c r="C217" s="741"/>
      <c r="D217" s="742"/>
      <c r="E217" s="833">
        <f>SUM(E215)</f>
        <v>6446</v>
      </c>
      <c r="F217" s="833">
        <f>SUM(F215)</f>
        <v>14285</v>
      </c>
      <c r="G217" s="833">
        <f>SUM(G215)</f>
        <v>14285</v>
      </c>
      <c r="H217" s="797">
        <f>(G217/F217)*100</f>
        <v>100</v>
      </c>
      <c r="J217" s="834"/>
      <c r="K217" s="834"/>
      <c r="L217" s="834"/>
    </row>
    <row r="218" spans="1:12" s="832" customFormat="1" ht="14.25" customHeight="1" thickTop="1" x14ac:dyDescent="0.25">
      <c r="A218" s="1862"/>
      <c r="B218" s="1863"/>
      <c r="C218" s="1864"/>
      <c r="D218" s="1865"/>
      <c r="E218" s="1866"/>
      <c r="F218" s="1866"/>
      <c r="G218" s="1866"/>
      <c r="H218" s="1867"/>
      <c r="J218" s="839"/>
      <c r="K218" s="839"/>
      <c r="L218" s="839"/>
    </row>
    <row r="219" spans="1:12" s="832" customFormat="1" ht="14.25" customHeight="1" x14ac:dyDescent="0.25">
      <c r="A219" s="1862"/>
      <c r="B219" s="1863"/>
      <c r="C219" s="1864"/>
      <c r="D219" s="1865"/>
      <c r="E219" s="1866"/>
      <c r="F219" s="1866"/>
      <c r="G219" s="1866"/>
      <c r="H219" s="1867"/>
      <c r="J219" s="839"/>
      <c r="K219" s="839"/>
      <c r="L219" s="839"/>
    </row>
    <row r="220" spans="1:12" s="832" customFormat="1" ht="14.25" customHeight="1" x14ac:dyDescent="0.25">
      <c r="A220" s="1862"/>
      <c r="B220" s="1863"/>
      <c r="C220" s="1864"/>
      <c r="D220" s="1865"/>
      <c r="E220" s="1866"/>
      <c r="F220" s="1866"/>
      <c r="G220" s="1866"/>
      <c r="H220" s="1867"/>
      <c r="J220" s="839"/>
      <c r="K220" s="839"/>
      <c r="L220" s="839"/>
    </row>
    <row r="221" spans="1:12" s="832" customFormat="1" ht="14.25" customHeight="1" x14ac:dyDescent="0.25">
      <c r="A221" s="1862"/>
      <c r="B221" s="1863"/>
      <c r="C221" s="1864"/>
      <c r="D221" s="1865"/>
      <c r="E221" s="1866"/>
      <c r="F221" s="1866"/>
      <c r="G221" s="1866"/>
      <c r="H221" s="1867"/>
      <c r="J221" s="839"/>
      <c r="K221" s="839"/>
      <c r="L221" s="839"/>
    </row>
    <row r="222" spans="1:12" s="832" customFormat="1" ht="14.25" customHeight="1" x14ac:dyDescent="0.25">
      <c r="A222" s="1862"/>
      <c r="B222" s="1863"/>
      <c r="C222" s="1864"/>
      <c r="D222" s="1865"/>
      <c r="E222" s="1866"/>
      <c r="F222" s="1866"/>
      <c r="G222" s="1866"/>
      <c r="H222" s="1867"/>
      <c r="J222" s="839"/>
      <c r="K222" s="839"/>
      <c r="L222" s="839"/>
    </row>
    <row r="223" spans="1:12" s="503" customFormat="1" ht="14.25" customHeight="1" x14ac:dyDescent="0.25">
      <c r="A223" s="703" t="s">
        <v>266</v>
      </c>
      <c r="B223" s="754"/>
      <c r="C223" s="835"/>
      <c r="E223" s="489" t="s">
        <v>1384</v>
      </c>
      <c r="F223" s="489"/>
      <c r="G223" s="489"/>
      <c r="H223" s="825"/>
    </row>
    <row r="224" spans="1:12" ht="15" thickBot="1" x14ac:dyDescent="0.25">
      <c r="A224" s="1849"/>
      <c r="H224" s="1855" t="s">
        <v>173</v>
      </c>
    </row>
    <row r="225" spans="1:9" s="711" customFormat="1" ht="20.25" customHeight="1" thickTop="1" thickBot="1" x14ac:dyDescent="0.25">
      <c r="A225" s="788" t="s">
        <v>174</v>
      </c>
      <c r="B225" s="706" t="s">
        <v>175</v>
      </c>
      <c r="C225" s="707" t="s">
        <v>744</v>
      </c>
      <c r="D225" s="708" t="s">
        <v>176</v>
      </c>
      <c r="E225" s="709" t="s">
        <v>177</v>
      </c>
      <c r="F225" s="709" t="s">
        <v>922</v>
      </c>
      <c r="G225" s="709" t="s">
        <v>923</v>
      </c>
      <c r="H225" s="710" t="s">
        <v>924</v>
      </c>
    </row>
    <row r="226" spans="1:9" s="384" customFormat="1" ht="13.5" thickTop="1" thickBot="1" x14ac:dyDescent="0.25">
      <c r="A226" s="568">
        <v>1</v>
      </c>
      <c r="B226" s="569">
        <v>2</v>
      </c>
      <c r="C226" s="569">
        <v>3</v>
      </c>
      <c r="D226" s="569">
        <v>4</v>
      </c>
      <c r="E226" s="569">
        <v>5</v>
      </c>
      <c r="F226" s="543">
        <v>6</v>
      </c>
      <c r="G226" s="543">
        <v>7</v>
      </c>
      <c r="H226" s="638" t="s">
        <v>61</v>
      </c>
      <c r="I226" s="107"/>
    </row>
    <row r="227" spans="1:9" s="433" customFormat="1" ht="15.75" thickTop="1" x14ac:dyDescent="0.25">
      <c r="A227" s="1886">
        <v>4357</v>
      </c>
      <c r="B227" s="1887">
        <v>5331</v>
      </c>
      <c r="C227" s="1888"/>
      <c r="D227" s="626" t="s">
        <v>249</v>
      </c>
      <c r="E227" s="728">
        <f>E228+E229</f>
        <v>11763</v>
      </c>
      <c r="F227" s="728">
        <f>F228+F229</f>
        <v>17170</v>
      </c>
      <c r="G227" s="728">
        <f>G228+G229</f>
        <v>17170</v>
      </c>
      <c r="H227" s="715">
        <f>G227/F227*100</f>
        <v>100</v>
      </c>
    </row>
    <row r="228" spans="1:9" x14ac:dyDescent="0.2">
      <c r="A228" s="1859"/>
      <c r="B228" s="1860"/>
      <c r="C228" s="719" t="s">
        <v>611</v>
      </c>
      <c r="D228" s="1467" t="s">
        <v>1322</v>
      </c>
      <c r="E228" s="747">
        <v>1060</v>
      </c>
      <c r="F228" s="747">
        <v>1288</v>
      </c>
      <c r="G228" s="747">
        <v>1288</v>
      </c>
      <c r="H228" s="830">
        <f>(G228/F228)*100</f>
        <v>100</v>
      </c>
    </row>
    <row r="229" spans="1:9" ht="15" thickBot="1" x14ac:dyDescent="0.25">
      <c r="A229" s="1859"/>
      <c r="B229" s="1860"/>
      <c r="C229" s="554" t="s">
        <v>606</v>
      </c>
      <c r="D229" s="734" t="s">
        <v>1141</v>
      </c>
      <c r="E229" s="747">
        <v>10703</v>
      </c>
      <c r="F229" s="747">
        <v>15882</v>
      </c>
      <c r="G229" s="747">
        <v>15882</v>
      </c>
      <c r="H229" s="830">
        <f>(G229/F229)*100</f>
        <v>100</v>
      </c>
    </row>
    <row r="230" spans="1:9" s="368" customFormat="1" ht="20.25" customHeight="1" thickTop="1" thickBot="1" x14ac:dyDescent="0.3">
      <c r="A230" s="720" t="s">
        <v>1162</v>
      </c>
      <c r="B230" s="721"/>
      <c r="C230" s="722"/>
      <c r="D230" s="723"/>
      <c r="E230" s="735">
        <f>SUM(E227)</f>
        <v>11763</v>
      </c>
      <c r="F230" s="735">
        <f>SUM(F227)</f>
        <v>17170</v>
      </c>
      <c r="G230" s="735">
        <f>SUM(G227)</f>
        <v>17170</v>
      </c>
      <c r="H230" s="831">
        <f>(G230/F230)*100</f>
        <v>100</v>
      </c>
    </row>
    <row r="231" spans="1:9" s="433" customFormat="1" ht="15.75" thickTop="1" x14ac:dyDescent="0.25">
      <c r="A231" s="787"/>
      <c r="B231" s="1874"/>
      <c r="C231" s="835"/>
      <c r="E231" s="489"/>
      <c r="F231" s="489"/>
      <c r="G231" s="489"/>
      <c r="H231" s="825"/>
    </row>
    <row r="232" spans="1:9" s="368" customFormat="1" ht="27.75" customHeight="1" thickBot="1" x14ac:dyDescent="0.3">
      <c r="A232" s="792" t="s">
        <v>267</v>
      </c>
      <c r="B232" s="740"/>
      <c r="C232" s="741"/>
      <c r="D232" s="742"/>
      <c r="E232" s="833">
        <f>SUM(E230)</f>
        <v>11763</v>
      </c>
      <c r="F232" s="833">
        <f>SUM(F230)</f>
        <v>17170</v>
      </c>
      <c r="G232" s="833">
        <f>SUM(G230)</f>
        <v>17170</v>
      </c>
      <c r="H232" s="797">
        <f>(G232/F232)*100</f>
        <v>100</v>
      </c>
    </row>
    <row r="233" spans="1:9" s="832" customFormat="1" ht="19.5" customHeight="1" thickTop="1" x14ac:dyDescent="0.25">
      <c r="A233" s="1862"/>
      <c r="B233" s="1863"/>
      <c r="C233" s="1864"/>
      <c r="D233" s="1865"/>
      <c r="E233" s="1866"/>
      <c r="F233" s="1866"/>
      <c r="G233" s="1866"/>
      <c r="H233" s="1867"/>
    </row>
    <row r="234" spans="1:9" s="832" customFormat="1" ht="19.5" customHeight="1" x14ac:dyDescent="0.25">
      <c r="A234" s="1862"/>
      <c r="B234" s="1863"/>
      <c r="C234" s="1864"/>
      <c r="D234" s="1865"/>
      <c r="E234" s="1866"/>
      <c r="F234" s="1866"/>
      <c r="G234" s="1866"/>
      <c r="H234" s="1867"/>
    </row>
    <row r="235" spans="1:9" s="832" customFormat="1" ht="19.5" customHeight="1" x14ac:dyDescent="0.25">
      <c r="A235" s="1862"/>
      <c r="B235" s="1863"/>
      <c r="C235" s="1864"/>
      <c r="D235" s="1865"/>
      <c r="E235" s="1866"/>
      <c r="F235" s="1866"/>
      <c r="G235" s="1866"/>
      <c r="H235" s="1867"/>
    </row>
    <row r="236" spans="1:9" s="832" customFormat="1" ht="19.5" customHeight="1" x14ac:dyDescent="0.25">
      <c r="A236" s="1862"/>
      <c r="B236" s="1863"/>
      <c r="C236" s="1864"/>
      <c r="D236" s="1865"/>
      <c r="E236" s="1866"/>
      <c r="F236" s="1866"/>
      <c r="G236" s="1866"/>
      <c r="H236" s="1867"/>
    </row>
    <row r="237" spans="1:9" s="433" customFormat="1" ht="15.75" x14ac:dyDescent="0.25">
      <c r="A237" s="703" t="s">
        <v>1385</v>
      </c>
      <c r="B237" s="754"/>
      <c r="C237" s="835"/>
      <c r="D237" s="503"/>
      <c r="E237" s="489" t="s">
        <v>1386</v>
      </c>
      <c r="F237" s="489"/>
      <c r="G237" s="489"/>
      <c r="H237" s="825"/>
    </row>
    <row r="238" spans="1:9" ht="15.75" thickBot="1" x14ac:dyDescent="0.25">
      <c r="A238" s="1540"/>
      <c r="B238" s="847"/>
      <c r="D238" s="848"/>
      <c r="H238" s="1855" t="s">
        <v>173</v>
      </c>
    </row>
    <row r="239" spans="1:9" s="711" customFormat="1" ht="20.25" customHeight="1" thickTop="1" thickBot="1" x14ac:dyDescent="0.25">
      <c r="A239" s="788" t="s">
        <v>174</v>
      </c>
      <c r="B239" s="706" t="s">
        <v>175</v>
      </c>
      <c r="C239" s="707" t="s">
        <v>744</v>
      </c>
      <c r="D239" s="708" t="s">
        <v>176</v>
      </c>
      <c r="E239" s="709" t="s">
        <v>177</v>
      </c>
      <c r="F239" s="709" t="s">
        <v>922</v>
      </c>
      <c r="G239" s="709" t="s">
        <v>923</v>
      </c>
      <c r="H239" s="710" t="s">
        <v>924</v>
      </c>
    </row>
    <row r="240" spans="1:9" s="384" customFormat="1" ht="13.5" thickTop="1" thickBot="1" x14ac:dyDescent="0.25">
      <c r="A240" s="568">
        <v>1</v>
      </c>
      <c r="B240" s="569">
        <v>2</v>
      </c>
      <c r="C240" s="569">
        <v>3</v>
      </c>
      <c r="D240" s="569">
        <v>4</v>
      </c>
      <c r="E240" s="569">
        <v>5</v>
      </c>
      <c r="F240" s="543">
        <v>6</v>
      </c>
      <c r="G240" s="543">
        <v>7</v>
      </c>
      <c r="H240" s="638" t="s">
        <v>61</v>
      </c>
      <c r="I240" s="107"/>
    </row>
    <row r="241" spans="1:8" s="433" customFormat="1" ht="15.75" thickTop="1" x14ac:dyDescent="0.25">
      <c r="A241" s="1886">
        <v>4356</v>
      </c>
      <c r="B241" s="1887">
        <v>5331</v>
      </c>
      <c r="C241" s="1888"/>
      <c r="D241" s="626" t="s">
        <v>249</v>
      </c>
      <c r="E241" s="728">
        <f>E242+E243</f>
        <v>4821</v>
      </c>
      <c r="F241" s="728">
        <f>F242+F243+F244</f>
        <v>7166</v>
      </c>
      <c r="G241" s="728">
        <f>G242+G243+G244</f>
        <v>7166</v>
      </c>
      <c r="H241" s="715">
        <f>G241/F241*100</f>
        <v>100</v>
      </c>
    </row>
    <row r="242" spans="1:8" x14ac:dyDescent="0.2">
      <c r="A242" s="1859"/>
      <c r="B242" s="1860"/>
      <c r="C242" s="719" t="s">
        <v>611</v>
      </c>
      <c r="D242" s="1467" t="s">
        <v>1322</v>
      </c>
      <c r="E242" s="747">
        <v>775</v>
      </c>
      <c r="F242" s="747">
        <v>764</v>
      </c>
      <c r="G242" s="747">
        <v>764</v>
      </c>
      <c r="H242" s="830">
        <f t="shared" ref="H242:H247" si="3">(G242/F242)*100</f>
        <v>100</v>
      </c>
    </row>
    <row r="243" spans="1:8" x14ac:dyDescent="0.2">
      <c r="A243" s="1859"/>
      <c r="B243" s="1860"/>
      <c r="C243" s="554" t="s">
        <v>606</v>
      </c>
      <c r="D243" s="571" t="s">
        <v>1141</v>
      </c>
      <c r="E243" s="747">
        <v>4046</v>
      </c>
      <c r="F243" s="747">
        <v>6372</v>
      </c>
      <c r="G243" s="747">
        <v>6372</v>
      </c>
      <c r="H243" s="830">
        <f t="shared" si="3"/>
        <v>100</v>
      </c>
    </row>
    <row r="244" spans="1:8" x14ac:dyDescent="0.2">
      <c r="A244" s="1859"/>
      <c r="B244" s="1860"/>
      <c r="C244" s="554" t="s">
        <v>362</v>
      </c>
      <c r="D244" s="571" t="s">
        <v>1790</v>
      </c>
      <c r="E244" s="747"/>
      <c r="F244" s="747">
        <v>30</v>
      </c>
      <c r="G244" s="747">
        <v>30</v>
      </c>
      <c r="H244" s="830">
        <f t="shared" si="3"/>
        <v>100</v>
      </c>
    </row>
    <row r="245" spans="1:8" s="433" customFormat="1" ht="15" x14ac:dyDescent="0.25">
      <c r="A245" s="1890">
        <v>4399</v>
      </c>
      <c r="B245" s="1891">
        <v>5331</v>
      </c>
      <c r="C245" s="1892"/>
      <c r="D245" s="427" t="s">
        <v>249</v>
      </c>
      <c r="E245" s="1508">
        <v>0</v>
      </c>
      <c r="F245" s="1508">
        <v>25</v>
      </c>
      <c r="G245" s="1508">
        <v>25</v>
      </c>
      <c r="H245" s="837">
        <f t="shared" si="3"/>
        <v>100</v>
      </c>
    </row>
    <row r="246" spans="1:8" ht="15" thickBot="1" x14ac:dyDescent="0.25">
      <c r="A246" s="1859"/>
      <c r="B246" s="1860"/>
      <c r="C246" s="1135" t="s">
        <v>1262</v>
      </c>
      <c r="D246" s="1727" t="s">
        <v>1757</v>
      </c>
      <c r="E246" s="747"/>
      <c r="F246" s="747">
        <v>25</v>
      </c>
      <c r="G246" s="747">
        <v>25</v>
      </c>
      <c r="H246" s="830">
        <f t="shared" si="3"/>
        <v>100</v>
      </c>
    </row>
    <row r="247" spans="1:8" s="368" customFormat="1" ht="20.25" customHeight="1" thickTop="1" thickBot="1" x14ac:dyDescent="0.3">
      <c r="A247" s="720" t="s">
        <v>1162</v>
      </c>
      <c r="B247" s="721"/>
      <c r="C247" s="722"/>
      <c r="D247" s="723"/>
      <c r="E247" s="735">
        <f>E241</f>
        <v>4821</v>
      </c>
      <c r="F247" s="735">
        <f>SUM(F241,F245)</f>
        <v>7191</v>
      </c>
      <c r="G247" s="735">
        <f>SUM(G241,G245)</f>
        <v>7191</v>
      </c>
      <c r="H247" s="831">
        <f t="shared" si="3"/>
        <v>100</v>
      </c>
    </row>
    <row r="248" spans="1:8" s="368" customFormat="1" ht="20.25" customHeight="1" thickTop="1" x14ac:dyDescent="0.25">
      <c r="A248" s="362"/>
      <c r="B248" s="363"/>
      <c r="C248" s="364"/>
      <c r="D248" s="365"/>
      <c r="E248" s="366"/>
      <c r="F248" s="366"/>
      <c r="G248" s="366"/>
      <c r="H248" s="367"/>
    </row>
    <row r="249" spans="1:8" s="368" customFormat="1" ht="27.75" customHeight="1" thickBot="1" x14ac:dyDescent="0.3">
      <c r="A249" s="792" t="s">
        <v>1387</v>
      </c>
      <c r="B249" s="740"/>
      <c r="C249" s="741"/>
      <c r="D249" s="742"/>
      <c r="E249" s="833">
        <f>SUM(E247)</f>
        <v>4821</v>
      </c>
      <c r="F249" s="833">
        <f>SUM(F247)</f>
        <v>7191</v>
      </c>
      <c r="G249" s="833">
        <f>SUM(G247)</f>
        <v>7191</v>
      </c>
      <c r="H249" s="797">
        <f>(G249/F249)*100</f>
        <v>100</v>
      </c>
    </row>
    <row r="250" spans="1:8" s="832" customFormat="1" ht="15.75" customHeight="1" thickTop="1" x14ac:dyDescent="0.25">
      <c r="A250" s="1862"/>
      <c r="B250" s="1863"/>
      <c r="C250" s="1864"/>
      <c r="D250" s="1865"/>
      <c r="E250" s="1866"/>
      <c r="F250" s="1866"/>
      <c r="G250" s="1866"/>
      <c r="H250" s="1867"/>
    </row>
    <row r="251" spans="1:8" s="832" customFormat="1" ht="15.75" customHeight="1" x14ac:dyDescent="0.25">
      <c r="A251" s="1862"/>
      <c r="B251" s="1863"/>
      <c r="C251" s="1864"/>
      <c r="D251" s="1865"/>
      <c r="E251" s="1866"/>
      <c r="F251" s="1866"/>
      <c r="G251" s="1866"/>
      <c r="H251" s="1867"/>
    </row>
    <row r="252" spans="1:8" s="832" customFormat="1" ht="15.75" customHeight="1" x14ac:dyDescent="0.25">
      <c r="A252" s="1862"/>
      <c r="B252" s="1863"/>
      <c r="C252" s="1864"/>
      <c r="D252" s="1865"/>
      <c r="E252" s="1866"/>
      <c r="F252" s="1866"/>
      <c r="G252" s="1866"/>
      <c r="H252" s="1867"/>
    </row>
    <row r="253" spans="1:8" s="832" customFormat="1" ht="12.75" customHeight="1" x14ac:dyDescent="0.25">
      <c r="A253" s="1862"/>
      <c r="B253" s="1863"/>
      <c r="C253" s="1864"/>
      <c r="D253" s="1865"/>
      <c r="E253" s="1866"/>
      <c r="F253" s="1866"/>
      <c r="G253" s="1866"/>
      <c r="H253" s="1867"/>
    </row>
    <row r="254" spans="1:8" s="503" customFormat="1" ht="15.75" x14ac:dyDescent="0.25">
      <c r="A254" s="703" t="s">
        <v>1389</v>
      </c>
      <c r="B254" s="754"/>
      <c r="C254" s="835"/>
      <c r="E254" s="489" t="s">
        <v>1388</v>
      </c>
      <c r="F254" s="489"/>
      <c r="G254" s="489"/>
    </row>
    <row r="255" spans="1:8" s="848" customFormat="1" ht="15.75" thickBot="1" x14ac:dyDescent="0.25">
      <c r="A255" s="1540"/>
      <c r="B255" s="847"/>
      <c r="C255" s="667"/>
      <c r="E255" s="1848"/>
      <c r="F255" s="1848"/>
      <c r="G255" s="1848"/>
      <c r="H255" s="1855" t="s">
        <v>173</v>
      </c>
    </row>
    <row r="256" spans="1:8" s="711" customFormat="1" ht="20.25" customHeight="1" thickTop="1" thickBot="1" x14ac:dyDescent="0.25">
      <c r="A256" s="788" t="s">
        <v>174</v>
      </c>
      <c r="B256" s="706" t="s">
        <v>175</v>
      </c>
      <c r="C256" s="707" t="s">
        <v>744</v>
      </c>
      <c r="D256" s="708" t="s">
        <v>176</v>
      </c>
      <c r="E256" s="709" t="s">
        <v>177</v>
      </c>
      <c r="F256" s="709" t="s">
        <v>922</v>
      </c>
      <c r="G256" s="709" t="s">
        <v>923</v>
      </c>
      <c r="H256" s="710" t="s">
        <v>924</v>
      </c>
    </row>
    <row r="257" spans="1:11" s="384" customFormat="1" ht="13.5" thickTop="1" thickBot="1" x14ac:dyDescent="0.25">
      <c r="A257" s="568">
        <v>1</v>
      </c>
      <c r="B257" s="569">
        <v>2</v>
      </c>
      <c r="C257" s="569">
        <v>3</v>
      </c>
      <c r="D257" s="569">
        <v>4</v>
      </c>
      <c r="E257" s="569">
        <v>5</v>
      </c>
      <c r="F257" s="543">
        <v>6</v>
      </c>
      <c r="G257" s="543">
        <v>7</v>
      </c>
      <c r="H257" s="638" t="s">
        <v>61</v>
      </c>
      <c r="I257" s="107"/>
    </row>
    <row r="258" spans="1:11" s="433" customFormat="1" ht="15.75" thickTop="1" x14ac:dyDescent="0.25">
      <c r="A258" s="1886">
        <v>4357</v>
      </c>
      <c r="B258" s="1887">
        <v>5331</v>
      </c>
      <c r="C258" s="1888"/>
      <c r="D258" s="626" t="s">
        <v>249</v>
      </c>
      <c r="E258" s="728">
        <f>E259+E260</f>
        <v>11167</v>
      </c>
      <c r="F258" s="728">
        <f>F259+F260</f>
        <v>18721</v>
      </c>
      <c r="G258" s="728">
        <f>G259+G260</f>
        <v>18721</v>
      </c>
      <c r="H258" s="715">
        <f>G258/F258*100</f>
        <v>100</v>
      </c>
    </row>
    <row r="259" spans="1:11" x14ac:dyDescent="0.2">
      <c r="A259" s="1859"/>
      <c r="B259" s="1860"/>
      <c r="C259" s="719" t="s">
        <v>611</v>
      </c>
      <c r="D259" s="1467" t="s">
        <v>1322</v>
      </c>
      <c r="E259" s="747">
        <v>2007</v>
      </c>
      <c r="F259" s="747">
        <v>2114</v>
      </c>
      <c r="G259" s="747">
        <v>2114</v>
      </c>
      <c r="H259" s="830">
        <f t="shared" ref="H259:H264" si="4">(G259/F259)*100</f>
        <v>100</v>
      </c>
    </row>
    <row r="260" spans="1:11" x14ac:dyDescent="0.2">
      <c r="A260" s="1859"/>
      <c r="B260" s="1860"/>
      <c r="C260" s="554" t="s">
        <v>606</v>
      </c>
      <c r="D260" s="734" t="s">
        <v>1141</v>
      </c>
      <c r="E260" s="747">
        <v>9160</v>
      </c>
      <c r="F260" s="747">
        <v>16607</v>
      </c>
      <c r="G260" s="747">
        <v>16607</v>
      </c>
      <c r="H260" s="830">
        <f t="shared" si="4"/>
        <v>100</v>
      </c>
    </row>
    <row r="261" spans="1:11" s="433" customFormat="1" ht="15" x14ac:dyDescent="0.25">
      <c r="A261" s="1890">
        <v>4357</v>
      </c>
      <c r="B261" s="1891">
        <v>5336</v>
      </c>
      <c r="C261" s="1893"/>
      <c r="D261" s="1845" t="s">
        <v>1523</v>
      </c>
      <c r="E261" s="1508"/>
      <c r="F261" s="1508">
        <f>F262+F263</f>
        <v>420</v>
      </c>
      <c r="G261" s="1508">
        <f>G262+G263</f>
        <v>420</v>
      </c>
      <c r="H261" s="837">
        <f t="shared" si="4"/>
        <v>100</v>
      </c>
    </row>
    <row r="262" spans="1:11" s="433" customFormat="1" ht="15" x14ac:dyDescent="0.25">
      <c r="A262" s="1890"/>
      <c r="B262" s="1891"/>
      <c r="C262" s="554" t="s">
        <v>1424</v>
      </c>
      <c r="D262" s="1871" t="s">
        <v>1425</v>
      </c>
      <c r="E262" s="1508"/>
      <c r="F262" s="747">
        <v>63</v>
      </c>
      <c r="G262" s="747">
        <v>63</v>
      </c>
      <c r="H262" s="830">
        <f t="shared" si="4"/>
        <v>100</v>
      </c>
    </row>
    <row r="263" spans="1:11" ht="15" thickBot="1" x14ac:dyDescent="0.25">
      <c r="A263" s="1859"/>
      <c r="B263" s="1860"/>
      <c r="C263" s="554" t="s">
        <v>1426</v>
      </c>
      <c r="D263" s="1872" t="s">
        <v>1427</v>
      </c>
      <c r="E263" s="747"/>
      <c r="F263" s="747">
        <v>357</v>
      </c>
      <c r="G263" s="747">
        <v>357</v>
      </c>
      <c r="H263" s="830">
        <f t="shared" si="4"/>
        <v>100</v>
      </c>
    </row>
    <row r="264" spans="1:11" s="368" customFormat="1" ht="20.25" customHeight="1" thickTop="1" thickBot="1" x14ac:dyDescent="0.3">
      <c r="A264" s="720" t="s">
        <v>1162</v>
      </c>
      <c r="B264" s="721"/>
      <c r="C264" s="722"/>
      <c r="D264" s="723"/>
      <c r="E264" s="735">
        <f>SUM(E258)</f>
        <v>11167</v>
      </c>
      <c r="F264" s="735">
        <f>SUM(F258,F261)</f>
        <v>19141</v>
      </c>
      <c r="G264" s="735">
        <f>SUM(G258,G261)</f>
        <v>19141</v>
      </c>
      <c r="H264" s="831">
        <f t="shared" si="4"/>
        <v>100</v>
      </c>
      <c r="J264" s="834"/>
      <c r="K264" s="834"/>
    </row>
    <row r="265" spans="1:11" s="368" customFormat="1" ht="20.25" customHeight="1" thickTop="1" x14ac:dyDescent="0.25">
      <c r="A265" s="362"/>
      <c r="B265" s="363"/>
      <c r="C265" s="364"/>
      <c r="D265" s="365"/>
      <c r="E265" s="366"/>
      <c r="F265" s="366"/>
      <c r="G265" s="366"/>
      <c r="H265" s="367"/>
      <c r="J265" s="834"/>
      <c r="K265" s="834"/>
    </row>
    <row r="266" spans="1:11" s="368" customFormat="1" ht="20.25" customHeight="1" thickBot="1" x14ac:dyDescent="0.3">
      <c r="A266" s="792" t="s">
        <v>1390</v>
      </c>
      <c r="B266" s="740"/>
      <c r="C266" s="741"/>
      <c r="D266" s="742"/>
      <c r="E266" s="833">
        <f>SUM(E264)</f>
        <v>11167</v>
      </c>
      <c r="F266" s="833">
        <f>SUM(F264)</f>
        <v>19141</v>
      </c>
      <c r="G266" s="833">
        <f>SUM(G264)</f>
        <v>19141</v>
      </c>
      <c r="H266" s="797">
        <f>(G266/F266)*100</f>
        <v>100</v>
      </c>
    </row>
    <row r="267" spans="1:11" s="832" customFormat="1" ht="20.25" customHeight="1" thickTop="1" x14ac:dyDescent="0.25">
      <c r="A267" s="1862"/>
      <c r="B267" s="1863"/>
      <c r="C267" s="1864"/>
      <c r="D267" s="1865"/>
      <c r="E267" s="1866"/>
      <c r="F267" s="1866"/>
      <c r="G267" s="1866"/>
      <c r="H267" s="1867"/>
    </row>
    <row r="268" spans="1:11" s="832" customFormat="1" ht="16.5" customHeight="1" x14ac:dyDescent="0.25">
      <c r="A268" s="1862"/>
      <c r="B268" s="1863"/>
      <c r="C268" s="1864"/>
      <c r="D268" s="1865"/>
      <c r="E268" s="1866"/>
      <c r="F268" s="1866"/>
      <c r="G268" s="1866"/>
      <c r="H268" s="1867"/>
    </row>
    <row r="269" spans="1:11" ht="12.75" customHeight="1" x14ac:dyDescent="0.2"/>
    <row r="270" spans="1:11" s="503" customFormat="1" ht="13.5" customHeight="1" x14ac:dyDescent="0.25">
      <c r="A270" s="703" t="s">
        <v>269</v>
      </c>
      <c r="B270" s="754"/>
      <c r="C270" s="835"/>
      <c r="E270" s="489" t="s">
        <v>1394</v>
      </c>
      <c r="F270" s="489"/>
      <c r="G270" s="489"/>
      <c r="H270" s="825"/>
    </row>
    <row r="271" spans="1:11" ht="13.5" customHeight="1" thickBot="1" x14ac:dyDescent="0.25">
      <c r="A271" s="1849"/>
      <c r="H271" s="1855" t="s">
        <v>173</v>
      </c>
    </row>
    <row r="272" spans="1:11" s="711" customFormat="1" ht="20.25" customHeight="1" thickTop="1" thickBot="1" x14ac:dyDescent="0.25">
      <c r="A272" s="788" t="s">
        <v>174</v>
      </c>
      <c r="B272" s="706" t="s">
        <v>175</v>
      </c>
      <c r="C272" s="707" t="s">
        <v>744</v>
      </c>
      <c r="D272" s="708" t="s">
        <v>176</v>
      </c>
      <c r="E272" s="709" t="s">
        <v>177</v>
      </c>
      <c r="F272" s="709" t="s">
        <v>922</v>
      </c>
      <c r="G272" s="709" t="s">
        <v>923</v>
      </c>
      <c r="H272" s="710" t="s">
        <v>924</v>
      </c>
    </row>
    <row r="273" spans="1:9" s="384" customFormat="1" ht="13.5" thickTop="1" thickBot="1" x14ac:dyDescent="0.25">
      <c r="A273" s="568">
        <v>1</v>
      </c>
      <c r="B273" s="569">
        <v>2</v>
      </c>
      <c r="C273" s="569">
        <v>3</v>
      </c>
      <c r="D273" s="569">
        <v>4</v>
      </c>
      <c r="E273" s="569">
        <v>5</v>
      </c>
      <c r="F273" s="543">
        <v>6</v>
      </c>
      <c r="G273" s="543">
        <v>7</v>
      </c>
      <c r="H273" s="638" t="s">
        <v>61</v>
      </c>
      <c r="I273" s="107"/>
    </row>
    <row r="274" spans="1:9" s="384" customFormat="1" ht="15.75" thickTop="1" x14ac:dyDescent="0.25">
      <c r="A274" s="1886">
        <v>4324</v>
      </c>
      <c r="B274" s="1891">
        <v>5336</v>
      </c>
      <c r="C274" s="1893"/>
      <c r="D274" s="1845" t="s">
        <v>1523</v>
      </c>
      <c r="E274" s="728">
        <v>0</v>
      </c>
      <c r="F274" s="728">
        <v>841</v>
      </c>
      <c r="G274" s="728">
        <v>841</v>
      </c>
      <c r="H274" s="715">
        <f>G274/F274*100</f>
        <v>100</v>
      </c>
      <c r="I274" s="107"/>
    </row>
    <row r="275" spans="1:9" s="384" customFormat="1" x14ac:dyDescent="0.2">
      <c r="A275" s="1859"/>
      <c r="B275" s="1860"/>
      <c r="C275" s="554" t="s">
        <v>612</v>
      </c>
      <c r="D275" s="2678" t="s">
        <v>613</v>
      </c>
      <c r="E275" s="747"/>
      <c r="F275" s="747">
        <v>841</v>
      </c>
      <c r="G275" s="747">
        <v>841</v>
      </c>
      <c r="H275" s="830">
        <f>(G275/F275)*100</f>
        <v>100</v>
      </c>
      <c r="I275" s="107"/>
    </row>
    <row r="276" spans="1:9" s="384" customFormat="1" x14ac:dyDescent="0.2">
      <c r="A276" s="1859"/>
      <c r="B276" s="1860"/>
      <c r="C276" s="554"/>
      <c r="D276" s="2678"/>
      <c r="E276" s="747"/>
      <c r="F276" s="747"/>
      <c r="G276" s="747"/>
      <c r="H276" s="830"/>
      <c r="I276" s="107"/>
    </row>
    <row r="277" spans="1:9" s="433" customFormat="1" ht="15" x14ac:dyDescent="0.25">
      <c r="A277" s="1890">
        <v>4372</v>
      </c>
      <c r="B277" s="1891">
        <v>5331</v>
      </c>
      <c r="C277" s="1892"/>
      <c r="D277" s="427" t="s">
        <v>249</v>
      </c>
      <c r="E277" s="1508">
        <f>E278+E279</f>
        <v>5970</v>
      </c>
      <c r="F277" s="1508">
        <f>F278+F279</f>
        <v>8447</v>
      </c>
      <c r="G277" s="1508">
        <f>G278+G279</f>
        <v>8447</v>
      </c>
      <c r="H277" s="2326">
        <f>G277/F277*100</f>
        <v>100</v>
      </c>
    </row>
    <row r="278" spans="1:9" x14ac:dyDescent="0.2">
      <c r="A278" s="1859"/>
      <c r="B278" s="1860"/>
      <c r="C278" s="719" t="s">
        <v>611</v>
      </c>
      <c r="D278" s="1467" t="s">
        <v>1322</v>
      </c>
      <c r="E278" s="747">
        <v>280</v>
      </c>
      <c r="F278" s="747">
        <v>292</v>
      </c>
      <c r="G278" s="747">
        <v>292</v>
      </c>
      <c r="H278" s="830">
        <f>(G278/F278)*100</f>
        <v>100</v>
      </c>
    </row>
    <row r="279" spans="1:9" ht="15" thickBot="1" x14ac:dyDescent="0.25">
      <c r="A279" s="1859"/>
      <c r="B279" s="1860"/>
      <c r="C279" s="554" t="s">
        <v>606</v>
      </c>
      <c r="D279" s="558" t="s">
        <v>1141</v>
      </c>
      <c r="E279" s="747">
        <v>5690</v>
      </c>
      <c r="F279" s="747">
        <v>8155</v>
      </c>
      <c r="G279" s="747">
        <v>8155</v>
      </c>
      <c r="H279" s="830">
        <f>(G279/F279)*100</f>
        <v>100</v>
      </c>
    </row>
    <row r="280" spans="1:9" s="368" customFormat="1" ht="20.25" customHeight="1" thickTop="1" thickBot="1" x14ac:dyDescent="0.3">
      <c r="A280" s="720" t="s">
        <v>1162</v>
      </c>
      <c r="B280" s="721"/>
      <c r="C280" s="722"/>
      <c r="D280" s="838"/>
      <c r="E280" s="735">
        <f>SUM(E277,E274)</f>
        <v>5970</v>
      </c>
      <c r="F280" s="735">
        <f>SUM(F277,F274)</f>
        <v>9288</v>
      </c>
      <c r="G280" s="735">
        <f>SUM(G277,G274)</f>
        <v>9288</v>
      </c>
      <c r="H280" s="831">
        <f>(G280/F280)*100</f>
        <v>100</v>
      </c>
    </row>
    <row r="281" spans="1:9" s="433" customFormat="1" ht="15.75" thickTop="1" x14ac:dyDescent="0.25">
      <c r="A281" s="787"/>
      <c r="B281" s="1874"/>
      <c r="C281" s="835"/>
      <c r="E281" s="489"/>
      <c r="F281" s="489"/>
      <c r="G281" s="489"/>
      <c r="H281" s="825"/>
    </row>
    <row r="282" spans="1:9" s="368" customFormat="1" ht="27.75" customHeight="1" thickBot="1" x14ac:dyDescent="0.3">
      <c r="A282" s="792" t="s">
        <v>3</v>
      </c>
      <c r="B282" s="740"/>
      <c r="C282" s="741"/>
      <c r="D282" s="742"/>
      <c r="E282" s="833">
        <f>SUM(E280)</f>
        <v>5970</v>
      </c>
      <c r="F282" s="833">
        <f>F280</f>
        <v>9288</v>
      </c>
      <c r="G282" s="833">
        <f>G280</f>
        <v>9288</v>
      </c>
      <c r="H282" s="797">
        <f>(G282/F282)*100</f>
        <v>100</v>
      </c>
    </row>
    <row r="283" spans="1:9" ht="15" thickTop="1" x14ac:dyDescent="0.2"/>
    <row r="286" spans="1:9" s="503" customFormat="1" ht="15.75" x14ac:dyDescent="0.25">
      <c r="A286" s="703" t="s">
        <v>12</v>
      </c>
      <c r="B286" s="754"/>
      <c r="C286" s="835"/>
      <c r="E286" s="489" t="s">
        <v>1391</v>
      </c>
      <c r="F286" s="489"/>
      <c r="G286" s="489"/>
      <c r="H286" s="825"/>
    </row>
    <row r="287" spans="1:9" ht="15" thickBot="1" x14ac:dyDescent="0.25">
      <c r="A287" s="1849"/>
      <c r="H287" s="1855" t="s">
        <v>173</v>
      </c>
    </row>
    <row r="288" spans="1:9" s="711" customFormat="1" ht="20.25" customHeight="1" thickTop="1" thickBot="1" x14ac:dyDescent="0.25">
      <c r="A288" s="788" t="s">
        <v>174</v>
      </c>
      <c r="B288" s="706" t="s">
        <v>175</v>
      </c>
      <c r="C288" s="707" t="s">
        <v>744</v>
      </c>
      <c r="D288" s="708" t="s">
        <v>176</v>
      </c>
      <c r="E288" s="709" t="s">
        <v>177</v>
      </c>
      <c r="F288" s="709" t="s">
        <v>922</v>
      </c>
      <c r="G288" s="709" t="s">
        <v>923</v>
      </c>
      <c r="H288" s="710" t="s">
        <v>924</v>
      </c>
    </row>
    <row r="289" spans="1:9" s="384" customFormat="1" ht="13.5" thickTop="1" thickBot="1" x14ac:dyDescent="0.25">
      <c r="A289" s="568">
        <v>1</v>
      </c>
      <c r="B289" s="569">
        <v>2</v>
      </c>
      <c r="C289" s="569">
        <v>3</v>
      </c>
      <c r="D289" s="569">
        <v>4</v>
      </c>
      <c r="E289" s="569">
        <v>5</v>
      </c>
      <c r="F289" s="543">
        <v>6</v>
      </c>
      <c r="G289" s="543">
        <v>7</v>
      </c>
      <c r="H289" s="638" t="s">
        <v>61</v>
      </c>
      <c r="I289" s="107"/>
    </row>
    <row r="290" spans="1:9" s="433" customFormat="1" ht="15.75" thickTop="1" x14ac:dyDescent="0.25">
      <c r="A290" s="1886">
        <v>4357</v>
      </c>
      <c r="B290" s="1887">
        <v>5331</v>
      </c>
      <c r="C290" s="1888"/>
      <c r="D290" s="626" t="s">
        <v>249</v>
      </c>
      <c r="E290" s="728">
        <f>E291+E292</f>
        <v>6357</v>
      </c>
      <c r="F290" s="728">
        <f>F291+F292</f>
        <v>8912</v>
      </c>
      <c r="G290" s="728">
        <f>G291+G292</f>
        <v>8912</v>
      </c>
      <c r="H290" s="715">
        <f>G290/F290*100</f>
        <v>100</v>
      </c>
    </row>
    <row r="291" spans="1:9" x14ac:dyDescent="0.2">
      <c r="A291" s="1859"/>
      <c r="B291" s="1860"/>
      <c r="C291" s="719" t="s">
        <v>611</v>
      </c>
      <c r="D291" s="1467" t="s">
        <v>1322</v>
      </c>
      <c r="E291" s="747">
        <v>1904</v>
      </c>
      <c r="F291" s="747">
        <v>1896</v>
      </c>
      <c r="G291" s="747">
        <v>1896</v>
      </c>
      <c r="H291" s="830">
        <f t="shared" ref="H291:H296" si="5">(G291/F291)*100</f>
        <v>100</v>
      </c>
    </row>
    <row r="292" spans="1:9" x14ac:dyDescent="0.2">
      <c r="A292" s="1859"/>
      <c r="B292" s="1860"/>
      <c r="C292" s="554" t="s">
        <v>606</v>
      </c>
      <c r="D292" s="550" t="s">
        <v>1141</v>
      </c>
      <c r="E292" s="747">
        <v>4453</v>
      </c>
      <c r="F292" s="747">
        <v>7016</v>
      </c>
      <c r="G292" s="747">
        <v>7016</v>
      </c>
      <c r="H292" s="830">
        <f t="shared" si="5"/>
        <v>100</v>
      </c>
    </row>
    <row r="293" spans="1:9" ht="15" x14ac:dyDescent="0.25">
      <c r="A293" s="1890">
        <v>4357</v>
      </c>
      <c r="B293" s="1891">
        <v>5336</v>
      </c>
      <c r="C293" s="1893"/>
      <c r="D293" s="1845" t="s">
        <v>1523</v>
      </c>
      <c r="E293" s="1508">
        <v>0</v>
      </c>
      <c r="F293" s="1508">
        <f>F294+F295</f>
        <v>367</v>
      </c>
      <c r="G293" s="1508">
        <f>G294+G295</f>
        <v>367</v>
      </c>
      <c r="H293" s="837">
        <f t="shared" si="5"/>
        <v>100</v>
      </c>
    </row>
    <row r="294" spans="1:9" ht="15" x14ac:dyDescent="0.25">
      <c r="A294" s="1890"/>
      <c r="B294" s="1891"/>
      <c r="C294" s="554" t="s">
        <v>1424</v>
      </c>
      <c r="D294" s="1871" t="s">
        <v>1425</v>
      </c>
      <c r="E294" s="1508"/>
      <c r="F294" s="747">
        <v>55</v>
      </c>
      <c r="G294" s="747">
        <v>55</v>
      </c>
      <c r="H294" s="830">
        <f t="shared" si="5"/>
        <v>100</v>
      </c>
    </row>
    <row r="295" spans="1:9" ht="15" thickBot="1" x14ac:dyDescent="0.25">
      <c r="A295" s="1859"/>
      <c r="B295" s="1860"/>
      <c r="C295" s="554" t="s">
        <v>1426</v>
      </c>
      <c r="D295" s="1872" t="s">
        <v>1427</v>
      </c>
      <c r="E295" s="747"/>
      <c r="F295" s="747">
        <v>312</v>
      </c>
      <c r="G295" s="747">
        <v>312</v>
      </c>
      <c r="H295" s="830">
        <f t="shared" si="5"/>
        <v>100</v>
      </c>
    </row>
    <row r="296" spans="1:9" s="368" customFormat="1" ht="20.25" customHeight="1" thickTop="1" thickBot="1" x14ac:dyDescent="0.3">
      <c r="A296" s="720" t="s">
        <v>1162</v>
      </c>
      <c r="B296" s="721"/>
      <c r="C296" s="722"/>
      <c r="D296" s="838"/>
      <c r="E296" s="735">
        <f>SUM(E290,E293)</f>
        <v>6357</v>
      </c>
      <c r="F296" s="735">
        <f>SUM(F290,F293)</f>
        <v>9279</v>
      </c>
      <c r="G296" s="735">
        <f>SUM(G290,G293)</f>
        <v>9279</v>
      </c>
      <c r="H296" s="831">
        <f t="shared" si="5"/>
        <v>100</v>
      </c>
    </row>
    <row r="297" spans="1:9" s="433" customFormat="1" ht="15.75" thickTop="1" x14ac:dyDescent="0.25">
      <c r="A297" s="787"/>
      <c r="B297" s="1874"/>
      <c r="C297" s="835"/>
      <c r="E297" s="489"/>
      <c r="F297" s="489"/>
      <c r="G297" s="489"/>
      <c r="H297" s="825"/>
    </row>
    <row r="298" spans="1:9" s="368" customFormat="1" ht="27.75" customHeight="1" thickBot="1" x14ac:dyDescent="0.3">
      <c r="A298" s="792" t="s">
        <v>13</v>
      </c>
      <c r="B298" s="740"/>
      <c r="C298" s="741"/>
      <c r="D298" s="742"/>
      <c r="E298" s="833">
        <f>SUM(E296)</f>
        <v>6357</v>
      </c>
      <c r="F298" s="833">
        <f>SUM(F296)</f>
        <v>9279</v>
      </c>
      <c r="G298" s="833">
        <f>SUM(G296)</f>
        <v>9279</v>
      </c>
      <c r="H298" s="797">
        <f>(G298/F298)*100</f>
        <v>100</v>
      </c>
    </row>
    <row r="299" spans="1:9" ht="13.5" customHeight="1" thickTop="1" x14ac:dyDescent="0.2"/>
    <row r="300" spans="1:9" ht="13.5" customHeight="1" x14ac:dyDescent="0.2"/>
    <row r="301" spans="1:9" ht="13.5" customHeight="1" x14ac:dyDescent="0.2"/>
    <row r="302" spans="1:9" s="503" customFormat="1" ht="14.25" customHeight="1" x14ac:dyDescent="0.25">
      <c r="A302" s="703" t="s">
        <v>14</v>
      </c>
      <c r="B302" s="754"/>
      <c r="C302" s="835"/>
      <c r="E302" s="489" t="s">
        <v>1392</v>
      </c>
      <c r="F302" s="489"/>
      <c r="G302" s="489"/>
      <c r="H302" s="825"/>
    </row>
    <row r="303" spans="1:9" ht="15" thickBot="1" x14ac:dyDescent="0.25">
      <c r="A303" s="1849"/>
      <c r="H303" s="1855" t="s">
        <v>173</v>
      </c>
    </row>
    <row r="304" spans="1:9" s="711" customFormat="1" ht="20.25" customHeight="1" thickTop="1" thickBot="1" x14ac:dyDescent="0.25">
      <c r="A304" s="788" t="s">
        <v>174</v>
      </c>
      <c r="B304" s="706" t="s">
        <v>175</v>
      </c>
      <c r="C304" s="707" t="s">
        <v>744</v>
      </c>
      <c r="D304" s="708" t="s">
        <v>176</v>
      </c>
      <c r="E304" s="709" t="s">
        <v>177</v>
      </c>
      <c r="F304" s="709" t="s">
        <v>922</v>
      </c>
      <c r="G304" s="709" t="s">
        <v>923</v>
      </c>
      <c r="H304" s="710" t="s">
        <v>924</v>
      </c>
    </row>
    <row r="305" spans="1:9" s="384" customFormat="1" ht="13.5" thickTop="1" thickBot="1" x14ac:dyDescent="0.25">
      <c r="A305" s="568">
        <v>1</v>
      </c>
      <c r="B305" s="569">
        <v>2</v>
      </c>
      <c r="C305" s="569">
        <v>3</v>
      </c>
      <c r="D305" s="569">
        <v>4</v>
      </c>
      <c r="E305" s="569">
        <v>5</v>
      </c>
      <c r="F305" s="543">
        <v>6</v>
      </c>
      <c r="G305" s="543">
        <v>7</v>
      </c>
      <c r="H305" s="638" t="s">
        <v>61</v>
      </c>
      <c r="I305" s="107"/>
    </row>
    <row r="306" spans="1:9" s="433" customFormat="1" ht="15.75" thickTop="1" x14ac:dyDescent="0.25">
      <c r="A306" s="1886">
        <v>4357</v>
      </c>
      <c r="B306" s="1887">
        <v>5331</v>
      </c>
      <c r="C306" s="1888"/>
      <c r="D306" s="626" t="s">
        <v>249</v>
      </c>
      <c r="E306" s="728">
        <f>E307+E308</f>
        <v>3413</v>
      </c>
      <c r="F306" s="728">
        <f>F307+F308</f>
        <v>5520</v>
      </c>
      <c r="G306" s="728">
        <f>G307+G308</f>
        <v>5520</v>
      </c>
      <c r="H306" s="715">
        <f>G306/F306*100</f>
        <v>100</v>
      </c>
    </row>
    <row r="307" spans="1:9" x14ac:dyDescent="0.2">
      <c r="A307" s="1859"/>
      <c r="B307" s="1860"/>
      <c r="C307" s="719" t="s">
        <v>611</v>
      </c>
      <c r="D307" s="1467" t="s">
        <v>1322</v>
      </c>
      <c r="E307" s="747">
        <v>174</v>
      </c>
      <c r="F307" s="747">
        <v>174</v>
      </c>
      <c r="G307" s="747">
        <v>174</v>
      </c>
      <c r="H307" s="830">
        <f>(G307/F307)*100</f>
        <v>100</v>
      </c>
    </row>
    <row r="308" spans="1:9" ht="15" thickBot="1" x14ac:dyDescent="0.25">
      <c r="A308" s="1859"/>
      <c r="B308" s="1860"/>
      <c r="C308" s="554" t="s">
        <v>606</v>
      </c>
      <c r="D308" s="558" t="s">
        <v>1141</v>
      </c>
      <c r="E308" s="747">
        <v>3239</v>
      </c>
      <c r="F308" s="747">
        <v>5346</v>
      </c>
      <c r="G308" s="747">
        <v>5346</v>
      </c>
      <c r="H308" s="830">
        <f>(G308/F308)*100</f>
        <v>100</v>
      </c>
    </row>
    <row r="309" spans="1:9" s="368" customFormat="1" ht="20.25" customHeight="1" thickTop="1" thickBot="1" x14ac:dyDescent="0.3">
      <c r="A309" s="720" t="s">
        <v>1162</v>
      </c>
      <c r="B309" s="721"/>
      <c r="C309" s="722"/>
      <c r="D309" s="723"/>
      <c r="E309" s="735">
        <f>E306</f>
        <v>3413</v>
      </c>
      <c r="F309" s="735">
        <f>F306</f>
        <v>5520</v>
      </c>
      <c r="G309" s="735">
        <f>G306</f>
        <v>5520</v>
      </c>
      <c r="H309" s="831">
        <f>(G309/F309)*100</f>
        <v>100</v>
      </c>
    </row>
    <row r="310" spans="1:9" s="433" customFormat="1" ht="15.75" thickTop="1" x14ac:dyDescent="0.25">
      <c r="A310" s="787"/>
      <c r="B310" s="1874"/>
      <c r="C310" s="835"/>
      <c r="E310" s="489"/>
      <c r="F310" s="489"/>
      <c r="G310" s="489"/>
      <c r="H310" s="825"/>
    </row>
    <row r="311" spans="1:9" s="368" customFormat="1" ht="27.75" customHeight="1" thickBot="1" x14ac:dyDescent="0.3">
      <c r="A311" s="792" t="s">
        <v>15</v>
      </c>
      <c r="B311" s="740"/>
      <c r="C311" s="741"/>
      <c r="D311" s="742"/>
      <c r="E311" s="833">
        <f>E309</f>
        <v>3413</v>
      </c>
      <c r="F311" s="833">
        <f>F309</f>
        <v>5520</v>
      </c>
      <c r="G311" s="833">
        <f>G309</f>
        <v>5520</v>
      </c>
      <c r="H311" s="797">
        <f>(G311/F311)*100</f>
        <v>100</v>
      </c>
    </row>
    <row r="312" spans="1:9" s="832" customFormat="1" ht="16.5" customHeight="1" thickTop="1" x14ac:dyDescent="0.25">
      <c r="A312" s="1862"/>
      <c r="B312" s="1863"/>
      <c r="C312" s="1864"/>
      <c r="D312" s="1865"/>
      <c r="E312" s="1866"/>
      <c r="F312" s="1866"/>
      <c r="G312" s="1866"/>
      <c r="H312" s="1867"/>
    </row>
    <row r="313" spans="1:9" s="832" customFormat="1" ht="16.5" customHeight="1" x14ac:dyDescent="0.25">
      <c r="A313" s="1862"/>
      <c r="B313" s="1863"/>
      <c r="C313" s="1864"/>
      <c r="D313" s="1865"/>
      <c r="E313" s="1866"/>
      <c r="F313" s="1866"/>
      <c r="G313" s="1866"/>
      <c r="H313" s="1867"/>
    </row>
    <row r="314" spans="1:9" s="832" customFormat="1" ht="16.5" customHeight="1" x14ac:dyDescent="0.25">
      <c r="A314" s="1862"/>
      <c r="B314" s="1863"/>
      <c r="C314" s="1864"/>
      <c r="D314" s="1865"/>
      <c r="E314" s="1866"/>
      <c r="F314" s="1866"/>
      <c r="G314" s="1866"/>
      <c r="H314" s="1867"/>
    </row>
    <row r="315" spans="1:9" s="832" customFormat="1" ht="16.5" customHeight="1" x14ac:dyDescent="0.25">
      <c r="A315" s="1862"/>
      <c r="B315" s="1863"/>
      <c r="C315" s="1864"/>
      <c r="D315" s="1865"/>
      <c r="E315" s="1866"/>
      <c r="F315" s="1866"/>
      <c r="G315" s="1866"/>
      <c r="H315" s="1867"/>
    </row>
    <row r="316" spans="1:9" s="503" customFormat="1" ht="15.75" x14ac:dyDescent="0.25">
      <c r="A316" s="703" t="s">
        <v>16</v>
      </c>
      <c r="B316" s="754"/>
      <c r="C316" s="835"/>
      <c r="E316" s="489" t="s">
        <v>1393</v>
      </c>
      <c r="F316" s="489"/>
      <c r="G316" s="489"/>
      <c r="H316" s="825"/>
    </row>
    <row r="317" spans="1:9" ht="15" thickBot="1" x14ac:dyDescent="0.25">
      <c r="A317" s="1849"/>
      <c r="H317" s="1855" t="s">
        <v>173</v>
      </c>
    </row>
    <row r="318" spans="1:9" s="711" customFormat="1" ht="20.25" customHeight="1" thickTop="1" thickBot="1" x14ac:dyDescent="0.25">
      <c r="A318" s="788" t="s">
        <v>174</v>
      </c>
      <c r="B318" s="706" t="s">
        <v>175</v>
      </c>
      <c r="C318" s="707" t="s">
        <v>744</v>
      </c>
      <c r="D318" s="708" t="s">
        <v>176</v>
      </c>
      <c r="E318" s="709" t="s">
        <v>177</v>
      </c>
      <c r="F318" s="709" t="s">
        <v>922</v>
      </c>
      <c r="G318" s="709" t="s">
        <v>923</v>
      </c>
      <c r="H318" s="710" t="s">
        <v>924</v>
      </c>
    </row>
    <row r="319" spans="1:9" s="384" customFormat="1" ht="13.5" thickTop="1" thickBot="1" x14ac:dyDescent="0.25">
      <c r="A319" s="568">
        <v>1</v>
      </c>
      <c r="B319" s="569">
        <v>2</v>
      </c>
      <c r="C319" s="569">
        <v>3</v>
      </c>
      <c r="D319" s="569">
        <v>4</v>
      </c>
      <c r="E319" s="569">
        <v>5</v>
      </c>
      <c r="F319" s="543">
        <v>6</v>
      </c>
      <c r="G319" s="543">
        <v>7</v>
      </c>
      <c r="H319" s="638" t="s">
        <v>61</v>
      </c>
      <c r="I319" s="107"/>
    </row>
    <row r="320" spans="1:9" s="433" customFormat="1" ht="15.75" thickTop="1" x14ac:dyDescent="0.25">
      <c r="A320" s="1886">
        <v>4357</v>
      </c>
      <c r="B320" s="1887">
        <v>5331</v>
      </c>
      <c r="C320" s="1888"/>
      <c r="D320" s="626" t="s">
        <v>249</v>
      </c>
      <c r="E320" s="728">
        <f>E321+E322</f>
        <v>7349</v>
      </c>
      <c r="F320" s="728">
        <f>F321+F322</f>
        <v>9337</v>
      </c>
      <c r="G320" s="728">
        <f>G321+G322</f>
        <v>9337</v>
      </c>
      <c r="H320" s="715">
        <f>G320/F320*100</f>
        <v>100</v>
      </c>
    </row>
    <row r="321" spans="1:13" x14ac:dyDescent="0.2">
      <c r="A321" s="1859"/>
      <c r="B321" s="1860"/>
      <c r="C321" s="719" t="s">
        <v>611</v>
      </c>
      <c r="D321" s="1467" t="s">
        <v>1322</v>
      </c>
      <c r="E321" s="747">
        <v>1000</v>
      </c>
      <c r="F321" s="747">
        <v>978</v>
      </c>
      <c r="G321" s="747">
        <v>978</v>
      </c>
      <c r="H321" s="830">
        <f>(G321/F321)*100</f>
        <v>100</v>
      </c>
    </row>
    <row r="322" spans="1:13" ht="15" thickBot="1" x14ac:dyDescent="0.25">
      <c r="A322" s="1859"/>
      <c r="B322" s="1860"/>
      <c r="C322" s="554" t="s">
        <v>606</v>
      </c>
      <c r="D322" s="558" t="s">
        <v>1141</v>
      </c>
      <c r="E322" s="747">
        <v>6349</v>
      </c>
      <c r="F322" s="747">
        <v>8359</v>
      </c>
      <c r="G322" s="747">
        <v>8359</v>
      </c>
      <c r="H322" s="830">
        <f>(G322/F322)*100</f>
        <v>100</v>
      </c>
    </row>
    <row r="323" spans="1:13" s="832" customFormat="1" ht="20.25" customHeight="1" thickTop="1" thickBot="1" x14ac:dyDescent="0.3">
      <c r="A323" s="720" t="s">
        <v>1162</v>
      </c>
      <c r="B323" s="721"/>
      <c r="C323" s="722"/>
      <c r="D323" s="838"/>
      <c r="E323" s="735">
        <f>SUM(E320)</f>
        <v>7349</v>
      </c>
      <c r="F323" s="735">
        <f>SUM(F320)</f>
        <v>9337</v>
      </c>
      <c r="G323" s="735">
        <f>SUM(G320)</f>
        <v>9337</v>
      </c>
      <c r="H323" s="831">
        <f>(G323/F323)*100</f>
        <v>100</v>
      </c>
      <c r="J323" s="383">
        <f>E323+E309+E296+E280+E264+E247+E230+E215+E200+E184+E170+E153+E139+E125+E108+E92</f>
        <v>97335</v>
      </c>
      <c r="K323" s="383">
        <f>F323+F309+F296+F280+F264+F247+F230+F215+F200+F184+F170+F153+F139+F125+F108+F92</f>
        <v>141853</v>
      </c>
      <c r="L323" s="383">
        <f>G323+G309+G296+G280+G264+G247+G230+G215+G200+G184+G170+G153+G139+G125+G108+G92</f>
        <v>141853</v>
      </c>
      <c r="M323" s="382" t="s">
        <v>680</v>
      </c>
    </row>
    <row r="324" spans="1:13" ht="15" thickTop="1" x14ac:dyDescent="0.2">
      <c r="A324" s="1849"/>
      <c r="J324" s="383">
        <f>E111+E156</f>
        <v>0</v>
      </c>
      <c r="K324" s="383">
        <f>F111+F156</f>
        <v>289</v>
      </c>
      <c r="L324" s="383">
        <f>G111+G156</f>
        <v>289</v>
      </c>
      <c r="M324" s="382" t="s">
        <v>624</v>
      </c>
    </row>
    <row r="325" spans="1:13" s="368" customFormat="1" ht="27.75" customHeight="1" thickBot="1" x14ac:dyDescent="0.3">
      <c r="A325" s="792" t="s">
        <v>17</v>
      </c>
      <c r="B325" s="740"/>
      <c r="C325" s="741"/>
      <c r="D325" s="742"/>
      <c r="E325" s="833">
        <f>E323</f>
        <v>7349</v>
      </c>
      <c r="F325" s="833">
        <f>F323</f>
        <v>9337</v>
      </c>
      <c r="G325" s="833">
        <f>G323</f>
        <v>9337</v>
      </c>
      <c r="H325" s="797">
        <f>(G325/F325)*100</f>
        <v>100</v>
      </c>
    </row>
    <row r="326" spans="1:13" s="832" customFormat="1" ht="15.75" customHeight="1" thickTop="1" x14ac:dyDescent="0.25">
      <c r="A326" s="1862"/>
      <c r="B326" s="1863"/>
      <c r="C326" s="1868"/>
      <c r="D326" s="1865"/>
      <c r="E326" s="836"/>
      <c r="F326" s="836"/>
      <c r="G326" s="836"/>
      <c r="H326" s="1869"/>
    </row>
    <row r="327" spans="1:13" s="832" customFormat="1" ht="15.75" customHeight="1" x14ac:dyDescent="0.25">
      <c r="A327" s="1862"/>
      <c r="B327" s="1863"/>
      <c r="C327" s="1868"/>
      <c r="D327" s="1865"/>
      <c r="E327" s="836"/>
      <c r="F327" s="836"/>
      <c r="G327" s="836"/>
      <c r="H327" s="1869"/>
    </row>
    <row r="328" spans="1:13" s="832" customFormat="1" ht="15.75" customHeight="1" x14ac:dyDescent="0.25">
      <c r="A328" s="1862"/>
      <c r="B328" s="1863"/>
      <c r="C328" s="1868"/>
      <c r="D328" s="1865"/>
      <c r="E328" s="836"/>
      <c r="F328" s="836"/>
      <c r="G328" s="836"/>
      <c r="H328" s="1869"/>
    </row>
    <row r="329" spans="1:13" s="832" customFormat="1" ht="15.75" customHeight="1" x14ac:dyDescent="0.25">
      <c r="A329" s="1862"/>
      <c r="B329" s="1863"/>
      <c r="C329" s="1868"/>
      <c r="D329" s="1865"/>
      <c r="E329" s="836"/>
      <c r="F329" s="836"/>
      <c r="G329" s="836"/>
      <c r="H329" s="1869"/>
    </row>
    <row r="330" spans="1:13" s="503" customFormat="1" ht="15.75" x14ac:dyDescent="0.25">
      <c r="A330" s="703" t="s">
        <v>864</v>
      </c>
      <c r="B330" s="754"/>
      <c r="C330" s="835"/>
      <c r="E330" s="489" t="s">
        <v>1395</v>
      </c>
      <c r="F330" s="489"/>
      <c r="G330" s="489"/>
      <c r="H330" s="825"/>
    </row>
    <row r="331" spans="1:13" ht="15" thickBot="1" x14ac:dyDescent="0.25">
      <c r="A331" s="1849"/>
      <c r="H331" s="1855" t="s">
        <v>173</v>
      </c>
    </row>
    <row r="332" spans="1:13" s="711" customFormat="1" ht="20.25" customHeight="1" thickTop="1" thickBot="1" x14ac:dyDescent="0.25">
      <c r="A332" s="788" t="s">
        <v>174</v>
      </c>
      <c r="B332" s="706" t="s">
        <v>175</v>
      </c>
      <c r="C332" s="707" t="s">
        <v>744</v>
      </c>
      <c r="D332" s="708" t="s">
        <v>176</v>
      </c>
      <c r="E332" s="709" t="s">
        <v>177</v>
      </c>
      <c r="F332" s="709" t="s">
        <v>922</v>
      </c>
      <c r="G332" s="709" t="s">
        <v>923</v>
      </c>
      <c r="H332" s="710" t="s">
        <v>924</v>
      </c>
    </row>
    <row r="333" spans="1:13" s="384" customFormat="1" ht="13.5" thickTop="1" thickBot="1" x14ac:dyDescent="0.25">
      <c r="A333" s="568">
        <v>1</v>
      </c>
      <c r="B333" s="569">
        <v>2</v>
      </c>
      <c r="C333" s="569">
        <v>3</v>
      </c>
      <c r="D333" s="569">
        <v>4</v>
      </c>
      <c r="E333" s="569">
        <v>5</v>
      </c>
      <c r="F333" s="543">
        <v>6</v>
      </c>
      <c r="G333" s="543">
        <v>7</v>
      </c>
      <c r="H333" s="638" t="s">
        <v>61</v>
      </c>
      <c r="I333" s="107"/>
    </row>
    <row r="334" spans="1:13" s="433" customFormat="1" ht="15.75" thickTop="1" x14ac:dyDescent="0.25">
      <c r="A334" s="1886">
        <v>4354</v>
      </c>
      <c r="B334" s="1887">
        <v>5331</v>
      </c>
      <c r="C334" s="1888"/>
      <c r="D334" s="626" t="s">
        <v>249</v>
      </c>
      <c r="E334" s="728">
        <f>E335+E336</f>
        <v>1980</v>
      </c>
      <c r="F334" s="728">
        <f>F335+F336</f>
        <v>3786</v>
      </c>
      <c r="G334" s="728">
        <f>G335+G336</f>
        <v>3786</v>
      </c>
      <c r="H334" s="715">
        <f>G334/F334*100</f>
        <v>100</v>
      </c>
    </row>
    <row r="335" spans="1:13" x14ac:dyDescent="0.2">
      <c r="A335" s="1859"/>
      <c r="B335" s="1860"/>
      <c r="C335" s="719" t="s">
        <v>611</v>
      </c>
      <c r="D335" s="1467" t="s">
        <v>1322</v>
      </c>
      <c r="E335" s="747">
        <v>172</v>
      </c>
      <c r="F335" s="747">
        <v>188</v>
      </c>
      <c r="G335" s="747">
        <v>188</v>
      </c>
      <c r="H335" s="830">
        <f>(G335/F335)*100</f>
        <v>100</v>
      </c>
    </row>
    <row r="336" spans="1:13" ht="15" thickBot="1" x14ac:dyDescent="0.25">
      <c r="A336" s="1859"/>
      <c r="B336" s="1860"/>
      <c r="C336" s="554" t="s">
        <v>606</v>
      </c>
      <c r="D336" s="734" t="s">
        <v>1141</v>
      </c>
      <c r="E336" s="747">
        <v>1808</v>
      </c>
      <c r="F336" s="747">
        <v>3598</v>
      </c>
      <c r="G336" s="747">
        <v>3598</v>
      </c>
      <c r="H336" s="830">
        <f>(G336/F336)*100</f>
        <v>100</v>
      </c>
    </row>
    <row r="337" spans="1:19" s="368" customFormat="1" ht="20.25" customHeight="1" thickTop="1" thickBot="1" x14ac:dyDescent="0.3">
      <c r="A337" s="720" t="s">
        <v>1162</v>
      </c>
      <c r="B337" s="721"/>
      <c r="C337" s="722"/>
      <c r="D337" s="723"/>
      <c r="E337" s="735">
        <f>SUM(E334)</f>
        <v>1980</v>
      </c>
      <c r="F337" s="735">
        <f>SUM(F334)</f>
        <v>3786</v>
      </c>
      <c r="G337" s="735">
        <f>SUM(G334)</f>
        <v>3786</v>
      </c>
      <c r="H337" s="831">
        <f>(G337/F337)*100</f>
        <v>100</v>
      </c>
    </row>
    <row r="338" spans="1:19" s="433" customFormat="1" ht="15.75" thickTop="1" x14ac:dyDescent="0.25">
      <c r="A338" s="1874"/>
      <c r="B338" s="1874"/>
      <c r="C338" s="835"/>
      <c r="E338" s="489"/>
      <c r="F338" s="489"/>
      <c r="G338" s="489"/>
      <c r="H338" s="825"/>
    </row>
    <row r="339" spans="1:19" s="368" customFormat="1" ht="27.75" customHeight="1" thickBot="1" x14ac:dyDescent="0.3">
      <c r="A339" s="792" t="s">
        <v>865</v>
      </c>
      <c r="B339" s="740"/>
      <c r="C339" s="741"/>
      <c r="D339" s="742"/>
      <c r="E339" s="833">
        <f>E334</f>
        <v>1980</v>
      </c>
      <c r="F339" s="833">
        <f>F334</f>
        <v>3786</v>
      </c>
      <c r="G339" s="833">
        <f>G334</f>
        <v>3786</v>
      </c>
      <c r="H339" s="797">
        <f>(G339/F339)*100</f>
        <v>100</v>
      </c>
    </row>
    <row r="340" spans="1:19" s="832" customFormat="1" ht="13.5" customHeight="1" thickTop="1" x14ac:dyDescent="0.25">
      <c r="A340" s="1862"/>
      <c r="B340" s="1863"/>
      <c r="C340" s="1868"/>
      <c r="D340" s="1865"/>
      <c r="E340" s="836"/>
      <c r="F340" s="836"/>
      <c r="G340" s="836"/>
      <c r="H340" s="1869"/>
    </row>
    <row r="341" spans="1:19" s="832" customFormat="1" ht="13.5" customHeight="1" x14ac:dyDescent="0.25">
      <c r="A341" s="1862"/>
      <c r="B341" s="1863"/>
      <c r="C341" s="1868"/>
      <c r="D341" s="1865"/>
      <c r="E341" s="836"/>
      <c r="F341" s="836"/>
      <c r="G341" s="836"/>
      <c r="H341" s="1869"/>
    </row>
    <row r="342" spans="1:19" s="832" customFormat="1" ht="13.5" customHeight="1" x14ac:dyDescent="0.25">
      <c r="A342" s="1862"/>
      <c r="B342" s="1863"/>
      <c r="C342" s="1868"/>
      <c r="D342" s="1865"/>
      <c r="E342" s="836"/>
      <c r="F342" s="836"/>
      <c r="G342" s="836"/>
      <c r="H342" s="1869"/>
    </row>
    <row r="343" spans="1:19" s="832" customFormat="1" ht="12.75" customHeight="1" x14ac:dyDescent="0.25">
      <c r="A343" s="1862"/>
      <c r="B343" s="1863"/>
      <c r="C343" s="1868"/>
      <c r="D343" s="1865"/>
      <c r="E343" s="836"/>
      <c r="F343" s="836"/>
      <c r="G343" s="836"/>
      <c r="H343" s="1869"/>
    </row>
    <row r="344" spans="1:19" s="503" customFormat="1" ht="15.75" x14ac:dyDescent="0.25">
      <c r="A344" s="703" t="s">
        <v>700</v>
      </c>
      <c r="B344" s="754"/>
      <c r="C344" s="835"/>
      <c r="E344" s="489" t="s">
        <v>430</v>
      </c>
      <c r="F344" s="489"/>
      <c r="G344" s="489"/>
      <c r="H344" s="825"/>
    </row>
    <row r="345" spans="1:19" ht="15" thickBot="1" x14ac:dyDescent="0.25">
      <c r="A345" s="1849"/>
      <c r="H345" s="1855" t="s">
        <v>173</v>
      </c>
    </row>
    <row r="346" spans="1:19" s="711" customFormat="1" ht="20.25" customHeight="1" thickTop="1" thickBot="1" x14ac:dyDescent="0.25">
      <c r="A346" s="788" t="s">
        <v>174</v>
      </c>
      <c r="B346" s="706" t="s">
        <v>175</v>
      </c>
      <c r="C346" s="707" t="s">
        <v>744</v>
      </c>
      <c r="D346" s="708" t="s">
        <v>176</v>
      </c>
      <c r="E346" s="709" t="s">
        <v>177</v>
      </c>
      <c r="F346" s="709" t="s">
        <v>922</v>
      </c>
      <c r="G346" s="709" t="s">
        <v>923</v>
      </c>
      <c r="H346" s="710" t="s">
        <v>924</v>
      </c>
    </row>
    <row r="347" spans="1:19" s="384" customFormat="1" ht="13.5" thickTop="1" thickBot="1" x14ac:dyDescent="0.25">
      <c r="A347" s="568">
        <v>1</v>
      </c>
      <c r="B347" s="569">
        <v>2</v>
      </c>
      <c r="C347" s="569">
        <v>3</v>
      </c>
      <c r="D347" s="569">
        <v>4</v>
      </c>
      <c r="E347" s="569">
        <v>5</v>
      </c>
      <c r="F347" s="543">
        <v>6</v>
      </c>
      <c r="G347" s="543">
        <v>7</v>
      </c>
      <c r="H347" s="638" t="s">
        <v>61</v>
      </c>
      <c r="I347" s="107"/>
    </row>
    <row r="348" spans="1:19" s="433" customFormat="1" ht="15.75" thickTop="1" x14ac:dyDescent="0.25">
      <c r="A348" s="1886">
        <v>4354</v>
      </c>
      <c r="B348" s="1887">
        <v>5331</v>
      </c>
      <c r="C348" s="1888"/>
      <c r="D348" s="626" t="s">
        <v>249</v>
      </c>
      <c r="E348" s="728">
        <f>E349+E350</f>
        <v>596</v>
      </c>
      <c r="F348" s="728">
        <f>F349+F350</f>
        <v>777</v>
      </c>
      <c r="G348" s="728">
        <f>G349+G350</f>
        <v>777</v>
      </c>
      <c r="H348" s="715">
        <f>G348/F348*100</f>
        <v>100</v>
      </c>
    </row>
    <row r="349" spans="1:19" x14ac:dyDescent="0.2">
      <c r="A349" s="1859"/>
      <c r="B349" s="1860"/>
      <c r="C349" s="719" t="s">
        <v>611</v>
      </c>
      <c r="D349" s="1467" t="s">
        <v>1322</v>
      </c>
      <c r="E349" s="747">
        <v>210</v>
      </c>
      <c r="F349" s="747">
        <v>211</v>
      </c>
      <c r="G349" s="747">
        <v>211</v>
      </c>
      <c r="H349" s="830">
        <f>(G349/F349)*100</f>
        <v>100</v>
      </c>
    </row>
    <row r="350" spans="1:19" ht="15" thickBot="1" x14ac:dyDescent="0.25">
      <c r="A350" s="1859"/>
      <c r="B350" s="1860"/>
      <c r="C350" s="554" t="s">
        <v>606</v>
      </c>
      <c r="D350" s="734" t="s">
        <v>1141</v>
      </c>
      <c r="E350" s="747">
        <v>386</v>
      </c>
      <c r="F350" s="747">
        <v>566</v>
      </c>
      <c r="G350" s="747">
        <v>566</v>
      </c>
      <c r="H350" s="830">
        <f>(G350/F350)*100</f>
        <v>100</v>
      </c>
    </row>
    <row r="351" spans="1:19" s="368" customFormat="1" ht="20.25" customHeight="1" thickTop="1" thickBot="1" x14ac:dyDescent="0.3">
      <c r="A351" s="720" t="s">
        <v>1162</v>
      </c>
      <c r="B351" s="721"/>
      <c r="C351" s="722"/>
      <c r="D351" s="723"/>
      <c r="E351" s="735">
        <f>SUM(E348)</f>
        <v>596</v>
      </c>
      <c r="F351" s="735">
        <f>SUM(F348)</f>
        <v>777</v>
      </c>
      <c r="G351" s="735">
        <f>SUM(G348)</f>
        <v>777</v>
      </c>
      <c r="H351" s="831">
        <f>(G351/F351)*100</f>
        <v>100</v>
      </c>
    </row>
    <row r="352" spans="1:19" s="433" customFormat="1" ht="15.75" thickTop="1" x14ac:dyDescent="0.25">
      <c r="A352" s="787"/>
      <c r="B352" s="1874"/>
      <c r="C352" s="835"/>
      <c r="E352" s="489"/>
      <c r="F352" s="489"/>
      <c r="G352" s="489"/>
      <c r="H352" s="825"/>
      <c r="S352" s="433">
        <v>0</v>
      </c>
    </row>
    <row r="353" spans="1:9" s="368" customFormat="1" ht="27.75" customHeight="1" thickBot="1" x14ac:dyDescent="0.3">
      <c r="A353" s="792" t="s">
        <v>701</v>
      </c>
      <c r="B353" s="740"/>
      <c r="C353" s="741"/>
      <c r="D353" s="742"/>
      <c r="E353" s="833">
        <f>E351</f>
        <v>596</v>
      </c>
      <c r="F353" s="833">
        <f>F351</f>
        <v>777</v>
      </c>
      <c r="G353" s="833">
        <f>G351</f>
        <v>777</v>
      </c>
      <c r="H353" s="797">
        <f>(G353/F353)*100</f>
        <v>100</v>
      </c>
    </row>
    <row r="354" spans="1:9" s="832" customFormat="1" ht="15.75" customHeight="1" thickTop="1" x14ac:dyDescent="0.25">
      <c r="A354" s="1862"/>
      <c r="B354" s="1863"/>
      <c r="C354" s="1868"/>
      <c r="D354" s="1865"/>
      <c r="E354" s="836"/>
      <c r="F354" s="836"/>
      <c r="G354" s="836"/>
      <c r="H354" s="1869"/>
    </row>
    <row r="355" spans="1:9" s="832" customFormat="1" ht="15.75" customHeight="1" x14ac:dyDescent="0.25">
      <c r="A355" s="1862"/>
      <c r="B355" s="1863"/>
      <c r="C355" s="1868"/>
      <c r="D355" s="1865"/>
      <c r="E355" s="836"/>
      <c r="F355" s="836"/>
      <c r="G355" s="836"/>
      <c r="H355" s="1869"/>
    </row>
    <row r="356" spans="1:9" s="832" customFormat="1" ht="15.75" customHeight="1" x14ac:dyDescent="0.25">
      <c r="A356" s="1862"/>
      <c r="B356" s="1863"/>
      <c r="C356" s="1868"/>
      <c r="D356" s="1865"/>
      <c r="E356" s="836"/>
      <c r="F356" s="836"/>
      <c r="G356" s="836"/>
      <c r="H356" s="1869"/>
    </row>
    <row r="357" spans="1:9" s="832" customFormat="1" ht="15.75" customHeight="1" x14ac:dyDescent="0.25">
      <c r="A357" s="1862"/>
      <c r="B357" s="1863"/>
      <c r="C357" s="1868"/>
      <c r="D357" s="1865"/>
      <c r="E357" s="836"/>
      <c r="F357" s="836"/>
      <c r="G357" s="836"/>
      <c r="H357" s="1869"/>
    </row>
    <row r="358" spans="1:9" s="832" customFormat="1" ht="15.75" customHeight="1" x14ac:dyDescent="0.25">
      <c r="A358" s="1862"/>
      <c r="B358" s="1863"/>
      <c r="C358" s="1868"/>
      <c r="D358" s="1865"/>
      <c r="E358" s="836"/>
      <c r="F358" s="836"/>
      <c r="G358" s="836"/>
      <c r="H358" s="1869"/>
    </row>
    <row r="359" spans="1:9" s="503" customFormat="1" ht="15.75" x14ac:dyDescent="0.25">
      <c r="A359" s="703" t="s">
        <v>432</v>
      </c>
      <c r="B359" s="754"/>
      <c r="C359" s="835"/>
      <c r="E359" s="489" t="s">
        <v>431</v>
      </c>
      <c r="F359" s="489"/>
      <c r="G359" s="489"/>
      <c r="H359" s="825"/>
    </row>
    <row r="360" spans="1:9" ht="15" thickBot="1" x14ac:dyDescent="0.25">
      <c r="A360" s="1849"/>
      <c r="H360" s="1855" t="s">
        <v>173</v>
      </c>
    </row>
    <row r="361" spans="1:9" s="711" customFormat="1" ht="20.25" customHeight="1" thickTop="1" thickBot="1" x14ac:dyDescent="0.25">
      <c r="A361" s="788" t="s">
        <v>174</v>
      </c>
      <c r="B361" s="706" t="s">
        <v>175</v>
      </c>
      <c r="C361" s="707" t="s">
        <v>744</v>
      </c>
      <c r="D361" s="708" t="s">
        <v>176</v>
      </c>
      <c r="E361" s="709" t="s">
        <v>177</v>
      </c>
      <c r="F361" s="709" t="s">
        <v>922</v>
      </c>
      <c r="G361" s="709" t="s">
        <v>923</v>
      </c>
      <c r="H361" s="710" t="s">
        <v>924</v>
      </c>
    </row>
    <row r="362" spans="1:9" s="384" customFormat="1" ht="13.5" thickTop="1" thickBot="1" x14ac:dyDescent="0.25">
      <c r="A362" s="568">
        <v>1</v>
      </c>
      <c r="B362" s="569">
        <v>2</v>
      </c>
      <c r="C362" s="569">
        <v>3</v>
      </c>
      <c r="D362" s="569">
        <v>4</v>
      </c>
      <c r="E362" s="569">
        <v>5</v>
      </c>
      <c r="F362" s="543">
        <v>6</v>
      </c>
      <c r="G362" s="543">
        <v>7</v>
      </c>
      <c r="H362" s="638" t="s">
        <v>61</v>
      </c>
      <c r="I362" s="107"/>
    </row>
    <row r="363" spans="1:9" s="433" customFormat="1" ht="15.75" thickTop="1" x14ac:dyDescent="0.25">
      <c r="A363" s="1886">
        <v>4357</v>
      </c>
      <c r="B363" s="1887">
        <v>5331</v>
      </c>
      <c r="C363" s="1888"/>
      <c r="D363" s="626" t="s">
        <v>249</v>
      </c>
      <c r="E363" s="728">
        <f>E364+E365</f>
        <v>3019</v>
      </c>
      <c r="F363" s="728">
        <f>F364+F365</f>
        <v>5061</v>
      </c>
      <c r="G363" s="728">
        <f>G364+G365</f>
        <v>5061</v>
      </c>
      <c r="H363" s="715">
        <f>G363/F363*100</f>
        <v>100</v>
      </c>
    </row>
    <row r="364" spans="1:9" x14ac:dyDescent="0.2">
      <c r="A364" s="1859"/>
      <c r="B364" s="1860"/>
      <c r="C364" s="719" t="s">
        <v>611</v>
      </c>
      <c r="D364" s="1467" t="s">
        <v>1322</v>
      </c>
      <c r="E364" s="747">
        <v>431</v>
      </c>
      <c r="F364" s="747">
        <v>432</v>
      </c>
      <c r="G364" s="747">
        <v>432</v>
      </c>
      <c r="H364" s="830">
        <f t="shared" ref="H364:H371" si="6">(G364/F364)*100</f>
        <v>100</v>
      </c>
    </row>
    <row r="365" spans="1:9" x14ac:dyDescent="0.2">
      <c r="A365" s="1859"/>
      <c r="B365" s="1860"/>
      <c r="C365" s="554" t="s">
        <v>606</v>
      </c>
      <c r="D365" s="550" t="s">
        <v>1141</v>
      </c>
      <c r="E365" s="747">
        <v>2588</v>
      </c>
      <c r="F365" s="747">
        <v>4629</v>
      </c>
      <c r="G365" s="747">
        <v>4629</v>
      </c>
      <c r="H365" s="830">
        <f t="shared" si="6"/>
        <v>100</v>
      </c>
    </row>
    <row r="366" spans="1:9" ht="15" x14ac:dyDescent="0.25">
      <c r="A366" s="1890">
        <v>4357</v>
      </c>
      <c r="B366" s="1891">
        <v>5336</v>
      </c>
      <c r="C366" s="1893"/>
      <c r="D366" s="1845" t="s">
        <v>1523</v>
      </c>
      <c r="E366" s="1508">
        <v>0</v>
      </c>
      <c r="F366" s="1508">
        <f>F367+F368</f>
        <v>260</v>
      </c>
      <c r="G366" s="1508">
        <f>G367+G368</f>
        <v>260</v>
      </c>
      <c r="H366" s="837">
        <f t="shared" si="6"/>
        <v>100</v>
      </c>
    </row>
    <row r="367" spans="1:9" ht="15" x14ac:dyDescent="0.25">
      <c r="A367" s="1890"/>
      <c r="B367" s="1891"/>
      <c r="C367" s="554" t="s">
        <v>1424</v>
      </c>
      <c r="D367" s="1871" t="s">
        <v>1425</v>
      </c>
      <c r="E367" s="1508"/>
      <c r="F367" s="747">
        <v>39</v>
      </c>
      <c r="G367" s="747">
        <v>39</v>
      </c>
      <c r="H367" s="830">
        <f t="shared" si="6"/>
        <v>100</v>
      </c>
    </row>
    <row r="368" spans="1:9" ht="15" thickBot="1" x14ac:dyDescent="0.25">
      <c r="A368" s="1859"/>
      <c r="B368" s="1860"/>
      <c r="C368" s="554" t="s">
        <v>1426</v>
      </c>
      <c r="D368" s="1872" t="s">
        <v>1427</v>
      </c>
      <c r="E368" s="747"/>
      <c r="F368" s="747">
        <v>221</v>
      </c>
      <c r="G368" s="747">
        <v>221</v>
      </c>
      <c r="H368" s="830">
        <f t="shared" si="6"/>
        <v>100</v>
      </c>
    </row>
    <row r="369" spans="1:19" s="368" customFormat="1" ht="20.25" customHeight="1" thickTop="1" thickBot="1" x14ac:dyDescent="0.3">
      <c r="A369" s="720" t="s">
        <v>1162</v>
      </c>
      <c r="B369" s="721"/>
      <c r="C369" s="722"/>
      <c r="D369" s="838"/>
      <c r="E369" s="735">
        <f>SUM(E363,E366)</f>
        <v>3019</v>
      </c>
      <c r="F369" s="735">
        <f>SUM(F363,F366)</f>
        <v>5321</v>
      </c>
      <c r="G369" s="735">
        <f>SUM(G363,G366)</f>
        <v>5321</v>
      </c>
      <c r="H369" s="831">
        <f t="shared" si="6"/>
        <v>100</v>
      </c>
    </row>
    <row r="370" spans="1:19" s="433" customFormat="1" ht="15.75" thickTop="1" x14ac:dyDescent="0.25">
      <c r="A370" s="1886">
        <v>4357</v>
      </c>
      <c r="B370" s="1887">
        <v>6351</v>
      </c>
      <c r="C370" s="1888"/>
      <c r="D370" s="626" t="s">
        <v>1234</v>
      </c>
      <c r="E370" s="728">
        <v>0</v>
      </c>
      <c r="F370" s="728">
        <v>86</v>
      </c>
      <c r="G370" s="728">
        <v>86</v>
      </c>
      <c r="H370" s="837">
        <f t="shared" si="6"/>
        <v>100</v>
      </c>
    </row>
    <row r="371" spans="1:19" ht="15" thickBot="1" x14ac:dyDescent="0.25">
      <c r="A371" s="1859"/>
      <c r="B371" s="1860"/>
      <c r="C371" s="730" t="s">
        <v>793</v>
      </c>
      <c r="D371" s="119" t="s">
        <v>932</v>
      </c>
      <c r="E371" s="747"/>
      <c r="F371" s="747">
        <v>86</v>
      </c>
      <c r="G371" s="747">
        <v>86</v>
      </c>
      <c r="H371" s="830">
        <f t="shared" si="6"/>
        <v>100</v>
      </c>
    </row>
    <row r="372" spans="1:19" s="368" customFormat="1" ht="20.25" customHeight="1" thickTop="1" thickBot="1" x14ac:dyDescent="0.3">
      <c r="A372" s="720" t="s">
        <v>1163</v>
      </c>
      <c r="B372" s="721"/>
      <c r="C372" s="722"/>
      <c r="D372" s="723"/>
      <c r="E372" s="735">
        <f>E370</f>
        <v>0</v>
      </c>
      <c r="F372" s="735">
        <f>SUM(F370)</f>
        <v>86</v>
      </c>
      <c r="G372" s="735">
        <f>SUM(G370)</f>
        <v>86</v>
      </c>
      <c r="H372" s="831">
        <f>SUM(H370)</f>
        <v>100</v>
      </c>
      <c r="S372" s="368">
        <v>0</v>
      </c>
    </row>
    <row r="373" spans="1:19" s="433" customFormat="1" ht="15.75" thickTop="1" x14ac:dyDescent="0.25">
      <c r="A373" s="787"/>
      <c r="B373" s="1874"/>
      <c r="C373" s="835"/>
      <c r="E373" s="489"/>
      <c r="F373" s="489"/>
      <c r="G373" s="489"/>
      <c r="H373" s="825"/>
    </row>
    <row r="374" spans="1:19" s="368" customFormat="1" ht="27.75" customHeight="1" thickBot="1" x14ac:dyDescent="0.3">
      <c r="A374" s="792" t="s">
        <v>433</v>
      </c>
      <c r="B374" s="740"/>
      <c r="C374" s="741"/>
      <c r="D374" s="742"/>
      <c r="E374" s="833">
        <f>E369+E372</f>
        <v>3019</v>
      </c>
      <c r="F374" s="833">
        <f>F369+F372</f>
        <v>5407</v>
      </c>
      <c r="G374" s="833">
        <f>G369+G372</f>
        <v>5407</v>
      </c>
      <c r="H374" s="797">
        <f>(G374/F374)*100</f>
        <v>100</v>
      </c>
    </row>
    <row r="375" spans="1:19" s="832" customFormat="1" ht="15.75" customHeight="1" thickTop="1" x14ac:dyDescent="0.25">
      <c r="A375" s="1862"/>
      <c r="B375" s="1863"/>
      <c r="C375" s="1868"/>
      <c r="D375" s="1865"/>
      <c r="E375" s="836"/>
      <c r="F375" s="836"/>
      <c r="G375" s="836"/>
      <c r="H375" s="1869"/>
    </row>
    <row r="376" spans="1:19" s="832" customFormat="1" ht="15.75" customHeight="1" x14ac:dyDescent="0.25">
      <c r="A376" s="1862"/>
      <c r="B376" s="1863"/>
      <c r="C376" s="1868"/>
      <c r="D376" s="1865"/>
      <c r="E376" s="836"/>
      <c r="F376" s="836"/>
      <c r="G376" s="836"/>
      <c r="H376" s="1869"/>
    </row>
    <row r="377" spans="1:19" s="832" customFormat="1" ht="15.75" customHeight="1" x14ac:dyDescent="0.25">
      <c r="A377" s="1862"/>
      <c r="B377" s="1863"/>
      <c r="C377" s="1868"/>
      <c r="D377" s="1865"/>
      <c r="E377" s="836"/>
      <c r="F377" s="836"/>
      <c r="G377" s="836"/>
      <c r="H377" s="1869"/>
    </row>
    <row r="378" spans="1:19" s="503" customFormat="1" ht="15.75" x14ac:dyDescent="0.25">
      <c r="A378" s="703" t="s">
        <v>1430</v>
      </c>
      <c r="B378" s="754"/>
      <c r="C378" s="835"/>
      <c r="E378" s="489" t="s">
        <v>434</v>
      </c>
      <c r="F378" s="489"/>
      <c r="G378" s="489"/>
      <c r="H378" s="825"/>
    </row>
    <row r="379" spans="1:19" ht="15" thickBot="1" x14ac:dyDescent="0.25">
      <c r="A379" s="1849"/>
      <c r="H379" s="1855" t="s">
        <v>173</v>
      </c>
    </row>
    <row r="380" spans="1:19" s="711" customFormat="1" ht="20.25" customHeight="1" thickTop="1" thickBot="1" x14ac:dyDescent="0.25">
      <c r="A380" s="788" t="s">
        <v>174</v>
      </c>
      <c r="B380" s="706" t="s">
        <v>175</v>
      </c>
      <c r="C380" s="707" t="s">
        <v>744</v>
      </c>
      <c r="D380" s="708" t="s">
        <v>176</v>
      </c>
      <c r="E380" s="709" t="s">
        <v>177</v>
      </c>
      <c r="F380" s="709" t="s">
        <v>922</v>
      </c>
      <c r="G380" s="709" t="s">
        <v>923</v>
      </c>
      <c r="H380" s="710" t="s">
        <v>924</v>
      </c>
    </row>
    <row r="381" spans="1:19" s="384" customFormat="1" ht="13.5" thickTop="1" thickBot="1" x14ac:dyDescent="0.25">
      <c r="A381" s="568">
        <v>1</v>
      </c>
      <c r="B381" s="569">
        <v>2</v>
      </c>
      <c r="C381" s="569">
        <v>3</v>
      </c>
      <c r="D381" s="569">
        <v>4</v>
      </c>
      <c r="E381" s="569">
        <v>5</v>
      </c>
      <c r="F381" s="543">
        <v>6</v>
      </c>
      <c r="G381" s="543">
        <v>7</v>
      </c>
      <c r="H381" s="638" t="s">
        <v>61</v>
      </c>
      <c r="I381" s="107"/>
    </row>
    <row r="382" spans="1:19" s="433" customFormat="1" ht="15.75" thickTop="1" x14ac:dyDescent="0.25">
      <c r="A382" s="1886">
        <v>4356</v>
      </c>
      <c r="B382" s="1887">
        <v>5331</v>
      </c>
      <c r="C382" s="1888"/>
      <c r="D382" s="626" t="s">
        <v>249</v>
      </c>
      <c r="E382" s="728">
        <f>E383+E384</f>
        <v>1108</v>
      </c>
      <c r="F382" s="728">
        <f>F383+F384</f>
        <v>2112</v>
      </c>
      <c r="G382" s="728">
        <f>G383+G384</f>
        <v>2112</v>
      </c>
      <c r="H382" s="715">
        <f>G382/F382*100</f>
        <v>100</v>
      </c>
    </row>
    <row r="383" spans="1:19" x14ac:dyDescent="0.2">
      <c r="A383" s="1859"/>
      <c r="B383" s="1860"/>
      <c r="C383" s="719" t="s">
        <v>611</v>
      </c>
      <c r="D383" s="1467" t="s">
        <v>1322</v>
      </c>
      <c r="E383" s="747">
        <v>86</v>
      </c>
      <c r="F383" s="747">
        <v>84</v>
      </c>
      <c r="G383" s="747">
        <v>84</v>
      </c>
      <c r="H383" s="830">
        <f>(G383/F383)*100</f>
        <v>100</v>
      </c>
    </row>
    <row r="384" spans="1:19" ht="15" thickBot="1" x14ac:dyDescent="0.25">
      <c r="A384" s="1859"/>
      <c r="B384" s="1860"/>
      <c r="C384" s="554" t="s">
        <v>606</v>
      </c>
      <c r="D384" s="734" t="s">
        <v>1141</v>
      </c>
      <c r="E384" s="747">
        <v>1022</v>
      </c>
      <c r="F384" s="747">
        <v>2028</v>
      </c>
      <c r="G384" s="747">
        <v>2028</v>
      </c>
      <c r="H384" s="830">
        <f>(G384/F384)*100</f>
        <v>100</v>
      </c>
    </row>
    <row r="385" spans="1:9" s="368" customFormat="1" ht="20.25" customHeight="1" thickTop="1" thickBot="1" x14ac:dyDescent="0.3">
      <c r="A385" s="720" t="s">
        <v>1162</v>
      </c>
      <c r="B385" s="721"/>
      <c r="C385" s="722"/>
      <c r="D385" s="723"/>
      <c r="E385" s="735">
        <f>SUM(E382)</f>
        <v>1108</v>
      </c>
      <c r="F385" s="735">
        <f>SUM(F382)</f>
        <v>2112</v>
      </c>
      <c r="G385" s="735">
        <f>SUM(G382)</f>
        <v>2112</v>
      </c>
      <c r="H385" s="831">
        <f>(G385/F385)*100</f>
        <v>100</v>
      </c>
    </row>
    <row r="386" spans="1:9" s="433" customFormat="1" ht="15.75" thickTop="1" x14ac:dyDescent="0.25">
      <c r="A386" s="787"/>
      <c r="B386" s="1874"/>
      <c r="C386" s="835"/>
      <c r="E386" s="489"/>
      <c r="F386" s="489"/>
      <c r="G386" s="489"/>
      <c r="H386" s="825"/>
    </row>
    <row r="387" spans="1:9" s="368" customFormat="1" ht="22.5" customHeight="1" thickBot="1" x14ac:dyDescent="0.3">
      <c r="A387" s="1511" t="s">
        <v>1431</v>
      </c>
      <c r="B387" s="1511"/>
      <c r="C387" s="1511"/>
      <c r="D387" s="1511"/>
      <c r="E387" s="1512">
        <f>SUM(E385)</f>
        <v>1108</v>
      </c>
      <c r="F387" s="1512">
        <f>SUM(F385)</f>
        <v>2112</v>
      </c>
      <c r="G387" s="1512">
        <f>SUM(G385)</f>
        <v>2112</v>
      </c>
      <c r="H387" s="1513">
        <f>(G387/F387)*100</f>
        <v>100</v>
      </c>
    </row>
    <row r="388" spans="1:9" s="832" customFormat="1" ht="16.5" customHeight="1" thickTop="1" x14ac:dyDescent="0.25">
      <c r="A388" s="1862"/>
      <c r="B388" s="1863"/>
      <c r="C388" s="1864"/>
      <c r="D388" s="1865"/>
      <c r="E388" s="1866"/>
      <c r="F388" s="1866"/>
      <c r="G388" s="1866"/>
      <c r="H388" s="1867"/>
    </row>
    <row r="389" spans="1:9" s="832" customFormat="1" ht="16.5" customHeight="1" x14ac:dyDescent="0.25">
      <c r="A389" s="1862"/>
      <c r="B389" s="1863"/>
      <c r="C389" s="1864"/>
      <c r="D389" s="1865"/>
      <c r="E389" s="1866"/>
      <c r="F389" s="1866"/>
      <c r="G389" s="1866"/>
      <c r="H389" s="1867"/>
    </row>
    <row r="390" spans="1:9" s="832" customFormat="1" ht="16.5" customHeight="1" x14ac:dyDescent="0.25">
      <c r="A390" s="1862"/>
      <c r="B390" s="1863"/>
      <c r="C390" s="1864"/>
      <c r="D390" s="1865"/>
      <c r="E390" s="1866"/>
      <c r="F390" s="1866"/>
      <c r="G390" s="1866"/>
      <c r="H390" s="1867"/>
    </row>
    <row r="391" spans="1:9" s="832" customFormat="1" ht="16.5" customHeight="1" x14ac:dyDescent="0.25">
      <c r="A391" s="1862"/>
      <c r="B391" s="1863"/>
      <c r="C391" s="1864"/>
      <c r="D391" s="1865"/>
      <c r="E391" s="1866"/>
      <c r="F391" s="1866"/>
      <c r="G391" s="1866"/>
      <c r="H391" s="1867"/>
    </row>
    <row r="392" spans="1:9" s="503" customFormat="1" ht="15.75" x14ac:dyDescent="0.25">
      <c r="A392" s="703" t="s">
        <v>497</v>
      </c>
      <c r="B392" s="754"/>
      <c r="C392" s="835"/>
      <c r="E392" s="489" t="s">
        <v>435</v>
      </c>
      <c r="F392" s="489"/>
      <c r="G392" s="489"/>
      <c r="H392" s="825"/>
    </row>
    <row r="393" spans="1:9" ht="15" thickBot="1" x14ac:dyDescent="0.25">
      <c r="A393" s="1849"/>
      <c r="H393" s="1855" t="s">
        <v>173</v>
      </c>
    </row>
    <row r="394" spans="1:9" s="711" customFormat="1" ht="20.25" customHeight="1" thickTop="1" thickBot="1" x14ac:dyDescent="0.25">
      <c r="A394" s="788" t="s">
        <v>174</v>
      </c>
      <c r="B394" s="706" t="s">
        <v>175</v>
      </c>
      <c r="C394" s="707" t="s">
        <v>744</v>
      </c>
      <c r="D394" s="708" t="s">
        <v>176</v>
      </c>
      <c r="E394" s="709" t="s">
        <v>177</v>
      </c>
      <c r="F394" s="709" t="s">
        <v>922</v>
      </c>
      <c r="G394" s="709" t="s">
        <v>923</v>
      </c>
      <c r="H394" s="710" t="s">
        <v>924</v>
      </c>
    </row>
    <row r="395" spans="1:9" s="384" customFormat="1" ht="13.5" thickTop="1" thickBot="1" x14ac:dyDescent="0.25">
      <c r="A395" s="568">
        <v>1</v>
      </c>
      <c r="B395" s="569">
        <v>2</v>
      </c>
      <c r="C395" s="569">
        <v>3</v>
      </c>
      <c r="D395" s="569">
        <v>4</v>
      </c>
      <c r="E395" s="569">
        <v>5</v>
      </c>
      <c r="F395" s="543">
        <v>6</v>
      </c>
      <c r="G395" s="543">
        <v>7</v>
      </c>
      <c r="H395" s="638" t="s">
        <v>61</v>
      </c>
      <c r="I395" s="107"/>
    </row>
    <row r="396" spans="1:9" s="433" customFormat="1" ht="15.75" thickTop="1" x14ac:dyDescent="0.25">
      <c r="A396" s="1886">
        <v>4357</v>
      </c>
      <c r="B396" s="1887">
        <v>5331</v>
      </c>
      <c r="C396" s="1888"/>
      <c r="D396" s="626" t="s">
        <v>249</v>
      </c>
      <c r="E396" s="728">
        <f>E397+E398</f>
        <v>9671</v>
      </c>
      <c r="F396" s="728">
        <f>F397+F398</f>
        <v>9276</v>
      </c>
      <c r="G396" s="728">
        <f>G397+G398</f>
        <v>9276</v>
      </c>
      <c r="H396" s="715">
        <f>G396/F396*100</f>
        <v>100</v>
      </c>
    </row>
    <row r="397" spans="1:9" x14ac:dyDescent="0.2">
      <c r="A397" s="1859"/>
      <c r="B397" s="1860"/>
      <c r="C397" s="554" t="s">
        <v>611</v>
      </c>
      <c r="D397" s="1467" t="s">
        <v>1322</v>
      </c>
      <c r="E397" s="1418">
        <v>1030</v>
      </c>
      <c r="F397" s="747">
        <v>935</v>
      </c>
      <c r="G397" s="747">
        <v>935</v>
      </c>
      <c r="H397" s="830">
        <f>(G397/F397)*100</f>
        <v>100</v>
      </c>
    </row>
    <row r="398" spans="1:9" ht="15" thickBot="1" x14ac:dyDescent="0.25">
      <c r="A398" s="1859"/>
      <c r="B398" s="1860"/>
      <c r="C398" s="554" t="s">
        <v>606</v>
      </c>
      <c r="D398" s="558" t="s">
        <v>1141</v>
      </c>
      <c r="E398" s="747">
        <v>8641</v>
      </c>
      <c r="F398" s="747">
        <v>8341</v>
      </c>
      <c r="G398" s="747">
        <v>8341</v>
      </c>
      <c r="H398" s="830">
        <f>(G398/F398)*100</f>
        <v>100</v>
      </c>
    </row>
    <row r="399" spans="1:9" s="368" customFormat="1" ht="20.25" customHeight="1" thickTop="1" thickBot="1" x14ac:dyDescent="0.3">
      <c r="A399" s="720" t="s">
        <v>1162</v>
      </c>
      <c r="B399" s="721"/>
      <c r="C399" s="722"/>
      <c r="D399" s="838"/>
      <c r="E399" s="735">
        <f>E396</f>
        <v>9671</v>
      </c>
      <c r="F399" s="735">
        <f>SUM(F396)</f>
        <v>9276</v>
      </c>
      <c r="G399" s="735">
        <f>SUM(G396)</f>
        <v>9276</v>
      </c>
      <c r="H399" s="831">
        <f>(G399/F399)*100</f>
        <v>100</v>
      </c>
    </row>
    <row r="400" spans="1:9" s="433" customFormat="1" ht="15.75" thickTop="1" x14ac:dyDescent="0.25">
      <c r="A400" s="1886">
        <v>4357</v>
      </c>
      <c r="B400" s="1887">
        <v>6351</v>
      </c>
      <c r="C400" s="1888"/>
      <c r="D400" s="626" t="s">
        <v>1234</v>
      </c>
      <c r="E400" s="728">
        <v>0</v>
      </c>
      <c r="F400" s="728">
        <v>825</v>
      </c>
      <c r="G400" s="728">
        <v>825</v>
      </c>
      <c r="H400" s="837">
        <f>(G400/F400)*100</f>
        <v>100</v>
      </c>
    </row>
    <row r="401" spans="1:19" ht="15" thickBot="1" x14ac:dyDescent="0.25">
      <c r="A401" s="1859"/>
      <c r="B401" s="1860"/>
      <c r="C401" s="730" t="s">
        <v>793</v>
      </c>
      <c r="D401" s="119" t="s">
        <v>932</v>
      </c>
      <c r="E401" s="747"/>
      <c r="F401" s="747">
        <v>825</v>
      </c>
      <c r="G401" s="747">
        <v>825</v>
      </c>
      <c r="H401" s="830">
        <f>(G401/F401)*100</f>
        <v>100</v>
      </c>
    </row>
    <row r="402" spans="1:19" s="368" customFormat="1" ht="20.25" customHeight="1" thickTop="1" thickBot="1" x14ac:dyDescent="0.3">
      <c r="A402" s="720" t="s">
        <v>1163</v>
      </c>
      <c r="B402" s="721"/>
      <c r="C402" s="722"/>
      <c r="D402" s="723"/>
      <c r="E402" s="735">
        <f>E400</f>
        <v>0</v>
      </c>
      <c r="F402" s="735">
        <f>SUM(F400)</f>
        <v>825</v>
      </c>
      <c r="G402" s="735">
        <f>SUM(G400)</f>
        <v>825</v>
      </c>
      <c r="H402" s="831">
        <f>SUM(H400)</f>
        <v>100</v>
      </c>
      <c r="S402" s="368">
        <v>0</v>
      </c>
    </row>
    <row r="403" spans="1:19" s="433" customFormat="1" ht="15.75" thickTop="1" x14ac:dyDescent="0.25">
      <c r="A403" s="787"/>
      <c r="B403" s="1874"/>
      <c r="C403" s="835"/>
      <c r="E403" s="489"/>
      <c r="F403" s="489"/>
      <c r="G403" s="489"/>
      <c r="H403" s="825"/>
    </row>
    <row r="404" spans="1:19" s="368" customFormat="1" ht="22.5" customHeight="1" thickBot="1" x14ac:dyDescent="0.3">
      <c r="A404" s="792" t="s">
        <v>498</v>
      </c>
      <c r="B404" s="740"/>
      <c r="C404" s="741"/>
      <c r="D404" s="742"/>
      <c r="E404" s="833">
        <f>SUM(E399,E402)</f>
        <v>9671</v>
      </c>
      <c r="F404" s="833">
        <f>SUM(F399,F402)</f>
        <v>10101</v>
      </c>
      <c r="G404" s="833">
        <f>SUM(G399,G402)</f>
        <v>10101</v>
      </c>
      <c r="H404" s="797">
        <f>(G404/F404)*100</f>
        <v>100</v>
      </c>
    </row>
    <row r="405" spans="1:19" s="832" customFormat="1" ht="15" customHeight="1" thickTop="1" x14ac:dyDescent="0.25">
      <c r="A405" s="1862"/>
      <c r="B405" s="1863"/>
      <c r="C405" s="1868"/>
      <c r="D405" s="1865"/>
      <c r="E405" s="836"/>
      <c r="F405" s="836"/>
      <c r="G405" s="836"/>
      <c r="H405" s="1869"/>
    </row>
    <row r="406" spans="1:19" s="832" customFormat="1" ht="15" customHeight="1" x14ac:dyDescent="0.25">
      <c r="A406" s="1862"/>
      <c r="B406" s="1863"/>
      <c r="C406" s="1868"/>
      <c r="D406" s="1865"/>
      <c r="E406" s="836"/>
      <c r="F406" s="836"/>
      <c r="G406" s="836"/>
      <c r="H406" s="1869"/>
    </row>
    <row r="407" spans="1:19" s="832" customFormat="1" ht="15" customHeight="1" x14ac:dyDescent="0.25">
      <c r="A407" s="1862"/>
      <c r="B407" s="1863"/>
      <c r="C407" s="1868"/>
      <c r="D407" s="1865"/>
      <c r="E407" s="836"/>
      <c r="F407" s="836"/>
      <c r="G407" s="836"/>
      <c r="H407" s="1869"/>
    </row>
    <row r="408" spans="1:19" s="832" customFormat="1" ht="15" customHeight="1" x14ac:dyDescent="0.25">
      <c r="A408" s="1862"/>
      <c r="B408" s="1863"/>
      <c r="C408" s="1868"/>
      <c r="D408" s="1865"/>
      <c r="E408" s="836"/>
      <c r="F408" s="836"/>
      <c r="G408" s="836"/>
      <c r="H408" s="1869"/>
    </row>
    <row r="409" spans="1:19" s="832" customFormat="1" ht="15" customHeight="1" x14ac:dyDescent="0.25">
      <c r="A409" s="1862"/>
      <c r="B409" s="1863"/>
      <c r="C409" s="1868"/>
      <c r="D409" s="1865"/>
      <c r="E409" s="836"/>
      <c r="F409" s="836"/>
      <c r="G409" s="836"/>
      <c r="H409" s="1869"/>
    </row>
    <row r="410" spans="1:19" s="503" customFormat="1" ht="15.75" x14ac:dyDescent="0.25">
      <c r="A410" s="703" t="s">
        <v>499</v>
      </c>
      <c r="B410" s="754"/>
      <c r="C410" s="835"/>
      <c r="E410" s="489" t="s">
        <v>436</v>
      </c>
      <c r="F410" s="489"/>
      <c r="G410" s="489"/>
      <c r="H410" s="825"/>
    </row>
    <row r="411" spans="1:19" ht="15" thickBot="1" x14ac:dyDescent="0.25">
      <c r="A411" s="1849"/>
      <c r="H411" s="1855" t="s">
        <v>173</v>
      </c>
    </row>
    <row r="412" spans="1:19" s="711" customFormat="1" ht="20.25" customHeight="1" thickTop="1" thickBot="1" x14ac:dyDescent="0.25">
      <c r="A412" s="788" t="s">
        <v>174</v>
      </c>
      <c r="B412" s="706" t="s">
        <v>175</v>
      </c>
      <c r="C412" s="707" t="s">
        <v>744</v>
      </c>
      <c r="D412" s="708" t="s">
        <v>176</v>
      </c>
      <c r="E412" s="709" t="s">
        <v>177</v>
      </c>
      <c r="F412" s="709" t="s">
        <v>922</v>
      </c>
      <c r="G412" s="709" t="s">
        <v>923</v>
      </c>
      <c r="H412" s="710" t="s">
        <v>924</v>
      </c>
    </row>
    <row r="413" spans="1:19" s="384" customFormat="1" ht="13.5" thickTop="1" thickBot="1" x14ac:dyDescent="0.25">
      <c r="A413" s="568">
        <v>1</v>
      </c>
      <c r="B413" s="569">
        <v>2</v>
      </c>
      <c r="C413" s="569">
        <v>3</v>
      </c>
      <c r="D413" s="569">
        <v>4</v>
      </c>
      <c r="E413" s="569">
        <v>5</v>
      </c>
      <c r="F413" s="543">
        <v>6</v>
      </c>
      <c r="G413" s="543">
        <v>7</v>
      </c>
      <c r="H413" s="638" t="s">
        <v>61</v>
      </c>
      <c r="I413" s="107"/>
    </row>
    <row r="414" spans="1:19" s="433" customFormat="1" ht="15.75" thickTop="1" x14ac:dyDescent="0.25">
      <c r="A414" s="1886">
        <v>4357</v>
      </c>
      <c r="B414" s="1887">
        <v>5331</v>
      </c>
      <c r="C414" s="1888"/>
      <c r="D414" s="626" t="s">
        <v>249</v>
      </c>
      <c r="E414" s="728">
        <f>E415+E416</f>
        <v>2741</v>
      </c>
      <c r="F414" s="728">
        <f>F415+F416</f>
        <v>2467</v>
      </c>
      <c r="G414" s="728">
        <f>G415+G416</f>
        <v>2467</v>
      </c>
      <c r="H414" s="715">
        <f>G414/F414*100</f>
        <v>100</v>
      </c>
    </row>
    <row r="415" spans="1:19" x14ac:dyDescent="0.2">
      <c r="A415" s="1859"/>
      <c r="B415" s="1860"/>
      <c r="C415" s="719" t="s">
        <v>611</v>
      </c>
      <c r="D415" s="1467" t="s">
        <v>1322</v>
      </c>
      <c r="E415" s="747">
        <v>173</v>
      </c>
      <c r="F415" s="747">
        <v>299</v>
      </c>
      <c r="G415" s="747">
        <v>299</v>
      </c>
      <c r="H415" s="830">
        <f>(G415/F415)*100</f>
        <v>100</v>
      </c>
    </row>
    <row r="416" spans="1:19" ht="15" thickBot="1" x14ac:dyDescent="0.25">
      <c r="A416" s="1859"/>
      <c r="B416" s="1860"/>
      <c r="C416" s="554" t="s">
        <v>606</v>
      </c>
      <c r="D416" s="550" t="s">
        <v>1141</v>
      </c>
      <c r="E416" s="747">
        <v>2568</v>
      </c>
      <c r="F416" s="747">
        <v>2168</v>
      </c>
      <c r="G416" s="747">
        <v>2168</v>
      </c>
      <c r="H416" s="830">
        <f>(G416/F416)*100</f>
        <v>100</v>
      </c>
    </row>
    <row r="417" spans="1:9" s="368" customFormat="1" ht="20.25" customHeight="1" thickTop="1" thickBot="1" x14ac:dyDescent="0.3">
      <c r="A417" s="720" t="s">
        <v>1162</v>
      </c>
      <c r="B417" s="721"/>
      <c r="C417" s="722"/>
      <c r="D417" s="723"/>
      <c r="E417" s="735">
        <f>SUM(E414)</f>
        <v>2741</v>
      </c>
      <c r="F417" s="735">
        <f>SUM(F414)</f>
        <v>2467</v>
      </c>
      <c r="G417" s="735">
        <f>SUM(G414)</f>
        <v>2467</v>
      </c>
      <c r="H417" s="831">
        <f>(G417/F417)*100</f>
        <v>100</v>
      </c>
    </row>
    <row r="418" spans="1:9" s="368" customFormat="1" ht="20.25" customHeight="1" thickTop="1" x14ac:dyDescent="0.25">
      <c r="A418" s="362"/>
      <c r="B418" s="363"/>
      <c r="C418" s="364"/>
      <c r="D418" s="365"/>
      <c r="E418" s="366"/>
      <c r="F418" s="366"/>
      <c r="G418" s="366"/>
      <c r="H418" s="367"/>
    </row>
    <row r="419" spans="1:9" s="368" customFormat="1" ht="22.5" customHeight="1" thickBot="1" x14ac:dyDescent="0.3">
      <c r="A419" s="792" t="s">
        <v>1400</v>
      </c>
      <c r="B419" s="740"/>
      <c r="C419" s="741"/>
      <c r="D419" s="742"/>
      <c r="E419" s="833">
        <f>SUM(E417)</f>
        <v>2741</v>
      </c>
      <c r="F419" s="833">
        <f>SUM(F417)</f>
        <v>2467</v>
      </c>
      <c r="G419" s="833">
        <f>SUM(G417)</f>
        <v>2467</v>
      </c>
      <c r="H419" s="797">
        <f>(G419/F419)*100</f>
        <v>100</v>
      </c>
    </row>
    <row r="420" spans="1:9" s="832" customFormat="1" ht="14.25" customHeight="1" thickTop="1" x14ac:dyDescent="0.25">
      <c r="A420" s="1862"/>
      <c r="B420" s="1863"/>
      <c r="C420" s="1868"/>
      <c r="D420" s="1865"/>
      <c r="E420" s="836"/>
      <c r="F420" s="836"/>
      <c r="G420" s="836"/>
      <c r="H420" s="1869"/>
    </row>
    <row r="421" spans="1:9" s="832" customFormat="1" ht="14.25" customHeight="1" x14ac:dyDescent="0.25">
      <c r="A421" s="1862"/>
      <c r="B421" s="1863"/>
      <c r="C421" s="1868"/>
      <c r="D421" s="1865"/>
      <c r="E421" s="836"/>
      <c r="F421" s="836"/>
      <c r="G421" s="836"/>
      <c r="H421" s="1869"/>
    </row>
    <row r="422" spans="1:9" s="832" customFormat="1" ht="14.25" customHeight="1" x14ac:dyDescent="0.25">
      <c r="A422" s="1862"/>
      <c r="B422" s="1863"/>
      <c r="C422" s="1868"/>
      <c r="D422" s="1865"/>
      <c r="E422" s="836"/>
      <c r="F422" s="836"/>
      <c r="G422" s="836"/>
      <c r="H422" s="1869"/>
    </row>
    <row r="423" spans="1:9" s="832" customFormat="1" ht="14.25" customHeight="1" x14ac:dyDescent="0.25">
      <c r="A423" s="1862"/>
      <c r="B423" s="1863"/>
      <c r="C423" s="1868"/>
      <c r="D423" s="1865"/>
      <c r="E423" s="836"/>
      <c r="F423" s="836"/>
      <c r="G423" s="836"/>
      <c r="H423" s="1869"/>
    </row>
    <row r="424" spans="1:9" s="832" customFormat="1" ht="14.25" customHeight="1" x14ac:dyDescent="0.25">
      <c r="A424" s="1862"/>
      <c r="B424" s="1863"/>
      <c r="C424" s="1868"/>
      <c r="D424" s="1865"/>
      <c r="E424" s="836"/>
      <c r="F424" s="836"/>
      <c r="G424" s="836"/>
      <c r="H424" s="1869"/>
    </row>
    <row r="425" spans="1:9" s="503" customFormat="1" ht="15.75" x14ac:dyDescent="0.25">
      <c r="A425" s="703" t="s">
        <v>4</v>
      </c>
      <c r="B425" s="754"/>
      <c r="C425" s="835"/>
      <c r="E425" s="489" t="s">
        <v>437</v>
      </c>
      <c r="F425" s="489"/>
      <c r="G425" s="489"/>
      <c r="H425" s="825"/>
    </row>
    <row r="426" spans="1:9" ht="15" thickBot="1" x14ac:dyDescent="0.25">
      <c r="A426" s="1849"/>
      <c r="H426" s="1855" t="s">
        <v>173</v>
      </c>
    </row>
    <row r="427" spans="1:9" s="711" customFormat="1" ht="20.25" customHeight="1" thickTop="1" thickBot="1" x14ac:dyDescent="0.25">
      <c r="A427" s="788" t="s">
        <v>174</v>
      </c>
      <c r="B427" s="706" t="s">
        <v>175</v>
      </c>
      <c r="C427" s="707" t="s">
        <v>744</v>
      </c>
      <c r="D427" s="708" t="s">
        <v>176</v>
      </c>
      <c r="E427" s="709" t="s">
        <v>177</v>
      </c>
      <c r="F427" s="709" t="s">
        <v>922</v>
      </c>
      <c r="G427" s="709" t="s">
        <v>923</v>
      </c>
      <c r="H427" s="710" t="s">
        <v>924</v>
      </c>
    </row>
    <row r="428" spans="1:9" s="384" customFormat="1" ht="13.5" thickTop="1" thickBot="1" x14ac:dyDescent="0.25">
      <c r="A428" s="568">
        <v>1</v>
      </c>
      <c r="B428" s="569">
        <v>2</v>
      </c>
      <c r="C428" s="569">
        <v>3</v>
      </c>
      <c r="D428" s="569">
        <v>4</v>
      </c>
      <c r="E428" s="569">
        <v>5</v>
      </c>
      <c r="F428" s="543">
        <v>6</v>
      </c>
      <c r="G428" s="543">
        <v>7</v>
      </c>
      <c r="H428" s="638" t="s">
        <v>61</v>
      </c>
      <c r="I428" s="107"/>
    </row>
    <row r="429" spans="1:9" s="433" customFormat="1" ht="15.75" thickTop="1" x14ac:dyDescent="0.25">
      <c r="A429" s="1886">
        <v>4357</v>
      </c>
      <c r="B429" s="1887">
        <v>5331</v>
      </c>
      <c r="C429" s="1888"/>
      <c r="D429" s="626" t="s">
        <v>249</v>
      </c>
      <c r="E429" s="728">
        <f>E430+E431</f>
        <v>6374</v>
      </c>
      <c r="F429" s="728">
        <f>F430+F431</f>
        <v>7744</v>
      </c>
      <c r="G429" s="728">
        <f>G430+G431</f>
        <v>7744</v>
      </c>
      <c r="H429" s="715">
        <f>G429/F429*100</f>
        <v>100</v>
      </c>
    </row>
    <row r="430" spans="1:9" x14ac:dyDescent="0.2">
      <c r="A430" s="1859"/>
      <c r="B430" s="1860"/>
      <c r="C430" s="719" t="s">
        <v>611</v>
      </c>
      <c r="D430" s="1467" t="s">
        <v>1322</v>
      </c>
      <c r="E430" s="747">
        <v>1221</v>
      </c>
      <c r="F430" s="747">
        <v>748</v>
      </c>
      <c r="G430" s="747">
        <v>748</v>
      </c>
      <c r="H430" s="830">
        <f>(G430/F430)*100</f>
        <v>100</v>
      </c>
    </row>
    <row r="431" spans="1:9" ht="15" thickBot="1" x14ac:dyDescent="0.25">
      <c r="A431" s="1859"/>
      <c r="B431" s="1860"/>
      <c r="C431" s="554" t="s">
        <v>606</v>
      </c>
      <c r="D431" s="550" t="s">
        <v>1141</v>
      </c>
      <c r="E431" s="1418">
        <v>5153</v>
      </c>
      <c r="F431" s="747">
        <v>6996</v>
      </c>
      <c r="G431" s="747">
        <v>6996</v>
      </c>
      <c r="H431" s="830">
        <f>(G431/F431)*100</f>
        <v>100</v>
      </c>
    </row>
    <row r="432" spans="1:9" s="368" customFormat="1" ht="20.25" customHeight="1" thickTop="1" thickBot="1" x14ac:dyDescent="0.3">
      <c r="A432" s="720" t="s">
        <v>1162</v>
      </c>
      <c r="B432" s="721"/>
      <c r="C432" s="722"/>
      <c r="D432" s="723"/>
      <c r="E432" s="735">
        <f>SUM(E429)</f>
        <v>6374</v>
      </c>
      <c r="F432" s="735">
        <f>SUM(F429)</f>
        <v>7744</v>
      </c>
      <c r="G432" s="735">
        <f>SUM(G429)</f>
        <v>7744</v>
      </c>
      <c r="H432" s="831">
        <f>(G432/F432)*100</f>
        <v>100</v>
      </c>
    </row>
    <row r="433" spans="1:9" s="433" customFormat="1" ht="15.75" thickTop="1" x14ac:dyDescent="0.25">
      <c r="A433" s="787"/>
      <c r="B433" s="1874"/>
      <c r="C433" s="835"/>
      <c r="E433" s="489"/>
      <c r="F433" s="489"/>
      <c r="G433" s="489"/>
      <c r="H433" s="825"/>
    </row>
    <row r="434" spans="1:9" s="368" customFormat="1" ht="27.75" customHeight="1" thickBot="1" x14ac:dyDescent="0.3">
      <c r="A434" s="792" t="s">
        <v>6</v>
      </c>
      <c r="B434" s="740"/>
      <c r="C434" s="741"/>
      <c r="D434" s="742"/>
      <c r="E434" s="833">
        <f>SUM(E432)</f>
        <v>6374</v>
      </c>
      <c r="F434" s="833">
        <f>SUM(F432)</f>
        <v>7744</v>
      </c>
      <c r="G434" s="833">
        <f>SUM(G432)</f>
        <v>7744</v>
      </c>
      <c r="H434" s="797">
        <f>(G434/F434)*100</f>
        <v>100</v>
      </c>
    </row>
    <row r="435" spans="1:9" s="832" customFormat="1" ht="15" customHeight="1" thickTop="1" x14ac:dyDescent="0.25">
      <c r="A435" s="1862"/>
      <c r="B435" s="1863"/>
      <c r="C435" s="1868"/>
      <c r="D435" s="1865"/>
      <c r="E435" s="836"/>
      <c r="F435" s="836"/>
      <c r="G435" s="836"/>
      <c r="H435" s="1869"/>
    </row>
    <row r="436" spans="1:9" s="832" customFormat="1" ht="15" customHeight="1" x14ac:dyDescent="0.25">
      <c r="A436" s="1862"/>
      <c r="B436" s="1863"/>
      <c r="C436" s="1868"/>
      <c r="D436" s="1865"/>
      <c r="E436" s="836"/>
      <c r="F436" s="836"/>
      <c r="G436" s="836"/>
      <c r="H436" s="1869"/>
    </row>
    <row r="437" spans="1:9" s="832" customFormat="1" ht="15" customHeight="1" x14ac:dyDescent="0.25">
      <c r="A437" s="1862"/>
      <c r="B437" s="1863"/>
      <c r="C437" s="1868"/>
      <c r="D437" s="1865"/>
      <c r="E437" s="836"/>
      <c r="F437" s="836"/>
      <c r="G437" s="836"/>
      <c r="H437" s="1869"/>
    </row>
    <row r="438" spans="1:9" s="832" customFormat="1" ht="15" customHeight="1" x14ac:dyDescent="0.25">
      <c r="A438" s="1862"/>
      <c r="B438" s="1863"/>
      <c r="C438" s="1868"/>
      <c r="D438" s="1865"/>
      <c r="E438" s="836"/>
      <c r="F438" s="836"/>
      <c r="G438" s="836"/>
      <c r="H438" s="1869"/>
    </row>
    <row r="439" spans="1:9" s="832" customFormat="1" ht="15" customHeight="1" x14ac:dyDescent="0.25">
      <c r="A439" s="1862"/>
      <c r="B439" s="1863"/>
      <c r="C439" s="1868"/>
      <c r="D439" s="1865"/>
      <c r="E439" s="836"/>
      <c r="F439" s="836"/>
      <c r="G439" s="836"/>
      <c r="H439" s="1869"/>
    </row>
    <row r="440" spans="1:9" s="503" customFormat="1" ht="15.75" x14ac:dyDescent="0.25">
      <c r="A440" s="703" t="s">
        <v>1083</v>
      </c>
      <c r="B440" s="754"/>
      <c r="C440" s="835"/>
      <c r="E440" s="489" t="s">
        <v>438</v>
      </c>
      <c r="F440" s="489"/>
      <c r="G440" s="489"/>
      <c r="H440" s="825"/>
    </row>
    <row r="441" spans="1:9" ht="15" thickBot="1" x14ac:dyDescent="0.25">
      <c r="A441" s="1849"/>
      <c r="H441" s="1855" t="s">
        <v>173</v>
      </c>
    </row>
    <row r="442" spans="1:9" s="711" customFormat="1" ht="20.25" customHeight="1" thickTop="1" thickBot="1" x14ac:dyDescent="0.25">
      <c r="A442" s="788" t="s">
        <v>174</v>
      </c>
      <c r="B442" s="706" t="s">
        <v>175</v>
      </c>
      <c r="C442" s="707" t="s">
        <v>744</v>
      </c>
      <c r="D442" s="708" t="s">
        <v>176</v>
      </c>
      <c r="E442" s="709" t="s">
        <v>177</v>
      </c>
      <c r="F442" s="709" t="s">
        <v>922</v>
      </c>
      <c r="G442" s="709" t="s">
        <v>923</v>
      </c>
      <c r="H442" s="710" t="s">
        <v>924</v>
      </c>
    </row>
    <row r="443" spans="1:9" s="384" customFormat="1" ht="13.5" thickTop="1" thickBot="1" x14ac:dyDescent="0.25">
      <c r="A443" s="568">
        <v>1</v>
      </c>
      <c r="B443" s="569">
        <v>2</v>
      </c>
      <c r="C443" s="569">
        <v>3</v>
      </c>
      <c r="D443" s="569">
        <v>4</v>
      </c>
      <c r="E443" s="569">
        <v>5</v>
      </c>
      <c r="F443" s="543">
        <v>6</v>
      </c>
      <c r="G443" s="543">
        <v>7</v>
      </c>
      <c r="H443" s="638" t="s">
        <v>61</v>
      </c>
      <c r="I443" s="107"/>
    </row>
    <row r="444" spans="1:9" s="433" customFormat="1" ht="15.75" thickTop="1" x14ac:dyDescent="0.25">
      <c r="A444" s="1886">
        <v>4351</v>
      </c>
      <c r="B444" s="1887">
        <v>5331</v>
      </c>
      <c r="C444" s="1888"/>
      <c r="D444" s="626" t="s">
        <v>249</v>
      </c>
      <c r="E444" s="728">
        <f>E445+E446</f>
        <v>1520</v>
      </c>
      <c r="F444" s="728">
        <f>F445+F446</f>
        <v>3582</v>
      </c>
      <c r="G444" s="728">
        <f>G445+G446</f>
        <v>3582</v>
      </c>
      <c r="H444" s="715">
        <f>G444/F444*100</f>
        <v>100</v>
      </c>
    </row>
    <row r="445" spans="1:9" x14ac:dyDescent="0.2">
      <c r="A445" s="1859"/>
      <c r="B445" s="1860"/>
      <c r="C445" s="719" t="s">
        <v>611</v>
      </c>
      <c r="D445" s="1467" t="s">
        <v>1322</v>
      </c>
      <c r="E445" s="747">
        <v>222</v>
      </c>
      <c r="F445" s="747">
        <v>232</v>
      </c>
      <c r="G445" s="747">
        <v>232</v>
      </c>
      <c r="H445" s="830">
        <f>(G445/F445)*100</f>
        <v>100</v>
      </c>
    </row>
    <row r="446" spans="1:9" ht="15" thickBot="1" x14ac:dyDescent="0.25">
      <c r="A446" s="1859"/>
      <c r="B446" s="1860"/>
      <c r="C446" s="554" t="s">
        <v>606</v>
      </c>
      <c r="D446" s="558" t="s">
        <v>1141</v>
      </c>
      <c r="E446" s="747">
        <v>1298</v>
      </c>
      <c r="F446" s="747">
        <v>3350</v>
      </c>
      <c r="G446" s="747">
        <v>3350</v>
      </c>
      <c r="H446" s="830">
        <f>(G446/F446)*100</f>
        <v>100</v>
      </c>
    </row>
    <row r="447" spans="1:9" s="368" customFormat="1" ht="20.25" customHeight="1" thickTop="1" thickBot="1" x14ac:dyDescent="0.3">
      <c r="A447" s="720" t="s">
        <v>1162</v>
      </c>
      <c r="B447" s="721"/>
      <c r="C447" s="722"/>
      <c r="D447" s="838"/>
      <c r="E447" s="735">
        <f>SUM(E444)</f>
        <v>1520</v>
      </c>
      <c r="F447" s="735">
        <f>SUM(F444)</f>
        <v>3582</v>
      </c>
      <c r="G447" s="735">
        <f>SUM(G444)</f>
        <v>3582</v>
      </c>
      <c r="H447" s="831">
        <f>(G447/F447)*100</f>
        <v>100</v>
      </c>
    </row>
    <row r="448" spans="1:9" s="832" customFormat="1" ht="20.25" customHeight="1" thickTop="1" x14ac:dyDescent="0.25">
      <c r="A448" s="1862"/>
      <c r="B448" s="1863"/>
      <c r="C448" s="1864"/>
      <c r="D448" s="1865"/>
      <c r="E448" s="1866"/>
      <c r="F448" s="1866"/>
      <c r="G448" s="1866"/>
      <c r="H448" s="1867"/>
    </row>
    <row r="449" spans="1:9" s="368" customFormat="1" ht="27.75" customHeight="1" thickBot="1" x14ac:dyDescent="0.3">
      <c r="A449" s="792" t="s">
        <v>1401</v>
      </c>
      <c r="B449" s="740"/>
      <c r="C449" s="741"/>
      <c r="D449" s="742"/>
      <c r="E449" s="833">
        <f>SUM(E447)</f>
        <v>1520</v>
      </c>
      <c r="F449" s="833">
        <f>SUM(F447)</f>
        <v>3582</v>
      </c>
      <c r="G449" s="833">
        <f>SUM(G447)</f>
        <v>3582</v>
      </c>
      <c r="H449" s="797">
        <f>(G449/F449)*100</f>
        <v>100</v>
      </c>
    </row>
    <row r="450" spans="1:9" s="832" customFormat="1" ht="16.5" customHeight="1" thickTop="1" x14ac:dyDescent="0.25">
      <c r="A450" s="1862"/>
      <c r="B450" s="1863"/>
      <c r="C450" s="1864"/>
      <c r="D450" s="1865"/>
      <c r="E450" s="1866"/>
      <c r="F450" s="1866"/>
      <c r="G450" s="1866"/>
      <c r="H450" s="1867"/>
    </row>
    <row r="451" spans="1:9" s="832" customFormat="1" ht="16.5" customHeight="1" x14ac:dyDescent="0.25">
      <c r="A451" s="1862"/>
      <c r="B451" s="1863"/>
      <c r="C451" s="1864"/>
      <c r="D451" s="1865"/>
      <c r="E451" s="1866"/>
      <c r="F451" s="1866"/>
      <c r="G451" s="1866"/>
      <c r="H451" s="1867"/>
    </row>
    <row r="452" spans="1:9" s="832" customFormat="1" ht="16.5" customHeight="1" x14ac:dyDescent="0.25">
      <c r="A452" s="1862"/>
      <c r="B452" s="1863"/>
      <c r="C452" s="1864"/>
      <c r="D452" s="1865"/>
      <c r="E452" s="1866"/>
      <c r="F452" s="1866"/>
      <c r="G452" s="1866"/>
      <c r="H452" s="1867"/>
    </row>
    <row r="453" spans="1:9" s="832" customFormat="1" ht="16.5" customHeight="1" x14ac:dyDescent="0.25">
      <c r="A453" s="1862"/>
      <c r="B453" s="1863"/>
      <c r="C453" s="1864"/>
      <c r="D453" s="1865"/>
      <c r="E453" s="1866"/>
      <c r="F453" s="1866"/>
      <c r="G453" s="1866"/>
      <c r="H453" s="1867"/>
    </row>
    <row r="454" spans="1:9" s="832" customFormat="1" ht="15" customHeight="1" x14ac:dyDescent="0.25">
      <c r="A454" s="1862"/>
      <c r="B454" s="1863"/>
      <c r="C454" s="1864"/>
      <c r="D454" s="1865"/>
      <c r="E454" s="1866"/>
      <c r="F454" s="1866"/>
      <c r="G454" s="1866"/>
      <c r="H454" s="1867"/>
    </row>
    <row r="455" spans="1:9" s="503" customFormat="1" ht="15.75" x14ac:dyDescent="0.25">
      <c r="A455" s="703" t="s">
        <v>1295</v>
      </c>
      <c r="B455" s="754"/>
      <c r="C455" s="835"/>
      <c r="E455" s="489" t="s">
        <v>439</v>
      </c>
      <c r="F455" s="489"/>
      <c r="G455" s="489"/>
      <c r="H455" s="825"/>
    </row>
    <row r="456" spans="1:9" ht="15" thickBot="1" x14ac:dyDescent="0.25">
      <c r="A456" s="1849"/>
      <c r="H456" s="1855" t="s">
        <v>173</v>
      </c>
    </row>
    <row r="457" spans="1:9" s="711" customFormat="1" ht="20.25" customHeight="1" thickTop="1" thickBot="1" x14ac:dyDescent="0.25">
      <c r="A457" s="788" t="s">
        <v>174</v>
      </c>
      <c r="B457" s="706" t="s">
        <v>175</v>
      </c>
      <c r="C457" s="707" t="s">
        <v>744</v>
      </c>
      <c r="D457" s="708" t="s">
        <v>176</v>
      </c>
      <c r="E457" s="709" t="s">
        <v>177</v>
      </c>
      <c r="F457" s="709" t="s">
        <v>922</v>
      </c>
      <c r="G457" s="709" t="s">
        <v>923</v>
      </c>
      <c r="H457" s="710" t="s">
        <v>924</v>
      </c>
    </row>
    <row r="458" spans="1:9" s="384" customFormat="1" ht="13.5" thickTop="1" thickBot="1" x14ac:dyDescent="0.25">
      <c r="A458" s="568">
        <v>1</v>
      </c>
      <c r="B458" s="569">
        <v>2</v>
      </c>
      <c r="C458" s="569">
        <v>3</v>
      </c>
      <c r="D458" s="569">
        <v>4</v>
      </c>
      <c r="E458" s="569">
        <v>5</v>
      </c>
      <c r="F458" s="543">
        <v>6</v>
      </c>
      <c r="G458" s="543">
        <v>7</v>
      </c>
      <c r="H458" s="638" t="s">
        <v>61</v>
      </c>
      <c r="I458" s="107"/>
    </row>
    <row r="459" spans="1:9" s="433" customFormat="1" ht="15.75" thickTop="1" x14ac:dyDescent="0.25">
      <c r="A459" s="1886">
        <v>4357</v>
      </c>
      <c r="B459" s="1887">
        <v>5331</v>
      </c>
      <c r="C459" s="1888"/>
      <c r="D459" s="626" t="s">
        <v>249</v>
      </c>
      <c r="E459" s="728">
        <f>E460+E461</f>
        <v>12229</v>
      </c>
      <c r="F459" s="728">
        <f>F460+F461</f>
        <v>17722</v>
      </c>
      <c r="G459" s="728">
        <f>G460+G461</f>
        <v>17722</v>
      </c>
      <c r="H459" s="715">
        <f>G459/F459*100</f>
        <v>100</v>
      </c>
    </row>
    <row r="460" spans="1:9" x14ac:dyDescent="0.2">
      <c r="A460" s="1859"/>
      <c r="B460" s="1860"/>
      <c r="C460" s="719" t="s">
        <v>611</v>
      </c>
      <c r="D460" s="1467" t="s">
        <v>1322</v>
      </c>
      <c r="E460" s="747">
        <v>3947</v>
      </c>
      <c r="F460" s="747">
        <v>3921</v>
      </c>
      <c r="G460" s="747">
        <v>3921</v>
      </c>
      <c r="H460" s="830">
        <f>(G460/F460)*100</f>
        <v>100</v>
      </c>
    </row>
    <row r="461" spans="1:9" ht="15" thickBot="1" x14ac:dyDescent="0.25">
      <c r="A461" s="1859"/>
      <c r="B461" s="1860"/>
      <c r="C461" s="554" t="s">
        <v>606</v>
      </c>
      <c r="D461" s="558" t="s">
        <v>1141</v>
      </c>
      <c r="E461" s="747">
        <v>8282</v>
      </c>
      <c r="F461" s="1418">
        <v>13801</v>
      </c>
      <c r="G461" s="747">
        <v>13801</v>
      </c>
      <c r="H461" s="830">
        <f>(G461/F461)*100</f>
        <v>100</v>
      </c>
    </row>
    <row r="462" spans="1:9" s="368" customFormat="1" ht="20.25" customHeight="1" thickTop="1" thickBot="1" x14ac:dyDescent="0.3">
      <c r="A462" s="720" t="s">
        <v>1162</v>
      </c>
      <c r="B462" s="721"/>
      <c r="C462" s="722"/>
      <c r="D462" s="838"/>
      <c r="E462" s="735">
        <f>SUM(E459)</f>
        <v>12229</v>
      </c>
      <c r="F462" s="735">
        <f>SUM(F459)</f>
        <v>17722</v>
      </c>
      <c r="G462" s="735">
        <f>SUM(G459)</f>
        <v>17722</v>
      </c>
      <c r="H462" s="831">
        <f>(G462/F462)*100</f>
        <v>100</v>
      </c>
    </row>
    <row r="463" spans="1:9" s="368" customFormat="1" ht="20.25" customHeight="1" thickTop="1" x14ac:dyDescent="0.25">
      <c r="A463" s="362"/>
      <c r="B463" s="363"/>
      <c r="C463" s="364"/>
      <c r="D463" s="365"/>
      <c r="E463" s="366"/>
      <c r="F463" s="366"/>
      <c r="G463" s="366"/>
      <c r="H463" s="367"/>
    </row>
    <row r="464" spans="1:9" s="368" customFormat="1" ht="27.75" customHeight="1" thickBot="1" x14ac:dyDescent="0.3">
      <c r="A464" s="792" t="s">
        <v>1296</v>
      </c>
      <c r="B464" s="740"/>
      <c r="C464" s="741"/>
      <c r="D464" s="742"/>
      <c r="E464" s="833">
        <f>SUM(E462)</f>
        <v>12229</v>
      </c>
      <c r="F464" s="833">
        <f>SUM(F462)</f>
        <v>17722</v>
      </c>
      <c r="G464" s="833">
        <f>SUM(G462)</f>
        <v>17722</v>
      </c>
      <c r="H464" s="797">
        <f>(G464/F464)*100</f>
        <v>100</v>
      </c>
    </row>
    <row r="465" spans="1:9" s="832" customFormat="1" ht="14.25" customHeight="1" thickTop="1" x14ac:dyDescent="0.25">
      <c r="A465" s="1862"/>
      <c r="B465" s="1863"/>
      <c r="C465" s="1868"/>
      <c r="D465" s="1865"/>
      <c r="E465" s="836"/>
      <c r="F465" s="836"/>
      <c r="G465" s="836"/>
      <c r="H465" s="1869"/>
    </row>
    <row r="466" spans="1:9" s="832" customFormat="1" ht="14.25" customHeight="1" x14ac:dyDescent="0.25">
      <c r="A466" s="1862"/>
      <c r="B466" s="1863"/>
      <c r="C466" s="1868"/>
      <c r="D466" s="1865"/>
      <c r="E466" s="836"/>
      <c r="F466" s="836"/>
      <c r="G466" s="836"/>
      <c r="H466" s="1869"/>
    </row>
    <row r="467" spans="1:9" s="832" customFormat="1" ht="14.25" customHeight="1" x14ac:dyDescent="0.25">
      <c r="A467" s="1862"/>
      <c r="B467" s="1863"/>
      <c r="C467" s="1868"/>
      <c r="D467" s="1865"/>
      <c r="E467" s="836"/>
      <c r="F467" s="836"/>
      <c r="G467" s="836"/>
      <c r="H467" s="1869"/>
    </row>
    <row r="468" spans="1:9" s="832" customFormat="1" ht="14.25" customHeight="1" x14ac:dyDescent="0.25">
      <c r="A468" s="1862"/>
      <c r="B468" s="1863"/>
      <c r="C468" s="1868"/>
      <c r="D468" s="1865"/>
      <c r="E468" s="836"/>
      <c r="F468" s="836"/>
      <c r="G468" s="836"/>
      <c r="H468" s="1869"/>
    </row>
    <row r="469" spans="1:9" s="832" customFormat="1" ht="14.25" customHeight="1" x14ac:dyDescent="0.25">
      <c r="A469" s="1862"/>
      <c r="B469" s="1863"/>
      <c r="C469" s="1868"/>
      <c r="D469" s="1865"/>
      <c r="E469" s="836"/>
      <c r="F469" s="836"/>
      <c r="G469" s="836"/>
      <c r="H469" s="1869"/>
    </row>
    <row r="470" spans="1:9" s="503" customFormat="1" ht="15.75" x14ac:dyDescent="0.25">
      <c r="A470" s="703" t="s">
        <v>404</v>
      </c>
      <c r="B470" s="754"/>
      <c r="C470" s="835"/>
      <c r="E470" s="489" t="s">
        <v>440</v>
      </c>
      <c r="F470" s="489"/>
      <c r="G470" s="489"/>
      <c r="H470" s="825"/>
    </row>
    <row r="471" spans="1:9" ht="15" thickBot="1" x14ac:dyDescent="0.25">
      <c r="A471" s="1849"/>
      <c r="H471" s="1855" t="s">
        <v>173</v>
      </c>
    </row>
    <row r="472" spans="1:9" s="711" customFormat="1" ht="20.25" customHeight="1" thickTop="1" thickBot="1" x14ac:dyDescent="0.25">
      <c r="A472" s="788" t="s">
        <v>174</v>
      </c>
      <c r="B472" s="706" t="s">
        <v>175</v>
      </c>
      <c r="C472" s="707" t="s">
        <v>744</v>
      </c>
      <c r="D472" s="708" t="s">
        <v>176</v>
      </c>
      <c r="E472" s="709" t="s">
        <v>177</v>
      </c>
      <c r="F472" s="709" t="s">
        <v>922</v>
      </c>
      <c r="G472" s="709" t="s">
        <v>923</v>
      </c>
      <c r="H472" s="710" t="s">
        <v>924</v>
      </c>
    </row>
    <row r="473" spans="1:9" s="384" customFormat="1" ht="13.5" thickTop="1" thickBot="1" x14ac:dyDescent="0.25">
      <c r="A473" s="568">
        <v>1</v>
      </c>
      <c r="B473" s="569">
        <v>2</v>
      </c>
      <c r="C473" s="569">
        <v>3</v>
      </c>
      <c r="D473" s="569">
        <v>4</v>
      </c>
      <c r="E473" s="569">
        <v>5</v>
      </c>
      <c r="F473" s="543">
        <v>6</v>
      </c>
      <c r="G473" s="543">
        <v>7</v>
      </c>
      <c r="H473" s="638" t="s">
        <v>61</v>
      </c>
      <c r="I473" s="107"/>
    </row>
    <row r="474" spans="1:9" s="433" customFormat="1" ht="15.75" thickTop="1" x14ac:dyDescent="0.25">
      <c r="A474" s="1886">
        <v>4357</v>
      </c>
      <c r="B474" s="1887">
        <v>5331</v>
      </c>
      <c r="C474" s="1888"/>
      <c r="D474" s="626" t="s">
        <v>249</v>
      </c>
      <c r="E474" s="728">
        <f>E475+E476</f>
        <v>2723</v>
      </c>
      <c r="F474" s="728">
        <f>F475+F476</f>
        <v>2723</v>
      </c>
      <c r="G474" s="728">
        <f>G475+G476</f>
        <v>2723</v>
      </c>
      <c r="H474" s="715">
        <f>G474/F474*100</f>
        <v>100</v>
      </c>
    </row>
    <row r="475" spans="1:9" x14ac:dyDescent="0.2">
      <c r="A475" s="1859"/>
      <c r="B475" s="1860"/>
      <c r="C475" s="719" t="s">
        <v>611</v>
      </c>
      <c r="D475" s="1467" t="s">
        <v>1322</v>
      </c>
      <c r="E475" s="747">
        <v>640</v>
      </c>
      <c r="F475" s="747">
        <v>640</v>
      </c>
      <c r="G475" s="747">
        <v>640</v>
      </c>
      <c r="H475" s="830">
        <f>(G475/F475)*100</f>
        <v>100</v>
      </c>
    </row>
    <row r="476" spans="1:9" ht="15" thickBot="1" x14ac:dyDescent="0.25">
      <c r="A476" s="1859"/>
      <c r="B476" s="1860"/>
      <c r="C476" s="554" t="s">
        <v>606</v>
      </c>
      <c r="D476" s="558" t="s">
        <v>1141</v>
      </c>
      <c r="E476" s="747">
        <v>2083</v>
      </c>
      <c r="F476" s="747">
        <v>2083</v>
      </c>
      <c r="G476" s="747">
        <v>2083</v>
      </c>
      <c r="H476" s="830">
        <f>(G476/F476)*100</f>
        <v>100</v>
      </c>
    </row>
    <row r="477" spans="1:9" s="368" customFormat="1" ht="20.25" customHeight="1" thickTop="1" thickBot="1" x14ac:dyDescent="0.3">
      <c r="A477" s="720" t="s">
        <v>1162</v>
      </c>
      <c r="B477" s="721"/>
      <c r="C477" s="722"/>
      <c r="D477" s="838"/>
      <c r="E477" s="735">
        <f>SUM(E474)</f>
        <v>2723</v>
      </c>
      <c r="F477" s="735">
        <f>SUM(F474)</f>
        <v>2723</v>
      </c>
      <c r="G477" s="735">
        <f>SUM(G474)</f>
        <v>2723</v>
      </c>
      <c r="H477" s="831">
        <f>(G477/F477)*100</f>
        <v>100</v>
      </c>
    </row>
    <row r="478" spans="1:9" ht="15" thickTop="1" x14ac:dyDescent="0.2">
      <c r="A478" s="1849"/>
    </row>
    <row r="479" spans="1:9" s="368" customFormat="1" ht="24.75" customHeight="1" thickBot="1" x14ac:dyDescent="0.3">
      <c r="A479" s="792" t="s">
        <v>516</v>
      </c>
      <c r="B479" s="740"/>
      <c r="C479" s="741"/>
      <c r="D479" s="742"/>
      <c r="E479" s="833">
        <f>SUM(E477)</f>
        <v>2723</v>
      </c>
      <c r="F479" s="833">
        <f>SUM(F477)</f>
        <v>2723</v>
      </c>
      <c r="G479" s="833">
        <f>SUM(G477)</f>
        <v>2723</v>
      </c>
      <c r="H479" s="797">
        <f>(G479/F479)*100</f>
        <v>100</v>
      </c>
    </row>
    <row r="480" spans="1:9" s="832" customFormat="1" ht="17.25" customHeight="1" thickTop="1" x14ac:dyDescent="0.25">
      <c r="A480" s="1862"/>
      <c r="B480" s="1863"/>
      <c r="C480" s="1868"/>
      <c r="D480" s="1865"/>
      <c r="E480" s="836"/>
      <c r="F480" s="836"/>
      <c r="G480" s="836"/>
      <c r="H480" s="1869"/>
    </row>
    <row r="481" spans="1:9" s="832" customFormat="1" ht="17.25" customHeight="1" x14ac:dyDescent="0.25">
      <c r="A481" s="1862"/>
      <c r="B481" s="1863"/>
      <c r="C481" s="1868"/>
      <c r="D481" s="1865"/>
      <c r="E481" s="836"/>
      <c r="F481" s="836"/>
      <c r="G481" s="836"/>
      <c r="H481" s="1869"/>
    </row>
    <row r="482" spans="1:9" s="832" customFormat="1" ht="17.25" customHeight="1" x14ac:dyDescent="0.25">
      <c r="A482" s="1862"/>
      <c r="B482" s="1863"/>
      <c r="C482" s="1868"/>
      <c r="D482" s="1865"/>
      <c r="E482" s="836"/>
      <c r="F482" s="836"/>
      <c r="G482" s="836"/>
      <c r="H482" s="1869"/>
    </row>
    <row r="483" spans="1:9" s="832" customFormat="1" ht="17.25" customHeight="1" x14ac:dyDescent="0.25">
      <c r="A483" s="1862"/>
      <c r="B483" s="1863"/>
      <c r="C483" s="1868"/>
      <c r="D483" s="1865"/>
      <c r="E483" s="836"/>
      <c r="F483" s="836"/>
      <c r="G483" s="836"/>
      <c r="H483" s="1869"/>
    </row>
    <row r="484" spans="1:9" s="832" customFormat="1" ht="17.25" customHeight="1" x14ac:dyDescent="0.25">
      <c r="A484" s="1862"/>
      <c r="B484" s="1863"/>
      <c r="C484" s="1868"/>
      <c r="D484" s="1865"/>
      <c r="E484" s="836"/>
      <c r="F484" s="836"/>
      <c r="G484" s="836"/>
      <c r="H484" s="1869"/>
    </row>
    <row r="485" spans="1:9" s="503" customFormat="1" ht="15.75" x14ac:dyDescent="0.25">
      <c r="A485" s="703" t="s">
        <v>442</v>
      </c>
      <c r="B485" s="754"/>
      <c r="C485" s="835"/>
      <c r="E485" s="489" t="s">
        <v>441</v>
      </c>
      <c r="F485" s="489"/>
      <c r="G485" s="489"/>
      <c r="H485" s="825"/>
    </row>
    <row r="486" spans="1:9" ht="15" thickBot="1" x14ac:dyDescent="0.25">
      <c r="A486" s="1849"/>
      <c r="H486" s="1855" t="s">
        <v>173</v>
      </c>
    </row>
    <row r="487" spans="1:9" s="711" customFormat="1" ht="20.25" customHeight="1" thickTop="1" thickBot="1" x14ac:dyDescent="0.25">
      <c r="A487" s="788" t="s">
        <v>174</v>
      </c>
      <c r="B487" s="706" t="s">
        <v>175</v>
      </c>
      <c r="C487" s="707" t="s">
        <v>744</v>
      </c>
      <c r="D487" s="708" t="s">
        <v>176</v>
      </c>
      <c r="E487" s="709" t="s">
        <v>177</v>
      </c>
      <c r="F487" s="709" t="s">
        <v>922</v>
      </c>
      <c r="G487" s="709" t="s">
        <v>923</v>
      </c>
      <c r="H487" s="710" t="s">
        <v>924</v>
      </c>
    </row>
    <row r="488" spans="1:9" s="384" customFormat="1" ht="13.5" thickTop="1" thickBot="1" x14ac:dyDescent="0.25">
      <c r="A488" s="568">
        <v>1</v>
      </c>
      <c r="B488" s="569">
        <v>2</v>
      </c>
      <c r="C488" s="569">
        <v>3</v>
      </c>
      <c r="D488" s="569">
        <v>4</v>
      </c>
      <c r="E488" s="569">
        <v>5</v>
      </c>
      <c r="F488" s="543">
        <v>6</v>
      </c>
      <c r="G488" s="543">
        <v>7</v>
      </c>
      <c r="H488" s="638" t="s">
        <v>61</v>
      </c>
      <c r="I488" s="107"/>
    </row>
    <row r="489" spans="1:9" s="433" customFormat="1" ht="15.75" thickTop="1" x14ac:dyDescent="0.25">
      <c r="A489" s="1886">
        <v>4357</v>
      </c>
      <c r="B489" s="1887">
        <v>5331</v>
      </c>
      <c r="C489" s="1888"/>
      <c r="D489" s="626" t="s">
        <v>249</v>
      </c>
      <c r="E489" s="728">
        <f>E490+E491</f>
        <v>5269</v>
      </c>
      <c r="F489" s="728">
        <f>F490+F491</f>
        <v>5281</v>
      </c>
      <c r="G489" s="728">
        <f>G490+G491</f>
        <v>5281</v>
      </c>
      <c r="H489" s="715">
        <f>G489/F489*100</f>
        <v>100</v>
      </c>
    </row>
    <row r="490" spans="1:9" x14ac:dyDescent="0.2">
      <c r="A490" s="1859"/>
      <c r="B490" s="1860"/>
      <c r="C490" s="554" t="s">
        <v>611</v>
      </c>
      <c r="D490" s="1467" t="s">
        <v>1322</v>
      </c>
      <c r="E490" s="1418">
        <v>427</v>
      </c>
      <c r="F490" s="747">
        <v>439</v>
      </c>
      <c r="G490" s="747">
        <v>439</v>
      </c>
      <c r="H490" s="830">
        <f>(G490/F490)*100</f>
        <v>100</v>
      </c>
    </row>
    <row r="491" spans="1:9" ht="15" thickBot="1" x14ac:dyDescent="0.25">
      <c r="A491" s="1859"/>
      <c r="B491" s="1860"/>
      <c r="C491" s="554" t="s">
        <v>606</v>
      </c>
      <c r="D491" s="558" t="s">
        <v>1141</v>
      </c>
      <c r="E491" s="747">
        <v>4842</v>
      </c>
      <c r="F491" s="747">
        <v>4842</v>
      </c>
      <c r="G491" s="747">
        <v>4842</v>
      </c>
      <c r="H491" s="830">
        <f>(G491/F491)*100</f>
        <v>100</v>
      </c>
    </row>
    <row r="492" spans="1:9" s="368" customFormat="1" ht="20.25" customHeight="1" thickTop="1" thickBot="1" x14ac:dyDescent="0.3">
      <c r="A492" s="720" t="s">
        <v>1162</v>
      </c>
      <c r="B492" s="721"/>
      <c r="C492" s="722"/>
      <c r="D492" s="838"/>
      <c r="E492" s="735">
        <f>SUM(E489)</f>
        <v>5269</v>
      </c>
      <c r="F492" s="735">
        <f>SUM(F489)</f>
        <v>5281</v>
      </c>
      <c r="G492" s="735">
        <f>SUM(G489)</f>
        <v>5281</v>
      </c>
      <c r="H492" s="831">
        <f>(G492/F492)*100</f>
        <v>100</v>
      </c>
    </row>
    <row r="493" spans="1:9" s="433" customFormat="1" ht="15.75" thickTop="1" x14ac:dyDescent="0.25">
      <c r="A493" s="787"/>
      <c r="B493" s="1874"/>
      <c r="C493" s="835"/>
      <c r="E493" s="489"/>
      <c r="F493" s="489"/>
      <c r="G493" s="489"/>
      <c r="H493" s="825"/>
    </row>
    <row r="494" spans="1:9" s="368" customFormat="1" ht="24.75" customHeight="1" thickBot="1" x14ac:dyDescent="0.3">
      <c r="A494" s="792" t="s">
        <v>616</v>
      </c>
      <c r="B494" s="740"/>
      <c r="C494" s="741"/>
      <c r="D494" s="742"/>
      <c r="E494" s="833">
        <f>E492</f>
        <v>5269</v>
      </c>
      <c r="F494" s="833">
        <f>F492</f>
        <v>5281</v>
      </c>
      <c r="G494" s="833">
        <f>G492</f>
        <v>5281</v>
      </c>
      <c r="H494" s="797">
        <f>(G494/F494)*100</f>
        <v>100</v>
      </c>
    </row>
    <row r="495" spans="1:9" s="832" customFormat="1" ht="14.25" customHeight="1" thickTop="1" x14ac:dyDescent="0.25">
      <c r="A495" s="1862"/>
      <c r="B495" s="1863"/>
      <c r="C495" s="1868"/>
      <c r="D495" s="1865"/>
      <c r="E495" s="836"/>
      <c r="F495" s="836"/>
      <c r="G495" s="836"/>
      <c r="H495" s="1869"/>
    </row>
    <row r="496" spans="1:9" s="832" customFormat="1" ht="14.25" customHeight="1" x14ac:dyDescent="0.25">
      <c r="A496" s="1862"/>
      <c r="B496" s="1863"/>
      <c r="C496" s="1868"/>
      <c r="D496" s="1865"/>
      <c r="E496" s="836"/>
      <c r="F496" s="836"/>
      <c r="G496" s="836"/>
      <c r="H496" s="1869"/>
    </row>
    <row r="497" spans="1:11" s="832" customFormat="1" ht="14.25" customHeight="1" x14ac:dyDescent="0.25">
      <c r="A497" s="1862"/>
      <c r="B497" s="1863"/>
      <c r="C497" s="1868"/>
      <c r="D497" s="1865"/>
      <c r="E497" s="836"/>
      <c r="F497" s="836"/>
      <c r="G497" s="836"/>
      <c r="H497" s="1869"/>
    </row>
    <row r="498" spans="1:11" s="832" customFormat="1" ht="14.25" customHeight="1" x14ac:dyDescent="0.25">
      <c r="A498" s="1862"/>
      <c r="B498" s="1863"/>
      <c r="C498" s="1868"/>
      <c r="D498" s="1865"/>
      <c r="E498" s="836"/>
      <c r="F498" s="836"/>
      <c r="G498" s="836"/>
      <c r="H498" s="1869"/>
    </row>
    <row r="499" spans="1:11" s="832" customFormat="1" ht="14.25" customHeight="1" x14ac:dyDescent="0.25">
      <c r="A499" s="1862"/>
      <c r="B499" s="1863"/>
      <c r="C499" s="1868"/>
      <c r="D499" s="1865"/>
      <c r="E499" s="836"/>
      <c r="F499" s="836"/>
      <c r="G499" s="836"/>
      <c r="H499" s="1869"/>
    </row>
    <row r="500" spans="1:11" s="832" customFormat="1" ht="14.25" customHeight="1" x14ac:dyDescent="0.25">
      <c r="A500" s="1862"/>
      <c r="B500" s="1863"/>
      <c r="C500" s="1868"/>
      <c r="D500" s="1865"/>
      <c r="E500" s="836"/>
      <c r="F500" s="836"/>
      <c r="G500" s="836"/>
      <c r="H500" s="1869"/>
    </row>
    <row r="501" spans="1:11" s="503" customFormat="1" ht="15.75" x14ac:dyDescent="0.25">
      <c r="A501" s="703" t="s">
        <v>5</v>
      </c>
      <c r="B501" s="754"/>
      <c r="C501" s="835"/>
      <c r="E501" s="489" t="s">
        <v>617</v>
      </c>
      <c r="F501" s="489"/>
      <c r="G501" s="489"/>
      <c r="H501" s="825"/>
    </row>
    <row r="502" spans="1:11" ht="11.25" customHeight="1" thickBot="1" x14ac:dyDescent="0.25">
      <c r="A502" s="1849"/>
      <c r="H502" s="1855" t="s">
        <v>173</v>
      </c>
    </row>
    <row r="503" spans="1:11" s="711" customFormat="1" ht="20.25" customHeight="1" thickTop="1" thickBot="1" x14ac:dyDescent="0.25">
      <c r="A503" s="788" t="s">
        <v>174</v>
      </c>
      <c r="B503" s="706" t="s">
        <v>175</v>
      </c>
      <c r="C503" s="707" t="s">
        <v>744</v>
      </c>
      <c r="D503" s="708" t="s">
        <v>176</v>
      </c>
      <c r="E503" s="709" t="s">
        <v>177</v>
      </c>
      <c r="F503" s="709" t="s">
        <v>922</v>
      </c>
      <c r="G503" s="709" t="s">
        <v>923</v>
      </c>
      <c r="H503" s="710" t="s">
        <v>924</v>
      </c>
    </row>
    <row r="504" spans="1:11" s="384" customFormat="1" ht="13.5" thickTop="1" thickBot="1" x14ac:dyDescent="0.25">
      <c r="A504" s="568">
        <v>1</v>
      </c>
      <c r="B504" s="569">
        <v>2</v>
      </c>
      <c r="C504" s="569">
        <v>3</v>
      </c>
      <c r="D504" s="569">
        <v>4</v>
      </c>
      <c r="E504" s="569">
        <v>5</v>
      </c>
      <c r="F504" s="543">
        <v>6</v>
      </c>
      <c r="G504" s="543">
        <v>7</v>
      </c>
      <c r="H504" s="638" t="s">
        <v>61</v>
      </c>
      <c r="I504" s="107"/>
    </row>
    <row r="505" spans="1:11" s="433" customFormat="1" ht="15.75" thickTop="1" x14ac:dyDescent="0.25">
      <c r="A505" s="1886">
        <v>4357</v>
      </c>
      <c r="B505" s="1887">
        <v>5331</v>
      </c>
      <c r="C505" s="1888"/>
      <c r="D505" s="626" t="s">
        <v>249</v>
      </c>
      <c r="E505" s="728">
        <f>E506+E507</f>
        <v>5466</v>
      </c>
      <c r="F505" s="728">
        <f>F506+F507</f>
        <v>5481</v>
      </c>
      <c r="G505" s="728">
        <f>G506+G507</f>
        <v>5481</v>
      </c>
      <c r="H505" s="715">
        <f>G505/F505*100</f>
        <v>100</v>
      </c>
    </row>
    <row r="506" spans="1:11" x14ac:dyDescent="0.2">
      <c r="A506" s="1859"/>
      <c r="B506" s="1860"/>
      <c r="C506" s="719" t="s">
        <v>611</v>
      </c>
      <c r="D506" s="1467" t="s">
        <v>1322</v>
      </c>
      <c r="E506" s="747">
        <v>2388</v>
      </c>
      <c r="F506" s="747">
        <v>2403</v>
      </c>
      <c r="G506" s="747">
        <v>2403</v>
      </c>
      <c r="H506" s="830">
        <f t="shared" ref="H506:H513" si="7">(G506/F506)*100</f>
        <v>100</v>
      </c>
    </row>
    <row r="507" spans="1:11" x14ac:dyDescent="0.2">
      <c r="A507" s="1859"/>
      <c r="B507" s="1860"/>
      <c r="C507" s="554" t="s">
        <v>606</v>
      </c>
      <c r="D507" s="550" t="s">
        <v>1141</v>
      </c>
      <c r="E507" s="747">
        <v>3078</v>
      </c>
      <c r="F507" s="747">
        <v>3078</v>
      </c>
      <c r="G507" s="747">
        <v>3078</v>
      </c>
      <c r="H507" s="830">
        <f t="shared" si="7"/>
        <v>100</v>
      </c>
    </row>
    <row r="508" spans="1:11" ht="15" x14ac:dyDescent="0.25">
      <c r="A508" s="1890">
        <v>4357</v>
      </c>
      <c r="B508" s="1891">
        <v>5336</v>
      </c>
      <c r="C508" s="1893"/>
      <c r="D508" s="1845" t="s">
        <v>1523</v>
      </c>
      <c r="E508" s="1508">
        <v>0</v>
      </c>
      <c r="F508" s="1508">
        <f>F509+F510</f>
        <v>361</v>
      </c>
      <c r="G508" s="1508">
        <f>G509+G510</f>
        <v>361</v>
      </c>
      <c r="H508" s="837">
        <f t="shared" si="7"/>
        <v>100</v>
      </c>
    </row>
    <row r="509" spans="1:11" ht="15" x14ac:dyDescent="0.25">
      <c r="A509" s="1890"/>
      <c r="B509" s="1891"/>
      <c r="C509" s="554" t="s">
        <v>1424</v>
      </c>
      <c r="D509" s="1871" t="s">
        <v>1425</v>
      </c>
      <c r="E509" s="1508"/>
      <c r="F509" s="747">
        <v>54</v>
      </c>
      <c r="G509" s="747">
        <v>54</v>
      </c>
      <c r="H509" s="830">
        <f>(G509/F509)*100</f>
        <v>100</v>
      </c>
    </row>
    <row r="510" spans="1:11" ht="15" thickBot="1" x14ac:dyDescent="0.25">
      <c r="A510" s="1859"/>
      <c r="B510" s="1860"/>
      <c r="C510" s="554" t="s">
        <v>1426</v>
      </c>
      <c r="D510" s="1872" t="s">
        <v>1427</v>
      </c>
      <c r="E510" s="747"/>
      <c r="F510" s="747">
        <v>307</v>
      </c>
      <c r="G510" s="747">
        <v>307</v>
      </c>
      <c r="H510" s="830">
        <f>(G510/F510)*100</f>
        <v>100</v>
      </c>
    </row>
    <row r="511" spans="1:11" s="368" customFormat="1" ht="20.25" customHeight="1" thickTop="1" thickBot="1" x14ac:dyDescent="0.3">
      <c r="A511" s="720" t="s">
        <v>1162</v>
      </c>
      <c r="B511" s="721"/>
      <c r="C511" s="722"/>
      <c r="D511" s="723"/>
      <c r="E511" s="735">
        <f>SUM(E505)</f>
        <v>5466</v>
      </c>
      <c r="F511" s="735">
        <f>SUM(F505,F508)</f>
        <v>5842</v>
      </c>
      <c r="G511" s="735">
        <f>SUM(G505,G508)</f>
        <v>5842</v>
      </c>
      <c r="H511" s="831">
        <f t="shared" si="7"/>
        <v>100</v>
      </c>
      <c r="J511" s="834"/>
      <c r="K511" s="834"/>
    </row>
    <row r="512" spans="1:11" s="368" customFormat="1" ht="20.25" customHeight="1" thickTop="1" x14ac:dyDescent="0.25">
      <c r="A512" s="748"/>
      <c r="B512" s="1203"/>
      <c r="C512" s="1204"/>
      <c r="D512" s="1205"/>
      <c r="E512" s="1509"/>
      <c r="F512" s="1509"/>
      <c r="G512" s="1509"/>
      <c r="H512" s="1510"/>
    </row>
    <row r="513" spans="1:9" s="368" customFormat="1" ht="26.25" customHeight="1" thickBot="1" x14ac:dyDescent="0.3">
      <c r="A513" s="739" t="s">
        <v>7</v>
      </c>
      <c r="B513" s="1199"/>
      <c r="C513" s="1200"/>
      <c r="D513" s="1201"/>
      <c r="E513" s="840">
        <f>SUM(E511)</f>
        <v>5466</v>
      </c>
      <c r="F513" s="840">
        <f>SUM(F511)</f>
        <v>5842</v>
      </c>
      <c r="G513" s="840">
        <f>SUM(G511)</f>
        <v>5842</v>
      </c>
      <c r="H513" s="841">
        <f t="shared" si="7"/>
        <v>100</v>
      </c>
    </row>
    <row r="514" spans="1:9" s="832" customFormat="1" ht="14.25" customHeight="1" thickTop="1" x14ac:dyDescent="0.25">
      <c r="A514" s="1862"/>
      <c r="B514" s="1863"/>
      <c r="C514" s="1868"/>
      <c r="D514" s="1865"/>
      <c r="E514" s="836"/>
      <c r="F514" s="836"/>
      <c r="G514" s="836"/>
      <c r="H514" s="1869"/>
    </row>
    <row r="515" spans="1:9" s="832" customFormat="1" ht="14.25" customHeight="1" x14ac:dyDescent="0.25">
      <c r="A515" s="1862"/>
      <c r="B515" s="1863"/>
      <c r="C515" s="1868"/>
      <c r="D515" s="1865"/>
      <c r="E515" s="836"/>
      <c r="F515" s="836"/>
      <c r="G515" s="836"/>
      <c r="H515" s="1869"/>
    </row>
    <row r="516" spans="1:9" s="832" customFormat="1" ht="14.25" customHeight="1" x14ac:dyDescent="0.25">
      <c r="A516" s="1862"/>
      <c r="B516" s="1863"/>
      <c r="C516" s="1868"/>
      <c r="D516" s="1865"/>
      <c r="E516" s="836"/>
      <c r="F516" s="836"/>
      <c r="G516" s="836"/>
      <c r="H516" s="1869"/>
    </row>
    <row r="517" spans="1:9" s="503" customFormat="1" ht="15.75" x14ac:dyDescent="0.25">
      <c r="A517" s="703" t="s">
        <v>405</v>
      </c>
      <c r="B517" s="754"/>
      <c r="C517" s="835"/>
      <c r="E517" s="489" t="s">
        <v>618</v>
      </c>
      <c r="F517" s="489"/>
      <c r="G517" s="489"/>
      <c r="H517" s="825"/>
    </row>
    <row r="518" spans="1:9" ht="15" thickBot="1" x14ac:dyDescent="0.25">
      <c r="A518" s="1849"/>
      <c r="H518" s="1855" t="s">
        <v>173</v>
      </c>
    </row>
    <row r="519" spans="1:9" s="711" customFormat="1" ht="20.25" customHeight="1" thickTop="1" thickBot="1" x14ac:dyDescent="0.25">
      <c r="A519" s="788" t="s">
        <v>174</v>
      </c>
      <c r="B519" s="706" t="s">
        <v>175</v>
      </c>
      <c r="C519" s="707" t="s">
        <v>744</v>
      </c>
      <c r="D519" s="708" t="s">
        <v>176</v>
      </c>
      <c r="E519" s="709" t="s">
        <v>177</v>
      </c>
      <c r="F519" s="709" t="s">
        <v>922</v>
      </c>
      <c r="G519" s="709" t="s">
        <v>923</v>
      </c>
      <c r="H519" s="710" t="s">
        <v>924</v>
      </c>
    </row>
    <row r="520" spans="1:9" s="384" customFormat="1" ht="13.5" thickTop="1" thickBot="1" x14ac:dyDescent="0.25">
      <c r="A520" s="568">
        <v>1</v>
      </c>
      <c r="B520" s="569">
        <v>2</v>
      </c>
      <c r="C520" s="569">
        <v>3</v>
      </c>
      <c r="D520" s="569">
        <v>4</v>
      </c>
      <c r="E520" s="569">
        <v>5</v>
      </c>
      <c r="F520" s="543">
        <v>6</v>
      </c>
      <c r="G520" s="543">
        <v>7</v>
      </c>
      <c r="H520" s="638" t="s">
        <v>61</v>
      </c>
      <c r="I520" s="107"/>
    </row>
    <row r="521" spans="1:9" s="433" customFormat="1" ht="15.75" thickTop="1" x14ac:dyDescent="0.25">
      <c r="A521" s="1886">
        <v>4357</v>
      </c>
      <c r="B521" s="1887">
        <v>5331</v>
      </c>
      <c r="C521" s="1888"/>
      <c r="D521" s="626" t="s">
        <v>249</v>
      </c>
      <c r="E521" s="728">
        <f>E522+E523</f>
        <v>4271</v>
      </c>
      <c r="F521" s="728">
        <f>F522+F523</f>
        <v>4272</v>
      </c>
      <c r="G521" s="728">
        <f>G522+G523</f>
        <v>4272</v>
      </c>
      <c r="H521" s="715">
        <f>G521/F521*100</f>
        <v>100</v>
      </c>
    </row>
    <row r="522" spans="1:9" x14ac:dyDescent="0.2">
      <c r="A522" s="1859"/>
      <c r="B522" s="1860"/>
      <c r="C522" s="719" t="s">
        <v>611</v>
      </c>
      <c r="D522" s="1467" t="s">
        <v>1322</v>
      </c>
      <c r="E522" s="747">
        <v>796</v>
      </c>
      <c r="F522" s="747">
        <v>797</v>
      </c>
      <c r="G522" s="747">
        <v>797</v>
      </c>
      <c r="H522" s="830">
        <f>(G522/F522)*100</f>
        <v>100</v>
      </c>
    </row>
    <row r="523" spans="1:9" ht="15" thickBot="1" x14ac:dyDescent="0.25">
      <c r="A523" s="1859"/>
      <c r="B523" s="1860"/>
      <c r="C523" s="554" t="s">
        <v>606</v>
      </c>
      <c r="D523" s="558" t="s">
        <v>1141</v>
      </c>
      <c r="E523" s="747">
        <v>3475</v>
      </c>
      <c r="F523" s="747">
        <v>3475</v>
      </c>
      <c r="G523" s="747">
        <v>3475</v>
      </c>
      <c r="H523" s="830">
        <f>(G523/F523)*100</f>
        <v>100</v>
      </c>
    </row>
    <row r="524" spans="1:9" s="368" customFormat="1" ht="20.25" customHeight="1" thickTop="1" thickBot="1" x14ac:dyDescent="0.3">
      <c r="A524" s="720" t="s">
        <v>1162</v>
      </c>
      <c r="B524" s="721"/>
      <c r="C524" s="722"/>
      <c r="D524" s="838"/>
      <c r="E524" s="735">
        <f>SUM(E521)</f>
        <v>4271</v>
      </c>
      <c r="F524" s="735">
        <f>SUM(F521)</f>
        <v>4272</v>
      </c>
      <c r="G524" s="735">
        <f>SUM(G521)</f>
        <v>4272</v>
      </c>
      <c r="H524" s="831">
        <f>(G524/F524)*100</f>
        <v>100</v>
      </c>
    </row>
    <row r="525" spans="1:9" s="368" customFormat="1" ht="20.25" customHeight="1" thickTop="1" x14ac:dyDescent="0.25">
      <c r="A525" s="362"/>
      <c r="B525" s="363"/>
      <c r="C525" s="364"/>
      <c r="D525" s="365"/>
      <c r="E525" s="366"/>
      <c r="F525" s="366"/>
      <c r="G525" s="366"/>
      <c r="H525" s="367"/>
    </row>
    <row r="526" spans="1:9" s="368" customFormat="1" ht="29.25" customHeight="1" thickBot="1" x14ac:dyDescent="0.3">
      <c r="A526" s="792" t="s">
        <v>406</v>
      </c>
      <c r="B526" s="740"/>
      <c r="C526" s="741"/>
      <c r="D526" s="742"/>
      <c r="E526" s="833">
        <f>SUM(E524)</f>
        <v>4271</v>
      </c>
      <c r="F526" s="833">
        <f>SUM(F524)</f>
        <v>4272</v>
      </c>
      <c r="G526" s="833">
        <f>SUM(G524)</f>
        <v>4272</v>
      </c>
      <c r="H526" s="797">
        <f>(G526/F526)*100</f>
        <v>100</v>
      </c>
    </row>
    <row r="527" spans="1:9" s="832" customFormat="1" ht="18.75" customHeight="1" thickTop="1" x14ac:dyDescent="0.25">
      <c r="A527" s="1862"/>
      <c r="B527" s="1863"/>
      <c r="C527" s="1864"/>
      <c r="D527" s="1865"/>
      <c r="E527" s="1866"/>
      <c r="F527" s="1866"/>
      <c r="G527" s="1866"/>
      <c r="H527" s="1867"/>
    </row>
    <row r="528" spans="1:9" s="832" customFormat="1" ht="18.75" customHeight="1" x14ac:dyDescent="0.25">
      <c r="A528" s="1862"/>
      <c r="B528" s="1863"/>
      <c r="C528" s="1864"/>
      <c r="D528" s="1865"/>
      <c r="E528" s="1866"/>
      <c r="F528" s="1866"/>
      <c r="G528" s="1866"/>
      <c r="H528" s="1867"/>
    </row>
    <row r="529" spans="1:19" s="832" customFormat="1" ht="18.75" customHeight="1" x14ac:dyDescent="0.25">
      <c r="A529" s="1862"/>
      <c r="B529" s="1863"/>
      <c r="C529" s="1864"/>
      <c r="D529" s="1865"/>
      <c r="E529" s="1866"/>
      <c r="F529" s="1866"/>
      <c r="G529" s="1866"/>
      <c r="H529" s="1867"/>
    </row>
    <row r="530" spans="1:19" s="832" customFormat="1" ht="18.75" customHeight="1" x14ac:dyDescent="0.25">
      <c r="A530" s="1862"/>
      <c r="B530" s="1863"/>
      <c r="C530" s="1864"/>
      <c r="D530" s="1865"/>
      <c r="E530" s="1866"/>
      <c r="F530" s="1866"/>
      <c r="G530" s="1866"/>
      <c r="H530" s="1867"/>
    </row>
    <row r="531" spans="1:19" s="503" customFormat="1" ht="15.75" x14ac:dyDescent="0.25">
      <c r="A531" s="703" t="s">
        <v>619</v>
      </c>
      <c r="B531" s="754"/>
      <c r="C531" s="835"/>
      <c r="E531" s="489" t="s">
        <v>620</v>
      </c>
      <c r="F531" s="489"/>
      <c r="G531" s="489"/>
      <c r="H531" s="825"/>
    </row>
    <row r="532" spans="1:19" ht="11.25" customHeight="1" thickBot="1" x14ac:dyDescent="0.25">
      <c r="A532" s="1849"/>
      <c r="H532" s="1855" t="s">
        <v>173</v>
      </c>
    </row>
    <row r="533" spans="1:19" s="711" customFormat="1" ht="20.25" customHeight="1" thickTop="1" thickBot="1" x14ac:dyDescent="0.25">
      <c r="A533" s="788" t="s">
        <v>174</v>
      </c>
      <c r="B533" s="706" t="s">
        <v>175</v>
      </c>
      <c r="C533" s="707" t="s">
        <v>744</v>
      </c>
      <c r="D533" s="708" t="s">
        <v>176</v>
      </c>
      <c r="E533" s="709" t="s">
        <v>177</v>
      </c>
      <c r="F533" s="709" t="s">
        <v>922</v>
      </c>
      <c r="G533" s="709" t="s">
        <v>923</v>
      </c>
      <c r="H533" s="710" t="s">
        <v>924</v>
      </c>
    </row>
    <row r="534" spans="1:19" s="384" customFormat="1" ht="13.5" thickTop="1" thickBot="1" x14ac:dyDescent="0.25">
      <c r="A534" s="568">
        <v>1</v>
      </c>
      <c r="B534" s="569">
        <v>2</v>
      </c>
      <c r="C534" s="569">
        <v>3</v>
      </c>
      <c r="D534" s="569">
        <v>4</v>
      </c>
      <c r="E534" s="569">
        <v>5</v>
      </c>
      <c r="F534" s="543">
        <v>6</v>
      </c>
      <c r="G534" s="543">
        <v>7</v>
      </c>
      <c r="H534" s="638" t="s">
        <v>61</v>
      </c>
      <c r="I534" s="107"/>
    </row>
    <row r="535" spans="1:19" s="433" customFormat="1" ht="15.75" thickTop="1" x14ac:dyDescent="0.25">
      <c r="A535" s="1886">
        <v>4357</v>
      </c>
      <c r="B535" s="1887">
        <v>5331</v>
      </c>
      <c r="C535" s="1888"/>
      <c r="D535" s="626" t="s">
        <v>249</v>
      </c>
      <c r="E535" s="728">
        <f>E536+E537</f>
        <v>3648</v>
      </c>
      <c r="F535" s="728">
        <f>F536+F537</f>
        <v>4710</v>
      </c>
      <c r="G535" s="728">
        <f>G536+G537</f>
        <v>4710</v>
      </c>
      <c r="H535" s="715">
        <f>G535/F535*100</f>
        <v>100</v>
      </c>
    </row>
    <row r="536" spans="1:19" x14ac:dyDescent="0.2">
      <c r="A536" s="1859"/>
      <c r="B536" s="1860"/>
      <c r="C536" s="719" t="s">
        <v>611</v>
      </c>
      <c r="D536" s="1467" t="s">
        <v>1322</v>
      </c>
      <c r="E536" s="747">
        <v>1163</v>
      </c>
      <c r="F536" s="747">
        <v>1325</v>
      </c>
      <c r="G536" s="747">
        <v>1325</v>
      </c>
      <c r="H536" s="830">
        <f>(G536/F536)*100</f>
        <v>100</v>
      </c>
    </row>
    <row r="537" spans="1:19" ht="15" thickBot="1" x14ac:dyDescent="0.25">
      <c r="A537" s="1859"/>
      <c r="B537" s="1860"/>
      <c r="C537" s="554" t="s">
        <v>606</v>
      </c>
      <c r="D537" s="558" t="s">
        <v>1141</v>
      </c>
      <c r="E537" s="747">
        <v>2485</v>
      </c>
      <c r="F537" s="747">
        <v>3385</v>
      </c>
      <c r="G537" s="747">
        <v>3385</v>
      </c>
      <c r="H537" s="830">
        <f>(G537/F537)*100</f>
        <v>100</v>
      </c>
    </row>
    <row r="538" spans="1:19" s="368" customFormat="1" ht="20.25" customHeight="1" thickTop="1" thickBot="1" x14ac:dyDescent="0.3">
      <c r="A538" s="720" t="s">
        <v>1162</v>
      </c>
      <c r="B538" s="721"/>
      <c r="C538" s="722"/>
      <c r="D538" s="838"/>
      <c r="E538" s="735">
        <f>SUM(E535)</f>
        <v>3648</v>
      </c>
      <c r="F538" s="735">
        <f>SUM(F535)</f>
        <v>4710</v>
      </c>
      <c r="G538" s="735">
        <f>SUM(G535)</f>
        <v>4710</v>
      </c>
      <c r="H538" s="831">
        <f>(G538/F538)*100</f>
        <v>100</v>
      </c>
    </row>
    <row r="539" spans="1:19" s="433" customFormat="1" ht="15.75" thickTop="1" x14ac:dyDescent="0.25">
      <c r="A539" s="1886">
        <v>4357</v>
      </c>
      <c r="B539" s="1887">
        <v>6351</v>
      </c>
      <c r="C539" s="1888"/>
      <c r="D539" s="626" t="s">
        <v>1234</v>
      </c>
      <c r="E539" s="728">
        <v>0</v>
      </c>
      <c r="F539" s="728">
        <v>440</v>
      </c>
      <c r="G539" s="728">
        <v>351</v>
      </c>
      <c r="H539" s="837">
        <f>(G539/F539)*100</f>
        <v>79.772727272727266</v>
      </c>
    </row>
    <row r="540" spans="1:19" ht="15" thickBot="1" x14ac:dyDescent="0.25">
      <c r="A540" s="1859"/>
      <c r="B540" s="1860"/>
      <c r="C540" s="730" t="s">
        <v>793</v>
      </c>
      <c r="D540" s="119" t="s">
        <v>932</v>
      </c>
      <c r="E540" s="747"/>
      <c r="F540" s="747">
        <v>440</v>
      </c>
      <c r="G540" s="747">
        <v>351</v>
      </c>
      <c r="H540" s="830">
        <f>(G540/F540)*100</f>
        <v>79.772727272727266</v>
      </c>
    </row>
    <row r="541" spans="1:19" s="368" customFormat="1" ht="20.25" customHeight="1" thickTop="1" thickBot="1" x14ac:dyDescent="0.3">
      <c r="A541" s="720" t="s">
        <v>1163</v>
      </c>
      <c r="B541" s="721"/>
      <c r="C541" s="722"/>
      <c r="D541" s="723"/>
      <c r="E541" s="735">
        <f>E539</f>
        <v>0</v>
      </c>
      <c r="F541" s="735">
        <f>SUM(F539)</f>
        <v>440</v>
      </c>
      <c r="G541" s="735">
        <f>SUM(G539)</f>
        <v>351</v>
      </c>
      <c r="H541" s="831">
        <f>SUM(H539)</f>
        <v>79.772727272727266</v>
      </c>
      <c r="S541" s="368">
        <v>0</v>
      </c>
    </row>
    <row r="542" spans="1:19" s="433" customFormat="1" ht="15.75" thickTop="1" x14ac:dyDescent="0.25">
      <c r="A542" s="787"/>
      <c r="B542" s="1874"/>
      <c r="C542" s="835"/>
      <c r="E542" s="489"/>
      <c r="F542" s="489"/>
      <c r="G542" s="489"/>
      <c r="H542" s="825"/>
    </row>
    <row r="543" spans="1:19" s="368" customFormat="1" ht="27" customHeight="1" thickBot="1" x14ac:dyDescent="0.3">
      <c r="A543" s="792" t="s">
        <v>621</v>
      </c>
      <c r="B543" s="740"/>
      <c r="C543" s="741"/>
      <c r="D543" s="742"/>
      <c r="E543" s="833">
        <f>SUM(E538,E541)</f>
        <v>3648</v>
      </c>
      <c r="F543" s="833">
        <f>SUM(F538,F541)</f>
        <v>5150</v>
      </c>
      <c r="G543" s="833">
        <f>SUM(G538,G541)</f>
        <v>5061</v>
      </c>
      <c r="H543" s="797">
        <f>(G543/F543)*100</f>
        <v>98.271844660194176</v>
      </c>
    </row>
    <row r="544" spans="1:19" s="832" customFormat="1" ht="15" customHeight="1" thickTop="1" x14ac:dyDescent="0.25">
      <c r="A544" s="1862"/>
      <c r="B544" s="1863"/>
      <c r="C544" s="1868"/>
      <c r="D544" s="1865"/>
      <c r="E544" s="836"/>
      <c r="F544" s="836"/>
      <c r="G544" s="836"/>
      <c r="H544" s="1869"/>
    </row>
    <row r="545" spans="1:9" s="832" customFormat="1" ht="15" customHeight="1" x14ac:dyDescent="0.25">
      <c r="A545" s="1862"/>
      <c r="B545" s="1863"/>
      <c r="C545" s="1868"/>
      <c r="D545" s="1865"/>
      <c r="E545" s="836"/>
      <c r="F545" s="836"/>
      <c r="G545" s="836"/>
      <c r="H545" s="1869"/>
    </row>
    <row r="546" spans="1:9" s="832" customFormat="1" ht="15" customHeight="1" x14ac:dyDescent="0.25">
      <c r="A546" s="1862"/>
      <c r="B546" s="1863"/>
      <c r="C546" s="1868"/>
      <c r="D546" s="1865"/>
      <c r="E546" s="836"/>
      <c r="F546" s="836"/>
      <c r="G546" s="836"/>
      <c r="H546" s="1869"/>
    </row>
    <row r="547" spans="1:9" s="503" customFormat="1" ht="15.75" x14ac:dyDescent="0.25">
      <c r="A547" s="842" t="s">
        <v>8</v>
      </c>
      <c r="B547" s="1602"/>
      <c r="C547" s="1602"/>
      <c r="D547" s="1602"/>
      <c r="E547" s="489" t="s">
        <v>622</v>
      </c>
      <c r="F547" s="489"/>
      <c r="G547" s="489"/>
      <c r="H547" s="825"/>
    </row>
    <row r="548" spans="1:9" ht="15" thickBot="1" x14ac:dyDescent="0.25">
      <c r="A548" s="1849"/>
      <c r="H548" s="1855" t="s">
        <v>173</v>
      </c>
    </row>
    <row r="549" spans="1:9" s="711" customFormat="1" ht="20.25" customHeight="1" thickTop="1" thickBot="1" x14ac:dyDescent="0.25">
      <c r="A549" s="788" t="s">
        <v>174</v>
      </c>
      <c r="B549" s="706" t="s">
        <v>175</v>
      </c>
      <c r="C549" s="707" t="s">
        <v>744</v>
      </c>
      <c r="D549" s="708" t="s">
        <v>176</v>
      </c>
      <c r="E549" s="709" t="s">
        <v>177</v>
      </c>
      <c r="F549" s="709" t="s">
        <v>922</v>
      </c>
      <c r="G549" s="709" t="s">
        <v>923</v>
      </c>
      <c r="H549" s="710" t="s">
        <v>924</v>
      </c>
    </row>
    <row r="550" spans="1:9" s="384" customFormat="1" ht="13.5" thickTop="1" thickBot="1" x14ac:dyDescent="0.25">
      <c r="A550" s="568">
        <v>1</v>
      </c>
      <c r="B550" s="569">
        <v>2</v>
      </c>
      <c r="C550" s="569">
        <v>3</v>
      </c>
      <c r="D550" s="569">
        <v>4</v>
      </c>
      <c r="E550" s="569">
        <v>5</v>
      </c>
      <c r="F550" s="543">
        <v>6</v>
      </c>
      <c r="G550" s="543">
        <v>7</v>
      </c>
      <c r="H550" s="638" t="s">
        <v>61</v>
      </c>
      <c r="I550" s="107"/>
    </row>
    <row r="551" spans="1:9" s="433" customFormat="1" ht="15.75" thickTop="1" x14ac:dyDescent="0.25">
      <c r="A551" s="1886">
        <v>4357</v>
      </c>
      <c r="B551" s="1887">
        <v>5331</v>
      </c>
      <c r="C551" s="1888"/>
      <c r="D551" s="626" t="s">
        <v>249</v>
      </c>
      <c r="E551" s="728">
        <f>E553+E552</f>
        <v>4584</v>
      </c>
      <c r="F551" s="728">
        <f>F553+F552</f>
        <v>6620</v>
      </c>
      <c r="G551" s="728">
        <f>G553+G552</f>
        <v>6620</v>
      </c>
      <c r="H551" s="715">
        <f>G551/F551*100</f>
        <v>100</v>
      </c>
    </row>
    <row r="552" spans="1:9" x14ac:dyDescent="0.2">
      <c r="A552" s="1859"/>
      <c r="B552" s="1860"/>
      <c r="C552" s="554" t="s">
        <v>611</v>
      </c>
      <c r="D552" s="1467" t="s">
        <v>1322</v>
      </c>
      <c r="E552" s="1418">
        <v>1200</v>
      </c>
      <c r="F552" s="747">
        <v>1003</v>
      </c>
      <c r="G552" s="747">
        <v>1003</v>
      </c>
      <c r="H552" s="830">
        <f>(G552/F552)*100</f>
        <v>100</v>
      </c>
    </row>
    <row r="553" spans="1:9" ht="15" thickBot="1" x14ac:dyDescent="0.25">
      <c r="A553" s="1859"/>
      <c r="B553" s="1860"/>
      <c r="C553" s="554" t="s">
        <v>606</v>
      </c>
      <c r="D553" s="558" t="s">
        <v>1141</v>
      </c>
      <c r="E553" s="747">
        <v>3384</v>
      </c>
      <c r="F553" s="747">
        <v>5617</v>
      </c>
      <c r="G553" s="747">
        <v>5617</v>
      </c>
      <c r="H553" s="830">
        <f>(G553/F553)*100</f>
        <v>100</v>
      </c>
    </row>
    <row r="554" spans="1:9" s="368" customFormat="1" ht="20.25" customHeight="1" thickTop="1" thickBot="1" x14ac:dyDescent="0.3">
      <c r="A554" s="720" t="s">
        <v>1162</v>
      </c>
      <c r="B554" s="721"/>
      <c r="C554" s="722"/>
      <c r="D554" s="838"/>
      <c r="E554" s="735">
        <f>SUM(E551)</f>
        <v>4584</v>
      </c>
      <c r="F554" s="735">
        <f>SUM(F551)</f>
        <v>6620</v>
      </c>
      <c r="G554" s="735">
        <f>SUM(G551)</f>
        <v>6620</v>
      </c>
      <c r="H554" s="831">
        <f>(G554/F554)*100</f>
        <v>100</v>
      </c>
    </row>
    <row r="555" spans="1:9" s="433" customFormat="1" ht="15.75" thickTop="1" x14ac:dyDescent="0.25">
      <c r="A555" s="787"/>
      <c r="B555" s="1874"/>
      <c r="C555" s="835"/>
      <c r="E555" s="489"/>
      <c r="F555" s="489"/>
      <c r="G555" s="489"/>
      <c r="H555" s="825"/>
    </row>
    <row r="556" spans="1:9" s="368" customFormat="1" ht="15" customHeight="1" x14ac:dyDescent="0.25">
      <c r="A556" s="2708" t="s">
        <v>9</v>
      </c>
      <c r="B556" s="2709"/>
      <c r="C556" s="2709"/>
      <c r="D556" s="2709"/>
      <c r="E556" s="2711">
        <f>SUM(E554)</f>
        <v>4584</v>
      </c>
      <c r="F556" s="2711">
        <f>SUM(F554)</f>
        <v>6620</v>
      </c>
      <c r="G556" s="2711">
        <f>SUM(G554)</f>
        <v>6620</v>
      </c>
      <c r="H556" s="2713">
        <f>(G556/F556)*100</f>
        <v>100</v>
      </c>
    </row>
    <row r="557" spans="1:9" s="368" customFormat="1" ht="15.75" customHeight="1" thickBot="1" x14ac:dyDescent="0.3">
      <c r="A557" s="2710"/>
      <c r="B557" s="2710"/>
      <c r="C557" s="2710"/>
      <c r="D557" s="2710"/>
      <c r="E557" s="2710"/>
      <c r="F557" s="2710"/>
      <c r="G557" s="2710"/>
      <c r="H557" s="2710"/>
    </row>
    <row r="558" spans="1:9" s="832" customFormat="1" ht="14.25" customHeight="1" thickTop="1" x14ac:dyDescent="0.25">
      <c r="A558" s="1862"/>
      <c r="B558" s="1863"/>
      <c r="C558" s="1868"/>
      <c r="D558" s="1865"/>
      <c r="E558" s="836"/>
      <c r="F558" s="836"/>
      <c r="G558" s="836"/>
      <c r="H558" s="1869"/>
    </row>
    <row r="559" spans="1:9" s="832" customFormat="1" ht="14.25" customHeight="1" x14ac:dyDescent="0.25">
      <c r="A559" s="1862"/>
      <c r="B559" s="1863"/>
      <c r="C559" s="1868"/>
      <c r="D559" s="1865"/>
      <c r="E559" s="836"/>
      <c r="F559" s="836"/>
      <c r="G559" s="836"/>
      <c r="H559" s="1869"/>
    </row>
    <row r="560" spans="1:9" s="832" customFormat="1" ht="14.25" customHeight="1" x14ac:dyDescent="0.25">
      <c r="A560" s="1862"/>
      <c r="B560" s="1863"/>
      <c r="C560" s="1868"/>
      <c r="D560" s="1865"/>
      <c r="E560" s="836"/>
      <c r="F560" s="836"/>
      <c r="G560" s="836"/>
      <c r="H560" s="1869"/>
    </row>
    <row r="561" spans="1:19" s="832" customFormat="1" ht="14.25" customHeight="1" x14ac:dyDescent="0.25">
      <c r="A561" s="1862"/>
      <c r="B561" s="1863"/>
      <c r="C561" s="1868"/>
      <c r="D561" s="1865"/>
      <c r="E561" s="836"/>
      <c r="F561" s="836"/>
      <c r="G561" s="836"/>
      <c r="H561" s="1869"/>
    </row>
    <row r="562" spans="1:19" s="832" customFormat="1" ht="14.25" customHeight="1" x14ac:dyDescent="0.25">
      <c r="A562" s="1862"/>
      <c r="B562" s="1863"/>
      <c r="C562" s="1868"/>
      <c r="D562" s="1865"/>
      <c r="E562" s="836"/>
      <c r="F562" s="836"/>
      <c r="G562" s="836"/>
      <c r="H562" s="1869"/>
    </row>
    <row r="563" spans="1:19" s="503" customFormat="1" ht="15.75" x14ac:dyDescent="0.25">
      <c r="A563" s="842" t="s">
        <v>10</v>
      </c>
      <c r="B563" s="1602"/>
      <c r="C563" s="1602"/>
      <c r="D563" s="1602"/>
      <c r="E563" s="489" t="s">
        <v>623</v>
      </c>
      <c r="F563" s="489"/>
      <c r="G563" s="489"/>
      <c r="H563" s="825"/>
    </row>
    <row r="564" spans="1:19" ht="15" thickBot="1" x14ac:dyDescent="0.25">
      <c r="A564" s="1849"/>
      <c r="H564" s="1855" t="s">
        <v>173</v>
      </c>
    </row>
    <row r="565" spans="1:19" s="711" customFormat="1" ht="20.25" customHeight="1" thickTop="1" thickBot="1" x14ac:dyDescent="0.25">
      <c r="A565" s="788" t="s">
        <v>174</v>
      </c>
      <c r="B565" s="706" t="s">
        <v>175</v>
      </c>
      <c r="C565" s="707" t="s">
        <v>744</v>
      </c>
      <c r="D565" s="708" t="s">
        <v>176</v>
      </c>
      <c r="E565" s="709" t="s">
        <v>177</v>
      </c>
      <c r="F565" s="709" t="s">
        <v>922</v>
      </c>
      <c r="G565" s="709" t="s">
        <v>923</v>
      </c>
      <c r="H565" s="710" t="s">
        <v>924</v>
      </c>
    </row>
    <row r="566" spans="1:19" s="384" customFormat="1" ht="13.5" thickTop="1" thickBot="1" x14ac:dyDescent="0.25">
      <c r="A566" s="568">
        <v>1</v>
      </c>
      <c r="B566" s="569">
        <v>2</v>
      </c>
      <c r="C566" s="569">
        <v>3</v>
      </c>
      <c r="D566" s="569">
        <v>4</v>
      </c>
      <c r="E566" s="569">
        <v>5</v>
      </c>
      <c r="F566" s="543">
        <v>6</v>
      </c>
      <c r="G566" s="543">
        <v>7</v>
      </c>
      <c r="H566" s="638" t="s">
        <v>61</v>
      </c>
      <c r="I566" s="107"/>
    </row>
    <row r="567" spans="1:19" s="433" customFormat="1" ht="15.75" thickTop="1" x14ac:dyDescent="0.25">
      <c r="A567" s="1886">
        <v>4357</v>
      </c>
      <c r="B567" s="1887">
        <v>5331</v>
      </c>
      <c r="C567" s="1888"/>
      <c r="D567" s="626" t="s">
        <v>249</v>
      </c>
      <c r="E567" s="728">
        <f>E568+E569+E571+E572</f>
        <v>8587</v>
      </c>
      <c r="F567" s="728">
        <f>F568+F569+F571+F572</f>
        <v>11520</v>
      </c>
      <c r="G567" s="728">
        <f>G568+G569+G571+G572</f>
        <v>11520</v>
      </c>
      <c r="H567" s="715">
        <f>G567/F567*100</f>
        <v>100</v>
      </c>
    </row>
    <row r="568" spans="1:19" x14ac:dyDescent="0.2">
      <c r="A568" s="1859"/>
      <c r="B568" s="1860"/>
      <c r="C568" s="719" t="s">
        <v>611</v>
      </c>
      <c r="D568" s="1467" t="s">
        <v>1322</v>
      </c>
      <c r="E568" s="747">
        <v>2415</v>
      </c>
      <c r="F568" s="747">
        <v>1132</v>
      </c>
      <c r="G568" s="747">
        <v>1132</v>
      </c>
      <c r="H568" s="830">
        <f t="shared" ref="H568:H575" si="8">(G568/F568)*100</f>
        <v>100</v>
      </c>
    </row>
    <row r="569" spans="1:19" x14ac:dyDescent="0.2">
      <c r="A569" s="1859"/>
      <c r="B569" s="1860"/>
      <c r="C569" s="554" t="s">
        <v>606</v>
      </c>
      <c r="D569" s="550" t="s">
        <v>1141</v>
      </c>
      <c r="E569" s="747">
        <v>6172</v>
      </c>
      <c r="F569" s="747">
        <v>9435</v>
      </c>
      <c r="G569" s="747">
        <v>9435</v>
      </c>
      <c r="H569" s="830">
        <f t="shared" si="8"/>
        <v>100</v>
      </c>
    </row>
    <row r="570" spans="1:19" ht="15" x14ac:dyDescent="0.25">
      <c r="A570" s="1890">
        <v>4357</v>
      </c>
      <c r="B570" s="1891">
        <v>5336</v>
      </c>
      <c r="C570" s="1893"/>
      <c r="D570" s="1845" t="s">
        <v>1523</v>
      </c>
      <c r="E570" s="1508">
        <v>0</v>
      </c>
      <c r="F570" s="1508">
        <f>F571+F572</f>
        <v>953</v>
      </c>
      <c r="G570" s="1508">
        <f>G571+G572</f>
        <v>953</v>
      </c>
      <c r="H570" s="837">
        <f t="shared" si="8"/>
        <v>100</v>
      </c>
    </row>
    <row r="571" spans="1:19" x14ac:dyDescent="0.2">
      <c r="A571" s="1859"/>
      <c r="B571" s="1860"/>
      <c r="C571" s="1480" t="s">
        <v>1424</v>
      </c>
      <c r="D571" s="1871" t="s">
        <v>1425</v>
      </c>
      <c r="E571" s="747"/>
      <c r="F571" s="747">
        <v>143</v>
      </c>
      <c r="G571" s="747">
        <v>143</v>
      </c>
      <c r="H571" s="830">
        <f t="shared" si="8"/>
        <v>100</v>
      </c>
    </row>
    <row r="572" spans="1:19" ht="15" thickBot="1" x14ac:dyDescent="0.25">
      <c r="A572" s="1859"/>
      <c r="B572" s="1860"/>
      <c r="C572" s="1480" t="s">
        <v>1426</v>
      </c>
      <c r="D572" s="1872" t="s">
        <v>1427</v>
      </c>
      <c r="E572" s="747"/>
      <c r="F572" s="747">
        <v>810</v>
      </c>
      <c r="G572" s="747">
        <v>810</v>
      </c>
      <c r="H572" s="830">
        <f t="shared" si="8"/>
        <v>100</v>
      </c>
    </row>
    <row r="573" spans="1:19" s="368" customFormat="1" ht="20.25" customHeight="1" thickTop="1" thickBot="1" x14ac:dyDescent="0.3">
      <c r="A573" s="720" t="s">
        <v>1162</v>
      </c>
      <c r="B573" s="721"/>
      <c r="C573" s="722"/>
      <c r="D573" s="838"/>
      <c r="E573" s="735">
        <f>SUM(E567)</f>
        <v>8587</v>
      </c>
      <c r="F573" s="735">
        <f>SUM(F567)</f>
        <v>11520</v>
      </c>
      <c r="G573" s="735">
        <f>SUM(G567)</f>
        <v>11520</v>
      </c>
      <c r="H573" s="831">
        <f t="shared" si="8"/>
        <v>100</v>
      </c>
      <c r="J573" s="951">
        <f>E573+E554+E538+E524+E511+E492+E477+E462+E447+E432+E417+E399+E385+E369+E351+E337</f>
        <v>73786</v>
      </c>
      <c r="K573" s="951">
        <f>F573+F554+F538+F524+F511+F492+F477+F462+F447+F432+F417+F399+F385+F369+F351+F337</f>
        <v>93755</v>
      </c>
      <c r="L573" s="951">
        <f>G573+G554+G538+G524+G511+G492+G477+G462+G447+G432+G417+G399+G385+G369+G351+G337</f>
        <v>93755</v>
      </c>
      <c r="M573" s="951" t="s">
        <v>680</v>
      </c>
      <c r="N573" s="834"/>
    </row>
    <row r="574" spans="1:19" s="433" customFormat="1" ht="15.75" thickTop="1" x14ac:dyDescent="0.25">
      <c r="A574" s="1886">
        <v>4357</v>
      </c>
      <c r="B574" s="1887">
        <v>6351</v>
      </c>
      <c r="C574" s="1888"/>
      <c r="D574" s="626" t="s">
        <v>1234</v>
      </c>
      <c r="E574" s="728">
        <v>0</v>
      </c>
      <c r="F574" s="728">
        <v>481</v>
      </c>
      <c r="G574" s="728">
        <v>481</v>
      </c>
      <c r="H574" s="837">
        <f t="shared" si="8"/>
        <v>100</v>
      </c>
      <c r="J574" s="951">
        <f>E576+E402+E541+E372</f>
        <v>0</v>
      </c>
      <c r="K574" s="951">
        <f>F576+F402+F541+F372</f>
        <v>1832</v>
      </c>
      <c r="L574" s="951">
        <f>G576+G402+G541+G372</f>
        <v>1743</v>
      </c>
      <c r="M574" s="433" t="s">
        <v>624</v>
      </c>
    </row>
    <row r="575" spans="1:19" ht="15" thickBot="1" x14ac:dyDescent="0.25">
      <c r="A575" s="1859"/>
      <c r="B575" s="1860"/>
      <c r="C575" s="730" t="s">
        <v>793</v>
      </c>
      <c r="D575" s="803" t="s">
        <v>932</v>
      </c>
      <c r="E575" s="747"/>
      <c r="F575" s="747">
        <v>481</v>
      </c>
      <c r="G575" s="747">
        <v>481</v>
      </c>
      <c r="H575" s="830">
        <f t="shared" si="8"/>
        <v>100</v>
      </c>
      <c r="J575" s="383"/>
      <c r="K575" s="383"/>
      <c r="L575" s="383"/>
    </row>
    <row r="576" spans="1:19" s="832" customFormat="1" ht="20.25" customHeight="1" thickTop="1" thickBot="1" x14ac:dyDescent="0.3">
      <c r="A576" s="720" t="s">
        <v>1163</v>
      </c>
      <c r="B576" s="721"/>
      <c r="C576" s="722"/>
      <c r="D576" s="723"/>
      <c r="E576" s="735">
        <f>E574</f>
        <v>0</v>
      </c>
      <c r="F576" s="735">
        <f>SUM(F574)</f>
        <v>481</v>
      </c>
      <c r="G576" s="735">
        <f>SUM(G574)</f>
        <v>481</v>
      </c>
      <c r="H576" s="831">
        <f>SUM(H574)</f>
        <v>100</v>
      </c>
      <c r="J576" s="526">
        <f>J323+J573</f>
        <v>171121</v>
      </c>
      <c r="K576" s="526">
        <f>K323+K573</f>
        <v>235608</v>
      </c>
      <c r="L576" s="526">
        <f>L323+L573</f>
        <v>235608</v>
      </c>
      <c r="M576" s="525" t="s">
        <v>680</v>
      </c>
      <c r="S576" s="832">
        <v>0</v>
      </c>
    </row>
    <row r="577" spans="1:19" ht="15" thickTop="1" x14ac:dyDescent="0.2">
      <c r="A577" s="1849"/>
      <c r="J577" s="383">
        <f>J574+J324</f>
        <v>0</v>
      </c>
      <c r="K577" s="383">
        <f>K574+K324</f>
        <v>2121</v>
      </c>
      <c r="L577" s="383">
        <f>L574+L324</f>
        <v>2032</v>
      </c>
      <c r="M577" s="382" t="s">
        <v>624</v>
      </c>
    </row>
    <row r="578" spans="1:19" s="832" customFormat="1" ht="27.75" customHeight="1" thickBot="1" x14ac:dyDescent="0.3">
      <c r="A578" s="792" t="s">
        <v>11</v>
      </c>
      <c r="B578" s="1894"/>
      <c r="C578" s="1894"/>
      <c r="D578" s="1894"/>
      <c r="E578" s="833">
        <f>SUM(E573,E576)</f>
        <v>8587</v>
      </c>
      <c r="F578" s="833">
        <f>SUM(F573,F576)</f>
        <v>12001</v>
      </c>
      <c r="G578" s="833">
        <f>SUM(G573,G576)</f>
        <v>12001</v>
      </c>
      <c r="H578" s="797">
        <f>(G578/F578)*100</f>
        <v>100</v>
      </c>
      <c r="J578" s="839">
        <f>J576+J577</f>
        <v>171121</v>
      </c>
      <c r="K578" s="839">
        <f>K576+K577</f>
        <v>237729</v>
      </c>
      <c r="L578" s="839">
        <f>L576+L577</f>
        <v>237640</v>
      </c>
    </row>
    <row r="579" spans="1:19" s="832" customFormat="1" ht="21" customHeight="1" thickTop="1" x14ac:dyDescent="0.25">
      <c r="A579" s="1862"/>
      <c r="B579" s="1221"/>
      <c r="C579" s="1221"/>
      <c r="D579" s="1221"/>
      <c r="E579" s="1866"/>
      <c r="F579" s="1866"/>
      <c r="G579" s="1866"/>
      <c r="H579" s="1867"/>
      <c r="J579" s="1900"/>
      <c r="K579" s="1900"/>
      <c r="L579" s="1900"/>
    </row>
    <row r="580" spans="1:19" s="832" customFormat="1" ht="16.5" customHeight="1" x14ac:dyDescent="0.25">
      <c r="A580" s="1862"/>
      <c r="B580" s="1221"/>
      <c r="C580" s="1221"/>
      <c r="D580" s="1221"/>
      <c r="E580" s="1866"/>
      <c r="F580" s="1866"/>
      <c r="G580" s="1866"/>
      <c r="H580" s="1867"/>
      <c r="J580" s="1900"/>
      <c r="K580" s="1900"/>
      <c r="L580" s="1900"/>
    </row>
    <row r="581" spans="1:19" s="832" customFormat="1" ht="16.5" customHeight="1" x14ac:dyDescent="0.25">
      <c r="A581" s="1862"/>
      <c r="B581" s="1221"/>
      <c r="C581" s="1221"/>
      <c r="D581" s="1221"/>
      <c r="E581" s="1866"/>
      <c r="F581" s="1866"/>
      <c r="G581" s="1866"/>
      <c r="H581" s="1867"/>
      <c r="J581" s="1900"/>
      <c r="K581" s="1900"/>
      <c r="L581" s="1900"/>
    </row>
    <row r="582" spans="1:19" s="503" customFormat="1" ht="15.75" x14ac:dyDescent="0.25">
      <c r="A582" s="842" t="s">
        <v>1142</v>
      </c>
      <c r="B582" s="1602"/>
      <c r="C582" s="1602"/>
      <c r="D582" s="1602"/>
      <c r="E582" s="489"/>
      <c r="F582" s="489"/>
      <c r="G582" s="489"/>
      <c r="H582" s="825"/>
    </row>
    <row r="583" spans="1:19" ht="15" thickBot="1" x14ac:dyDescent="0.25">
      <c r="H583" s="1855" t="s">
        <v>173</v>
      </c>
    </row>
    <row r="584" spans="1:19" ht="17.100000000000001" customHeight="1" thickTop="1" thickBot="1" x14ac:dyDescent="0.25">
      <c r="A584" s="633" t="s">
        <v>174</v>
      </c>
      <c r="B584" s="634" t="s">
        <v>175</v>
      </c>
      <c r="C584" s="636" t="s">
        <v>744</v>
      </c>
      <c r="D584" s="636" t="s">
        <v>176</v>
      </c>
      <c r="E584" s="636" t="s">
        <v>177</v>
      </c>
      <c r="F584" s="636" t="s">
        <v>922</v>
      </c>
      <c r="G584" s="636" t="s">
        <v>923</v>
      </c>
      <c r="H584" s="637" t="s">
        <v>924</v>
      </c>
    </row>
    <row r="585" spans="1:19" s="1870" customFormat="1" thickTop="1" thickBot="1" x14ac:dyDescent="0.25">
      <c r="A585" s="568">
        <v>1</v>
      </c>
      <c r="B585" s="569">
        <v>2</v>
      </c>
      <c r="C585" s="569">
        <v>3</v>
      </c>
      <c r="D585" s="569">
        <v>4</v>
      </c>
      <c r="E585" s="569">
        <v>5</v>
      </c>
      <c r="F585" s="1461">
        <v>6</v>
      </c>
      <c r="G585" s="1461">
        <v>7</v>
      </c>
      <c r="H585" s="1847" t="s">
        <v>61</v>
      </c>
    </row>
    <row r="586" spans="1:19" s="433" customFormat="1" ht="15.75" thickTop="1" x14ac:dyDescent="0.25">
      <c r="A586" s="1895">
        <v>4399</v>
      </c>
      <c r="B586" s="1896">
        <v>5331</v>
      </c>
      <c r="C586" s="1897"/>
      <c r="D586" s="1169" t="s">
        <v>957</v>
      </c>
      <c r="E586" s="88">
        <v>85125</v>
      </c>
      <c r="F586" s="233">
        <v>0</v>
      </c>
      <c r="G586" s="371">
        <v>0</v>
      </c>
      <c r="H586" s="240">
        <v>0</v>
      </c>
    </row>
    <row r="587" spans="1:19" ht="15" thickBot="1" x14ac:dyDescent="0.25">
      <c r="A587" s="1416"/>
      <c r="B587" s="1873"/>
      <c r="C587" s="1120" t="s">
        <v>606</v>
      </c>
      <c r="D587" s="85" t="s">
        <v>626</v>
      </c>
      <c r="E587" s="55">
        <v>85125</v>
      </c>
      <c r="F587" s="314">
        <v>0</v>
      </c>
      <c r="G587" s="316">
        <v>0</v>
      </c>
      <c r="H587" s="1125">
        <v>0</v>
      </c>
    </row>
    <row r="588" spans="1:19" s="832" customFormat="1" ht="20.25" customHeight="1" thickTop="1" thickBot="1" x14ac:dyDescent="0.3">
      <c r="A588" s="720" t="s">
        <v>1143</v>
      </c>
      <c r="B588" s="721"/>
      <c r="C588" s="722"/>
      <c r="D588" s="723"/>
      <c r="E588" s="735">
        <f>E586</f>
        <v>85125</v>
      </c>
      <c r="F588" s="735">
        <f>SUM(F586)</f>
        <v>0</v>
      </c>
      <c r="G588" s="735">
        <f>SUM(G586)</f>
        <v>0</v>
      </c>
      <c r="H588" s="831">
        <f>SUM(H586)</f>
        <v>0</v>
      </c>
      <c r="J588" s="526">
        <f>E588</f>
        <v>85125</v>
      </c>
      <c r="K588" s="526">
        <f>K331+K585</f>
        <v>0</v>
      </c>
      <c r="L588" s="526">
        <f>L331+L585</f>
        <v>0</v>
      </c>
      <c r="M588" s="525" t="s">
        <v>680</v>
      </c>
      <c r="S588" s="832">
        <v>0</v>
      </c>
    </row>
    <row r="589" spans="1:19" s="832" customFormat="1" ht="27.75" customHeight="1" thickTop="1" x14ac:dyDescent="0.25">
      <c r="A589" s="1862"/>
      <c r="B589" s="1221"/>
      <c r="C589" s="1221"/>
      <c r="D589" s="1221"/>
      <c r="E589" s="1866"/>
      <c r="F589" s="1866"/>
      <c r="G589" s="1866"/>
      <c r="H589" s="1867"/>
      <c r="J589" s="839">
        <f>J578+J588</f>
        <v>256246</v>
      </c>
      <c r="K589" s="839">
        <f>K578+K588</f>
        <v>237729</v>
      </c>
      <c r="L589" s="839">
        <f>L578+L588</f>
        <v>237640</v>
      </c>
    </row>
    <row r="590" spans="1:19" s="832" customFormat="1" ht="27.75" customHeight="1" x14ac:dyDescent="0.25">
      <c r="A590" s="1862"/>
      <c r="B590" s="1221"/>
      <c r="C590" s="1221"/>
      <c r="D590" s="1221"/>
      <c r="E590" s="844"/>
      <c r="F590" s="844"/>
      <c r="G590" s="844"/>
      <c r="H590" s="1867"/>
      <c r="J590" s="839"/>
      <c r="K590" s="839"/>
      <c r="L590" s="839"/>
    </row>
    <row r="591" spans="1:19" s="368" customFormat="1" ht="15.75" customHeight="1" x14ac:dyDescent="0.25">
      <c r="A591" s="362" t="s">
        <v>1209</v>
      </c>
      <c r="B591" s="363"/>
      <c r="C591" s="364"/>
      <c r="D591" s="365"/>
      <c r="E591" s="844">
        <f>E592+E593+E594+E595</f>
        <v>10191</v>
      </c>
      <c r="F591" s="844">
        <f>F592+F593+F594+F595</f>
        <v>20579</v>
      </c>
      <c r="G591" s="844">
        <f>G592+G593+G594+G595</f>
        <v>20572</v>
      </c>
      <c r="H591" s="845">
        <f>(G591/F591)*100</f>
        <v>99.965984741726999</v>
      </c>
    </row>
    <row r="592" spans="1:19" s="832" customFormat="1" ht="15.75" customHeight="1" x14ac:dyDescent="0.25">
      <c r="A592" s="557" t="s">
        <v>277</v>
      </c>
      <c r="B592" s="847"/>
      <c r="C592" s="1539"/>
      <c r="D592" s="848"/>
      <c r="E592" s="1516">
        <f>E66</f>
        <v>10191</v>
      </c>
      <c r="F592" s="1516">
        <f>F66-F594</f>
        <v>15049</v>
      </c>
      <c r="G592" s="1516">
        <f>G66-G594</f>
        <v>15042</v>
      </c>
      <c r="H592" s="846">
        <f>(G592/F592)*100</f>
        <v>99.953485281414046</v>
      </c>
    </row>
    <row r="593" spans="1:19" s="832" customFormat="1" ht="15.75" customHeight="1" x14ac:dyDescent="0.25">
      <c r="A593" s="557" t="s">
        <v>278</v>
      </c>
      <c r="B593" s="1540"/>
      <c r="C593" s="1539"/>
      <c r="D593" s="1541"/>
      <c r="E593" s="1516">
        <v>0</v>
      </c>
      <c r="F593" s="1516">
        <f>F76</f>
        <v>400</v>
      </c>
      <c r="G593" s="1516">
        <f>G76</f>
        <v>400</v>
      </c>
      <c r="H593" s="846">
        <f>(G593/F593)*100</f>
        <v>100</v>
      </c>
      <c r="J593" s="839"/>
      <c r="K593" s="526">
        <f>F594+F600</f>
        <v>8579</v>
      </c>
      <c r="L593" s="526">
        <f>G594+G600</f>
        <v>8579</v>
      </c>
      <c r="M593" s="525" t="s">
        <v>625</v>
      </c>
    </row>
    <row r="594" spans="1:19" s="832" customFormat="1" ht="15.75" customHeight="1" x14ac:dyDescent="0.25">
      <c r="A594" s="557" t="s">
        <v>221</v>
      </c>
      <c r="B594" s="1540"/>
      <c r="C594" s="1539"/>
      <c r="D594" s="1541"/>
      <c r="E594" s="1516">
        <v>0</v>
      </c>
      <c r="F594" s="1516">
        <f>F13</f>
        <v>5130</v>
      </c>
      <c r="G594" s="1516">
        <f>G13</f>
        <v>5130</v>
      </c>
      <c r="H594" s="846">
        <f>(G594/F594)*100</f>
        <v>100</v>
      </c>
    </row>
    <row r="595" spans="1:19" s="832" customFormat="1" ht="15.75" customHeight="1" x14ac:dyDescent="0.25">
      <c r="A595" s="557" t="s">
        <v>1206</v>
      </c>
      <c r="B595" s="1540"/>
      <c r="C595" s="1539"/>
      <c r="D595" s="1541"/>
      <c r="E595" s="1516">
        <v>0</v>
      </c>
      <c r="F595" s="1516">
        <v>0</v>
      </c>
      <c r="G595" s="1516">
        <v>0</v>
      </c>
      <c r="H595" s="846">
        <v>0</v>
      </c>
    </row>
    <row r="596" spans="1:19" s="832" customFormat="1" ht="15.75" customHeight="1" x14ac:dyDescent="0.25">
      <c r="A596" s="557"/>
      <c r="B596" s="1540"/>
      <c r="C596" s="1539"/>
      <c r="D596" s="1541"/>
      <c r="E596" s="836"/>
      <c r="F596" s="836"/>
      <c r="G596" s="836"/>
      <c r="H596" s="1869"/>
    </row>
    <row r="597" spans="1:19" s="368" customFormat="1" ht="15.75" customHeight="1" x14ac:dyDescent="0.25">
      <c r="A597" s="773" t="s">
        <v>279</v>
      </c>
      <c r="B597" s="703"/>
      <c r="C597" s="755"/>
      <c r="D597" s="1898"/>
      <c r="E597" s="844">
        <f>E598+E599+E600+E601</f>
        <v>256246</v>
      </c>
      <c r="F597" s="844">
        <f>F598+F599+F600+F601</f>
        <v>237729</v>
      </c>
      <c r="G597" s="844">
        <f>G598+G599+G600+G601</f>
        <v>237640</v>
      </c>
      <c r="H597" s="845">
        <f>(G597/F597)*100</f>
        <v>99.962562413504457</v>
      </c>
    </row>
    <row r="598" spans="1:19" s="832" customFormat="1" ht="15.75" customHeight="1" x14ac:dyDescent="0.25">
      <c r="A598" s="557" t="s">
        <v>1207</v>
      </c>
      <c r="B598" s="1540"/>
      <c r="C598" s="1539"/>
      <c r="D598" s="1541"/>
      <c r="E598" s="1516">
        <f>J576-E600+E588</f>
        <v>256246</v>
      </c>
      <c r="F598" s="1516">
        <f>K576-F600</f>
        <v>232159</v>
      </c>
      <c r="G598" s="1516">
        <f>L576-G600</f>
        <v>232159</v>
      </c>
      <c r="H598" s="846">
        <f>(G598/F598)*100</f>
        <v>100</v>
      </c>
      <c r="J598" s="590"/>
      <c r="K598" s="590"/>
      <c r="L598" s="590"/>
      <c r="M598" s="590"/>
      <c r="N598" s="590"/>
      <c r="O598" s="590"/>
      <c r="P598" s="590"/>
      <c r="Q598" s="590"/>
      <c r="R598" s="590"/>
      <c r="S598" s="590">
        <f>SUM(S97:S573)</f>
        <v>0</v>
      </c>
    </row>
    <row r="599" spans="1:19" s="832" customFormat="1" ht="15.75" customHeight="1" x14ac:dyDescent="0.25">
      <c r="A599" s="557" t="s">
        <v>1208</v>
      </c>
      <c r="B599" s="1540"/>
      <c r="C599" s="1539"/>
      <c r="D599" s="1541"/>
      <c r="E599" s="1516">
        <f>J577-E601</f>
        <v>0</v>
      </c>
      <c r="F599" s="1516">
        <f>K577-F601</f>
        <v>2121</v>
      </c>
      <c r="G599" s="1516">
        <f>L577-G601</f>
        <v>2032</v>
      </c>
      <c r="H599" s="846">
        <f>(G599/F599)*100</f>
        <v>95.803866100895803</v>
      </c>
    </row>
    <row r="600" spans="1:19" s="832" customFormat="1" ht="15.75" customHeight="1" x14ac:dyDescent="0.25">
      <c r="A600" s="557" t="s">
        <v>221</v>
      </c>
      <c r="B600" s="1850"/>
      <c r="C600" s="667"/>
      <c r="D600" s="382"/>
      <c r="E600" s="1516">
        <v>0</v>
      </c>
      <c r="F600" s="1516">
        <f>F510+F571+F572+F263+F509+F368+F367+F295+F294+F275+F262+F244+F107+F106</f>
        <v>3449</v>
      </c>
      <c r="G600" s="1516">
        <f>G510+G571+G572+G263+G509+G368+G367+G295+G294+G275+G262+G244+G107+G106</f>
        <v>3449</v>
      </c>
      <c r="H600" s="846">
        <f>(G600/F600)*100</f>
        <v>100</v>
      </c>
      <c r="K600" s="839"/>
      <c r="L600" s="839"/>
    </row>
    <row r="601" spans="1:19" s="832" customFormat="1" ht="15.75" customHeight="1" x14ac:dyDescent="0.25">
      <c r="A601" s="557" t="s">
        <v>1206</v>
      </c>
      <c r="B601" s="1850"/>
      <c r="C601" s="667"/>
      <c r="D601" s="382"/>
      <c r="E601" s="1516">
        <v>0</v>
      </c>
      <c r="F601" s="1516">
        <v>0</v>
      </c>
      <c r="G601" s="1516">
        <v>0</v>
      </c>
      <c r="H601" s="846">
        <v>0</v>
      </c>
    </row>
    <row r="602" spans="1:19" s="848" customFormat="1" ht="15" x14ac:dyDescent="0.2">
      <c r="A602" s="847"/>
      <c r="B602" s="847"/>
      <c r="C602" s="667"/>
      <c r="E602" s="1848"/>
      <c r="F602" s="1848"/>
      <c r="G602" s="1848"/>
      <c r="H602" s="800"/>
      <c r="J602" s="590"/>
      <c r="K602" s="590"/>
    </row>
    <row r="603" spans="1:19" s="1899" customFormat="1" ht="47.25" customHeight="1" thickBot="1" x14ac:dyDescent="0.35">
      <c r="A603" s="2706" t="s">
        <v>1316</v>
      </c>
      <c r="B603" s="2707"/>
      <c r="C603" s="2707"/>
      <c r="D603" s="2707"/>
      <c r="E603" s="849">
        <f>SUM(E591,E597)</f>
        <v>266437</v>
      </c>
      <c r="F603" s="849">
        <f>SUM(F591,F597)</f>
        <v>258308</v>
      </c>
      <c r="G603" s="849">
        <f>SUM(G591,G597)</f>
        <v>258212</v>
      </c>
      <c r="H603" s="662">
        <f>(G603/F603)*100</f>
        <v>99.962835065116067</v>
      </c>
      <c r="J603" s="1347"/>
      <c r="K603" s="1347"/>
      <c r="L603" s="1347"/>
    </row>
    <row r="604" spans="1:19" ht="15" thickTop="1" x14ac:dyDescent="0.2"/>
  </sheetData>
  <mergeCells count="15">
    <mergeCell ref="D13:D14"/>
    <mergeCell ref="D61:D62"/>
    <mergeCell ref="H556:H557"/>
    <mergeCell ref="F556:F557"/>
    <mergeCell ref="G556:G557"/>
    <mergeCell ref="D23:D24"/>
    <mergeCell ref="D28:D29"/>
    <mergeCell ref="D33:D34"/>
    <mergeCell ref="D38:D39"/>
    <mergeCell ref="D19:D20"/>
    <mergeCell ref="A603:D603"/>
    <mergeCell ref="A556:D557"/>
    <mergeCell ref="E556:E557"/>
    <mergeCell ref="D49:D50"/>
    <mergeCell ref="D275:D276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92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 enableFormatConditionsCalculation="0">
    <tabColor rgb="FF00B0F0"/>
  </sheetPr>
  <dimension ref="A1:U121"/>
  <sheetViews>
    <sheetView showGridLines="0" view="pageBreakPreview" zoomScaleNormal="100" zoomScaleSheetLayoutView="100" workbookViewId="0">
      <selection activeCell="D29" sqref="D29"/>
    </sheetView>
  </sheetViews>
  <sheetFormatPr defaultRowHeight="12.75" x14ac:dyDescent="0.2"/>
  <cols>
    <col min="1" max="1" width="5.5703125" style="645" customWidth="1"/>
    <col min="2" max="2" width="4.7109375" style="534" customWidth="1"/>
    <col min="3" max="3" width="9" style="1351" customWidth="1"/>
    <col min="4" max="4" width="45.7109375" style="534" customWidth="1"/>
    <col min="5" max="5" width="14.5703125" style="495" customWidth="1"/>
    <col min="6" max="6" width="14.28515625" style="495" customWidth="1"/>
    <col min="7" max="7" width="15.28515625" style="495" customWidth="1"/>
    <col min="8" max="8" width="7.140625" style="668" customWidth="1"/>
    <col min="9" max="9" width="9.140625" style="534"/>
    <col min="10" max="12" width="10.85546875" style="534" bestFit="1" customWidth="1"/>
    <col min="13" max="13" width="9.5703125" style="534" bestFit="1" customWidth="1"/>
    <col min="14" max="16384" width="9.140625" style="534"/>
  </cols>
  <sheetData>
    <row r="1" spans="1:21" ht="18.75" thickBot="1" x14ac:dyDescent="0.3">
      <c r="A1" s="465" t="s">
        <v>994</v>
      </c>
      <c r="B1" s="466"/>
      <c r="C1" s="485"/>
      <c r="D1" s="477"/>
      <c r="E1" s="494"/>
      <c r="F1" s="469" t="s">
        <v>995</v>
      </c>
      <c r="I1" s="17"/>
    </row>
    <row r="2" spans="1:21" ht="12.75" customHeight="1" x14ac:dyDescent="0.25">
      <c r="A2" s="6"/>
      <c r="B2" s="28"/>
      <c r="C2" s="170"/>
      <c r="D2" s="10"/>
      <c r="E2" s="137"/>
      <c r="F2" s="137"/>
      <c r="G2" s="16"/>
      <c r="H2" s="194"/>
      <c r="I2" s="17"/>
    </row>
    <row r="3" spans="1:21" ht="12.75" customHeight="1" x14ac:dyDescent="0.25">
      <c r="A3" s="67" t="s">
        <v>387</v>
      </c>
      <c r="B3" s="28"/>
      <c r="C3" s="533" t="s">
        <v>193</v>
      </c>
      <c r="D3" s="629"/>
      <c r="E3" s="137"/>
      <c r="F3" s="16"/>
      <c r="G3" s="17"/>
      <c r="H3" s="194"/>
    </row>
    <row r="4" spans="1:21" ht="12.75" customHeight="1" x14ac:dyDescent="0.25">
      <c r="A4" s="6"/>
      <c r="B4" s="28"/>
      <c r="C4" s="1836" t="s">
        <v>1756</v>
      </c>
      <c r="D4" s="675"/>
      <c r="E4" s="138"/>
      <c r="F4" s="16"/>
      <c r="G4" s="17"/>
      <c r="H4" s="194"/>
    </row>
    <row r="5" spans="1:21" ht="12.75" customHeight="1" x14ac:dyDescent="0.25">
      <c r="A5" s="6"/>
      <c r="B5" s="28"/>
      <c r="C5" s="533"/>
      <c r="D5" s="675"/>
      <c r="E5" s="138"/>
      <c r="F5" s="16"/>
      <c r="G5" s="17"/>
      <c r="H5" s="194"/>
    </row>
    <row r="6" spans="1:21" ht="12.75" customHeight="1" x14ac:dyDescent="0.25">
      <c r="A6" s="6"/>
      <c r="B6" s="28"/>
      <c r="C6" s="533"/>
      <c r="D6" s="675"/>
      <c r="E6" s="138"/>
      <c r="F6" s="16"/>
      <c r="G6" s="17"/>
      <c r="H6" s="194"/>
    </row>
    <row r="7" spans="1:21" ht="12.75" customHeight="1" x14ac:dyDescent="0.25">
      <c r="A7" s="6"/>
      <c r="B7" s="28"/>
      <c r="C7" s="533"/>
      <c r="D7" s="675"/>
      <c r="E7" s="138"/>
      <c r="F7" s="16"/>
      <c r="G7" s="17"/>
      <c r="H7" s="194"/>
    </row>
    <row r="8" spans="1:21" ht="12.75" customHeight="1" x14ac:dyDescent="0.25">
      <c r="A8" s="677" t="s">
        <v>925</v>
      </c>
      <c r="B8" s="28"/>
      <c r="C8" s="533"/>
      <c r="D8" s="675"/>
      <c r="E8" s="138"/>
      <c r="F8" s="16"/>
      <c r="G8" s="17"/>
      <c r="H8" s="194"/>
    </row>
    <row r="9" spans="1:21" ht="12.75" customHeight="1" x14ac:dyDescent="0.25">
      <c r="A9" s="677"/>
      <c r="B9" s="28"/>
      <c r="C9" s="533"/>
      <c r="D9" s="675"/>
      <c r="E9" s="138"/>
      <c r="F9" s="16"/>
      <c r="G9" s="17"/>
      <c r="H9" s="194"/>
    </row>
    <row r="10" spans="1:21" ht="13.5" thickBot="1" x14ac:dyDescent="0.25">
      <c r="A10" s="631"/>
      <c r="B10" s="631"/>
      <c r="C10" s="806"/>
      <c r="D10" s="632"/>
      <c r="G10" s="980"/>
      <c r="H10" s="668" t="s">
        <v>173</v>
      </c>
    </row>
    <row r="11" spans="1:21" s="107" customFormat="1" ht="20.25" customHeight="1" thickTop="1" thickBot="1" x14ac:dyDescent="0.25">
      <c r="A11" s="633" t="s">
        <v>174</v>
      </c>
      <c r="B11" s="634" t="s">
        <v>175</v>
      </c>
      <c r="C11" s="678" t="s">
        <v>744</v>
      </c>
      <c r="D11" s="636" t="s">
        <v>176</v>
      </c>
      <c r="E11" s="636" t="s">
        <v>177</v>
      </c>
      <c r="F11" s="636" t="s">
        <v>922</v>
      </c>
      <c r="G11" s="636" t="s">
        <v>923</v>
      </c>
      <c r="H11" s="637" t="s">
        <v>924</v>
      </c>
    </row>
    <row r="12" spans="1:21" s="384" customFormat="1" ht="13.5" thickTop="1" thickBot="1" x14ac:dyDescent="0.25">
      <c r="A12" s="568">
        <v>1</v>
      </c>
      <c r="B12" s="569">
        <v>2</v>
      </c>
      <c r="C12" s="569">
        <v>3</v>
      </c>
      <c r="D12" s="569">
        <v>4</v>
      </c>
      <c r="E12" s="569">
        <v>5</v>
      </c>
      <c r="F12" s="543">
        <v>6</v>
      </c>
      <c r="G12" s="543">
        <v>7</v>
      </c>
      <c r="H12" s="638" t="s">
        <v>61</v>
      </c>
      <c r="I12" s="107"/>
    </row>
    <row r="13" spans="1:21" s="1159" customFormat="1" ht="14.25" customHeight="1" thickTop="1" x14ac:dyDescent="0.25">
      <c r="A13" s="34">
        <v>2221</v>
      </c>
      <c r="B13" s="1139">
        <v>5193</v>
      </c>
      <c r="C13" s="1120"/>
      <c r="D13" s="1108" t="s">
        <v>767</v>
      </c>
      <c r="E13" s="48">
        <f>E14+E15+E16</f>
        <v>370372</v>
      </c>
      <c r="F13" s="48">
        <f>F14+F15+F16</f>
        <v>371690</v>
      </c>
      <c r="G13" s="48">
        <f>G14+G15+G16</f>
        <v>370398</v>
      </c>
      <c r="H13" s="203">
        <f>G13/F13*100</f>
        <v>99.652398504129792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s="1159" customFormat="1" ht="14.25" customHeight="1" x14ac:dyDescent="0.2">
      <c r="A14" s="34"/>
      <c r="B14" s="1139"/>
      <c r="C14" s="1135" t="s">
        <v>27</v>
      </c>
      <c r="D14" s="1114" t="s">
        <v>1319</v>
      </c>
      <c r="E14" s="55">
        <v>368872</v>
      </c>
      <c r="F14" s="1337">
        <v>369860</v>
      </c>
      <c r="G14" s="316">
        <v>368769</v>
      </c>
      <c r="H14" s="1116">
        <f>G14/F14*100</f>
        <v>99.705023522413882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1" s="1159" customFormat="1" ht="14.25" customHeight="1" x14ac:dyDescent="0.2">
      <c r="A15" s="34"/>
      <c r="B15" s="1139"/>
      <c r="C15" s="1135" t="s">
        <v>28</v>
      </c>
      <c r="D15" s="85" t="s">
        <v>1320</v>
      </c>
      <c r="E15" s="55">
        <v>1500</v>
      </c>
      <c r="F15" s="314">
        <v>1500</v>
      </c>
      <c r="G15" s="316">
        <v>1299</v>
      </c>
      <c r="H15" s="1116">
        <f>G15/F15*100</f>
        <v>86.6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s="1159" customFormat="1" ht="14.25" customHeight="1" x14ac:dyDescent="0.2">
      <c r="A16" s="34"/>
      <c r="B16" s="1139"/>
      <c r="C16" s="1135" t="s">
        <v>1791</v>
      </c>
      <c r="D16" s="85" t="s">
        <v>1792</v>
      </c>
      <c r="E16" s="55"/>
      <c r="F16" s="314">
        <v>330</v>
      </c>
      <c r="G16" s="316">
        <v>330</v>
      </c>
      <c r="H16" s="1116">
        <f>G16/F16*100</f>
        <v>100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1" s="1159" customFormat="1" ht="14.25" customHeight="1" x14ac:dyDescent="0.25">
      <c r="A17" s="1416">
        <v>2223</v>
      </c>
      <c r="B17" s="85">
        <v>5166</v>
      </c>
      <c r="C17" s="1135"/>
      <c r="D17" s="1108" t="s">
        <v>646</v>
      </c>
      <c r="E17" s="71">
        <v>60</v>
      </c>
      <c r="F17" s="313">
        <v>0</v>
      </c>
      <c r="G17" s="315">
        <v>0</v>
      </c>
      <c r="H17" s="203">
        <v>0</v>
      </c>
      <c r="I17" s="1194"/>
      <c r="J17" s="1194"/>
      <c r="K17" s="1194"/>
      <c r="L17" s="1194"/>
      <c r="M17" s="1194"/>
      <c r="N17" s="1194"/>
      <c r="O17" s="1194"/>
      <c r="P17" s="1194"/>
      <c r="Q17" s="1194"/>
      <c r="R17" s="1194"/>
      <c r="S17" s="1194"/>
      <c r="T17" s="1194"/>
      <c r="U17" s="1194"/>
    </row>
    <row r="18" spans="1:21" s="1159" customFormat="1" ht="14.25" customHeight="1" x14ac:dyDescent="0.25">
      <c r="A18" s="34">
        <v>2223</v>
      </c>
      <c r="B18" s="1139">
        <v>5192</v>
      </c>
      <c r="C18" s="1120"/>
      <c r="D18" s="1108" t="s">
        <v>1290</v>
      </c>
      <c r="E18" s="48">
        <v>200</v>
      </c>
      <c r="F18" s="168">
        <v>200</v>
      </c>
      <c r="G18" s="447">
        <v>85</v>
      </c>
      <c r="H18" s="203">
        <f t="shared" ref="H18:H24" si="0">G18/F18*100</f>
        <v>42.5</v>
      </c>
      <c r="I18" s="1107"/>
      <c r="J18" s="1107"/>
      <c r="K18" s="1107"/>
      <c r="L18" s="1107"/>
      <c r="M18" s="1107"/>
      <c r="N18" s="1107"/>
      <c r="O18" s="1107"/>
      <c r="P18" s="1107"/>
      <c r="Q18" s="1107"/>
      <c r="R18" s="1107"/>
      <c r="S18" s="1107"/>
      <c r="T18" s="1107"/>
      <c r="U18" s="1107"/>
    </row>
    <row r="19" spans="1:21" s="1159" customFormat="1" ht="14.25" customHeight="1" x14ac:dyDescent="0.25">
      <c r="A19" s="34">
        <v>2223</v>
      </c>
      <c r="B19" s="1139">
        <v>5339</v>
      </c>
      <c r="C19" s="1120"/>
      <c r="D19" s="1108" t="s">
        <v>1299</v>
      </c>
      <c r="E19" s="48">
        <v>747</v>
      </c>
      <c r="F19" s="168">
        <v>847</v>
      </c>
      <c r="G19" s="447">
        <v>847</v>
      </c>
      <c r="H19" s="203">
        <f t="shared" si="0"/>
        <v>100</v>
      </c>
      <c r="I19" s="1107"/>
      <c r="J19" s="1107"/>
      <c r="K19" s="1107"/>
      <c r="L19" s="1107"/>
      <c r="M19" s="1107"/>
      <c r="N19" s="1107"/>
      <c r="O19" s="1107"/>
      <c r="P19" s="1107"/>
      <c r="Q19" s="1107"/>
      <c r="R19" s="1107"/>
      <c r="S19" s="1107"/>
      <c r="T19" s="1107"/>
      <c r="U19" s="1107"/>
    </row>
    <row r="20" spans="1:21" s="1159" customFormat="1" ht="14.25" customHeight="1" x14ac:dyDescent="0.25">
      <c r="A20" s="34">
        <v>2242</v>
      </c>
      <c r="B20" s="1139">
        <v>5193</v>
      </c>
      <c r="C20" s="1135"/>
      <c r="D20" s="1195" t="s">
        <v>769</v>
      </c>
      <c r="E20" s="48">
        <f>E21+E22</f>
        <v>418015</v>
      </c>
      <c r="F20" s="48">
        <f>F21+F22</f>
        <v>635585</v>
      </c>
      <c r="G20" s="48">
        <f>G21+G22</f>
        <v>635585</v>
      </c>
      <c r="H20" s="203">
        <f t="shared" si="0"/>
        <v>100</v>
      </c>
      <c r="I20" s="1107"/>
      <c r="J20" s="1107"/>
      <c r="K20" s="1107"/>
      <c r="L20" s="1107"/>
      <c r="M20" s="1107"/>
      <c r="N20" s="1107"/>
      <c r="O20" s="1107"/>
      <c r="P20" s="1107"/>
      <c r="Q20" s="1107"/>
      <c r="R20" s="1107"/>
      <c r="S20" s="1107"/>
      <c r="T20" s="1107"/>
      <c r="U20" s="1107"/>
    </row>
    <row r="21" spans="1:21" s="1159" customFormat="1" ht="14.25" customHeight="1" x14ac:dyDescent="0.2">
      <c r="A21" s="1420"/>
      <c r="B21" s="1419"/>
      <c r="C21" s="1135" t="s">
        <v>29</v>
      </c>
      <c r="D21" s="85" t="s">
        <v>30</v>
      </c>
      <c r="E21" s="55">
        <v>418015</v>
      </c>
      <c r="F21" s="314">
        <v>427015</v>
      </c>
      <c r="G21" s="316">
        <v>427015</v>
      </c>
      <c r="H21" s="1116">
        <f t="shared" si="0"/>
        <v>100</v>
      </c>
      <c r="I21" s="1194"/>
      <c r="J21" s="1194"/>
      <c r="K21" s="1194"/>
      <c r="L21" s="1194"/>
      <c r="M21" s="1194"/>
      <c r="N21" s="1194"/>
      <c r="O21" s="1194"/>
      <c r="P21" s="1194"/>
      <c r="Q21" s="1194"/>
      <c r="R21" s="1194"/>
      <c r="S21" s="1194"/>
      <c r="T21" s="1194"/>
      <c r="U21" s="1194"/>
    </row>
    <row r="22" spans="1:21" s="1159" customFormat="1" ht="14.25" customHeight="1" x14ac:dyDescent="0.2">
      <c r="A22" s="1420"/>
      <c r="B22" s="1419"/>
      <c r="C22" s="1119" t="s">
        <v>889</v>
      </c>
      <c r="D22" s="2652" t="s">
        <v>288</v>
      </c>
      <c r="E22" s="55"/>
      <c r="F22" s="314">
        <v>208570</v>
      </c>
      <c r="G22" s="316">
        <v>208570</v>
      </c>
      <c r="H22" s="1116">
        <f t="shared" si="0"/>
        <v>100</v>
      </c>
      <c r="I22" s="1194"/>
      <c r="J22" s="1194"/>
      <c r="K22" s="1194"/>
      <c r="L22" s="1194"/>
      <c r="M22" s="1194"/>
      <c r="N22" s="1194"/>
      <c r="O22" s="1194"/>
      <c r="P22" s="1194"/>
      <c r="Q22" s="1194"/>
      <c r="R22" s="1194"/>
      <c r="S22" s="1194"/>
      <c r="T22" s="1194"/>
      <c r="U22" s="1194"/>
    </row>
    <row r="23" spans="1:21" s="1159" customFormat="1" ht="14.25" customHeight="1" x14ac:dyDescent="0.25">
      <c r="A23" s="1420"/>
      <c r="B23" s="1419"/>
      <c r="C23" s="1135"/>
      <c r="D23" s="2715"/>
      <c r="E23" s="55"/>
      <c r="F23" s="313">
        <v>25</v>
      </c>
      <c r="G23" s="315">
        <v>25</v>
      </c>
      <c r="H23" s="203">
        <f t="shared" si="0"/>
        <v>100</v>
      </c>
      <c r="I23" s="1194"/>
      <c r="J23" s="1194"/>
      <c r="K23" s="1194"/>
      <c r="L23" s="1194"/>
      <c r="M23" s="1194"/>
      <c r="N23" s="1194"/>
      <c r="O23" s="1194"/>
      <c r="P23" s="1194"/>
      <c r="Q23" s="1194"/>
      <c r="R23" s="1194"/>
      <c r="S23" s="1194"/>
      <c r="T23" s="1194"/>
      <c r="U23" s="1194"/>
    </row>
    <row r="24" spans="1:21" s="1159" customFormat="1" ht="14.25" customHeight="1" x14ac:dyDescent="0.25">
      <c r="A24" s="1416">
        <v>2242</v>
      </c>
      <c r="B24" s="85">
        <v>5213</v>
      </c>
      <c r="C24" s="1135"/>
      <c r="D24" s="1131" t="s">
        <v>343</v>
      </c>
      <c r="E24" s="55"/>
      <c r="F24" s="314">
        <v>25</v>
      </c>
      <c r="G24" s="316">
        <v>25</v>
      </c>
      <c r="H24" s="1116">
        <f t="shared" si="0"/>
        <v>100</v>
      </c>
      <c r="I24" s="1194"/>
      <c r="J24" s="1194"/>
      <c r="K24" s="1194"/>
      <c r="L24" s="1194"/>
      <c r="M24" s="1194"/>
      <c r="N24" s="1194"/>
      <c r="O24" s="1194"/>
      <c r="P24" s="1194"/>
      <c r="Q24" s="1194"/>
      <c r="R24" s="1194"/>
      <c r="S24" s="1194"/>
      <c r="T24" s="1194"/>
      <c r="U24" s="1194"/>
    </row>
    <row r="25" spans="1:21" s="1159" customFormat="1" ht="14.25" customHeight="1" x14ac:dyDescent="0.2">
      <c r="A25" s="1420"/>
      <c r="B25" s="1419"/>
      <c r="C25" s="1135" t="s">
        <v>1262</v>
      </c>
      <c r="D25" s="1114" t="s">
        <v>1757</v>
      </c>
      <c r="E25" s="55"/>
      <c r="F25" s="314"/>
      <c r="G25" s="316"/>
      <c r="H25" s="1116"/>
      <c r="I25" s="1194"/>
      <c r="J25" s="1194"/>
      <c r="K25" s="1194"/>
      <c r="L25" s="1194"/>
      <c r="M25" s="1194"/>
      <c r="N25" s="1194"/>
      <c r="O25" s="1194"/>
      <c r="P25" s="1194"/>
      <c r="Q25" s="1194"/>
      <c r="R25" s="1194"/>
      <c r="S25" s="1194"/>
      <c r="T25" s="1194"/>
      <c r="U25" s="1194"/>
    </row>
    <row r="26" spans="1:21" s="1159" customFormat="1" ht="14.25" customHeight="1" x14ac:dyDescent="0.25">
      <c r="A26" s="1416">
        <v>2242</v>
      </c>
      <c r="B26" s="85">
        <v>5222</v>
      </c>
      <c r="C26" s="1135"/>
      <c r="D26" s="1219" t="s">
        <v>342</v>
      </c>
      <c r="E26" s="55"/>
      <c r="F26" s="313">
        <v>25</v>
      </c>
      <c r="G26" s="315">
        <v>25</v>
      </c>
      <c r="H26" s="203">
        <f>G26/F26*100</f>
        <v>100</v>
      </c>
      <c r="I26" s="1194"/>
      <c r="J26" s="1194"/>
      <c r="K26" s="1194"/>
      <c r="L26" s="1194"/>
      <c r="M26" s="1194"/>
      <c r="N26" s="1194"/>
      <c r="O26" s="1194"/>
      <c r="P26" s="1194"/>
      <c r="Q26" s="1194"/>
      <c r="R26" s="1194"/>
      <c r="S26" s="1194"/>
      <c r="T26" s="1194"/>
      <c r="U26" s="1194"/>
    </row>
    <row r="27" spans="1:21" s="1159" customFormat="1" ht="14.25" customHeight="1" x14ac:dyDescent="0.2">
      <c r="A27" s="1416"/>
      <c r="B27" s="85"/>
      <c r="C27" s="1135" t="s">
        <v>1262</v>
      </c>
      <c r="D27" s="1114" t="s">
        <v>1757</v>
      </c>
      <c r="E27" s="55"/>
      <c r="F27" s="314">
        <v>25</v>
      </c>
      <c r="G27" s="316">
        <v>25</v>
      </c>
      <c r="H27" s="1116">
        <f>G27/F27*100</f>
        <v>100</v>
      </c>
      <c r="I27" s="1194"/>
      <c r="J27" s="1194"/>
      <c r="K27" s="1194"/>
      <c r="L27" s="1194"/>
      <c r="M27" s="1194"/>
      <c r="N27" s="1194"/>
      <c r="O27" s="1194"/>
      <c r="P27" s="1194"/>
      <c r="Q27" s="1194"/>
      <c r="R27" s="1194"/>
      <c r="S27" s="1194"/>
      <c r="T27" s="1194"/>
      <c r="U27" s="1194"/>
    </row>
    <row r="28" spans="1:21" s="1159" customFormat="1" ht="14.25" customHeight="1" thickBot="1" x14ac:dyDescent="0.3">
      <c r="A28" s="1416">
        <v>2299</v>
      </c>
      <c r="B28" s="85">
        <v>5166</v>
      </c>
      <c r="C28" s="1135"/>
      <c r="D28" s="1108" t="s">
        <v>646</v>
      </c>
      <c r="E28" s="71">
        <v>1250</v>
      </c>
      <c r="F28" s="313">
        <v>755</v>
      </c>
      <c r="G28" s="315">
        <v>705</v>
      </c>
      <c r="H28" s="203">
        <f>G28/F28*100</f>
        <v>93.377483443708613</v>
      </c>
      <c r="I28" s="1194"/>
      <c r="J28" s="1194"/>
      <c r="K28" s="1194"/>
      <c r="L28" s="1194"/>
      <c r="M28" s="1194"/>
      <c r="N28" s="1194"/>
      <c r="O28" s="1194"/>
      <c r="P28" s="1194"/>
      <c r="Q28" s="1194"/>
      <c r="R28" s="1194"/>
      <c r="S28" s="1194"/>
      <c r="T28" s="1194"/>
      <c r="U28" s="1194"/>
    </row>
    <row r="29" spans="1:21" s="361" customFormat="1" ht="30.75" customHeight="1" thickTop="1" thickBot="1" x14ac:dyDescent="0.3">
      <c r="A29" s="639" t="s">
        <v>256</v>
      </c>
      <c r="B29" s="642"/>
      <c r="C29" s="683"/>
      <c r="D29" s="642"/>
      <c r="E29" s="643">
        <f>E13+E17+E18+E19+E20+E23+E26+E28</f>
        <v>790644</v>
      </c>
      <c r="F29" s="643">
        <f>F13+F17+F18+F19+F20+F23+F26+F28</f>
        <v>1009127</v>
      </c>
      <c r="G29" s="643">
        <f>G13+G17+G18+G19+G20+G23+G26+G28</f>
        <v>1007670</v>
      </c>
      <c r="H29" s="644">
        <f>(G29/F29)*100</f>
        <v>99.855617776553402</v>
      </c>
    </row>
    <row r="30" spans="1:21" s="361" customFormat="1" ht="16.5" customHeight="1" thickTop="1" x14ac:dyDescent="0.25">
      <c r="A30" s="359"/>
      <c r="B30" s="360"/>
      <c r="C30" s="142"/>
      <c r="D30" s="360"/>
      <c r="E30" s="17"/>
      <c r="F30" s="17"/>
      <c r="G30" s="17"/>
      <c r="H30" s="194"/>
    </row>
    <row r="31" spans="1:21" s="361" customFormat="1" ht="16.5" customHeight="1" x14ac:dyDescent="0.25">
      <c r="A31" s="359"/>
      <c r="B31" s="360"/>
      <c r="C31" s="142"/>
      <c r="D31" s="360"/>
      <c r="E31" s="17"/>
      <c r="F31" s="17"/>
      <c r="G31" s="17"/>
      <c r="H31" s="194"/>
    </row>
    <row r="32" spans="1:21" s="361" customFormat="1" ht="16.5" customHeight="1" x14ac:dyDescent="0.25">
      <c r="A32" s="359"/>
      <c r="B32" s="360"/>
      <c r="C32" s="142"/>
      <c r="D32" s="360"/>
      <c r="E32" s="17"/>
      <c r="F32" s="17"/>
      <c r="G32" s="17"/>
      <c r="H32" s="194"/>
    </row>
    <row r="33" spans="1:21" ht="15.75" x14ac:dyDescent="0.25">
      <c r="A33" s="33" t="s">
        <v>1310</v>
      </c>
      <c r="B33" s="33"/>
      <c r="C33" s="667"/>
      <c r="E33" s="1350"/>
      <c r="F33" s="1350"/>
      <c r="G33" s="1350"/>
    </row>
    <row r="34" spans="1:21" ht="13.5" thickBot="1" x14ac:dyDescent="0.25">
      <c r="A34" s="702"/>
      <c r="B34" s="702"/>
      <c r="C34" s="667"/>
      <c r="E34" s="1350"/>
      <c r="F34" s="1350"/>
      <c r="G34" s="1350"/>
      <c r="H34" s="668" t="s">
        <v>173</v>
      </c>
    </row>
    <row r="35" spans="1:21" s="107" customFormat="1" ht="20.25" customHeight="1" thickTop="1" thickBot="1" x14ac:dyDescent="0.25">
      <c r="A35" s="633" t="s">
        <v>174</v>
      </c>
      <c r="B35" s="634" t="s">
        <v>175</v>
      </c>
      <c r="C35" s="678" t="s">
        <v>744</v>
      </c>
      <c r="D35" s="636" t="s">
        <v>176</v>
      </c>
      <c r="E35" s="636" t="s">
        <v>177</v>
      </c>
      <c r="F35" s="636" t="s">
        <v>922</v>
      </c>
      <c r="G35" s="636" t="s">
        <v>923</v>
      </c>
      <c r="H35" s="637" t="s">
        <v>924</v>
      </c>
    </row>
    <row r="36" spans="1:21" s="384" customFormat="1" ht="13.5" thickTop="1" thickBot="1" x14ac:dyDescent="0.25">
      <c r="A36" s="568">
        <v>1</v>
      </c>
      <c r="B36" s="569">
        <v>2</v>
      </c>
      <c r="C36" s="569">
        <v>3</v>
      </c>
      <c r="D36" s="569">
        <v>4</v>
      </c>
      <c r="E36" s="569">
        <v>5</v>
      </c>
      <c r="F36" s="543">
        <v>6</v>
      </c>
      <c r="G36" s="543">
        <v>7</v>
      </c>
      <c r="H36" s="638" t="s">
        <v>61</v>
      </c>
      <c r="I36" s="107"/>
    </row>
    <row r="37" spans="1:21" s="1107" customFormat="1" ht="13.5" customHeight="1" thickTop="1" x14ac:dyDescent="0.25">
      <c r="A37" s="50">
        <v>2212</v>
      </c>
      <c r="B37" s="31">
        <v>6313</v>
      </c>
      <c r="C37" s="1166"/>
      <c r="D37" s="381" t="s">
        <v>1229</v>
      </c>
      <c r="E37" s="60"/>
      <c r="F37" s="371">
        <f>F38</f>
        <v>3570</v>
      </c>
      <c r="G37" s="371">
        <f>G38</f>
        <v>3570</v>
      </c>
      <c r="H37" s="203">
        <f t="shared" ref="H37:H42" si="1">G37/F37*100</f>
        <v>100</v>
      </c>
      <c r="I37" s="1159"/>
      <c r="J37" s="1159"/>
      <c r="K37" s="1159"/>
      <c r="L37" s="1159"/>
      <c r="M37" s="1159"/>
      <c r="N37" s="1159"/>
      <c r="O37" s="1159"/>
      <c r="P37" s="1159"/>
      <c r="Q37" s="1159"/>
      <c r="R37" s="1159"/>
      <c r="S37" s="1159"/>
      <c r="T37" s="1159"/>
      <c r="U37" s="1159"/>
    </row>
    <row r="38" spans="1:21" s="1107" customFormat="1" ht="13.5" customHeight="1" x14ac:dyDescent="0.2">
      <c r="A38" s="34"/>
      <c r="B38" s="1520"/>
      <c r="C38" s="1218" t="s">
        <v>22</v>
      </c>
      <c r="D38" s="166" t="s">
        <v>1263</v>
      </c>
      <c r="E38" s="124"/>
      <c r="F38" s="314">
        <v>3570</v>
      </c>
      <c r="G38" s="316">
        <v>3570</v>
      </c>
      <c r="H38" s="1116">
        <f t="shared" si="1"/>
        <v>100</v>
      </c>
      <c r="I38" s="1159"/>
      <c r="J38" s="1159"/>
      <c r="K38" s="1159"/>
      <c r="L38" s="1159"/>
      <c r="M38" s="1159"/>
      <c r="N38" s="1159"/>
      <c r="O38" s="1159"/>
      <c r="P38" s="1159"/>
      <c r="Q38" s="1159"/>
      <c r="R38" s="1159"/>
      <c r="S38" s="1159"/>
      <c r="T38" s="1159"/>
      <c r="U38" s="1159"/>
    </row>
    <row r="39" spans="1:21" s="1107" customFormat="1" ht="13.5" customHeight="1" x14ac:dyDescent="0.25">
      <c r="A39" s="34">
        <v>2212</v>
      </c>
      <c r="B39" s="1520">
        <v>6349</v>
      </c>
      <c r="C39" s="1218"/>
      <c r="D39" s="87" t="s">
        <v>1596</v>
      </c>
      <c r="E39" s="124"/>
      <c r="F39" s="313">
        <v>14500</v>
      </c>
      <c r="G39" s="315">
        <v>14500</v>
      </c>
      <c r="H39" s="203">
        <f t="shared" si="1"/>
        <v>100</v>
      </c>
      <c r="I39" s="1159"/>
      <c r="J39" s="1159"/>
      <c r="K39" s="1159"/>
      <c r="L39" s="1159"/>
      <c r="M39" s="1159"/>
      <c r="N39" s="1159"/>
      <c r="O39" s="1159"/>
      <c r="P39" s="1159"/>
      <c r="Q39" s="1159"/>
      <c r="R39" s="1159"/>
      <c r="S39" s="1159"/>
      <c r="T39" s="1159"/>
      <c r="U39" s="1159"/>
    </row>
    <row r="40" spans="1:21" s="1107" customFormat="1" ht="13.5" customHeight="1" x14ac:dyDescent="0.2">
      <c r="A40" s="34"/>
      <c r="B40" s="1520"/>
      <c r="C40" s="1170" t="s">
        <v>369</v>
      </c>
      <c r="D40" s="1149" t="s">
        <v>933</v>
      </c>
      <c r="E40" s="124"/>
      <c r="F40" s="314">
        <v>14500</v>
      </c>
      <c r="G40" s="316">
        <v>14500</v>
      </c>
      <c r="H40" s="1116">
        <f t="shared" si="1"/>
        <v>100</v>
      </c>
      <c r="I40" s="1159"/>
      <c r="J40" s="1159"/>
      <c r="K40" s="1159"/>
      <c r="L40" s="1159"/>
      <c r="M40" s="1159"/>
      <c r="N40" s="1159"/>
      <c r="O40" s="1159"/>
      <c r="P40" s="1159"/>
      <c r="Q40" s="1159"/>
      <c r="R40" s="1159"/>
      <c r="S40" s="1159"/>
      <c r="T40" s="1159"/>
      <c r="U40" s="1159"/>
    </row>
    <row r="41" spans="1:21" s="1107" customFormat="1" ht="13.5" customHeight="1" x14ac:dyDescent="0.25">
      <c r="A41" s="34">
        <v>2219</v>
      </c>
      <c r="B41" s="1520">
        <v>6349</v>
      </c>
      <c r="C41" s="1218"/>
      <c r="D41" s="87" t="s">
        <v>1596</v>
      </c>
      <c r="E41" s="124"/>
      <c r="F41" s="313">
        <v>400</v>
      </c>
      <c r="G41" s="315">
        <v>400</v>
      </c>
      <c r="H41" s="203">
        <f t="shared" si="1"/>
        <v>100</v>
      </c>
      <c r="I41" s="1159"/>
      <c r="J41" s="1159"/>
      <c r="K41" s="1159"/>
      <c r="L41" s="1159"/>
      <c r="M41" s="1159"/>
      <c r="N41" s="1159"/>
      <c r="O41" s="1159"/>
      <c r="P41" s="1159"/>
      <c r="Q41" s="1159"/>
      <c r="R41" s="1159"/>
      <c r="S41" s="1159"/>
      <c r="T41" s="1159"/>
      <c r="U41" s="1159"/>
    </row>
    <row r="42" spans="1:21" s="1107" customFormat="1" ht="13.5" customHeight="1" thickBot="1" x14ac:dyDescent="0.25">
      <c r="A42" s="34"/>
      <c r="B42" s="1520"/>
      <c r="C42" s="1135" t="s">
        <v>262</v>
      </c>
      <c r="D42" s="1114" t="s">
        <v>333</v>
      </c>
      <c r="E42" s="124"/>
      <c r="F42" s="314">
        <v>400</v>
      </c>
      <c r="G42" s="316">
        <v>400</v>
      </c>
      <c r="H42" s="1116">
        <f t="shared" si="1"/>
        <v>100</v>
      </c>
      <c r="I42" s="1159"/>
      <c r="J42" s="1159"/>
      <c r="K42" s="1159"/>
      <c r="L42" s="1159"/>
      <c r="M42" s="1159"/>
      <c r="N42" s="1159"/>
      <c r="O42" s="1159"/>
      <c r="P42" s="1159"/>
      <c r="Q42" s="1159"/>
      <c r="R42" s="1159"/>
      <c r="S42" s="1159"/>
      <c r="T42" s="1159"/>
      <c r="U42" s="1159"/>
    </row>
    <row r="43" spans="1:21" s="361" customFormat="1" ht="33.75" customHeight="1" thickTop="1" thickBot="1" x14ac:dyDescent="0.3">
      <c r="A43" s="639" t="s">
        <v>257</v>
      </c>
      <c r="B43" s="642"/>
      <c r="C43" s="683"/>
      <c r="D43" s="642"/>
      <c r="E43" s="807">
        <v>0</v>
      </c>
      <c r="F43" s="807">
        <f>F37+F39+F41</f>
        <v>18470</v>
      </c>
      <c r="G43" s="807">
        <f>G37+G39+G41</f>
        <v>18470</v>
      </c>
      <c r="H43" s="1198">
        <f>(G43/F43)*100</f>
        <v>100</v>
      </c>
      <c r="J43" s="701"/>
      <c r="K43" s="701"/>
      <c r="L43" s="701"/>
      <c r="M43" s="701"/>
    </row>
    <row r="44" spans="1:21" s="361" customFormat="1" ht="17.25" customHeight="1" thickTop="1" x14ac:dyDescent="0.25">
      <c r="A44" s="359"/>
      <c r="B44" s="360"/>
      <c r="C44" s="142"/>
      <c r="D44" s="360"/>
      <c r="E44" s="17"/>
      <c r="F44" s="17"/>
      <c r="G44" s="17"/>
      <c r="H44" s="194"/>
    </row>
    <row r="45" spans="1:21" s="361" customFormat="1" ht="17.25" customHeight="1" x14ac:dyDescent="0.25">
      <c r="A45" s="359"/>
      <c r="B45" s="360"/>
      <c r="C45" s="142"/>
      <c r="D45" s="360"/>
      <c r="E45" s="17"/>
      <c r="F45" s="17"/>
      <c r="G45" s="17"/>
      <c r="H45" s="194"/>
    </row>
    <row r="46" spans="1:21" s="361" customFormat="1" ht="17.25" customHeight="1" x14ac:dyDescent="0.25">
      <c r="A46" s="359"/>
      <c r="B46" s="360"/>
      <c r="C46" s="142"/>
      <c r="D46" s="360"/>
      <c r="E46" s="17"/>
      <c r="F46" s="17"/>
      <c r="G46" s="17"/>
      <c r="H46" s="194"/>
    </row>
    <row r="47" spans="1:21" s="361" customFormat="1" ht="17.25" customHeight="1" x14ac:dyDescent="0.25">
      <c r="A47" s="359"/>
      <c r="B47" s="360"/>
      <c r="C47" s="142"/>
      <c r="D47" s="360"/>
      <c r="E47" s="17"/>
      <c r="F47" s="17"/>
      <c r="G47" s="17"/>
      <c r="H47" s="194"/>
    </row>
    <row r="48" spans="1:21" s="361" customFormat="1" ht="17.25" customHeight="1" x14ac:dyDescent="0.25">
      <c r="A48" s="359"/>
      <c r="B48" s="360"/>
      <c r="C48" s="142"/>
      <c r="D48" s="360"/>
      <c r="E48" s="17"/>
      <c r="F48" s="17"/>
      <c r="G48" s="17"/>
      <c r="H48" s="194"/>
    </row>
    <row r="49" spans="1:8" s="361" customFormat="1" ht="17.25" customHeight="1" x14ac:dyDescent="0.25">
      <c r="A49" s="359"/>
      <c r="B49" s="360"/>
      <c r="C49" s="142"/>
      <c r="D49" s="360"/>
      <c r="E49" s="17"/>
      <c r="F49" s="17"/>
      <c r="G49" s="17"/>
      <c r="H49" s="194"/>
    </row>
    <row r="50" spans="1:8" s="361" customFormat="1" ht="17.25" customHeight="1" x14ac:dyDescent="0.25">
      <c r="A50" s="359"/>
      <c r="B50" s="360"/>
      <c r="C50" s="142"/>
      <c r="D50" s="360"/>
      <c r="E50" s="17"/>
      <c r="F50" s="17"/>
      <c r="G50" s="17"/>
      <c r="H50" s="194"/>
    </row>
    <row r="51" spans="1:8" s="361" customFormat="1" ht="17.25" customHeight="1" x14ac:dyDescent="0.25">
      <c r="A51" s="359"/>
      <c r="B51" s="360"/>
      <c r="C51" s="142"/>
      <c r="D51" s="360"/>
      <c r="E51" s="17"/>
      <c r="F51" s="17"/>
      <c r="G51" s="17"/>
      <c r="H51" s="194"/>
    </row>
    <row r="52" spans="1:8" s="361" customFormat="1" ht="17.25" customHeight="1" x14ac:dyDescent="0.25">
      <c r="A52" s="359"/>
      <c r="B52" s="360"/>
      <c r="C52" s="142"/>
      <c r="D52" s="360"/>
      <c r="E52" s="17"/>
      <c r="F52" s="17"/>
      <c r="G52" s="17"/>
      <c r="H52" s="194"/>
    </row>
    <row r="53" spans="1:8" s="361" customFormat="1" ht="17.25" customHeight="1" x14ac:dyDescent="0.25">
      <c r="A53" s="359"/>
      <c r="B53" s="360"/>
      <c r="C53" s="142"/>
      <c r="D53" s="360"/>
      <c r="E53" s="17"/>
      <c r="F53" s="17"/>
      <c r="G53" s="17"/>
      <c r="H53" s="194"/>
    </row>
    <row r="54" spans="1:8" s="361" customFormat="1" ht="17.25" customHeight="1" x14ac:dyDescent="0.25">
      <c r="A54" s="359"/>
      <c r="B54" s="360"/>
      <c r="C54" s="142"/>
      <c r="D54" s="360"/>
      <c r="E54" s="17"/>
      <c r="F54" s="17"/>
      <c r="G54" s="17"/>
      <c r="H54" s="194"/>
    </row>
    <row r="55" spans="1:8" s="361" customFormat="1" ht="17.25" customHeight="1" x14ac:dyDescent="0.25">
      <c r="A55" s="359"/>
      <c r="B55" s="360"/>
      <c r="C55" s="142"/>
      <c r="D55" s="360"/>
      <c r="E55" s="17"/>
      <c r="F55" s="17"/>
      <c r="G55" s="17"/>
      <c r="H55" s="194"/>
    </row>
    <row r="56" spans="1:8" s="361" customFormat="1" ht="17.25" customHeight="1" x14ac:dyDescent="0.25">
      <c r="A56" s="359"/>
      <c r="B56" s="360"/>
      <c r="C56" s="142"/>
      <c r="D56" s="360"/>
      <c r="E56" s="17"/>
      <c r="F56" s="17"/>
      <c r="G56" s="17"/>
      <c r="H56" s="194"/>
    </row>
    <row r="57" spans="1:8" s="361" customFormat="1" ht="17.25" customHeight="1" x14ac:dyDescent="0.25">
      <c r="A57" s="359"/>
      <c r="B57" s="360"/>
      <c r="C57" s="142"/>
      <c r="D57" s="360"/>
      <c r="E57" s="17"/>
      <c r="F57" s="17"/>
      <c r="G57" s="17"/>
      <c r="H57" s="194"/>
    </row>
    <row r="58" spans="1:8" s="361" customFormat="1" ht="17.25" customHeight="1" x14ac:dyDescent="0.25">
      <c r="A58" s="359"/>
      <c r="B58" s="360"/>
      <c r="C58" s="142"/>
      <c r="D58" s="360"/>
      <c r="E58" s="17"/>
      <c r="F58" s="17"/>
      <c r="G58" s="17"/>
      <c r="H58" s="194"/>
    </row>
    <row r="59" spans="1:8" s="361" customFormat="1" ht="17.25" customHeight="1" x14ac:dyDescent="0.25">
      <c r="A59" s="359"/>
      <c r="B59" s="360"/>
      <c r="C59" s="142"/>
      <c r="D59" s="360"/>
      <c r="E59" s="17"/>
      <c r="F59" s="17"/>
      <c r="G59" s="17"/>
      <c r="H59" s="194"/>
    </row>
    <row r="60" spans="1:8" s="361" customFormat="1" ht="17.25" customHeight="1" x14ac:dyDescent="0.25">
      <c r="A60" s="359"/>
      <c r="B60" s="360"/>
      <c r="C60" s="142"/>
      <c r="D60" s="360"/>
      <c r="E60" s="17"/>
      <c r="F60" s="17"/>
      <c r="G60" s="17"/>
      <c r="H60" s="194"/>
    </row>
    <row r="61" spans="1:8" s="361" customFormat="1" ht="17.25" customHeight="1" x14ac:dyDescent="0.25">
      <c r="A61" s="359"/>
      <c r="B61" s="360"/>
      <c r="C61" s="142"/>
      <c r="D61" s="360"/>
      <c r="E61" s="17"/>
      <c r="F61" s="17"/>
      <c r="G61" s="17"/>
      <c r="H61" s="194"/>
    </row>
    <row r="62" spans="1:8" s="361" customFormat="1" ht="17.25" customHeight="1" x14ac:dyDescent="0.25">
      <c r="A62" s="359"/>
      <c r="B62" s="360"/>
      <c r="C62" s="142"/>
      <c r="D62" s="360"/>
      <c r="E62" s="17"/>
      <c r="F62" s="17"/>
      <c r="G62" s="17"/>
      <c r="H62" s="194"/>
    </row>
    <row r="63" spans="1:8" s="361" customFormat="1" ht="17.25" customHeight="1" x14ac:dyDescent="0.25">
      <c r="A63" s="359"/>
      <c r="B63" s="360"/>
      <c r="C63" s="142"/>
      <c r="D63" s="360"/>
      <c r="E63" s="17"/>
      <c r="F63" s="17"/>
      <c r="G63" s="17"/>
      <c r="H63" s="194"/>
    </row>
    <row r="64" spans="1:8" s="361" customFormat="1" ht="17.25" customHeight="1" x14ac:dyDescent="0.25">
      <c r="A64" s="359"/>
      <c r="B64" s="360"/>
      <c r="C64" s="142"/>
      <c r="D64" s="360"/>
      <c r="E64" s="17"/>
      <c r="F64" s="17"/>
      <c r="G64" s="17"/>
      <c r="H64" s="194"/>
    </row>
    <row r="65" spans="1:21" s="361" customFormat="1" ht="17.25" customHeight="1" x14ac:dyDescent="0.25">
      <c r="A65" s="359"/>
      <c r="B65" s="360"/>
      <c r="C65" s="142"/>
      <c r="D65" s="360"/>
      <c r="E65" s="17"/>
      <c r="F65" s="17"/>
      <c r="G65" s="17"/>
      <c r="H65" s="194"/>
    </row>
    <row r="66" spans="1:21" ht="15.75" x14ac:dyDescent="0.25">
      <c r="A66" s="33" t="s">
        <v>170</v>
      </c>
      <c r="B66" s="669"/>
      <c r="C66" s="808"/>
      <c r="D66" s="734"/>
      <c r="E66" s="686"/>
      <c r="F66" s="809"/>
      <c r="G66" s="686"/>
    </row>
    <row r="67" spans="1:21" ht="15.75" x14ac:dyDescent="0.25">
      <c r="A67" s="33"/>
      <c r="B67" s="669"/>
      <c r="C67" s="808"/>
      <c r="D67" s="734"/>
      <c r="E67" s="686"/>
      <c r="F67" s="809"/>
      <c r="G67" s="686"/>
    </row>
    <row r="68" spans="1:21" ht="15" x14ac:dyDescent="0.25">
      <c r="A68" s="2716" t="s">
        <v>1594</v>
      </c>
      <c r="B68" s="2657"/>
      <c r="C68" s="2657"/>
      <c r="D68" s="2657"/>
      <c r="E68" s="686" t="s">
        <v>1595</v>
      </c>
      <c r="F68" s="809"/>
      <c r="G68" s="686"/>
    </row>
    <row r="69" spans="1:21" ht="15" x14ac:dyDescent="0.25">
      <c r="A69" s="2657"/>
      <c r="B69" s="2657"/>
      <c r="C69" s="2657"/>
      <c r="D69" s="2657"/>
      <c r="E69" s="686"/>
      <c r="F69" s="809"/>
      <c r="G69" s="686"/>
    </row>
    <row r="70" spans="1:21" ht="15.75" thickBot="1" x14ac:dyDescent="0.3">
      <c r="A70" s="93"/>
      <c r="C70" s="808"/>
      <c r="D70" s="734"/>
      <c r="E70" s="686"/>
      <c r="F70" s="809"/>
      <c r="G70" s="686"/>
      <c r="H70" s="668" t="s">
        <v>1289</v>
      </c>
    </row>
    <row r="71" spans="1:21" s="107" customFormat="1" ht="20.25" customHeight="1" thickTop="1" thickBot="1" x14ac:dyDescent="0.25">
      <c r="A71" s="633" t="s">
        <v>174</v>
      </c>
      <c r="B71" s="634" t="s">
        <v>175</v>
      </c>
      <c r="C71" s="678" t="s">
        <v>744</v>
      </c>
      <c r="D71" s="810" t="s">
        <v>176</v>
      </c>
      <c r="E71" s="810" t="s">
        <v>177</v>
      </c>
      <c r="F71" s="810" t="s">
        <v>922</v>
      </c>
      <c r="G71" s="810" t="s">
        <v>923</v>
      </c>
      <c r="H71" s="637" t="s">
        <v>924</v>
      </c>
    </row>
    <row r="72" spans="1:21" s="384" customFormat="1" ht="13.5" thickTop="1" thickBot="1" x14ac:dyDescent="0.25">
      <c r="A72" s="568">
        <v>1</v>
      </c>
      <c r="B72" s="569">
        <v>2</v>
      </c>
      <c r="C72" s="569">
        <v>3</v>
      </c>
      <c r="D72" s="569">
        <v>4</v>
      </c>
      <c r="E72" s="569">
        <v>5</v>
      </c>
      <c r="F72" s="543">
        <v>6</v>
      </c>
      <c r="G72" s="543">
        <v>7</v>
      </c>
      <c r="H72" s="638" t="s">
        <v>61</v>
      </c>
      <c r="I72" s="107"/>
    </row>
    <row r="73" spans="1:21" s="1194" customFormat="1" ht="15.75" thickTop="1" x14ac:dyDescent="0.25">
      <c r="A73" s="1212">
        <v>2299</v>
      </c>
      <c r="B73" s="1111">
        <v>5331</v>
      </c>
      <c r="C73" s="1136"/>
      <c r="D73" s="1112" t="s">
        <v>957</v>
      </c>
      <c r="E73" s="1123">
        <f>E74+E75+E76</f>
        <v>12500</v>
      </c>
      <c r="F73" s="1123">
        <f>F74+F75+F76</f>
        <v>12500</v>
      </c>
      <c r="G73" s="1123">
        <f>G74+G75+G76</f>
        <v>12500</v>
      </c>
      <c r="H73" s="1161">
        <f>(G73/F73)*100</f>
        <v>100</v>
      </c>
      <c r="I73" s="119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</row>
    <row r="74" spans="1:21" s="1194" customFormat="1" ht="14.25" x14ac:dyDescent="0.2">
      <c r="A74" s="1213"/>
      <c r="B74" s="19"/>
      <c r="C74" s="1120" t="s">
        <v>611</v>
      </c>
      <c r="D74" s="117" t="s">
        <v>1242</v>
      </c>
      <c r="E74" s="55">
        <v>130</v>
      </c>
      <c r="F74" s="314">
        <v>130</v>
      </c>
      <c r="G74" s="452">
        <v>130</v>
      </c>
      <c r="H74" s="1125">
        <f>G74/F74*100</f>
        <v>100</v>
      </c>
      <c r="I74" s="119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</row>
    <row r="75" spans="1:21" s="1194" customFormat="1" ht="14.25" x14ac:dyDescent="0.2">
      <c r="A75" s="50"/>
      <c r="B75" s="19"/>
      <c r="C75" s="1120" t="s">
        <v>606</v>
      </c>
      <c r="D75" s="31" t="s">
        <v>1502</v>
      </c>
      <c r="E75" s="1172">
        <v>7604</v>
      </c>
      <c r="F75" s="449">
        <v>7604</v>
      </c>
      <c r="G75" s="452">
        <v>7604</v>
      </c>
      <c r="H75" s="1527">
        <f>G75/F75*100</f>
        <v>100</v>
      </c>
      <c r="I75" s="119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</row>
    <row r="76" spans="1:21" s="1194" customFormat="1" ht="15" thickBot="1" x14ac:dyDescent="0.25">
      <c r="A76" s="50"/>
      <c r="B76" s="19"/>
      <c r="C76" s="1119" t="s">
        <v>703</v>
      </c>
      <c r="D76" s="31" t="s">
        <v>1593</v>
      </c>
      <c r="E76" s="1172">
        <v>4766</v>
      </c>
      <c r="F76" s="449">
        <v>4766</v>
      </c>
      <c r="G76" s="452">
        <v>4766</v>
      </c>
      <c r="H76" s="1527">
        <f>G76/F76*100</f>
        <v>100</v>
      </c>
      <c r="I76" s="119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</row>
    <row r="77" spans="1:21" s="361" customFormat="1" ht="19.5" customHeight="1" thickTop="1" thickBot="1" x14ac:dyDescent="0.3">
      <c r="A77" s="639" t="s">
        <v>1162</v>
      </c>
      <c r="B77" s="784"/>
      <c r="C77" s="1217"/>
      <c r="D77" s="784"/>
      <c r="E77" s="812">
        <f>E73</f>
        <v>12500</v>
      </c>
      <c r="F77" s="1214">
        <f>F73</f>
        <v>12500</v>
      </c>
      <c r="G77" s="812">
        <f>G73</f>
        <v>12500</v>
      </c>
      <c r="H77" s="813">
        <f>(G77/F77)*100</f>
        <v>100</v>
      </c>
    </row>
    <row r="78" spans="1:21" ht="16.5" thickTop="1" x14ac:dyDescent="0.25">
      <c r="A78" s="33"/>
      <c r="B78" s="669"/>
      <c r="C78" s="808"/>
      <c r="D78" s="734"/>
      <c r="E78" s="686"/>
      <c r="F78" s="809"/>
      <c r="G78" s="686"/>
    </row>
    <row r="79" spans="1:21" s="368" customFormat="1" ht="23.25" customHeight="1" x14ac:dyDescent="0.25">
      <c r="A79" s="2717" t="s">
        <v>1599</v>
      </c>
      <c r="B79" s="2718"/>
      <c r="C79" s="2718"/>
      <c r="D79" s="2718"/>
      <c r="E79" s="1902">
        <f>E77</f>
        <v>12500</v>
      </c>
      <c r="F79" s="1902">
        <f>F77</f>
        <v>12500</v>
      </c>
      <c r="G79" s="1902">
        <f>G77</f>
        <v>12500</v>
      </c>
      <c r="H79" s="1903">
        <f>(G79/F79)*100</f>
        <v>100</v>
      </c>
    </row>
    <row r="80" spans="1:21" ht="15.75" thickBot="1" x14ac:dyDescent="0.3">
      <c r="A80" s="2719"/>
      <c r="B80" s="2719"/>
      <c r="C80" s="2719"/>
      <c r="D80" s="2719"/>
      <c r="E80" s="1904"/>
      <c r="F80" s="1905"/>
      <c r="G80" s="1904"/>
      <c r="H80" s="1906"/>
    </row>
    <row r="81" spans="1:21" ht="16.5" thickTop="1" x14ac:dyDescent="0.25">
      <c r="A81" s="33"/>
      <c r="B81" s="669"/>
      <c r="C81" s="808"/>
      <c r="D81" s="734"/>
      <c r="E81" s="686"/>
      <c r="F81" s="809"/>
      <c r="G81" s="686"/>
    </row>
    <row r="82" spans="1:21" ht="15.75" x14ac:dyDescent="0.25">
      <c r="A82" s="33"/>
      <c r="B82" s="669"/>
      <c r="C82" s="808"/>
      <c r="D82" s="734"/>
      <c r="E82" s="686"/>
      <c r="F82" s="809"/>
      <c r="G82" s="686"/>
    </row>
    <row r="83" spans="1:21" ht="15.75" x14ac:dyDescent="0.25">
      <c r="A83" s="33"/>
      <c r="B83" s="669"/>
      <c r="C83" s="808"/>
      <c r="D83" s="734"/>
      <c r="E83" s="686"/>
      <c r="F83" s="809"/>
      <c r="G83" s="686"/>
    </row>
    <row r="84" spans="1:21" ht="15.75" x14ac:dyDescent="0.25">
      <c r="A84" s="98" t="s">
        <v>169</v>
      </c>
      <c r="B84" s="669"/>
      <c r="C84" s="808"/>
      <c r="D84" s="734"/>
      <c r="E84" s="686" t="s">
        <v>1501</v>
      </c>
      <c r="F84" s="809"/>
      <c r="G84" s="686"/>
    </row>
    <row r="85" spans="1:21" ht="15.75" thickBot="1" x14ac:dyDescent="0.3">
      <c r="A85" s="93"/>
      <c r="C85" s="808"/>
      <c r="D85" s="734"/>
      <c r="E85" s="686"/>
      <c r="F85" s="809"/>
      <c r="G85" s="686"/>
      <c r="H85" s="668" t="s">
        <v>1289</v>
      </c>
    </row>
    <row r="86" spans="1:21" s="107" customFormat="1" ht="20.25" customHeight="1" thickTop="1" thickBot="1" x14ac:dyDescent="0.25">
      <c r="A86" s="633" t="s">
        <v>174</v>
      </c>
      <c r="B86" s="634" t="s">
        <v>175</v>
      </c>
      <c r="C86" s="678" t="s">
        <v>744</v>
      </c>
      <c r="D86" s="810" t="s">
        <v>176</v>
      </c>
      <c r="E86" s="810" t="s">
        <v>177</v>
      </c>
      <c r="F86" s="810" t="s">
        <v>922</v>
      </c>
      <c r="G86" s="810" t="s">
        <v>923</v>
      </c>
      <c r="H86" s="637" t="s">
        <v>924</v>
      </c>
    </row>
    <row r="87" spans="1:21" s="384" customFormat="1" ht="13.5" thickTop="1" thickBot="1" x14ac:dyDescent="0.25">
      <c r="A87" s="568">
        <v>1</v>
      </c>
      <c r="B87" s="569">
        <v>2</v>
      </c>
      <c r="C87" s="569">
        <v>3</v>
      </c>
      <c r="D87" s="569">
        <v>4</v>
      </c>
      <c r="E87" s="569">
        <v>5</v>
      </c>
      <c r="F87" s="543">
        <v>6</v>
      </c>
      <c r="G87" s="543">
        <v>7</v>
      </c>
      <c r="H87" s="638" t="s">
        <v>61</v>
      </c>
      <c r="I87" s="107"/>
    </row>
    <row r="88" spans="1:21" s="1194" customFormat="1" ht="15.75" thickTop="1" x14ac:dyDescent="0.25">
      <c r="A88" s="1212">
        <v>2212</v>
      </c>
      <c r="B88" s="1111">
        <v>5331</v>
      </c>
      <c r="C88" s="1136"/>
      <c r="D88" s="1112" t="s">
        <v>957</v>
      </c>
      <c r="E88" s="1123">
        <f>E89+E90+E91+E92</f>
        <v>507553</v>
      </c>
      <c r="F88" s="1123">
        <f>F89+F90+F91+F92</f>
        <v>515170</v>
      </c>
      <c r="G88" s="1123">
        <f>G89+G90+G91+G92</f>
        <v>515170</v>
      </c>
      <c r="H88" s="1161">
        <f>(G88/F88)*100</f>
        <v>100</v>
      </c>
      <c r="I88" s="119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</row>
    <row r="89" spans="1:21" s="1194" customFormat="1" ht="14.25" x14ac:dyDescent="0.2">
      <c r="A89" s="1213"/>
      <c r="B89" s="19"/>
      <c r="C89" s="1120" t="s">
        <v>611</v>
      </c>
      <c r="D89" s="117" t="s">
        <v>1242</v>
      </c>
      <c r="E89" s="55">
        <v>128000</v>
      </c>
      <c r="F89" s="314">
        <v>115500</v>
      </c>
      <c r="G89" s="452">
        <v>115500</v>
      </c>
      <c r="H89" s="1125">
        <f>G89/F89*100</f>
        <v>100</v>
      </c>
      <c r="I89" s="119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</row>
    <row r="90" spans="1:21" s="1194" customFormat="1" ht="14.25" x14ac:dyDescent="0.2">
      <c r="A90" s="50"/>
      <c r="B90" s="19"/>
      <c r="C90" s="1120" t="s">
        <v>606</v>
      </c>
      <c r="D90" s="31" t="s">
        <v>1502</v>
      </c>
      <c r="E90" s="1172">
        <v>379553</v>
      </c>
      <c r="F90" s="449">
        <v>379553</v>
      </c>
      <c r="G90" s="452">
        <v>379553</v>
      </c>
      <c r="H90" s="1527">
        <f>G90/F90*100</f>
        <v>100</v>
      </c>
      <c r="I90" s="119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</row>
    <row r="91" spans="1:21" s="1194" customFormat="1" ht="14.25" x14ac:dyDescent="0.2">
      <c r="A91" s="50"/>
      <c r="B91" s="19"/>
      <c r="C91" s="1218" t="s">
        <v>22</v>
      </c>
      <c r="D91" s="166" t="s">
        <v>1263</v>
      </c>
      <c r="E91" s="1172"/>
      <c r="F91" s="449">
        <v>20000</v>
      </c>
      <c r="G91" s="452">
        <v>20000</v>
      </c>
      <c r="H91" s="1527">
        <f>G91/F91*100</f>
        <v>100</v>
      </c>
      <c r="I91" s="119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</row>
    <row r="92" spans="1:21" s="1194" customFormat="1" ht="15" thickBot="1" x14ac:dyDescent="0.25">
      <c r="A92" s="50"/>
      <c r="B92" s="19"/>
      <c r="C92" s="1218" t="s">
        <v>1793</v>
      </c>
      <c r="D92" s="166"/>
      <c r="E92" s="1172"/>
      <c r="F92" s="449">
        <v>117</v>
      </c>
      <c r="G92" s="452">
        <v>117</v>
      </c>
      <c r="H92" s="1527">
        <f>G92/F92*100</f>
        <v>100</v>
      </c>
      <c r="I92" s="119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</row>
    <row r="93" spans="1:21" s="361" customFormat="1" ht="19.5" customHeight="1" thickTop="1" thickBot="1" x14ac:dyDescent="0.3">
      <c r="A93" s="639" t="s">
        <v>1162</v>
      </c>
      <c r="B93" s="784"/>
      <c r="C93" s="1217"/>
      <c r="D93" s="784"/>
      <c r="E93" s="812">
        <f>E88</f>
        <v>507553</v>
      </c>
      <c r="F93" s="812">
        <f>F88</f>
        <v>515170</v>
      </c>
      <c r="G93" s="812">
        <f>G88</f>
        <v>515170</v>
      </c>
      <c r="H93" s="813">
        <f>(G93/F93)*100</f>
        <v>100</v>
      </c>
    </row>
    <row r="94" spans="1:21" s="1194" customFormat="1" ht="15.75" thickTop="1" x14ac:dyDescent="0.25">
      <c r="A94" s="50">
        <v>2212</v>
      </c>
      <c r="B94" s="19">
        <v>6351</v>
      </c>
      <c r="C94" s="1120"/>
      <c r="D94" s="1209" t="s">
        <v>657</v>
      </c>
      <c r="E94" s="71">
        <v>0</v>
      </c>
      <c r="F94" s="71">
        <f>F95+F96+F97</f>
        <v>29564</v>
      </c>
      <c r="G94" s="71">
        <f>G95+G96+G97</f>
        <v>29564</v>
      </c>
      <c r="H94" s="255">
        <f>G94/F94*100</f>
        <v>100</v>
      </c>
      <c r="I94" s="119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</row>
    <row r="95" spans="1:21" s="1194" customFormat="1" ht="14.25" x14ac:dyDescent="0.2">
      <c r="A95" s="50"/>
      <c r="B95" s="19"/>
      <c r="C95" s="1120" t="s">
        <v>1243</v>
      </c>
      <c r="D95" s="1107"/>
      <c r="E95" s="55"/>
      <c r="F95" s="1337">
        <v>10272</v>
      </c>
      <c r="G95" s="55">
        <v>10272</v>
      </c>
      <c r="H95" s="237">
        <f>G95/F95*100</f>
        <v>100</v>
      </c>
      <c r="I95" s="119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</row>
    <row r="96" spans="1:21" s="1194" customFormat="1" ht="14.25" x14ac:dyDescent="0.2">
      <c r="A96" s="50"/>
      <c r="B96" s="19"/>
      <c r="C96" s="1120" t="s">
        <v>1243</v>
      </c>
      <c r="D96" s="1107"/>
      <c r="E96" s="55"/>
      <c r="F96" s="1337">
        <v>18982</v>
      </c>
      <c r="G96" s="55">
        <v>18982</v>
      </c>
      <c r="H96" s="237">
        <f>G96/F96*100</f>
        <v>100</v>
      </c>
      <c r="I96" s="119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</row>
    <row r="97" spans="1:21" s="1194" customFormat="1" ht="15" thickBot="1" x14ac:dyDescent="0.25">
      <c r="A97" s="50"/>
      <c r="B97" s="19"/>
      <c r="C97" s="1120" t="s">
        <v>1794</v>
      </c>
      <c r="D97" s="1844"/>
      <c r="E97" s="55"/>
      <c r="F97" s="1337">
        <v>310</v>
      </c>
      <c r="G97" s="55">
        <v>310</v>
      </c>
      <c r="H97" s="237">
        <f>G97/F97*100</f>
        <v>100</v>
      </c>
      <c r="I97" s="119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</row>
    <row r="98" spans="1:21" ht="20.25" customHeight="1" thickTop="1" thickBot="1" x14ac:dyDescent="0.3">
      <c r="A98" s="720" t="s">
        <v>1163</v>
      </c>
      <c r="B98" s="721"/>
      <c r="C98" s="722"/>
      <c r="D98" s="723"/>
      <c r="E98" s="724">
        <f>E94</f>
        <v>0</v>
      </c>
      <c r="F98" s="724">
        <f>F94</f>
        <v>29564</v>
      </c>
      <c r="G98" s="724">
        <f>G94</f>
        <v>29564</v>
      </c>
      <c r="H98" s="802">
        <f>(G98/F98)*100</f>
        <v>100</v>
      </c>
    </row>
    <row r="99" spans="1:21" ht="20.25" customHeight="1" thickTop="1" x14ac:dyDescent="0.25">
      <c r="A99" s="748"/>
      <c r="B99" s="1203"/>
      <c r="C99" s="1204"/>
      <c r="D99" s="1205"/>
      <c r="E99" s="1206"/>
      <c r="F99" s="1206"/>
      <c r="G99" s="1206"/>
      <c r="H99" s="1207"/>
    </row>
    <row r="100" spans="1:21" s="368" customFormat="1" ht="23.25" customHeight="1" thickBot="1" x14ac:dyDescent="0.3">
      <c r="A100" s="739" t="s">
        <v>958</v>
      </c>
      <c r="B100" s="1199"/>
      <c r="C100" s="1200"/>
      <c r="D100" s="1201"/>
      <c r="E100" s="753">
        <f>E93+E98</f>
        <v>507553</v>
      </c>
      <c r="F100" s="753">
        <f>F93+F98</f>
        <v>544734</v>
      </c>
      <c r="G100" s="753">
        <f>G93+G98</f>
        <v>544734</v>
      </c>
      <c r="H100" s="1202">
        <f>(G100/F100)*100</f>
        <v>100</v>
      </c>
    </row>
    <row r="101" spans="1:21" ht="12.75" customHeight="1" thickTop="1" x14ac:dyDescent="0.25">
      <c r="A101" s="814"/>
      <c r="B101" s="815"/>
      <c r="C101" s="816"/>
      <c r="D101" s="817"/>
      <c r="E101" s="818"/>
      <c r="F101" s="818"/>
      <c r="G101" s="818"/>
      <c r="H101" s="819"/>
    </row>
    <row r="106" spans="1:21" s="669" customFormat="1" ht="16.5" x14ac:dyDescent="0.25">
      <c r="A106" s="362" t="s">
        <v>1061</v>
      </c>
      <c r="B106" s="363"/>
      <c r="C106" s="364"/>
      <c r="D106" s="365"/>
      <c r="E106" s="820">
        <f>E107+E108+E109+E110</f>
        <v>790644</v>
      </c>
      <c r="F106" s="820">
        <f>F107+F108+F109+F110</f>
        <v>1027597</v>
      </c>
      <c r="G106" s="820">
        <f>G107+G108+G109+G110</f>
        <v>1026140</v>
      </c>
      <c r="H106" s="821">
        <f>(G106/F106)*100</f>
        <v>99.858212898636339</v>
      </c>
    </row>
    <row r="107" spans="1:21" ht="15" x14ac:dyDescent="0.2">
      <c r="A107" s="557" t="s">
        <v>277</v>
      </c>
      <c r="B107" s="587"/>
      <c r="C107" s="588"/>
      <c r="D107" s="589"/>
      <c r="E107" s="590">
        <f>E29</f>
        <v>790644</v>
      </c>
      <c r="F107" s="590">
        <f>F29-F109</f>
        <v>800557</v>
      </c>
      <c r="G107" s="590">
        <f>G29-G109</f>
        <v>799100</v>
      </c>
      <c r="H107" s="822">
        <f>(G107/F107)*100</f>
        <v>99.818001716305034</v>
      </c>
    </row>
    <row r="108" spans="1:21" ht="15" x14ac:dyDescent="0.2">
      <c r="A108" s="557" t="s">
        <v>278</v>
      </c>
      <c r="B108" s="592"/>
      <c r="C108" s="588"/>
      <c r="D108" s="593"/>
      <c r="E108" s="590">
        <f>E43</f>
        <v>0</v>
      </c>
      <c r="F108" s="590">
        <f>F43</f>
        <v>18470</v>
      </c>
      <c r="G108" s="590">
        <f>G43</f>
        <v>18470</v>
      </c>
      <c r="H108" s="822">
        <f>(G108/F108)*100</f>
        <v>100</v>
      </c>
      <c r="J108" s="495"/>
      <c r="K108" s="495"/>
      <c r="L108" s="495"/>
    </row>
    <row r="109" spans="1:21" ht="15" x14ac:dyDescent="0.2">
      <c r="A109" s="557" t="s">
        <v>221</v>
      </c>
      <c r="B109" s="592"/>
      <c r="C109" s="588"/>
      <c r="D109" s="593"/>
      <c r="E109" s="590">
        <f>E22</f>
        <v>0</v>
      </c>
      <c r="F109" s="590">
        <f>F22</f>
        <v>208570</v>
      </c>
      <c r="G109" s="590">
        <f>G22</f>
        <v>208570</v>
      </c>
      <c r="H109" s="822">
        <f>(G109/F109)*100</f>
        <v>100</v>
      </c>
    </row>
    <row r="110" spans="1:21" ht="15" x14ac:dyDescent="0.2">
      <c r="A110" s="557" t="s">
        <v>1206</v>
      </c>
      <c r="B110" s="592"/>
      <c r="C110" s="588"/>
      <c r="D110" s="593"/>
      <c r="E110" s="590">
        <v>0</v>
      </c>
      <c r="F110" s="590">
        <v>0</v>
      </c>
      <c r="G110" s="590">
        <v>0</v>
      </c>
      <c r="H110" s="822">
        <v>0</v>
      </c>
      <c r="L110" s="495">
        <f>F109+F115</f>
        <v>208687</v>
      </c>
      <c r="M110" s="495">
        <f>G109+G115</f>
        <v>208687</v>
      </c>
      <c r="N110" s="382" t="s">
        <v>1597</v>
      </c>
    </row>
    <row r="111" spans="1:21" s="669" customFormat="1" ht="15" x14ac:dyDescent="0.2">
      <c r="A111" s="557"/>
      <c r="B111" s="592"/>
      <c r="C111" s="588"/>
      <c r="D111" s="593"/>
      <c r="E111" s="590"/>
      <c r="F111" s="590"/>
      <c r="G111" s="590"/>
      <c r="H111" s="823"/>
      <c r="L111" s="1907">
        <f>F110+F116</f>
        <v>310</v>
      </c>
      <c r="M111" s="1907">
        <f>G110+G116</f>
        <v>310</v>
      </c>
      <c r="N111" s="382" t="s">
        <v>1598</v>
      </c>
    </row>
    <row r="112" spans="1:21" s="669" customFormat="1" ht="16.5" x14ac:dyDescent="0.25">
      <c r="A112" s="773" t="s">
        <v>279</v>
      </c>
      <c r="B112" s="592"/>
      <c r="C112" s="588"/>
      <c r="D112" s="593"/>
      <c r="E112" s="820">
        <f>E113+E114+E115+E116</f>
        <v>520053</v>
      </c>
      <c r="F112" s="820">
        <f>F113+F114+F115+F116</f>
        <v>557234</v>
      </c>
      <c r="G112" s="820">
        <f>G113+G114+G115+G116</f>
        <v>557234</v>
      </c>
      <c r="H112" s="821">
        <f>(G112/F112)*100</f>
        <v>100</v>
      </c>
      <c r="L112" s="675">
        <f>L110+L111</f>
        <v>208997</v>
      </c>
      <c r="M112" s="675">
        <f>M110+M111</f>
        <v>208997</v>
      </c>
      <c r="N112" s="382" t="s">
        <v>943</v>
      </c>
    </row>
    <row r="113" spans="1:8" ht="15" x14ac:dyDescent="0.2">
      <c r="A113" s="557" t="s">
        <v>1207</v>
      </c>
      <c r="B113" s="592"/>
      <c r="C113" s="588"/>
      <c r="D113" s="593"/>
      <c r="E113" s="590">
        <f>E93+E77</f>
        <v>520053</v>
      </c>
      <c r="F113" s="590">
        <f>F93+F77-F115</f>
        <v>527553</v>
      </c>
      <c r="G113" s="590">
        <f>G93+G77-G115</f>
        <v>527553</v>
      </c>
      <c r="H113" s="822">
        <f>(G113/F113)*100</f>
        <v>100</v>
      </c>
    </row>
    <row r="114" spans="1:8" ht="15" x14ac:dyDescent="0.2">
      <c r="A114" s="1519" t="s">
        <v>1208</v>
      </c>
      <c r="B114" s="592"/>
      <c r="C114" s="588"/>
      <c r="D114" s="593"/>
      <c r="E114" s="590">
        <f>E98</f>
        <v>0</v>
      </c>
      <c r="F114" s="590">
        <f>F98-F116</f>
        <v>29254</v>
      </c>
      <c r="G114" s="590">
        <f>G98-G116</f>
        <v>29254</v>
      </c>
      <c r="H114" s="822">
        <f>(G114/F114)*100</f>
        <v>100</v>
      </c>
    </row>
    <row r="115" spans="1:8" ht="15" x14ac:dyDescent="0.2">
      <c r="A115" s="1519" t="s">
        <v>221</v>
      </c>
      <c r="B115" s="774"/>
      <c r="C115" s="667"/>
      <c r="E115" s="590">
        <f>E92</f>
        <v>0</v>
      </c>
      <c r="F115" s="590">
        <f>F92</f>
        <v>117</v>
      </c>
      <c r="G115" s="590">
        <f>G92</f>
        <v>117</v>
      </c>
      <c r="H115" s="822">
        <f>(G115/F115)*100</f>
        <v>100</v>
      </c>
    </row>
    <row r="116" spans="1:8" ht="15" x14ac:dyDescent="0.2">
      <c r="A116" s="557" t="s">
        <v>1206</v>
      </c>
      <c r="B116" s="774"/>
      <c r="C116" s="667"/>
      <c r="E116" s="590">
        <f>E97</f>
        <v>0</v>
      </c>
      <c r="F116" s="590">
        <f>F97</f>
        <v>310</v>
      </c>
      <c r="G116" s="590">
        <f>G97</f>
        <v>310</v>
      </c>
      <c r="H116" s="822">
        <f>(G116/F116)*100</f>
        <v>100</v>
      </c>
    </row>
    <row r="119" spans="1:8" s="58" customFormat="1" ht="47.25" customHeight="1" thickBot="1" x14ac:dyDescent="0.4">
      <c r="A119" s="2650" t="s">
        <v>427</v>
      </c>
      <c r="B119" s="2651"/>
      <c r="C119" s="2651"/>
      <c r="D119" s="2651"/>
      <c r="E119" s="824">
        <f>SUM(E106,E112)</f>
        <v>1310697</v>
      </c>
      <c r="F119" s="824">
        <f>SUM(F106,F112)</f>
        <v>1584831</v>
      </c>
      <c r="G119" s="824">
        <f>SUM(G106,G112)</f>
        <v>1583374</v>
      </c>
      <c r="H119" s="1389">
        <f>(G119/F119)*100</f>
        <v>99.908065907342802</v>
      </c>
    </row>
    <row r="120" spans="1:8" ht="13.5" thickTop="1" x14ac:dyDescent="0.2"/>
    <row r="121" spans="1:8" x14ac:dyDescent="0.2">
      <c r="E121" s="1521"/>
      <c r="F121" s="1521"/>
      <c r="G121" s="1521"/>
    </row>
  </sheetData>
  <mergeCells count="4">
    <mergeCell ref="A119:D119"/>
    <mergeCell ref="D22:D23"/>
    <mergeCell ref="A68:D69"/>
    <mergeCell ref="A79:D80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102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 enableFormatConditionsCalculation="0">
    <tabColor rgb="FF00B050"/>
  </sheetPr>
  <dimension ref="A1:V319"/>
  <sheetViews>
    <sheetView showGridLines="0" view="pageBreakPreview" zoomScaleNormal="100" zoomScaleSheetLayoutView="100" workbookViewId="0">
      <selection activeCell="A278" sqref="A278"/>
    </sheetView>
  </sheetViews>
  <sheetFormatPr defaultRowHeight="14.25" x14ac:dyDescent="0.2"/>
  <cols>
    <col min="1" max="1" width="39.42578125" style="2413" customWidth="1"/>
    <col min="2" max="2" width="5.140625" style="2411" customWidth="1"/>
    <col min="3" max="3" width="15.7109375" style="2412" customWidth="1"/>
    <col min="4" max="5" width="16" style="2412" customWidth="1"/>
    <col min="6" max="6" width="8.42578125" style="2412" customWidth="1"/>
    <col min="7" max="7" width="17.140625" style="2550" customWidth="1"/>
    <col min="8" max="8" width="20.140625" style="2550" customWidth="1"/>
    <col min="9" max="9" width="19.5703125" style="2550" customWidth="1"/>
    <col min="10" max="10" width="2.85546875" style="2550" customWidth="1"/>
    <col min="11" max="11" width="19.7109375" style="2550" customWidth="1"/>
    <col min="12" max="13" width="19.7109375" style="2409" customWidth="1"/>
    <col min="14" max="14" width="11.140625" style="2409" customWidth="1"/>
    <col min="15" max="16" width="9.140625" style="2409" customWidth="1"/>
    <col min="17" max="17" width="11.7109375" style="2409" bestFit="1" customWidth="1"/>
    <col min="18" max="18" width="9.85546875" style="2409" bestFit="1" customWidth="1"/>
    <col min="19" max="19" width="12.5703125" style="2409" customWidth="1"/>
    <col min="20" max="20" width="12.85546875" style="2409" customWidth="1"/>
    <col min="21" max="21" width="11.7109375" style="2409" customWidth="1"/>
    <col min="22" max="16384" width="9.140625" style="2409"/>
  </cols>
  <sheetData>
    <row r="1" spans="1:11" ht="23.25" x14ac:dyDescent="0.35">
      <c r="A1" s="2637" t="s">
        <v>1764</v>
      </c>
      <c r="B1" s="2638"/>
      <c r="C1" s="2638"/>
      <c r="D1" s="2638"/>
      <c r="E1" s="2638"/>
      <c r="F1" s="2638"/>
      <c r="G1" s="2565"/>
      <c r="H1" s="2565"/>
      <c r="I1" s="2565"/>
      <c r="J1" s="2565"/>
      <c r="K1" s="2565"/>
    </row>
    <row r="2" spans="1:11" ht="23.25" x14ac:dyDescent="0.35">
      <c r="A2" s="2639"/>
      <c r="B2" s="2640"/>
      <c r="C2" s="2640"/>
      <c r="D2" s="2640"/>
      <c r="E2" s="2640"/>
      <c r="F2" s="2640"/>
      <c r="G2" s="2566"/>
      <c r="H2" s="2566"/>
      <c r="I2" s="2566"/>
      <c r="J2" s="2566"/>
      <c r="K2" s="2566"/>
    </row>
    <row r="3" spans="1:11" ht="15" x14ac:dyDescent="0.25">
      <c r="A3" s="2410" t="s">
        <v>667</v>
      </c>
    </row>
    <row r="4" spans="1:11" ht="15" thickBot="1" x14ac:dyDescent="0.25">
      <c r="F4" s="2414" t="s">
        <v>173</v>
      </c>
      <c r="G4" s="2567"/>
      <c r="H4" s="2567"/>
      <c r="I4" s="2567"/>
      <c r="J4" s="2567"/>
      <c r="K4" s="2567"/>
    </row>
    <row r="5" spans="1:11" s="2419" customFormat="1" ht="27" thickTop="1" thickBot="1" x14ac:dyDescent="0.25">
      <c r="A5" s="2415" t="s">
        <v>668</v>
      </c>
      <c r="B5" s="2416" t="s">
        <v>671</v>
      </c>
      <c r="C5" s="2417" t="s">
        <v>669</v>
      </c>
      <c r="D5" s="2417" t="s">
        <v>670</v>
      </c>
      <c r="E5" s="2417" t="s">
        <v>923</v>
      </c>
      <c r="F5" s="2418" t="s">
        <v>924</v>
      </c>
      <c r="G5" s="2568"/>
      <c r="H5" s="2569"/>
      <c r="I5" s="2569"/>
      <c r="J5" s="2570"/>
      <c r="K5" s="2570"/>
    </row>
    <row r="6" spans="1:11" s="2424" customFormat="1" ht="12.75" thickTop="1" thickBot="1" x14ac:dyDescent="0.25">
      <c r="A6" s="2420">
        <v>1</v>
      </c>
      <c r="B6" s="2421">
        <v>2</v>
      </c>
      <c r="C6" s="2422">
        <v>3</v>
      </c>
      <c r="D6" s="2422">
        <v>4</v>
      </c>
      <c r="E6" s="2422">
        <v>5</v>
      </c>
      <c r="F6" s="2423" t="s">
        <v>445</v>
      </c>
      <c r="G6" s="2571"/>
      <c r="H6" s="2571"/>
      <c r="I6" s="2571"/>
      <c r="J6" s="2571"/>
      <c r="K6" s="2571"/>
    </row>
    <row r="7" spans="1:11" s="2410" customFormat="1" ht="15.75" thickTop="1" x14ac:dyDescent="0.25">
      <c r="A7" s="2425" t="s">
        <v>672</v>
      </c>
      <c r="B7" s="2426">
        <v>1</v>
      </c>
      <c r="C7" s="2427">
        <f>SUM(C8:C12)</f>
        <v>36199</v>
      </c>
      <c r="D7" s="2427">
        <f>SUM(D8:D12)</f>
        <v>23731</v>
      </c>
      <c r="E7" s="2427">
        <f>SUM(E8:E12)</f>
        <v>21680</v>
      </c>
      <c r="F7" s="2428">
        <f>E7/D7*100</f>
        <v>91.357296363406519</v>
      </c>
      <c r="G7" s="2429">
        <f>SUM(G8:G12)</f>
        <v>36199000</v>
      </c>
      <c r="H7" s="2429">
        <f>SUM(H8:H12)</f>
        <v>23731314.5</v>
      </c>
      <c r="I7" s="2429">
        <f>SUM(I8:I12)</f>
        <v>21679974.989999998</v>
      </c>
      <c r="J7" s="2429"/>
      <c r="K7" s="2429"/>
    </row>
    <row r="8" spans="1:11" x14ac:dyDescent="0.2">
      <c r="A8" s="2430" t="s">
        <v>673</v>
      </c>
      <c r="B8" s="2431"/>
      <c r="C8" s="2432">
        <f>'01 '!E77</f>
        <v>36005</v>
      </c>
      <c r="D8" s="2432">
        <f>'01 '!F77</f>
        <v>23497</v>
      </c>
      <c r="E8" s="2432">
        <f>'01 '!G77</f>
        <v>21464</v>
      </c>
      <c r="F8" s="2433">
        <f>E8/D8*100</f>
        <v>91.347831638081459</v>
      </c>
      <c r="G8" s="2434">
        <v>36005000</v>
      </c>
      <c r="H8" s="2434">
        <v>23497314.5</v>
      </c>
      <c r="I8" s="2434">
        <f>21408374.99+55600</f>
        <v>21463974.989999998</v>
      </c>
      <c r="J8" s="2434"/>
      <c r="K8" s="2434"/>
    </row>
    <row r="9" spans="1:11" x14ac:dyDescent="0.2">
      <c r="A9" s="2430" t="s">
        <v>674</v>
      </c>
      <c r="B9" s="2435"/>
      <c r="C9" s="2432">
        <f>'01 '!E78</f>
        <v>0</v>
      </c>
      <c r="D9" s="2432">
        <f>'01 '!F78</f>
        <v>40</v>
      </c>
      <c r="E9" s="2432">
        <f>'01 '!G78</f>
        <v>38</v>
      </c>
      <c r="F9" s="2433">
        <f>E9/D9*100</f>
        <v>95</v>
      </c>
      <c r="G9" s="2434">
        <v>0</v>
      </c>
      <c r="H9" s="2434">
        <v>40000</v>
      </c>
      <c r="I9" s="2434">
        <v>38000</v>
      </c>
      <c r="J9" s="2434"/>
      <c r="K9" s="2434"/>
    </row>
    <row r="10" spans="1:11" x14ac:dyDescent="0.2">
      <c r="A10" s="2436" t="s">
        <v>681</v>
      </c>
      <c r="B10" s="2431"/>
      <c r="C10" s="2432">
        <f>'01 '!E79</f>
        <v>0</v>
      </c>
      <c r="D10" s="2432">
        <f>'01 '!F79</f>
        <v>0</v>
      </c>
      <c r="E10" s="2432">
        <f>'01 '!G79</f>
        <v>0</v>
      </c>
      <c r="F10" s="2433">
        <v>0</v>
      </c>
      <c r="G10" s="2434">
        <v>0</v>
      </c>
      <c r="H10" s="2434">
        <v>0</v>
      </c>
      <c r="I10" s="2434">
        <v>0</v>
      </c>
      <c r="J10" s="2434"/>
      <c r="K10" s="2434"/>
    </row>
    <row r="11" spans="1:11" x14ac:dyDescent="0.2">
      <c r="A11" s="2436" t="s">
        <v>682</v>
      </c>
      <c r="B11" s="2431"/>
      <c r="C11" s="2432">
        <f>'01 '!E80</f>
        <v>0</v>
      </c>
      <c r="D11" s="2432">
        <f>'01 '!F80</f>
        <v>0</v>
      </c>
      <c r="E11" s="2432">
        <f>'01 '!G80</f>
        <v>0</v>
      </c>
      <c r="F11" s="2433">
        <v>0</v>
      </c>
      <c r="G11" s="2434">
        <v>0</v>
      </c>
      <c r="H11" s="2434">
        <v>0</v>
      </c>
      <c r="I11" s="2434">
        <v>0</v>
      </c>
      <c r="J11" s="2434"/>
      <c r="K11" s="2434"/>
    </row>
    <row r="12" spans="1:11" x14ac:dyDescent="0.2">
      <c r="A12" s="2437" t="s">
        <v>1238</v>
      </c>
      <c r="B12" s="2438"/>
      <c r="C12" s="2439">
        <f>SUM('01 '!E81)</f>
        <v>194</v>
      </c>
      <c r="D12" s="2439">
        <f>SUM('01 '!F81)</f>
        <v>194</v>
      </c>
      <c r="E12" s="2439">
        <f>SUM('01 '!G81)</f>
        <v>178</v>
      </c>
      <c r="F12" s="2440">
        <f t="shared" ref="F12:F42" si="0">E12/D12*100</f>
        <v>91.75257731958763</v>
      </c>
      <c r="G12" s="2441">
        <v>194000</v>
      </c>
      <c r="H12" s="2442">
        <v>194000</v>
      </c>
      <c r="I12" s="2442">
        <v>178000</v>
      </c>
      <c r="J12" s="2434"/>
      <c r="K12" s="2434"/>
    </row>
    <row r="13" spans="1:11" s="2447" customFormat="1" ht="15" x14ac:dyDescent="0.25">
      <c r="A13" s="2443" t="s">
        <v>675</v>
      </c>
      <c r="B13" s="2444">
        <v>2</v>
      </c>
      <c r="C13" s="2445">
        <f>SUM(C14:C17)</f>
        <v>50908</v>
      </c>
      <c r="D13" s="2445">
        <f>SUM(D14:D17)</f>
        <v>67436</v>
      </c>
      <c r="E13" s="2445">
        <f>SUM(E14:E17)</f>
        <v>66590</v>
      </c>
      <c r="F13" s="2446">
        <f t="shared" si="0"/>
        <v>98.745477193190581</v>
      </c>
      <c r="G13" s="2429">
        <f>SUM(G14:G17)</f>
        <v>50908000</v>
      </c>
      <c r="H13" s="2429">
        <f>SUM(H14:H17)</f>
        <v>67435869.530000001</v>
      </c>
      <c r="I13" s="2429">
        <f>SUM(I14:I17)</f>
        <v>66589827.969999999</v>
      </c>
      <c r="J13" s="2429"/>
      <c r="K13" s="2429"/>
    </row>
    <row r="14" spans="1:11" x14ac:dyDescent="0.2">
      <c r="A14" s="2430" t="s">
        <v>673</v>
      </c>
      <c r="B14" s="2431"/>
      <c r="C14" s="2432">
        <f>'02'!E167</f>
        <v>50908</v>
      </c>
      <c r="D14" s="2432">
        <f>'02'!F167</f>
        <v>40895</v>
      </c>
      <c r="E14" s="2432">
        <f>'02'!G167</f>
        <v>40063</v>
      </c>
      <c r="F14" s="2433">
        <f t="shared" si="0"/>
        <v>97.965521457390878</v>
      </c>
      <c r="G14" s="2434">
        <v>50908000</v>
      </c>
      <c r="H14" s="2434">
        <v>40895131.530000001</v>
      </c>
      <c r="I14" s="2434">
        <v>40063309.969999999</v>
      </c>
      <c r="J14" s="2434"/>
      <c r="K14" s="2434"/>
    </row>
    <row r="15" spans="1:11" x14ac:dyDescent="0.2">
      <c r="A15" s="2430" t="s">
        <v>674</v>
      </c>
      <c r="B15" s="2431"/>
      <c r="C15" s="2432">
        <f>'02'!E168</f>
        <v>0</v>
      </c>
      <c r="D15" s="2432">
        <f>'02'!F168</f>
        <v>6701</v>
      </c>
      <c r="E15" s="2432">
        <f>'02'!G168</f>
        <v>6694</v>
      </c>
      <c r="F15" s="2433">
        <f t="shared" si="0"/>
        <v>99.895537979406058</v>
      </c>
      <c r="G15" s="2434">
        <v>0</v>
      </c>
      <c r="H15" s="2434">
        <v>6701000</v>
      </c>
      <c r="I15" s="2434">
        <v>6694050</v>
      </c>
      <c r="J15" s="2434"/>
      <c r="K15" s="2434"/>
    </row>
    <row r="16" spans="1:11" x14ac:dyDescent="0.2">
      <c r="A16" s="2436" t="s">
        <v>681</v>
      </c>
      <c r="B16" s="2431"/>
      <c r="C16" s="2432">
        <f>'02'!E169</f>
        <v>0</v>
      </c>
      <c r="D16" s="2432">
        <f>'02'!F169</f>
        <v>19840</v>
      </c>
      <c r="E16" s="2432">
        <f>'02'!G169</f>
        <v>19833</v>
      </c>
      <c r="F16" s="2433">
        <f t="shared" si="0"/>
        <v>99.964717741935488</v>
      </c>
      <c r="G16" s="2448">
        <v>0</v>
      </c>
      <c r="H16" s="2434">
        <v>19839738</v>
      </c>
      <c r="I16" s="2434">
        <v>19832468</v>
      </c>
      <c r="J16" s="2434"/>
      <c r="K16" s="2434"/>
    </row>
    <row r="17" spans="1:11" x14ac:dyDescent="0.2">
      <c r="A17" s="2449" t="s">
        <v>682</v>
      </c>
      <c r="B17" s="2438"/>
      <c r="C17" s="2439">
        <f>'02'!E170</f>
        <v>0</v>
      </c>
      <c r="D17" s="2439">
        <f>'02'!F170</f>
        <v>0</v>
      </c>
      <c r="E17" s="2439">
        <f>'02'!G170</f>
        <v>0</v>
      </c>
      <c r="F17" s="2433">
        <v>0</v>
      </c>
      <c r="G17" s="2441">
        <v>0</v>
      </c>
      <c r="H17" s="2442">
        <v>0</v>
      </c>
      <c r="I17" s="2442">
        <v>0</v>
      </c>
      <c r="J17" s="2434"/>
      <c r="K17" s="2434"/>
    </row>
    <row r="18" spans="1:11" s="2447" customFormat="1" ht="15" x14ac:dyDescent="0.25">
      <c r="A18" s="2443" t="s">
        <v>1216</v>
      </c>
      <c r="B18" s="2444">
        <v>3</v>
      </c>
      <c r="C18" s="2445">
        <f>SUM(C19:C23)</f>
        <v>291851</v>
      </c>
      <c r="D18" s="2445">
        <f>SUM(D19:D23)</f>
        <v>298143</v>
      </c>
      <c r="E18" s="2445">
        <f>SUM(E19:E23)</f>
        <v>294636</v>
      </c>
      <c r="F18" s="2446">
        <f>E18/D18*100</f>
        <v>98.823718819492655</v>
      </c>
      <c r="G18" s="2429">
        <f>SUM(G19:G23)</f>
        <v>291851000</v>
      </c>
      <c r="H18" s="2429">
        <f>SUM(H19:H23)</f>
        <v>298143028.43000001</v>
      </c>
      <c r="I18" s="2429">
        <f>SUM(I19:I23)</f>
        <v>294635863.40999997</v>
      </c>
      <c r="J18" s="2429"/>
      <c r="K18" s="2429"/>
    </row>
    <row r="19" spans="1:11" s="2447" customFormat="1" x14ac:dyDescent="0.2">
      <c r="A19" s="2430" t="s">
        <v>673</v>
      </c>
      <c r="B19" s="2450"/>
      <c r="C19" s="2432">
        <f>SUM('03'!E139)</f>
        <v>286751</v>
      </c>
      <c r="D19" s="2432">
        <f>SUM('03'!F139)</f>
        <v>292314</v>
      </c>
      <c r="E19" s="2432">
        <f>SUM('03'!G139)</f>
        <v>289107</v>
      </c>
      <c r="F19" s="2433">
        <f t="shared" si="0"/>
        <v>98.902892095486365</v>
      </c>
      <c r="G19" s="2434">
        <v>286751000</v>
      </c>
      <c r="H19" s="2434">
        <v>292313647.97000003</v>
      </c>
      <c r="I19" s="2434">
        <v>289106158.04000002</v>
      </c>
      <c r="J19" s="2434"/>
      <c r="K19" s="2434"/>
    </row>
    <row r="20" spans="1:11" s="2447" customFormat="1" x14ac:dyDescent="0.2">
      <c r="A20" s="2430" t="s">
        <v>674</v>
      </c>
      <c r="B20" s="2450"/>
      <c r="C20" s="2432">
        <f>'03'!E140</f>
        <v>0</v>
      </c>
      <c r="D20" s="2432">
        <f>'03'!F140</f>
        <v>149</v>
      </c>
      <c r="E20" s="2432">
        <f>'03'!G140</f>
        <v>149</v>
      </c>
      <c r="F20" s="2433">
        <f t="shared" si="0"/>
        <v>100</v>
      </c>
      <c r="G20" s="2434">
        <v>0</v>
      </c>
      <c r="H20" s="2434">
        <v>148972.78</v>
      </c>
      <c r="I20" s="2434">
        <v>148972.78</v>
      </c>
      <c r="J20" s="2434"/>
      <c r="K20" s="2434"/>
    </row>
    <row r="21" spans="1:11" x14ac:dyDescent="0.2">
      <c r="A21" s="2436" t="s">
        <v>681</v>
      </c>
      <c r="B21" s="2431"/>
      <c r="C21" s="2432">
        <f>'03'!E141</f>
        <v>0</v>
      </c>
      <c r="D21" s="2432">
        <f>'03'!F141</f>
        <v>580</v>
      </c>
      <c r="E21" s="2432">
        <f>'03'!G141</f>
        <v>527</v>
      </c>
      <c r="F21" s="2433">
        <f t="shared" si="0"/>
        <v>90.862068965517238</v>
      </c>
      <c r="G21" s="2434">
        <v>0</v>
      </c>
      <c r="H21" s="2434">
        <v>580407.68000000005</v>
      </c>
      <c r="I21" s="2434">
        <v>527432.59</v>
      </c>
      <c r="J21" s="2434"/>
      <c r="K21" s="2434"/>
    </row>
    <row r="22" spans="1:11" x14ac:dyDescent="0.2">
      <c r="A22" s="2436" t="s">
        <v>682</v>
      </c>
      <c r="B22" s="2431"/>
      <c r="C22" s="2432">
        <f>'03'!E142</f>
        <v>0</v>
      </c>
      <c r="D22" s="2432">
        <v>0</v>
      </c>
      <c r="E22" s="2432">
        <v>0</v>
      </c>
      <c r="F22" s="2433">
        <v>0</v>
      </c>
      <c r="G22" s="2434">
        <v>0</v>
      </c>
      <c r="H22" s="2434">
        <v>0</v>
      </c>
      <c r="I22" s="2434">
        <v>0</v>
      </c>
      <c r="J22" s="2434"/>
      <c r="K22" s="2434"/>
    </row>
    <row r="23" spans="1:11" x14ac:dyDescent="0.2">
      <c r="A23" s="2437" t="s">
        <v>1238</v>
      </c>
      <c r="B23" s="2438"/>
      <c r="C23" s="2439">
        <f>SUM('03'!E143)</f>
        <v>5100</v>
      </c>
      <c r="D23" s="2439">
        <f>SUM('03'!F143)</f>
        <v>5100</v>
      </c>
      <c r="E23" s="2439">
        <f>SUM('03'!G143)</f>
        <v>4853</v>
      </c>
      <c r="F23" s="2440">
        <f t="shared" si="0"/>
        <v>95.156862745098039</v>
      </c>
      <c r="G23" s="2441">
        <v>5100000</v>
      </c>
      <c r="H23" s="2442">
        <v>5100000</v>
      </c>
      <c r="I23" s="2442">
        <v>4853300</v>
      </c>
      <c r="J23" s="2434"/>
      <c r="K23" s="2434"/>
    </row>
    <row r="24" spans="1:11" s="2447" customFormat="1" ht="15" x14ac:dyDescent="0.25">
      <c r="A24" s="2443" t="s">
        <v>1217</v>
      </c>
      <c r="B24" s="2444">
        <v>4</v>
      </c>
      <c r="C24" s="2445">
        <f>SUM(C25:C28)</f>
        <v>35275</v>
      </c>
      <c r="D24" s="2445">
        <f>SUM(D25:D28)</f>
        <v>33527</v>
      </c>
      <c r="E24" s="2445">
        <f>SUM(E25:E28)</f>
        <v>32319</v>
      </c>
      <c r="F24" s="2451">
        <f t="shared" si="0"/>
        <v>96.396933814537533</v>
      </c>
      <c r="G24" s="2429">
        <f>SUM(G25:G28)</f>
        <v>35275000</v>
      </c>
      <c r="H24" s="2429">
        <f>SUM(H25:H28)</f>
        <v>33526971</v>
      </c>
      <c r="I24" s="2429">
        <f>SUM(I25:I28)</f>
        <v>32318776.349999998</v>
      </c>
      <c r="J24" s="2429"/>
      <c r="K24" s="2429"/>
    </row>
    <row r="25" spans="1:11" s="2447" customFormat="1" x14ac:dyDescent="0.2">
      <c r="A25" s="2430" t="s">
        <v>673</v>
      </c>
      <c r="B25" s="2450"/>
      <c r="C25" s="2432">
        <f>'04'!E39</f>
        <v>34293</v>
      </c>
      <c r="D25" s="2432">
        <f>'04'!F39</f>
        <v>31994</v>
      </c>
      <c r="E25" s="2432">
        <f>'04'!G39</f>
        <v>30941</v>
      </c>
      <c r="F25" s="2433">
        <f t="shared" si="0"/>
        <v>96.708757892104771</v>
      </c>
      <c r="G25" s="2434">
        <v>34293000</v>
      </c>
      <c r="H25" s="2434">
        <v>31994000</v>
      </c>
      <c r="I25" s="2434">
        <v>30940421.609999999</v>
      </c>
      <c r="J25" s="2434"/>
      <c r="K25" s="2434"/>
    </row>
    <row r="26" spans="1:11" s="2447" customFormat="1" x14ac:dyDescent="0.2">
      <c r="A26" s="2430" t="s">
        <v>674</v>
      </c>
      <c r="B26" s="2450"/>
      <c r="C26" s="2432">
        <f>'04'!E40</f>
        <v>982</v>
      </c>
      <c r="D26" s="2432">
        <f>'04'!F40</f>
        <v>1432</v>
      </c>
      <c r="E26" s="2432">
        <f>'04'!G40</f>
        <v>1277</v>
      </c>
      <c r="F26" s="2433">
        <f t="shared" si="0"/>
        <v>89.175977653631293</v>
      </c>
      <c r="G26" s="2434">
        <v>982000</v>
      </c>
      <c r="H26" s="2434">
        <v>1432431</v>
      </c>
      <c r="I26" s="2434">
        <v>1277814.74</v>
      </c>
      <c r="J26" s="2434"/>
      <c r="K26" s="2434"/>
    </row>
    <row r="27" spans="1:11" x14ac:dyDescent="0.2">
      <c r="A27" s="2436" t="s">
        <v>681</v>
      </c>
      <c r="B27" s="2431"/>
      <c r="C27" s="2432">
        <f>'04'!E41</f>
        <v>0</v>
      </c>
      <c r="D27" s="2432">
        <f>'04'!F41</f>
        <v>0</v>
      </c>
      <c r="E27" s="2432">
        <f>'04'!G41</f>
        <v>0</v>
      </c>
      <c r="F27" s="2433">
        <v>0</v>
      </c>
      <c r="G27" s="2434">
        <v>0</v>
      </c>
      <c r="H27" s="2434">
        <v>0</v>
      </c>
      <c r="I27" s="2434">
        <v>0</v>
      </c>
      <c r="J27" s="2434"/>
      <c r="K27" s="2434"/>
    </row>
    <row r="28" spans="1:11" x14ac:dyDescent="0.2">
      <c r="A28" s="2452" t="s">
        <v>682</v>
      </c>
      <c r="B28" s="2438"/>
      <c r="C28" s="2439">
        <f>'04'!E42</f>
        <v>0</v>
      </c>
      <c r="D28" s="2439">
        <f>'04'!F42</f>
        <v>101</v>
      </c>
      <c r="E28" s="2439">
        <f>'04'!G42</f>
        <v>101</v>
      </c>
      <c r="F28" s="2440">
        <v>0</v>
      </c>
      <c r="G28" s="2441">
        <v>0</v>
      </c>
      <c r="H28" s="2442">
        <v>100540</v>
      </c>
      <c r="I28" s="2442">
        <v>100540</v>
      </c>
      <c r="J28" s="2434"/>
      <c r="K28" s="2434"/>
    </row>
    <row r="29" spans="1:11" s="2447" customFormat="1" ht="15" x14ac:dyDescent="0.25">
      <c r="A29" s="2453" t="s">
        <v>237</v>
      </c>
      <c r="B29" s="2444">
        <v>5</v>
      </c>
      <c r="C29" s="2445">
        <f>SUM(C30:C33)</f>
        <v>80</v>
      </c>
      <c r="D29" s="2445">
        <f>SUM(D30:D33)</f>
        <v>139</v>
      </c>
      <c r="E29" s="2445">
        <f>SUM(E30:E33)</f>
        <v>79</v>
      </c>
      <c r="F29" s="2433">
        <v>0</v>
      </c>
      <c r="G29" s="2429">
        <f>SUM(G30:G33)</f>
        <v>80000</v>
      </c>
      <c r="H29" s="2429">
        <f>SUM(H30:H33)</f>
        <v>138630</v>
      </c>
      <c r="I29" s="2429">
        <f>SUM(I30:I33)</f>
        <v>79246</v>
      </c>
      <c r="J29" s="2429"/>
      <c r="K29" s="2429"/>
    </row>
    <row r="30" spans="1:11" s="2447" customFormat="1" x14ac:dyDescent="0.2">
      <c r="A30" s="2454" t="s">
        <v>673</v>
      </c>
      <c r="B30" s="2450"/>
      <c r="C30" s="2432">
        <f>'05'!E16</f>
        <v>80</v>
      </c>
      <c r="D30" s="2432">
        <f>'05'!F16</f>
        <v>139</v>
      </c>
      <c r="E30" s="2432">
        <f>'05'!G16</f>
        <v>79</v>
      </c>
      <c r="F30" s="2433">
        <v>0</v>
      </c>
      <c r="G30" s="2434">
        <v>80000</v>
      </c>
      <c r="H30" s="2434">
        <v>138630</v>
      </c>
      <c r="I30" s="2434">
        <v>79246</v>
      </c>
      <c r="J30" s="2434"/>
      <c r="K30" s="2434"/>
    </row>
    <row r="31" spans="1:11" s="2447" customFormat="1" x14ac:dyDescent="0.2">
      <c r="A31" s="2454" t="s">
        <v>674</v>
      </c>
      <c r="B31" s="2450"/>
      <c r="C31" s="2432">
        <f>'05'!E17</f>
        <v>0</v>
      </c>
      <c r="D31" s="2432">
        <f>'05'!F17</f>
        <v>0</v>
      </c>
      <c r="E31" s="2432">
        <f>'05'!G17</f>
        <v>0</v>
      </c>
      <c r="F31" s="2433">
        <v>0</v>
      </c>
      <c r="G31" s="2434">
        <v>0</v>
      </c>
      <c r="H31" s="2434">
        <v>0</v>
      </c>
      <c r="I31" s="2434">
        <v>0</v>
      </c>
      <c r="J31" s="2434"/>
      <c r="K31" s="2434"/>
    </row>
    <row r="32" spans="1:11" s="2447" customFormat="1" x14ac:dyDescent="0.2">
      <c r="A32" s="2436" t="s">
        <v>681</v>
      </c>
      <c r="B32" s="2450"/>
      <c r="C32" s="2432">
        <f>'05'!E18</f>
        <v>0</v>
      </c>
      <c r="D32" s="2432">
        <f>'05'!F18</f>
        <v>0</v>
      </c>
      <c r="E32" s="2432">
        <f>'05'!G18</f>
        <v>0</v>
      </c>
      <c r="F32" s="2433">
        <v>0</v>
      </c>
      <c r="G32" s="2434">
        <v>0</v>
      </c>
      <c r="H32" s="2434">
        <v>0</v>
      </c>
      <c r="I32" s="2434">
        <v>0</v>
      </c>
      <c r="J32" s="2434"/>
      <c r="K32" s="2434"/>
    </row>
    <row r="33" spans="1:20" s="2447" customFormat="1" x14ac:dyDescent="0.2">
      <c r="A33" s="2449" t="s">
        <v>682</v>
      </c>
      <c r="B33" s="2455"/>
      <c r="C33" s="2439">
        <f>'05'!E19</f>
        <v>0</v>
      </c>
      <c r="D33" s="2439">
        <f>'05'!F19</f>
        <v>0</v>
      </c>
      <c r="E33" s="2439">
        <f>'05'!G19</f>
        <v>0</v>
      </c>
      <c r="F33" s="2440">
        <v>0</v>
      </c>
      <c r="G33" s="2441">
        <v>0</v>
      </c>
      <c r="H33" s="2442">
        <v>0</v>
      </c>
      <c r="I33" s="2442">
        <v>0</v>
      </c>
      <c r="J33" s="2434"/>
      <c r="K33" s="2434"/>
    </row>
    <row r="34" spans="1:20" s="2447" customFormat="1" ht="15" x14ac:dyDescent="0.25">
      <c r="A34" s="2443" t="s">
        <v>1984</v>
      </c>
      <c r="B34" s="2450">
        <v>6</v>
      </c>
      <c r="C34" s="2456">
        <f>SUM(C35:C38)</f>
        <v>22369</v>
      </c>
      <c r="D34" s="2456">
        <f>SUM(D35:D38)</f>
        <v>22963</v>
      </c>
      <c r="E34" s="2456">
        <f>SUM(E35:E38)</f>
        <v>22428</v>
      </c>
      <c r="F34" s="2451">
        <f t="shared" si="0"/>
        <v>97.670165048120893</v>
      </c>
      <c r="G34" s="2429">
        <f>SUM(G35:G38)</f>
        <v>22369000</v>
      </c>
      <c r="H34" s="2429">
        <f>SUM(H35:H38)</f>
        <v>22963335.5</v>
      </c>
      <c r="I34" s="2429">
        <f>SUM(I35:I38)</f>
        <v>22428234.41</v>
      </c>
      <c r="J34" s="2429"/>
      <c r="K34" s="2429"/>
    </row>
    <row r="35" spans="1:20" s="2447" customFormat="1" x14ac:dyDescent="0.2">
      <c r="A35" s="2430" t="s">
        <v>673</v>
      </c>
      <c r="B35" s="2450"/>
      <c r="C35" s="2432">
        <f>'06'!E35</f>
        <v>22369</v>
      </c>
      <c r="D35" s="2432">
        <f>'06'!F35</f>
        <v>21164</v>
      </c>
      <c r="E35" s="2432">
        <f>'06'!G35</f>
        <v>20709</v>
      </c>
      <c r="F35" s="2433">
        <f t="shared" si="0"/>
        <v>97.850122850122844</v>
      </c>
      <c r="G35" s="2434">
        <v>22369000</v>
      </c>
      <c r="H35" s="2434">
        <v>21163738.5</v>
      </c>
      <c r="I35" s="2434">
        <v>20708687.41</v>
      </c>
      <c r="J35" s="2434"/>
      <c r="K35" s="2434"/>
    </row>
    <row r="36" spans="1:20" s="2447" customFormat="1" x14ac:dyDescent="0.2">
      <c r="A36" s="2430" t="s">
        <v>674</v>
      </c>
      <c r="B36" s="2450"/>
      <c r="C36" s="2432">
        <f>'06'!E36</f>
        <v>0</v>
      </c>
      <c r="D36" s="2432">
        <f>'06'!F36</f>
        <v>1799</v>
      </c>
      <c r="E36" s="2432">
        <f>'06'!G36</f>
        <v>1719</v>
      </c>
      <c r="F36" s="2433">
        <f t="shared" si="0"/>
        <v>95.553085047248473</v>
      </c>
      <c r="G36" s="2434">
        <v>0</v>
      </c>
      <c r="H36" s="2434">
        <v>1799597</v>
      </c>
      <c r="I36" s="2434">
        <v>1719547</v>
      </c>
      <c r="J36" s="2434"/>
      <c r="K36" s="2434"/>
    </row>
    <row r="37" spans="1:20" x14ac:dyDescent="0.2">
      <c r="A37" s="2436" t="s">
        <v>681</v>
      </c>
      <c r="B37" s="2431"/>
      <c r="C37" s="2432">
        <f>'06'!E37</f>
        <v>0</v>
      </c>
      <c r="D37" s="2432">
        <f>'06'!F37</f>
        <v>0</v>
      </c>
      <c r="E37" s="2432">
        <f>'06'!G37</f>
        <v>0</v>
      </c>
      <c r="F37" s="2433">
        <v>0</v>
      </c>
      <c r="G37" s="2434">
        <v>0</v>
      </c>
      <c r="H37" s="2434"/>
      <c r="I37" s="2434"/>
      <c r="J37" s="2434"/>
      <c r="K37" s="2434"/>
    </row>
    <row r="38" spans="1:20" x14ac:dyDescent="0.2">
      <c r="A38" s="2449" t="s">
        <v>682</v>
      </c>
      <c r="B38" s="2438"/>
      <c r="C38" s="2439">
        <f>'06'!E38</f>
        <v>0</v>
      </c>
      <c r="D38" s="2439">
        <f>'06'!F38</f>
        <v>0</v>
      </c>
      <c r="E38" s="2439">
        <f>'06'!G38</f>
        <v>0</v>
      </c>
      <c r="F38" s="2440">
        <v>0</v>
      </c>
      <c r="G38" s="2441">
        <v>0</v>
      </c>
      <c r="H38" s="2442"/>
      <c r="I38" s="2442"/>
      <c r="J38" s="2434"/>
      <c r="K38" s="2434"/>
    </row>
    <row r="39" spans="1:20" s="2447" customFormat="1" ht="15" x14ac:dyDescent="0.25">
      <c r="A39" s="2443" t="s">
        <v>238</v>
      </c>
      <c r="B39" s="2444">
        <v>7</v>
      </c>
      <c r="C39" s="2445">
        <f>SUM(C40:C44)</f>
        <v>188800</v>
      </c>
      <c r="D39" s="2445">
        <f>SUM(D40:D44)</f>
        <v>545150</v>
      </c>
      <c r="E39" s="2445">
        <f>SUM(E40:E44)</f>
        <v>52951</v>
      </c>
      <c r="F39" s="2451">
        <f t="shared" si="0"/>
        <v>9.7131064844538209</v>
      </c>
      <c r="G39" s="2429">
        <f>SUM(G40:G44)</f>
        <v>188800000</v>
      </c>
      <c r="H39" s="2429">
        <f>SUM(H40:H44)</f>
        <v>545150414.15999997</v>
      </c>
      <c r="I39" s="2429">
        <f>SUM(I40:I44)</f>
        <v>52951431.259999998</v>
      </c>
      <c r="J39" s="2429"/>
      <c r="K39" s="2429"/>
    </row>
    <row r="40" spans="1:20" s="2447" customFormat="1" x14ac:dyDescent="0.2">
      <c r="A40" s="2430" t="s">
        <v>673</v>
      </c>
      <c r="B40" s="2450"/>
      <c r="C40" s="2432">
        <f>'07'!E51</f>
        <v>188800</v>
      </c>
      <c r="D40" s="2432">
        <f>'07'!F51</f>
        <v>540198</v>
      </c>
      <c r="E40" s="2432">
        <f>'07'!G51</f>
        <v>51951</v>
      </c>
      <c r="F40" s="2433">
        <f t="shared" si="0"/>
        <v>9.6170293114746812</v>
      </c>
      <c r="G40" s="2434">
        <v>188800000</v>
      </c>
      <c r="H40" s="2434">
        <v>540198580.15999997</v>
      </c>
      <c r="I40" s="2434">
        <v>51951431.259999998</v>
      </c>
      <c r="J40" s="2434"/>
      <c r="K40" s="2434"/>
    </row>
    <row r="41" spans="1:20" s="2447" customFormat="1" x14ac:dyDescent="0.2">
      <c r="A41" s="2430" t="s">
        <v>674</v>
      </c>
      <c r="B41" s="2450"/>
      <c r="C41" s="2432">
        <f>'07'!E52</f>
        <v>0</v>
      </c>
      <c r="D41" s="2432">
        <f>'07'!F52</f>
        <v>1000</v>
      </c>
      <c r="E41" s="2432">
        <f>'07'!G52</f>
        <v>1000</v>
      </c>
      <c r="F41" s="2433">
        <v>0</v>
      </c>
      <c r="G41" s="2434">
        <v>0</v>
      </c>
      <c r="H41" s="2434">
        <v>1000000</v>
      </c>
      <c r="I41" s="2434">
        <v>1000000</v>
      </c>
      <c r="J41" s="2434"/>
      <c r="K41" s="2434"/>
    </row>
    <row r="42" spans="1:20" x14ac:dyDescent="0.2">
      <c r="A42" s="2436" t="s">
        <v>681</v>
      </c>
      <c r="B42" s="2431"/>
      <c r="C42" s="2432">
        <f>'07'!E53</f>
        <v>0</v>
      </c>
      <c r="D42" s="2432">
        <f>'07'!F53</f>
        <v>3952</v>
      </c>
      <c r="E42" s="2432">
        <f>'07'!G53</f>
        <v>0</v>
      </c>
      <c r="F42" s="2433">
        <f t="shared" si="0"/>
        <v>0</v>
      </c>
      <c r="G42" s="2434">
        <v>0</v>
      </c>
      <c r="H42" s="2434">
        <v>3951834</v>
      </c>
      <c r="I42" s="2434">
        <v>0</v>
      </c>
      <c r="J42" s="2434"/>
      <c r="K42" s="2434"/>
    </row>
    <row r="43" spans="1:20" x14ac:dyDescent="0.2">
      <c r="A43" s="2436" t="s">
        <v>682</v>
      </c>
      <c r="B43" s="2431"/>
      <c r="C43" s="2432">
        <f>'07'!E54</f>
        <v>0</v>
      </c>
      <c r="D43" s="2432">
        <f>'07'!F54</f>
        <v>0</v>
      </c>
      <c r="E43" s="2432">
        <f>'07'!G54</f>
        <v>0</v>
      </c>
      <c r="F43" s="2433">
        <v>0</v>
      </c>
      <c r="G43" s="2448">
        <v>0</v>
      </c>
      <c r="H43" s="2434">
        <v>0</v>
      </c>
      <c r="I43" s="2434">
        <v>0</v>
      </c>
      <c r="J43" s="2434"/>
      <c r="K43" s="2434"/>
      <c r="R43" s="2414"/>
    </row>
    <row r="44" spans="1:20" x14ac:dyDescent="0.2">
      <c r="A44" s="2437" t="s">
        <v>1238</v>
      </c>
      <c r="B44" s="2438"/>
      <c r="C44" s="2439">
        <v>0</v>
      </c>
      <c r="D44" s="2439">
        <v>0</v>
      </c>
      <c r="E44" s="2439">
        <v>0</v>
      </c>
      <c r="F44" s="2440">
        <v>0</v>
      </c>
      <c r="G44" s="2441">
        <v>0</v>
      </c>
      <c r="H44" s="2442">
        <v>0</v>
      </c>
      <c r="I44" s="2442">
        <v>0</v>
      </c>
      <c r="J44" s="2434"/>
      <c r="K44" s="2434"/>
      <c r="R44" s="2414"/>
      <c r="S44" s="2414"/>
      <c r="T44" s="2414"/>
    </row>
    <row r="45" spans="1:20" s="2447" customFormat="1" ht="15" x14ac:dyDescent="0.25">
      <c r="A45" s="2443" t="s">
        <v>239</v>
      </c>
      <c r="B45" s="2444">
        <v>8</v>
      </c>
      <c r="C45" s="2445">
        <f>SUM(C46:C49)</f>
        <v>41648</v>
      </c>
      <c r="D45" s="2445">
        <f>SUM(D46:D49)</f>
        <v>36720</v>
      </c>
      <c r="E45" s="2445">
        <f>SUM(E46:E49)</f>
        <v>34866</v>
      </c>
      <c r="F45" s="2451">
        <f>E45/D45*100</f>
        <v>94.950980392156865</v>
      </c>
      <c r="G45" s="2429">
        <f>SUM(G46:G49)</f>
        <v>41648000</v>
      </c>
      <c r="H45" s="2429">
        <f>SUM(H46:H49)</f>
        <v>36720101.780000001</v>
      </c>
      <c r="I45" s="2429">
        <f>SUM(I46:I49)</f>
        <v>34865816.370000005</v>
      </c>
      <c r="J45" s="2429"/>
      <c r="K45" s="2429"/>
      <c r="Q45" s="2409" t="s">
        <v>680</v>
      </c>
      <c r="R45" s="2414">
        <f t="shared" ref="R45:T46" si="1">C51+C46+C40+C35+C30+C25+C19+C14+C8</f>
        <v>678784</v>
      </c>
      <c r="S45" s="2414">
        <f t="shared" si="1"/>
        <v>998280</v>
      </c>
      <c r="T45" s="2414">
        <f t="shared" si="1"/>
        <v>498643</v>
      </c>
    </row>
    <row r="46" spans="1:20" s="2447" customFormat="1" x14ac:dyDescent="0.2">
      <c r="A46" s="2430" t="s">
        <v>673</v>
      </c>
      <c r="B46" s="2450"/>
      <c r="C46" s="2432">
        <f>'08'!E87</f>
        <v>40021</v>
      </c>
      <c r="D46" s="2432">
        <f>'08'!F87</f>
        <v>25710</v>
      </c>
      <c r="E46" s="2432">
        <f>'08'!G87</f>
        <v>24144</v>
      </c>
      <c r="F46" s="2433">
        <f>E46/D46*100</f>
        <v>93.908984830805124</v>
      </c>
      <c r="G46" s="2434">
        <v>40021000</v>
      </c>
      <c r="H46" s="2434">
        <v>25710354.780000001</v>
      </c>
      <c r="I46" s="2434">
        <v>24144864.670000002</v>
      </c>
      <c r="J46" s="2434"/>
      <c r="K46" s="2434"/>
      <c r="Q46" s="2409" t="s">
        <v>715</v>
      </c>
      <c r="R46" s="2414">
        <f t="shared" si="1"/>
        <v>3109</v>
      </c>
      <c r="S46" s="2414">
        <f t="shared" si="1"/>
        <v>25058</v>
      </c>
      <c r="T46" s="2414">
        <f t="shared" si="1"/>
        <v>24526</v>
      </c>
    </row>
    <row r="47" spans="1:20" s="2447" customFormat="1" x14ac:dyDescent="0.2">
      <c r="A47" s="2430" t="s">
        <v>674</v>
      </c>
      <c r="B47" s="2450"/>
      <c r="C47" s="2432">
        <f>'08'!E88</f>
        <v>1627</v>
      </c>
      <c r="D47" s="2432">
        <f>'08'!F88</f>
        <v>11010</v>
      </c>
      <c r="E47" s="2432">
        <f>'08'!G88</f>
        <v>10722</v>
      </c>
      <c r="F47" s="2433">
        <f>E47/D47*100</f>
        <v>97.3841961852861</v>
      </c>
      <c r="G47" s="2434">
        <v>1627000</v>
      </c>
      <c r="H47" s="2434">
        <v>11009747</v>
      </c>
      <c r="I47" s="2434">
        <v>10720951.699999999</v>
      </c>
      <c r="J47" s="2434"/>
      <c r="K47" s="2434"/>
      <c r="Q47" s="2409" t="s">
        <v>716</v>
      </c>
      <c r="R47" s="2414">
        <f>C53+C48+C43+C37+C32+C27+C21+C16+C10</f>
        <v>0</v>
      </c>
      <c r="S47" s="2414">
        <f>D53+D48+D42+D37+D32+D27+D21+D16+D10</f>
        <v>31141</v>
      </c>
      <c r="T47" s="2414">
        <f>E53+E48+E43+E37+E32+E27+E21+E16+E10</f>
        <v>27129</v>
      </c>
    </row>
    <row r="48" spans="1:20" x14ac:dyDescent="0.2">
      <c r="A48" s="2436" t="s">
        <v>681</v>
      </c>
      <c r="B48" s="2431"/>
      <c r="C48" s="2432">
        <f>'08'!E89</f>
        <v>0</v>
      </c>
      <c r="D48" s="2432">
        <f>'08'!F89</f>
        <v>0</v>
      </c>
      <c r="E48" s="2432">
        <f>'08'!G89</f>
        <v>0</v>
      </c>
      <c r="F48" s="2433">
        <v>0</v>
      </c>
      <c r="G48" s="2448">
        <v>0</v>
      </c>
      <c r="H48" s="2434">
        <v>0</v>
      </c>
      <c r="I48" s="2434">
        <v>0</v>
      </c>
      <c r="J48" s="2434"/>
      <c r="K48" s="2434"/>
      <c r="Q48" s="2409" t="s">
        <v>1494</v>
      </c>
      <c r="R48" s="2414">
        <f>C54+C49+C44+C38+C33+C28+C22+C17+C11</f>
        <v>0</v>
      </c>
      <c r="S48" s="2414">
        <f>D54+D49+D44+D38+D33+D28+D22+D17+D11</f>
        <v>2253</v>
      </c>
      <c r="T48" s="2414">
        <f>E54+E49+E44+E38+E33+E28+E22+E17+E11</f>
        <v>2253</v>
      </c>
    </row>
    <row r="49" spans="1:20" x14ac:dyDescent="0.2">
      <c r="A49" s="2449" t="s">
        <v>682</v>
      </c>
      <c r="B49" s="2438"/>
      <c r="C49" s="2439">
        <f>'08'!E90</f>
        <v>0</v>
      </c>
      <c r="D49" s="2439">
        <f>'08'!F90</f>
        <v>0</v>
      </c>
      <c r="E49" s="2439">
        <f>'08'!G90</f>
        <v>0</v>
      </c>
      <c r="F49" s="2433">
        <v>0</v>
      </c>
      <c r="G49" s="2441">
        <v>0</v>
      </c>
      <c r="H49" s="2442">
        <v>0</v>
      </c>
      <c r="I49" s="2442">
        <v>0</v>
      </c>
      <c r="J49" s="2434"/>
      <c r="K49" s="2434"/>
      <c r="Q49" s="2409" t="s">
        <v>944</v>
      </c>
      <c r="R49" s="2414">
        <f>C44+C23+C12</f>
        <v>5294</v>
      </c>
      <c r="S49" s="2414">
        <f>D44+D23+D12</f>
        <v>5294</v>
      </c>
      <c r="T49" s="2414">
        <f>E44+E23+E12</f>
        <v>5031</v>
      </c>
    </row>
    <row r="50" spans="1:20" ht="32.25" customHeight="1" x14ac:dyDescent="0.25">
      <c r="A50" s="2457" t="s">
        <v>902</v>
      </c>
      <c r="B50" s="2444">
        <v>9</v>
      </c>
      <c r="C50" s="2445">
        <f>SUM(C51:C54)</f>
        <v>20057</v>
      </c>
      <c r="D50" s="2445">
        <f>SUM(D51:D54)</f>
        <v>34217</v>
      </c>
      <c r="E50" s="2445">
        <f>SUM(E51:E54)</f>
        <v>32033</v>
      </c>
      <c r="F50" s="2446">
        <f>E50/D50*100</f>
        <v>93.617207820673926</v>
      </c>
      <c r="G50" s="2429">
        <f>SUM(G51:G54)</f>
        <v>20057000</v>
      </c>
      <c r="H50" s="2429">
        <f>SUM(H51:H54)</f>
        <v>34217576</v>
      </c>
      <c r="I50" s="2429">
        <f>SUM(I51:I54)</f>
        <v>32033201</v>
      </c>
      <c r="J50" s="2429"/>
      <c r="K50" s="2429"/>
      <c r="Q50" s="2447" t="s">
        <v>714</v>
      </c>
      <c r="R50" s="2485">
        <f>R45+R46+R47+R48+R49</f>
        <v>687187</v>
      </c>
      <c r="S50" s="2485">
        <f>S45+S46+S47+S48+S49</f>
        <v>1062026</v>
      </c>
      <c r="T50" s="2485">
        <f>T45+T46+T47+T48+T49</f>
        <v>557582</v>
      </c>
    </row>
    <row r="51" spans="1:20" ht="15" customHeight="1" x14ac:dyDescent="0.2">
      <c r="A51" s="2430" t="s">
        <v>673</v>
      </c>
      <c r="B51" s="2450"/>
      <c r="C51" s="2432">
        <f>'09'!E113</f>
        <v>19557</v>
      </c>
      <c r="D51" s="2432">
        <f>'09'!F113</f>
        <v>22369</v>
      </c>
      <c r="E51" s="2432">
        <f>'09'!G113</f>
        <v>20185</v>
      </c>
      <c r="F51" s="2433">
        <f>E51/D51*100</f>
        <v>90.23648799678125</v>
      </c>
      <c r="G51" s="2434">
        <v>19557000</v>
      </c>
      <c r="H51" s="2434">
        <v>22369260</v>
      </c>
      <c r="I51" s="2434">
        <v>20185093</v>
      </c>
      <c r="J51" s="2434"/>
      <c r="K51" s="2434">
        <f>SUM(G8,G14,G19,G25,G30,G35,G40,G46,G51)</f>
        <v>678784000</v>
      </c>
      <c r="L51" s="2434">
        <f t="shared" ref="L51:M52" si="2">SUM(H8,H14,H19,H25,H30,H35,H40,H46,H51)</f>
        <v>998280657.43999994</v>
      </c>
      <c r="M51" s="2434">
        <f t="shared" si="2"/>
        <v>498643186.95000005</v>
      </c>
      <c r="N51" s="2458" t="s">
        <v>680</v>
      </c>
      <c r="Q51" s="2409" t="s">
        <v>1521</v>
      </c>
      <c r="R51" s="2414">
        <f>C51+C46+C40+C35+C30+C25+C19+C14+C8+C10+C16+C21+C27+C32+C37+C42+C48+C53</f>
        <v>678784</v>
      </c>
      <c r="S51" s="2414">
        <f>D51+D46+D40+D35+D30+D25+D19+D14+D8+D10+D16+D21+D27+D32+D37+D42+D48+D53</f>
        <v>1029421</v>
      </c>
      <c r="T51" s="2414">
        <f>E51+E46+E40+E35+E30+E25+E19+E14+E8+E10+E16+E21+E27+E32+E37+E42+E48+E53</f>
        <v>525772</v>
      </c>
    </row>
    <row r="52" spans="1:20" ht="15" customHeight="1" x14ac:dyDescent="0.2">
      <c r="A52" s="2430" t="s">
        <v>674</v>
      </c>
      <c r="B52" s="2450"/>
      <c r="C52" s="2432">
        <f>'09'!E114</f>
        <v>500</v>
      </c>
      <c r="D52" s="2432">
        <f>'09'!F114</f>
        <v>2927</v>
      </c>
      <c r="E52" s="2432">
        <f>'09'!G114</f>
        <v>2927</v>
      </c>
      <c r="F52" s="2433">
        <f>E52/D52*100</f>
        <v>100</v>
      </c>
      <c r="G52" s="2434">
        <v>500000</v>
      </c>
      <c r="H52" s="2434">
        <v>2927000</v>
      </c>
      <c r="I52" s="2434">
        <v>2927000</v>
      </c>
      <c r="J52" s="2434"/>
      <c r="K52" s="2434">
        <f>SUM(G9,G15,G20,G26,G31,G36,G41,G47,G52)</f>
        <v>3109000</v>
      </c>
      <c r="L52" s="2434">
        <f t="shared" si="2"/>
        <v>25058747.780000001</v>
      </c>
      <c r="M52" s="2434">
        <f t="shared" si="2"/>
        <v>24526336.219999999</v>
      </c>
      <c r="N52" s="2459" t="s">
        <v>624</v>
      </c>
      <c r="Q52" s="2409" t="s">
        <v>1522</v>
      </c>
      <c r="R52" s="2414">
        <f t="shared" ref="R52:T52" si="3">R46+R48</f>
        <v>3109</v>
      </c>
      <c r="S52" s="2414">
        <f t="shared" si="3"/>
        <v>27311</v>
      </c>
      <c r="T52" s="2414">
        <f t="shared" si="3"/>
        <v>26779</v>
      </c>
    </row>
    <row r="53" spans="1:20" x14ac:dyDescent="0.2">
      <c r="A53" s="2436" t="s">
        <v>681</v>
      </c>
      <c r="B53" s="2431"/>
      <c r="C53" s="2432">
        <f>'09'!E115</f>
        <v>0</v>
      </c>
      <c r="D53" s="2432">
        <f>'09'!F115</f>
        <v>6769</v>
      </c>
      <c r="E53" s="2432">
        <f>'09'!G115</f>
        <v>6769</v>
      </c>
      <c r="F53" s="2433">
        <f>E53/D53*100</f>
        <v>100</v>
      </c>
      <c r="G53" s="2434">
        <v>0</v>
      </c>
      <c r="H53" s="2434">
        <v>6769316</v>
      </c>
      <c r="I53" s="2434">
        <v>6769316</v>
      </c>
      <c r="J53" s="2434"/>
      <c r="K53" s="2434">
        <f t="shared" ref="K53:K54" si="4">SUM(G10,G16,G21,G27,G32,G37,G42,G48,G53)</f>
        <v>0</v>
      </c>
      <c r="L53" s="2434">
        <f>SUM(H10,H16,H21,H27,H32,H37,H42,H48,H53)</f>
        <v>31141295.68</v>
      </c>
      <c r="M53" s="2434">
        <f>SUM(I10,I16,I21,I27,I32,I37,I42,I48,I53)</f>
        <v>27129216.59</v>
      </c>
      <c r="N53" s="2459" t="s">
        <v>716</v>
      </c>
      <c r="Q53" s="2409" t="s">
        <v>944</v>
      </c>
      <c r="R53" s="2414">
        <f>C44+C23+C12</f>
        <v>5294</v>
      </c>
      <c r="S53" s="2414">
        <f>D44+D23+D12</f>
        <v>5294</v>
      </c>
      <c r="T53" s="2414">
        <f>E44+E23+E12</f>
        <v>5031</v>
      </c>
    </row>
    <row r="54" spans="1:20" ht="15" thickBot="1" x14ac:dyDescent="0.25">
      <c r="A54" s="2460" t="s">
        <v>682</v>
      </c>
      <c r="B54" s="2461"/>
      <c r="C54" s="2462">
        <f>'09'!E116</f>
        <v>0</v>
      </c>
      <c r="D54" s="2462">
        <f>'09'!F116</f>
        <v>2152</v>
      </c>
      <c r="E54" s="2462">
        <f>'09'!G116</f>
        <v>2152</v>
      </c>
      <c r="F54" s="2463">
        <f>E54/D54*100</f>
        <v>100</v>
      </c>
      <c r="G54" s="2441">
        <v>0</v>
      </c>
      <c r="H54" s="2442">
        <v>2152000</v>
      </c>
      <c r="I54" s="2442">
        <v>2151792</v>
      </c>
      <c r="J54" s="2434"/>
      <c r="K54" s="2434">
        <f t="shared" si="4"/>
        <v>0</v>
      </c>
      <c r="L54" s="2434">
        <f>SUM(H11,H17,H22,H28,H33,H38,H43,H49,H54)</f>
        <v>2252540</v>
      </c>
      <c r="M54" s="2434">
        <f>SUM(I11,I17,I22,I28,I33,I38,I43,I49,I54)</f>
        <v>2252332</v>
      </c>
      <c r="N54" s="2459" t="s">
        <v>1494</v>
      </c>
      <c r="Q54" s="2447" t="s">
        <v>714</v>
      </c>
      <c r="R54" s="2485">
        <f>R51+R52+R53</f>
        <v>687187</v>
      </c>
      <c r="S54" s="2485">
        <f>S51+S52+S53</f>
        <v>1062026</v>
      </c>
      <c r="T54" s="2485">
        <f>T51+T52+T53</f>
        <v>557582</v>
      </c>
    </row>
    <row r="55" spans="1:20" ht="13.5" customHeight="1" thickTop="1" x14ac:dyDescent="0.2">
      <c r="A55" s="2464"/>
      <c r="B55" s="2465"/>
      <c r="C55" s="2414"/>
      <c r="D55" s="2414"/>
      <c r="E55" s="2414"/>
      <c r="F55" s="2409"/>
      <c r="G55" s="2567"/>
      <c r="H55" s="2567"/>
      <c r="I55" s="2567"/>
      <c r="J55" s="2567"/>
      <c r="K55" s="2429">
        <f>SUM(G50,G45,G39,G34,G24,G18,G13,G7)</f>
        <v>687107000</v>
      </c>
      <c r="L55" s="2429">
        <f>SUM(H50,H45,H39,H34,H24,H18,H13,H7)</f>
        <v>1061888610.8999999</v>
      </c>
      <c r="M55" s="2429">
        <f>SUM(I50,I45,I39,I34,I24,I18,I13,I7)</f>
        <v>557503125.75999999</v>
      </c>
      <c r="N55" s="2466" t="s">
        <v>943</v>
      </c>
    </row>
    <row r="56" spans="1:20" ht="12.75" customHeight="1" x14ac:dyDescent="0.2">
      <c r="A56" s="2464"/>
      <c r="B56" s="2465"/>
      <c r="C56" s="2414"/>
      <c r="D56" s="2414"/>
      <c r="E56" s="2414"/>
      <c r="F56" s="2467"/>
      <c r="G56" s="2572"/>
      <c r="H56" s="2572"/>
      <c r="I56" s="2572"/>
      <c r="J56" s="2572"/>
      <c r="K56" s="2434"/>
      <c r="N56" s="2459"/>
    </row>
    <row r="57" spans="1:20" ht="15" thickBot="1" x14ac:dyDescent="0.25">
      <c r="F57" s="2414" t="s">
        <v>173</v>
      </c>
      <c r="G57" s="2567"/>
      <c r="H57" s="2567"/>
      <c r="I57" s="2567"/>
      <c r="J57" s="2567"/>
      <c r="K57" s="2567"/>
    </row>
    <row r="58" spans="1:20" s="2419" customFormat="1" ht="27" thickTop="1" thickBot="1" x14ac:dyDescent="0.25">
      <c r="A58" s="2415" t="s">
        <v>668</v>
      </c>
      <c r="B58" s="2416" t="s">
        <v>671</v>
      </c>
      <c r="C58" s="2417" t="s">
        <v>669</v>
      </c>
      <c r="D58" s="2417" t="s">
        <v>670</v>
      </c>
      <c r="E58" s="2417" t="s">
        <v>923</v>
      </c>
      <c r="F58" s="2418" t="s">
        <v>924</v>
      </c>
      <c r="G58" s="2570"/>
      <c r="H58" s="2570"/>
      <c r="I58" s="2570"/>
      <c r="J58" s="2570"/>
      <c r="K58" s="2570"/>
    </row>
    <row r="59" spans="1:20" s="2424" customFormat="1" ht="12.75" thickTop="1" thickBot="1" x14ac:dyDescent="0.25">
      <c r="A59" s="2468">
        <v>1</v>
      </c>
      <c r="B59" s="2469">
        <v>2</v>
      </c>
      <c r="C59" s="2470">
        <v>3</v>
      </c>
      <c r="D59" s="2470">
        <v>4</v>
      </c>
      <c r="E59" s="2470">
        <v>5</v>
      </c>
      <c r="F59" s="2471" t="s">
        <v>445</v>
      </c>
      <c r="G59" s="2571"/>
      <c r="H59" s="2571"/>
      <c r="I59" s="2571"/>
      <c r="J59" s="2571"/>
      <c r="K59" s="2571"/>
    </row>
    <row r="60" spans="1:20" ht="15.75" customHeight="1" thickTop="1" x14ac:dyDescent="0.25">
      <c r="A60" s="2472" t="s">
        <v>381</v>
      </c>
      <c r="B60" s="2473">
        <v>10</v>
      </c>
      <c r="C60" s="2456">
        <f>SUM(C61,C67,C72,C77)</f>
        <v>470868</v>
      </c>
      <c r="D60" s="2456">
        <f>SUM(D61,D67,D72,D77)</f>
        <v>5702037</v>
      </c>
      <c r="E60" s="2456">
        <f>SUM(E61,E67,E72,E77)</f>
        <v>5701422</v>
      </c>
      <c r="F60" s="2451">
        <f>E60/D60*100</f>
        <v>99.989214380755513</v>
      </c>
      <c r="G60" s="2474">
        <f>SUM(G61,G67,G72,G77)</f>
        <v>470868000</v>
      </c>
      <c r="H60" s="2474">
        <f>SUM(H61,H67,H72,H77)</f>
        <v>5702036825.0199995</v>
      </c>
      <c r="I60" s="2474">
        <f>SUM(I61,I67,I72,I77)</f>
        <v>5701421836.3899994</v>
      </c>
      <c r="J60" s="2474"/>
      <c r="K60" s="2474"/>
    </row>
    <row r="61" spans="1:20" x14ac:dyDescent="0.2">
      <c r="A61" s="2475" t="s">
        <v>683</v>
      </c>
      <c r="B61" s="2473"/>
      <c r="C61" s="2476">
        <f>SUM(C62:C65)</f>
        <v>62729</v>
      </c>
      <c r="D61" s="2476">
        <f>SUM(D62:D65)</f>
        <v>87882</v>
      </c>
      <c r="E61" s="2476">
        <f>SUM(E62:E66)</f>
        <v>87458</v>
      </c>
      <c r="F61" s="2433">
        <f>E61/D61*100</f>
        <v>99.517534876311416</v>
      </c>
      <c r="G61" s="2429">
        <f>SUM(G62:G65)</f>
        <v>62729000</v>
      </c>
      <c r="H61" s="2429">
        <f>SUM(H62:H65)</f>
        <v>87881979.540000007</v>
      </c>
      <c r="I61" s="2429">
        <f>SUM(I62:I66)</f>
        <v>87458172.909999996</v>
      </c>
      <c r="J61" s="2429"/>
      <c r="K61" s="2429"/>
    </row>
    <row r="62" spans="1:20" x14ac:dyDescent="0.2">
      <c r="A62" s="2430" t="s">
        <v>673</v>
      </c>
      <c r="B62" s="2477"/>
      <c r="C62" s="2432">
        <f>'10'!E289</f>
        <v>52229</v>
      </c>
      <c r="D62" s="2432">
        <f>'10'!F289</f>
        <v>80510</v>
      </c>
      <c r="E62" s="2432">
        <f>'10'!G289</f>
        <v>80085</v>
      </c>
      <c r="F62" s="2433">
        <f>E62/D62*100</f>
        <v>99.472115265184442</v>
      </c>
      <c r="G62" s="2478">
        <v>52229000</v>
      </c>
      <c r="H62" s="2478">
        <v>80509979.540000007</v>
      </c>
      <c r="I62" s="2478">
        <v>80084692.670000002</v>
      </c>
      <c r="J62" s="2478"/>
      <c r="K62" s="2478"/>
    </row>
    <row r="63" spans="1:20" x14ac:dyDescent="0.2">
      <c r="A63" s="2430" t="s">
        <v>674</v>
      </c>
      <c r="B63" s="2479"/>
      <c r="C63" s="2432">
        <f>'10'!E290</f>
        <v>10500</v>
      </c>
      <c r="D63" s="2432">
        <f>'10'!F290</f>
        <v>6830</v>
      </c>
      <c r="E63" s="2432">
        <f>'10'!G290</f>
        <v>6830</v>
      </c>
      <c r="F63" s="2433">
        <f>E63/D63*100</f>
        <v>100</v>
      </c>
      <c r="G63" s="2478">
        <v>10500000</v>
      </c>
      <c r="H63" s="2478">
        <v>6830000</v>
      </c>
      <c r="I63" s="2478">
        <v>6830000</v>
      </c>
      <c r="J63" s="2478"/>
      <c r="K63" s="2478"/>
    </row>
    <row r="64" spans="1:20" x14ac:dyDescent="0.2">
      <c r="A64" s="2436" t="s">
        <v>681</v>
      </c>
      <c r="B64" s="2477"/>
      <c r="C64" s="2432">
        <f>'10'!E291</f>
        <v>0</v>
      </c>
      <c r="D64" s="2432">
        <f>'10'!F291</f>
        <v>542</v>
      </c>
      <c r="E64" s="2432">
        <f>'10'!G291</f>
        <v>542</v>
      </c>
      <c r="F64" s="2433">
        <v>0</v>
      </c>
      <c r="G64" s="2478">
        <v>0</v>
      </c>
      <c r="H64" s="2478">
        <v>542000</v>
      </c>
      <c r="I64" s="2478">
        <v>542000</v>
      </c>
      <c r="J64" s="2478"/>
      <c r="K64" s="2478"/>
    </row>
    <row r="65" spans="1:11" x14ac:dyDescent="0.2">
      <c r="A65" s="2480" t="s">
        <v>682</v>
      </c>
      <c r="B65" s="2479"/>
      <c r="C65" s="2432">
        <f>'10'!E292</f>
        <v>0</v>
      </c>
      <c r="D65" s="2432">
        <f>'10'!F292</f>
        <v>0</v>
      </c>
      <c r="E65" s="2432">
        <f>'10'!G292</f>
        <v>0</v>
      </c>
      <c r="F65" s="2433">
        <v>0</v>
      </c>
      <c r="G65" s="2478">
        <v>0</v>
      </c>
      <c r="H65" s="2478">
        <v>0</v>
      </c>
      <c r="I65" s="2478">
        <v>0</v>
      </c>
      <c r="J65" s="2478"/>
      <c r="K65" s="2478"/>
    </row>
    <row r="66" spans="1:11" x14ac:dyDescent="0.2">
      <c r="A66" s="2430" t="s">
        <v>1238</v>
      </c>
      <c r="B66" s="2479"/>
      <c r="C66" s="2432"/>
      <c r="D66" s="2432"/>
      <c r="E66" s="2432">
        <v>1</v>
      </c>
      <c r="F66" s="2433">
        <v>0</v>
      </c>
      <c r="G66" s="2478">
        <v>0</v>
      </c>
      <c r="H66" s="2478">
        <v>0</v>
      </c>
      <c r="I66" s="2478">
        <v>1480.24</v>
      </c>
      <c r="J66" s="2478"/>
      <c r="K66" s="2478"/>
    </row>
    <row r="67" spans="1:11" x14ac:dyDescent="0.2">
      <c r="A67" s="2481" t="s">
        <v>684</v>
      </c>
      <c r="B67" s="2479"/>
      <c r="C67" s="2476">
        <f>SUM(C68:C71)</f>
        <v>408139</v>
      </c>
      <c r="D67" s="2476">
        <f>SUM(D68:D71)</f>
        <v>2418812</v>
      </c>
      <c r="E67" s="2476">
        <f>SUM(E68:E71)</f>
        <v>2418812</v>
      </c>
      <c r="F67" s="2433">
        <f t="shared" ref="F67:F73" si="5">E67/D67*100</f>
        <v>100</v>
      </c>
      <c r="G67" s="2429">
        <f>SUM(G68:G71)</f>
        <v>408139000</v>
      </c>
      <c r="H67" s="2429">
        <f>SUM(H68:H71)</f>
        <v>2418811776.4899998</v>
      </c>
      <c r="I67" s="2429">
        <f>SUM(I68:I71)</f>
        <v>2418811776.4899998</v>
      </c>
      <c r="J67" s="2429"/>
      <c r="K67" s="2429"/>
    </row>
    <row r="68" spans="1:11" x14ac:dyDescent="0.2">
      <c r="A68" s="2430" t="s">
        <v>673</v>
      </c>
      <c r="B68" s="2479"/>
      <c r="C68" s="2432">
        <f>'10'!E295</f>
        <v>408139</v>
      </c>
      <c r="D68" s="2432">
        <f>'10'!F295</f>
        <v>418867</v>
      </c>
      <c r="E68" s="2432">
        <f>'10'!G295</f>
        <v>418867</v>
      </c>
      <c r="F68" s="2433">
        <f t="shared" si="5"/>
        <v>100</v>
      </c>
      <c r="G68" s="2478">
        <v>408139000</v>
      </c>
      <c r="H68" s="2478">
        <v>418866432.69999999</v>
      </c>
      <c r="I68" s="2478">
        <v>418866432.69999999</v>
      </c>
      <c r="J68" s="2478"/>
      <c r="K68" s="2478"/>
    </row>
    <row r="69" spans="1:11" x14ac:dyDescent="0.2">
      <c r="A69" s="2430" t="s">
        <v>674</v>
      </c>
      <c r="B69" s="2479"/>
      <c r="C69" s="2432">
        <f>'10'!E296</f>
        <v>0</v>
      </c>
      <c r="D69" s="2432">
        <f>'10'!F296</f>
        <v>4989</v>
      </c>
      <c r="E69" s="2432">
        <f>'10'!G296</f>
        <v>4989</v>
      </c>
      <c r="F69" s="2433">
        <f t="shared" si="5"/>
        <v>100</v>
      </c>
      <c r="G69" s="2478">
        <v>0</v>
      </c>
      <c r="H69" s="2478">
        <v>4989179</v>
      </c>
      <c r="I69" s="2478">
        <v>4989179</v>
      </c>
      <c r="J69" s="2478"/>
      <c r="K69" s="2478"/>
    </row>
    <row r="70" spans="1:11" x14ac:dyDescent="0.2">
      <c r="A70" s="2480" t="s">
        <v>681</v>
      </c>
      <c r="B70" s="2479"/>
      <c r="C70" s="2432">
        <f>'10'!E297</f>
        <v>0</v>
      </c>
      <c r="D70" s="2432">
        <f>'10'!F297</f>
        <v>1994956</v>
      </c>
      <c r="E70" s="2432">
        <f>'10'!G297</f>
        <v>1994956</v>
      </c>
      <c r="F70" s="2433">
        <f t="shared" si="5"/>
        <v>100</v>
      </c>
      <c r="G70" s="2478">
        <v>0</v>
      </c>
      <c r="H70" s="2478">
        <v>1994956164.79</v>
      </c>
      <c r="I70" s="2478">
        <v>1994956164.79</v>
      </c>
      <c r="J70" s="2478"/>
      <c r="K70" s="2478"/>
    </row>
    <row r="71" spans="1:11" x14ac:dyDescent="0.2">
      <c r="A71" s="2480" t="s">
        <v>682</v>
      </c>
      <c r="B71" s="2479"/>
      <c r="C71" s="2432">
        <f>'10'!E298</f>
        <v>0</v>
      </c>
      <c r="D71" s="2432">
        <f>'10'!F298</f>
        <v>0</v>
      </c>
      <c r="E71" s="2432">
        <f>'10'!G298</f>
        <v>0</v>
      </c>
      <c r="F71" s="2433">
        <v>0</v>
      </c>
      <c r="G71" s="2478">
        <v>0</v>
      </c>
      <c r="H71" s="2478">
        <v>0</v>
      </c>
      <c r="I71" s="2478">
        <v>0</v>
      </c>
      <c r="J71" s="2478"/>
      <c r="K71" s="2478"/>
    </row>
    <row r="72" spans="1:11" x14ac:dyDescent="0.2">
      <c r="A72" s="2481" t="s">
        <v>685</v>
      </c>
      <c r="B72" s="2479"/>
      <c r="C72" s="2476">
        <f>SUM(C73:C76)</f>
        <v>0</v>
      </c>
      <c r="D72" s="2476">
        <f>SUM(D73:D76)</f>
        <v>234289</v>
      </c>
      <c r="E72" s="2476">
        <f>SUM(E73:E76)</f>
        <v>234098</v>
      </c>
      <c r="F72" s="2433">
        <f t="shared" si="5"/>
        <v>99.918476753069925</v>
      </c>
      <c r="G72" s="2429">
        <f>SUM(G73:G76)</f>
        <v>0</v>
      </c>
      <c r="H72" s="2429">
        <f>SUM(H73:H76)</f>
        <v>234288889</v>
      </c>
      <c r="I72" s="2429">
        <f>SUM(I73:I76)</f>
        <v>234097707</v>
      </c>
      <c r="J72" s="2429"/>
      <c r="K72" s="2429"/>
    </row>
    <row r="73" spans="1:11" x14ac:dyDescent="0.2">
      <c r="A73" s="2430" t="s">
        <v>673</v>
      </c>
      <c r="B73" s="2479"/>
      <c r="C73" s="2432">
        <f>'10'!E301</f>
        <v>0</v>
      </c>
      <c r="D73" s="2432">
        <f>'10'!F301</f>
        <v>283</v>
      </c>
      <c r="E73" s="2432">
        <f>'10'!G301</f>
        <v>277</v>
      </c>
      <c r="F73" s="2433">
        <f t="shared" si="5"/>
        <v>97.879858657243815</v>
      </c>
      <c r="G73" s="2478">
        <v>0</v>
      </c>
      <c r="H73" s="2478">
        <v>282700</v>
      </c>
      <c r="I73" s="2478">
        <v>276744</v>
      </c>
      <c r="J73" s="2478"/>
      <c r="K73" s="2478"/>
    </row>
    <row r="74" spans="1:11" x14ac:dyDescent="0.2">
      <c r="A74" s="2430" t="s">
        <v>674</v>
      </c>
      <c r="B74" s="2479"/>
      <c r="C74" s="2432">
        <f>'10'!E302</f>
        <v>0</v>
      </c>
      <c r="D74" s="2432">
        <f>'10'!F302</f>
        <v>0</v>
      </c>
      <c r="E74" s="2432">
        <f>'10'!G302</f>
        <v>0</v>
      </c>
      <c r="F74" s="2433">
        <v>0</v>
      </c>
      <c r="G74" s="2478">
        <v>0</v>
      </c>
      <c r="H74" s="2478">
        <v>0</v>
      </c>
      <c r="I74" s="2478">
        <v>0</v>
      </c>
      <c r="J74" s="2478"/>
      <c r="K74" s="2478"/>
    </row>
    <row r="75" spans="1:11" x14ac:dyDescent="0.2">
      <c r="A75" s="2480" t="s">
        <v>681</v>
      </c>
      <c r="B75" s="2479"/>
      <c r="C75" s="2432">
        <f>'10'!E303</f>
        <v>0</v>
      </c>
      <c r="D75" s="2432">
        <f>'10'!F303</f>
        <v>234006</v>
      </c>
      <c r="E75" s="2432">
        <f>'10'!G303</f>
        <v>233821</v>
      </c>
      <c r="F75" s="2433">
        <f>E75/D75*100</f>
        <v>99.920942198063301</v>
      </c>
      <c r="G75" s="2478">
        <v>0</v>
      </c>
      <c r="H75" s="2478">
        <v>234006189</v>
      </c>
      <c r="I75" s="2478">
        <v>233820963</v>
      </c>
      <c r="J75" s="2478"/>
      <c r="K75" s="2478"/>
    </row>
    <row r="76" spans="1:11" x14ac:dyDescent="0.2">
      <c r="A76" s="2480" t="s">
        <v>682</v>
      </c>
      <c r="B76" s="2479"/>
      <c r="C76" s="2432">
        <f>'10'!E304</f>
        <v>0</v>
      </c>
      <c r="D76" s="2432">
        <f>'10'!F304</f>
        <v>0</v>
      </c>
      <c r="E76" s="2432">
        <f>'10'!G304</f>
        <v>0</v>
      </c>
      <c r="F76" s="2433">
        <v>0</v>
      </c>
      <c r="G76" s="2478">
        <v>0</v>
      </c>
      <c r="H76" s="2478">
        <v>0</v>
      </c>
      <c r="I76" s="2478">
        <v>0</v>
      </c>
      <c r="J76" s="2478"/>
      <c r="K76" s="2478"/>
    </row>
    <row r="77" spans="1:11" x14ac:dyDescent="0.2">
      <c r="A77" s="2482" t="s">
        <v>686</v>
      </c>
      <c r="B77" s="2477"/>
      <c r="C77" s="2476">
        <f>SUM(C78:C81)</f>
        <v>0</v>
      </c>
      <c r="D77" s="2476">
        <f>SUM(D78:D81)</f>
        <v>2961054</v>
      </c>
      <c r="E77" s="2476">
        <f>SUM(E78:E81)</f>
        <v>2961054</v>
      </c>
      <c r="F77" s="2433">
        <f>E77/D77*100</f>
        <v>100</v>
      </c>
      <c r="G77" s="2429">
        <f>SUM(G78:G81)</f>
        <v>0</v>
      </c>
      <c r="H77" s="2429">
        <f>SUM(H78:H81)</f>
        <v>2961054179.9899998</v>
      </c>
      <c r="I77" s="2429">
        <f>SUM(I78:I81)</f>
        <v>2961054179.9899998</v>
      </c>
      <c r="J77" s="2429"/>
      <c r="K77" s="2429"/>
    </row>
    <row r="78" spans="1:11" x14ac:dyDescent="0.2">
      <c r="A78" s="2430" t="s">
        <v>673</v>
      </c>
      <c r="B78" s="2477"/>
      <c r="C78" s="2432">
        <f>'10'!E307</f>
        <v>0</v>
      </c>
      <c r="D78" s="2432">
        <f>'10'!F307</f>
        <v>0</v>
      </c>
      <c r="E78" s="2432">
        <f>'10'!G307</f>
        <v>0</v>
      </c>
      <c r="F78" s="2433">
        <v>0</v>
      </c>
      <c r="G78" s="2434">
        <v>0</v>
      </c>
      <c r="H78" s="2434">
        <v>0</v>
      </c>
      <c r="I78" s="2434">
        <v>0</v>
      </c>
      <c r="J78" s="2434"/>
      <c r="K78" s="2434"/>
    </row>
    <row r="79" spans="1:11" x14ac:dyDescent="0.2">
      <c r="A79" s="2430" t="s">
        <v>674</v>
      </c>
      <c r="B79" s="2477"/>
      <c r="C79" s="2432">
        <f>'10'!E308</f>
        <v>0</v>
      </c>
      <c r="D79" s="2432">
        <f>'10'!F308</f>
        <v>0</v>
      </c>
      <c r="E79" s="2432">
        <f>'10'!G308</f>
        <v>0</v>
      </c>
      <c r="F79" s="2433">
        <v>0</v>
      </c>
      <c r="G79" s="2434">
        <v>0</v>
      </c>
      <c r="H79" s="2434">
        <v>0</v>
      </c>
      <c r="I79" s="2434">
        <v>0</v>
      </c>
      <c r="J79" s="2434"/>
      <c r="K79" s="2434"/>
    </row>
    <row r="80" spans="1:11" x14ac:dyDescent="0.2">
      <c r="A80" s="2436" t="s">
        <v>681</v>
      </c>
      <c r="B80" s="2477"/>
      <c r="C80" s="2432">
        <f>'10'!E309</f>
        <v>0</v>
      </c>
      <c r="D80" s="2432">
        <f>'10'!F309</f>
        <v>2961054</v>
      </c>
      <c r="E80" s="2432">
        <f>'10'!G309</f>
        <v>2961054</v>
      </c>
      <c r="F80" s="2433">
        <f>E80/D80*100</f>
        <v>100</v>
      </c>
      <c r="G80" s="2434">
        <v>0</v>
      </c>
      <c r="H80" s="2434">
        <v>2961054179.9899998</v>
      </c>
      <c r="I80" s="2434">
        <v>2961054179.9899998</v>
      </c>
      <c r="J80" s="2434"/>
      <c r="K80" s="2434"/>
    </row>
    <row r="81" spans="1:11" x14ac:dyDescent="0.2">
      <c r="A81" s="2480" t="s">
        <v>682</v>
      </c>
      <c r="B81" s="2477"/>
      <c r="C81" s="2432">
        <f>'10'!E310</f>
        <v>0</v>
      </c>
      <c r="D81" s="2432">
        <f>'10'!F310</f>
        <v>0</v>
      </c>
      <c r="E81" s="2432">
        <f>'10'!G310</f>
        <v>0</v>
      </c>
      <c r="F81" s="2433">
        <v>0</v>
      </c>
      <c r="G81" s="2441">
        <v>0</v>
      </c>
      <c r="H81" s="2442">
        <v>0</v>
      </c>
      <c r="I81" s="2442">
        <v>0</v>
      </c>
      <c r="J81" s="2434"/>
      <c r="K81" s="2434"/>
    </row>
    <row r="82" spans="1:11" ht="15" x14ac:dyDescent="0.25">
      <c r="A82" s="2443" t="s">
        <v>382</v>
      </c>
      <c r="B82" s="2483">
        <v>11</v>
      </c>
      <c r="C82" s="2445">
        <f>C83+C88</f>
        <v>266437</v>
      </c>
      <c r="D82" s="2445">
        <f>D83+D88</f>
        <v>258308</v>
      </c>
      <c r="E82" s="2445">
        <f>E83+E88</f>
        <v>258212</v>
      </c>
      <c r="F82" s="2446">
        <f>E82/D82*100</f>
        <v>99.962835065116067</v>
      </c>
      <c r="G82" s="2474">
        <f>SUM(G83,G88)</f>
        <v>266437000</v>
      </c>
      <c r="H82" s="2474">
        <f>SUM(H83,H88)</f>
        <v>258307726.21999997</v>
      </c>
      <c r="I82" s="2474">
        <f>SUM(I83,I88)</f>
        <v>258211700.13999999</v>
      </c>
      <c r="J82" s="2474"/>
      <c r="K82" s="2474"/>
    </row>
    <row r="83" spans="1:11" x14ac:dyDescent="0.2">
      <c r="A83" s="2475" t="s">
        <v>683</v>
      </c>
      <c r="B83" s="2431"/>
      <c r="C83" s="2476">
        <f>SUM(C84:C87)</f>
        <v>10191</v>
      </c>
      <c r="D83" s="2476">
        <f>SUM(D84:D87)</f>
        <v>20579</v>
      </c>
      <c r="E83" s="2476">
        <f>SUM(E84:E87)</f>
        <v>20572</v>
      </c>
      <c r="F83" s="2484">
        <f>E83/D83*100</f>
        <v>99.965984741726999</v>
      </c>
      <c r="G83" s="2429">
        <f>SUM(G84:G87)</f>
        <v>10191000</v>
      </c>
      <c r="H83" s="2429">
        <f>SUM(H84:H87)</f>
        <v>20578344.699999999</v>
      </c>
      <c r="I83" s="2429">
        <f>SUM(I84:I87)</f>
        <v>20571663.619999997</v>
      </c>
      <c r="J83" s="2429"/>
      <c r="K83" s="2429"/>
    </row>
    <row r="84" spans="1:11" x14ac:dyDescent="0.2">
      <c r="A84" s="2430" t="s">
        <v>673</v>
      </c>
      <c r="B84" s="2431"/>
      <c r="C84" s="2432">
        <f>'11'!E592</f>
        <v>10191</v>
      </c>
      <c r="D84" s="2432">
        <f>'11'!F592</f>
        <v>15049</v>
      </c>
      <c r="E84" s="2432">
        <f>'11'!G592</f>
        <v>15042</v>
      </c>
      <c r="F84" s="2484">
        <f>E84/D84*100</f>
        <v>99.953485281414046</v>
      </c>
      <c r="G84" s="2434">
        <v>10191000</v>
      </c>
      <c r="H84" s="2434">
        <v>15048720.699999999</v>
      </c>
      <c r="I84" s="2434">
        <v>15042039.619999999</v>
      </c>
      <c r="J84" s="2434"/>
      <c r="K84" s="2434"/>
    </row>
    <row r="85" spans="1:11" x14ac:dyDescent="0.2">
      <c r="A85" s="2430" t="s">
        <v>674</v>
      </c>
      <c r="B85" s="2431"/>
      <c r="C85" s="2432">
        <f>'11'!E593</f>
        <v>0</v>
      </c>
      <c r="D85" s="2432">
        <f>'11'!F593</f>
        <v>400</v>
      </c>
      <c r="E85" s="2432">
        <f>'11'!G593</f>
        <v>400</v>
      </c>
      <c r="F85" s="2484">
        <v>0</v>
      </c>
      <c r="G85" s="2434">
        <v>0</v>
      </c>
      <c r="H85" s="2434">
        <v>400000</v>
      </c>
      <c r="I85" s="2434">
        <v>400000</v>
      </c>
      <c r="J85" s="2434"/>
      <c r="K85" s="2434"/>
    </row>
    <row r="86" spans="1:11" x14ac:dyDescent="0.2">
      <c r="A86" s="2436" t="s">
        <v>681</v>
      </c>
      <c r="B86" s="2431"/>
      <c r="C86" s="2432">
        <f>'11'!E594</f>
        <v>0</v>
      </c>
      <c r="D86" s="2432">
        <f>'11'!F594</f>
        <v>5130</v>
      </c>
      <c r="E86" s="2432">
        <f>'11'!G594</f>
        <v>5130</v>
      </c>
      <c r="F86" s="2484">
        <f>E86/D86*100</f>
        <v>100</v>
      </c>
      <c r="G86" s="2434">
        <v>0</v>
      </c>
      <c r="H86" s="2434">
        <v>5129624</v>
      </c>
      <c r="I86" s="2434">
        <v>5129624</v>
      </c>
      <c r="J86" s="2434"/>
      <c r="K86" s="2434"/>
    </row>
    <row r="87" spans="1:11" x14ac:dyDescent="0.2">
      <c r="A87" s="2480" t="s">
        <v>682</v>
      </c>
      <c r="B87" s="2431"/>
      <c r="C87" s="2432">
        <f>'11'!E595</f>
        <v>0</v>
      </c>
      <c r="D87" s="2432">
        <f>'11'!F595</f>
        <v>0</v>
      </c>
      <c r="E87" s="2432">
        <f>'11'!G595</f>
        <v>0</v>
      </c>
      <c r="F87" s="2484">
        <v>0</v>
      </c>
      <c r="G87" s="2434">
        <v>0</v>
      </c>
      <c r="H87" s="2434">
        <v>0</v>
      </c>
      <c r="I87" s="2434">
        <v>0</v>
      </c>
      <c r="J87" s="2434"/>
      <c r="K87" s="2434"/>
    </row>
    <row r="88" spans="1:11" x14ac:dyDescent="0.2">
      <c r="A88" s="2481" t="s">
        <v>684</v>
      </c>
      <c r="B88" s="2431"/>
      <c r="C88" s="2476">
        <f>SUM(C89:C92)</f>
        <v>256246</v>
      </c>
      <c r="D88" s="2476">
        <f>SUM(D89:D92)</f>
        <v>237729</v>
      </c>
      <c r="E88" s="2476">
        <f>SUM(E89:E92)</f>
        <v>237640</v>
      </c>
      <c r="F88" s="2484">
        <f>E88/D88*100</f>
        <v>99.962562413504457</v>
      </c>
      <c r="G88" s="2429">
        <f>SUM(G89:G92)</f>
        <v>256246000</v>
      </c>
      <c r="H88" s="2429">
        <f>SUM(H89:H92)</f>
        <v>237729381.51999998</v>
      </c>
      <c r="I88" s="2429">
        <f>SUM(I89:I92)</f>
        <v>237640036.51999998</v>
      </c>
      <c r="J88" s="2429"/>
      <c r="K88" s="2429"/>
    </row>
    <row r="89" spans="1:11" x14ac:dyDescent="0.2">
      <c r="A89" s="2430" t="s">
        <v>673</v>
      </c>
      <c r="B89" s="2431"/>
      <c r="C89" s="2432">
        <f>'11'!E598</f>
        <v>256246</v>
      </c>
      <c r="D89" s="2432">
        <f>'11'!F598</f>
        <v>232159</v>
      </c>
      <c r="E89" s="2432">
        <f>'11'!G598</f>
        <v>232159</v>
      </c>
      <c r="F89" s="2484">
        <f>E89/D89*100</f>
        <v>100</v>
      </c>
      <c r="G89" s="2434">
        <v>256246000</v>
      </c>
      <c r="H89" s="2434">
        <v>232159090</v>
      </c>
      <c r="I89" s="2434">
        <v>232159090</v>
      </c>
      <c r="J89" s="2434"/>
      <c r="K89" s="2434"/>
    </row>
    <row r="90" spans="1:11" x14ac:dyDescent="0.2">
      <c r="A90" s="2430" t="s">
        <v>674</v>
      </c>
      <c r="B90" s="2431"/>
      <c r="C90" s="2432">
        <f>'11'!E599</f>
        <v>0</v>
      </c>
      <c r="D90" s="2432">
        <f>'11'!F599</f>
        <v>2121</v>
      </c>
      <c r="E90" s="2432">
        <f>'11'!G599</f>
        <v>2032</v>
      </c>
      <c r="F90" s="2484">
        <f>E90/D90*100</f>
        <v>95.803866100895803</v>
      </c>
      <c r="G90" s="2434">
        <v>0</v>
      </c>
      <c r="H90" s="2434">
        <v>2121250.85</v>
      </c>
      <c r="I90" s="2434">
        <v>2031905.85</v>
      </c>
      <c r="J90" s="2434"/>
      <c r="K90" s="2434"/>
    </row>
    <row r="91" spans="1:11" x14ac:dyDescent="0.2">
      <c r="A91" s="2480" t="s">
        <v>681</v>
      </c>
      <c r="B91" s="2431"/>
      <c r="C91" s="2432">
        <f>'11'!E600</f>
        <v>0</v>
      </c>
      <c r="D91" s="2432">
        <f>'11'!F600</f>
        <v>3449</v>
      </c>
      <c r="E91" s="2432">
        <f>'11'!G600</f>
        <v>3449</v>
      </c>
      <c r="F91" s="2484">
        <f>E91/D91*100</f>
        <v>100</v>
      </c>
      <c r="G91" s="2434">
        <v>0</v>
      </c>
      <c r="H91" s="2434">
        <v>3449040.67</v>
      </c>
      <c r="I91" s="2434">
        <v>3449040.67</v>
      </c>
      <c r="J91" s="2434"/>
      <c r="K91" s="2434"/>
    </row>
    <row r="92" spans="1:11" x14ac:dyDescent="0.2">
      <c r="A92" s="2480" t="s">
        <v>682</v>
      </c>
      <c r="B92" s="2431"/>
      <c r="C92" s="2432">
        <f>'11'!E601</f>
        <v>0</v>
      </c>
      <c r="D92" s="2432">
        <f>'11'!F601</f>
        <v>0</v>
      </c>
      <c r="E92" s="2432">
        <f>'11'!G601</f>
        <v>0</v>
      </c>
      <c r="F92" s="2484">
        <v>0</v>
      </c>
      <c r="G92" s="2441">
        <v>0</v>
      </c>
      <c r="H92" s="2442">
        <v>0</v>
      </c>
      <c r="I92" s="2442">
        <v>0</v>
      </c>
      <c r="J92" s="2434"/>
      <c r="K92" s="2434"/>
    </row>
    <row r="93" spans="1:11" ht="29.25" customHeight="1" x14ac:dyDescent="0.25">
      <c r="A93" s="2457" t="s">
        <v>1985</v>
      </c>
      <c r="B93" s="2483">
        <v>12</v>
      </c>
      <c r="C93" s="2445">
        <f>C94+C99</f>
        <v>1310697</v>
      </c>
      <c r="D93" s="2445">
        <f>D94+D99</f>
        <v>1584831</v>
      </c>
      <c r="E93" s="2445">
        <f>E94+E99</f>
        <v>1583374</v>
      </c>
      <c r="F93" s="2446">
        <f>E93/D93*100</f>
        <v>99.908065907342802</v>
      </c>
      <c r="G93" s="2474">
        <f>SUM(G94,G99)</f>
        <v>1310697000</v>
      </c>
      <c r="H93" s="2474">
        <f>SUM(H94,H99)</f>
        <v>1584830949.72</v>
      </c>
      <c r="I93" s="2474">
        <f>SUM(I94,I99)</f>
        <v>1583373928.72</v>
      </c>
      <c r="J93" s="2474"/>
      <c r="K93" s="2474"/>
    </row>
    <row r="94" spans="1:11" ht="15" customHeight="1" x14ac:dyDescent="0.2">
      <c r="A94" s="2475" t="s">
        <v>683</v>
      </c>
      <c r="B94" s="2473"/>
      <c r="C94" s="2476">
        <f>SUM(C95:C98)</f>
        <v>790644</v>
      </c>
      <c r="D94" s="2476">
        <f>SUM(D95:D98)</f>
        <v>1027597</v>
      </c>
      <c r="E94" s="2476">
        <f>SUM(E95:E98)</f>
        <v>1026140</v>
      </c>
      <c r="F94" s="2484">
        <f t="shared" ref="F94:F103" si="6">E94/D94*100</f>
        <v>99.858212898636339</v>
      </c>
      <c r="G94" s="2429">
        <f>SUM(G95:G98)</f>
        <v>790644000</v>
      </c>
      <c r="H94" s="2429">
        <f>SUM(H95:H98)</f>
        <v>1027597100.5</v>
      </c>
      <c r="I94" s="2429">
        <f>SUM(I95:I98)</f>
        <v>1026140079.5</v>
      </c>
      <c r="J94" s="2429"/>
      <c r="K94" s="2429"/>
    </row>
    <row r="95" spans="1:11" ht="15" customHeight="1" x14ac:dyDescent="0.2">
      <c r="A95" s="2430" t="s">
        <v>673</v>
      </c>
      <c r="B95" s="2473"/>
      <c r="C95" s="2432">
        <f>'12'!E107</f>
        <v>790644</v>
      </c>
      <c r="D95" s="2432">
        <f>'12'!F107</f>
        <v>800557</v>
      </c>
      <c r="E95" s="2432">
        <f>'12'!G107</f>
        <v>799100</v>
      </c>
      <c r="F95" s="2433">
        <f t="shared" si="6"/>
        <v>99.818001716305034</v>
      </c>
      <c r="G95" s="2434">
        <v>790644000</v>
      </c>
      <c r="H95" s="2434">
        <v>800557600.5</v>
      </c>
      <c r="I95" s="2434">
        <v>799100579.5</v>
      </c>
      <c r="J95" s="2434"/>
      <c r="K95" s="2434"/>
    </row>
    <row r="96" spans="1:11" ht="15" customHeight="1" x14ac:dyDescent="0.2">
      <c r="A96" s="2430" t="s">
        <v>674</v>
      </c>
      <c r="B96" s="2473"/>
      <c r="C96" s="2432">
        <f>'12'!E108</f>
        <v>0</v>
      </c>
      <c r="D96" s="2432">
        <f>'12'!F108</f>
        <v>18470</v>
      </c>
      <c r="E96" s="2432">
        <f>'12'!G108</f>
        <v>18470</v>
      </c>
      <c r="F96" s="2433">
        <f t="shared" si="6"/>
        <v>100</v>
      </c>
      <c r="G96" s="2434">
        <v>0</v>
      </c>
      <c r="H96" s="2434">
        <v>18469500</v>
      </c>
      <c r="I96" s="2434">
        <v>18469500</v>
      </c>
      <c r="J96" s="2434"/>
      <c r="K96" s="2434"/>
    </row>
    <row r="97" spans="1:20" ht="15" customHeight="1" x14ac:dyDescent="0.2">
      <c r="A97" s="2436" t="s">
        <v>681</v>
      </c>
      <c r="B97" s="2473"/>
      <c r="C97" s="2432">
        <f>'12'!E109</f>
        <v>0</v>
      </c>
      <c r="D97" s="2432">
        <f>'12'!F109</f>
        <v>208570</v>
      </c>
      <c r="E97" s="2432">
        <f>'12'!G109</f>
        <v>208570</v>
      </c>
      <c r="F97" s="2433">
        <f t="shared" si="6"/>
        <v>100</v>
      </c>
      <c r="G97" s="2434">
        <v>0</v>
      </c>
      <c r="H97" s="2434">
        <v>208570000</v>
      </c>
      <c r="I97" s="2434">
        <v>208570000</v>
      </c>
      <c r="J97" s="2434"/>
      <c r="K97" s="2434"/>
    </row>
    <row r="98" spans="1:20" ht="15" customHeight="1" x14ac:dyDescent="0.2">
      <c r="A98" s="2480" t="s">
        <v>682</v>
      </c>
      <c r="B98" s="2473"/>
      <c r="C98" s="2432">
        <f>'12'!E110</f>
        <v>0</v>
      </c>
      <c r="D98" s="2432">
        <f>'12'!F110</f>
        <v>0</v>
      </c>
      <c r="E98" s="2432">
        <f>'12'!G110</f>
        <v>0</v>
      </c>
      <c r="F98" s="2433">
        <v>0</v>
      </c>
      <c r="G98" s="2434">
        <v>0</v>
      </c>
      <c r="H98" s="2434">
        <v>0</v>
      </c>
      <c r="I98" s="2434">
        <v>0</v>
      </c>
      <c r="J98" s="2434"/>
      <c r="K98" s="2434"/>
    </row>
    <row r="99" spans="1:20" ht="15" customHeight="1" x14ac:dyDescent="0.2">
      <c r="A99" s="2481" t="s">
        <v>684</v>
      </c>
      <c r="B99" s="2473"/>
      <c r="C99" s="2476">
        <f>SUM(C100:C103)</f>
        <v>520053</v>
      </c>
      <c r="D99" s="2476">
        <f>SUM(D100:D103)</f>
        <v>557234</v>
      </c>
      <c r="E99" s="2476">
        <f>SUM(E100:E103)</f>
        <v>557234</v>
      </c>
      <c r="F99" s="2484">
        <f t="shared" si="6"/>
        <v>100</v>
      </c>
      <c r="G99" s="2429">
        <f>SUM(G100:G103)</f>
        <v>520053000</v>
      </c>
      <c r="H99" s="2429">
        <f>SUM(H100:H103)</f>
        <v>557233849.22000003</v>
      </c>
      <c r="I99" s="2429">
        <f>SUM(I100:I103)</f>
        <v>557233849.22000003</v>
      </c>
      <c r="J99" s="2429"/>
      <c r="K99" s="2429"/>
    </row>
    <row r="100" spans="1:20" ht="15" customHeight="1" x14ac:dyDescent="0.2">
      <c r="A100" s="2430" t="s">
        <v>673</v>
      </c>
      <c r="B100" s="2473"/>
      <c r="C100" s="2432">
        <f>'12'!E113</f>
        <v>520053</v>
      </c>
      <c r="D100" s="2432">
        <f>'12'!F113</f>
        <v>527553</v>
      </c>
      <c r="E100" s="2432">
        <f>'12'!G113</f>
        <v>527553</v>
      </c>
      <c r="F100" s="2433">
        <f t="shared" si="6"/>
        <v>100</v>
      </c>
      <c r="G100" s="2434">
        <v>520053000</v>
      </c>
      <c r="H100" s="2434">
        <v>527553000</v>
      </c>
      <c r="I100" s="2434">
        <v>527553000</v>
      </c>
      <c r="J100" s="2434"/>
      <c r="K100" s="2434"/>
    </row>
    <row r="101" spans="1:20" ht="15" customHeight="1" x14ac:dyDescent="0.2">
      <c r="A101" s="2430" t="s">
        <v>674</v>
      </c>
      <c r="B101" s="2473"/>
      <c r="C101" s="2432">
        <f>'12'!E114</f>
        <v>0</v>
      </c>
      <c r="D101" s="2432">
        <f>'12'!F114</f>
        <v>29254</v>
      </c>
      <c r="E101" s="2432">
        <f>'12'!G114</f>
        <v>29254</v>
      </c>
      <c r="F101" s="2433">
        <f t="shared" si="6"/>
        <v>100</v>
      </c>
      <c r="G101" s="2434">
        <v>0</v>
      </c>
      <c r="H101" s="2434">
        <v>29254438.609999999</v>
      </c>
      <c r="I101" s="2434">
        <v>29254438.609999999</v>
      </c>
      <c r="J101" s="2434"/>
      <c r="K101" s="2434"/>
    </row>
    <row r="102" spans="1:20" ht="15" customHeight="1" x14ac:dyDescent="0.2">
      <c r="A102" s="2480" t="s">
        <v>681</v>
      </c>
      <c r="B102" s="2473"/>
      <c r="C102" s="2432">
        <f>'12'!E115</f>
        <v>0</v>
      </c>
      <c r="D102" s="2432">
        <f>'12'!F115</f>
        <v>117</v>
      </c>
      <c r="E102" s="2432">
        <f>'12'!G115</f>
        <v>117</v>
      </c>
      <c r="F102" s="2433">
        <v>0</v>
      </c>
      <c r="G102" s="2434">
        <v>0</v>
      </c>
      <c r="H102" s="2434">
        <v>116478.73</v>
      </c>
      <c r="I102" s="2434">
        <v>116478.73</v>
      </c>
      <c r="J102" s="2434"/>
      <c r="K102" s="2434"/>
    </row>
    <row r="103" spans="1:20" ht="15" customHeight="1" x14ac:dyDescent="0.2">
      <c r="A103" s="2480" t="s">
        <v>682</v>
      </c>
      <c r="B103" s="2473"/>
      <c r="C103" s="2432">
        <f>'12'!E116</f>
        <v>0</v>
      </c>
      <c r="D103" s="2432">
        <f>'12'!F116</f>
        <v>310</v>
      </c>
      <c r="E103" s="2432">
        <f>'12'!G116</f>
        <v>310</v>
      </c>
      <c r="F103" s="2433">
        <f t="shared" si="6"/>
        <v>100</v>
      </c>
      <c r="G103" s="2441">
        <v>0</v>
      </c>
      <c r="H103" s="2442">
        <v>309931.88</v>
      </c>
      <c r="I103" s="2442">
        <v>309931.88</v>
      </c>
      <c r="J103" s="2434"/>
      <c r="K103" s="2434"/>
    </row>
    <row r="104" spans="1:20" ht="15" customHeight="1" x14ac:dyDescent="0.25">
      <c r="A104" s="2457" t="s">
        <v>383</v>
      </c>
      <c r="B104" s="2483">
        <v>13</v>
      </c>
      <c r="C104" s="2445">
        <f>C105+C110</f>
        <v>189884</v>
      </c>
      <c r="D104" s="2445">
        <f>D105+D110</f>
        <v>206253</v>
      </c>
      <c r="E104" s="2445">
        <f>E105+E110</f>
        <v>206247</v>
      </c>
      <c r="F104" s="2446">
        <f>E104/D104*100</f>
        <v>99.997090951404346</v>
      </c>
      <c r="G104" s="2474">
        <f>SUM(G105,G110)</f>
        <v>189884000</v>
      </c>
      <c r="H104" s="2474">
        <f>SUM(H105,H110)</f>
        <v>206252853.29000002</v>
      </c>
      <c r="I104" s="2474">
        <f>SUM(I105,I110)</f>
        <v>206247236.29000002</v>
      </c>
      <c r="J104" s="2474"/>
      <c r="K104" s="2474"/>
      <c r="Q104" s="2409" t="s">
        <v>680</v>
      </c>
      <c r="R104" s="2414">
        <f>C111+C106+C100+C95+C89+C84+C78+C73+C68+C62</f>
        <v>2223286</v>
      </c>
      <c r="S104" s="2414">
        <f t="shared" ref="R104:T107" si="7">D111+D106+D100+D95+D89+D84+D78+D73+D68+D62</f>
        <v>2276337</v>
      </c>
      <c r="T104" s="2414">
        <f t="shared" si="7"/>
        <v>2274436</v>
      </c>
    </row>
    <row r="105" spans="1:20" x14ac:dyDescent="0.2">
      <c r="A105" s="2475" t="s">
        <v>683</v>
      </c>
      <c r="B105" s="2431"/>
      <c r="C105" s="2476">
        <f>SUM(C106:C109)</f>
        <v>59705</v>
      </c>
      <c r="D105" s="2476">
        <f>SUM(D106:D109)</f>
        <v>71280</v>
      </c>
      <c r="E105" s="2476">
        <f>SUM(E106:E109)</f>
        <v>71274</v>
      </c>
      <c r="F105" s="2484">
        <f>E105/D105*100</f>
        <v>99.991582491582491</v>
      </c>
      <c r="G105" s="2429">
        <f>SUM(G106:G109)</f>
        <v>59705000</v>
      </c>
      <c r="H105" s="2429">
        <f>SUM(H106:H109)</f>
        <v>71280000</v>
      </c>
      <c r="I105" s="2429">
        <f>SUM(I106:I109)</f>
        <v>71274383</v>
      </c>
      <c r="J105" s="2429"/>
      <c r="K105" s="2429"/>
      <c r="Q105" s="2409" t="s">
        <v>715</v>
      </c>
      <c r="R105" s="2414">
        <f t="shared" si="7"/>
        <v>14600</v>
      </c>
      <c r="S105" s="2414">
        <f t="shared" si="7"/>
        <v>66581</v>
      </c>
      <c r="T105" s="2414">
        <f t="shared" si="7"/>
        <v>66492</v>
      </c>
    </row>
    <row r="106" spans="1:20" x14ac:dyDescent="0.2">
      <c r="A106" s="2430" t="s">
        <v>673</v>
      </c>
      <c r="B106" s="2431"/>
      <c r="C106" s="2432">
        <f>'13 '!E289</f>
        <v>59705</v>
      </c>
      <c r="D106" s="2432">
        <f>'13 '!F289</f>
        <v>70230</v>
      </c>
      <c r="E106" s="2432">
        <f>'13 '!G289</f>
        <v>70224</v>
      </c>
      <c r="F106" s="2433">
        <f t="shared" ref="F106:F113" si="8">E106/D106*100</f>
        <v>99.991456642460491</v>
      </c>
      <c r="G106" s="2434">
        <v>59705000</v>
      </c>
      <c r="H106" s="2434">
        <v>70230000</v>
      </c>
      <c r="I106" s="2434">
        <v>70224383</v>
      </c>
      <c r="J106" s="2434"/>
      <c r="K106" s="2434"/>
      <c r="L106" s="2434"/>
      <c r="M106" s="2434"/>
      <c r="Q106" s="2409" t="s">
        <v>716</v>
      </c>
      <c r="R106" s="2414">
        <f t="shared" si="7"/>
        <v>0</v>
      </c>
      <c r="S106" s="2414">
        <f t="shared" si="7"/>
        <v>5408201</v>
      </c>
      <c r="T106" s="2414">
        <f t="shared" si="7"/>
        <v>5408016</v>
      </c>
    </row>
    <row r="107" spans="1:20" x14ac:dyDescent="0.2">
      <c r="A107" s="2430" t="s">
        <v>674</v>
      </c>
      <c r="B107" s="2431"/>
      <c r="C107" s="2432">
        <f>'13 '!E290</f>
        <v>0</v>
      </c>
      <c r="D107" s="2432">
        <f>'13 '!F290</f>
        <v>1050</v>
      </c>
      <c r="E107" s="2432">
        <f>'13 '!G290</f>
        <v>1050</v>
      </c>
      <c r="F107" s="2433">
        <f t="shared" si="8"/>
        <v>100</v>
      </c>
      <c r="G107" s="2434">
        <v>0</v>
      </c>
      <c r="H107" s="2434">
        <v>1050000</v>
      </c>
      <c r="I107" s="2434">
        <v>1050000</v>
      </c>
      <c r="J107" s="2434"/>
      <c r="K107" s="2434"/>
      <c r="L107" s="2434"/>
      <c r="M107" s="2434"/>
      <c r="Q107" s="2409" t="s">
        <v>1494</v>
      </c>
      <c r="R107" s="2414">
        <f t="shared" si="7"/>
        <v>0</v>
      </c>
      <c r="S107" s="2414">
        <f t="shared" si="7"/>
        <v>310</v>
      </c>
      <c r="T107" s="2414">
        <f t="shared" si="7"/>
        <v>310</v>
      </c>
    </row>
    <row r="108" spans="1:20" x14ac:dyDescent="0.2">
      <c r="A108" s="2436" t="s">
        <v>681</v>
      </c>
      <c r="B108" s="2431"/>
      <c r="C108" s="2432">
        <f>'13 '!E291</f>
        <v>0</v>
      </c>
      <c r="D108" s="2432">
        <f>'13 '!F291</f>
        <v>0</v>
      </c>
      <c r="E108" s="2432">
        <f>'13 '!G291</f>
        <v>0</v>
      </c>
      <c r="F108" s="2433">
        <v>0</v>
      </c>
      <c r="G108" s="2434">
        <v>0</v>
      </c>
      <c r="H108" s="2434">
        <v>0</v>
      </c>
      <c r="I108" s="2434">
        <v>0</v>
      </c>
      <c r="J108" s="2434"/>
      <c r="K108" s="2434"/>
      <c r="L108" s="2434"/>
      <c r="M108" s="2434"/>
      <c r="Q108" s="2409" t="s">
        <v>944</v>
      </c>
      <c r="R108" s="2414">
        <v>0</v>
      </c>
      <c r="S108" s="2414">
        <v>0</v>
      </c>
      <c r="T108" s="2414">
        <f>E66</f>
        <v>1</v>
      </c>
    </row>
    <row r="109" spans="1:20" x14ac:dyDescent="0.2">
      <c r="A109" s="2480" t="s">
        <v>682</v>
      </c>
      <c r="B109" s="2431"/>
      <c r="C109" s="2432">
        <f>'13 '!E292</f>
        <v>0</v>
      </c>
      <c r="D109" s="2432">
        <f>'13 '!F292</f>
        <v>0</v>
      </c>
      <c r="E109" s="2432">
        <f>'13 '!G292</f>
        <v>0</v>
      </c>
      <c r="F109" s="2433">
        <v>0</v>
      </c>
      <c r="G109" s="2434">
        <v>0</v>
      </c>
      <c r="H109" s="2434">
        <v>0</v>
      </c>
      <c r="I109" s="2434">
        <v>0</v>
      </c>
      <c r="J109" s="2434"/>
      <c r="K109" s="2434"/>
      <c r="L109" s="2434"/>
      <c r="M109" s="2434"/>
      <c r="Q109" s="2447" t="s">
        <v>714</v>
      </c>
      <c r="R109" s="2485">
        <f>C104+C93+C82+C60</f>
        <v>2237886</v>
      </c>
      <c r="S109" s="2485">
        <f>D104+D93+D82+D60</f>
        <v>7751429</v>
      </c>
      <c r="T109" s="2485">
        <f>E104+E93+E82+E60</f>
        <v>7749255</v>
      </c>
    </row>
    <row r="110" spans="1:20" x14ac:dyDescent="0.2">
      <c r="A110" s="2481" t="s">
        <v>684</v>
      </c>
      <c r="B110" s="2431"/>
      <c r="C110" s="2476">
        <f>SUM(C111:C114)</f>
        <v>130179</v>
      </c>
      <c r="D110" s="2476">
        <f>SUM(D111:D114)</f>
        <v>134973</v>
      </c>
      <c r="E110" s="2476">
        <f>SUM(E111:E114)</f>
        <v>134973</v>
      </c>
      <c r="F110" s="2484">
        <f t="shared" si="8"/>
        <v>100</v>
      </c>
      <c r="G110" s="2429">
        <f>SUM(G111:G114)</f>
        <v>130179000</v>
      </c>
      <c r="H110" s="2429">
        <f>SUM(H111:H114)</f>
        <v>134972853.29000002</v>
      </c>
      <c r="I110" s="2429">
        <f>SUM(I111:I114)</f>
        <v>134972853.29000002</v>
      </c>
      <c r="J110" s="2429"/>
      <c r="K110" s="2434">
        <f>G62+G68+G73+G78+G84+G89+G95+G100+G106+G111</f>
        <v>2223286000</v>
      </c>
      <c r="L110" s="2434">
        <f t="shared" ref="L110:M111" si="9">H62+H68+H73+H78+H84+H89+H95+H100+H106+H111</f>
        <v>2276336646.73</v>
      </c>
      <c r="M110" s="2434">
        <f t="shared" si="9"/>
        <v>2274436084.7800002</v>
      </c>
      <c r="N110" s="2434" t="s">
        <v>680</v>
      </c>
      <c r="Q110" s="2409" t="s">
        <v>1521</v>
      </c>
      <c r="R110" s="2414">
        <f>C113+C111+C108+C106+C102+C100+C97+C95+C91+C89+C86+C84+C80+C78+C75+C73+C70+C68+C64+C62</f>
        <v>2223286</v>
      </c>
      <c r="S110" s="2414">
        <f t="shared" ref="R110:T111" si="10">D113+D111+D108+D106+D102+D100+D97+D95+D91+D89+D86+D84+D80+D78+D75+D73+D70+D68+D64+D62</f>
        <v>7684538</v>
      </c>
      <c r="T110" s="2414">
        <f t="shared" si="10"/>
        <v>7682452</v>
      </c>
    </row>
    <row r="111" spans="1:20" x14ac:dyDescent="0.2">
      <c r="A111" s="2430" t="s">
        <v>673</v>
      </c>
      <c r="B111" s="2431"/>
      <c r="C111" s="2432">
        <f>'13 '!E295</f>
        <v>126079</v>
      </c>
      <c r="D111" s="2432">
        <f>'13 '!F295</f>
        <v>131129</v>
      </c>
      <c r="E111" s="2432">
        <f>'13 '!G295</f>
        <v>131129</v>
      </c>
      <c r="F111" s="2433">
        <f t="shared" si="8"/>
        <v>100</v>
      </c>
      <c r="G111" s="2434">
        <v>126079000</v>
      </c>
      <c r="H111" s="2434">
        <v>131129123.29000001</v>
      </c>
      <c r="I111" s="2434">
        <v>131129123.29000001</v>
      </c>
      <c r="J111" s="2434"/>
      <c r="K111" s="2434">
        <f>G63+G69+G74+G79+G85+G90+G96+G101+G107+G112</f>
        <v>14600000</v>
      </c>
      <c r="L111" s="2434">
        <f t="shared" si="9"/>
        <v>66581098.460000001</v>
      </c>
      <c r="M111" s="2434">
        <f t="shared" si="9"/>
        <v>66491753.460000001</v>
      </c>
      <c r="N111" s="2459" t="s">
        <v>624</v>
      </c>
      <c r="Q111" s="2409" t="s">
        <v>1522</v>
      </c>
      <c r="R111" s="2414">
        <f t="shared" si="10"/>
        <v>14600</v>
      </c>
      <c r="S111" s="2414">
        <f t="shared" si="10"/>
        <v>66891</v>
      </c>
      <c r="T111" s="2414">
        <f t="shared" si="10"/>
        <v>66802</v>
      </c>
    </row>
    <row r="112" spans="1:20" x14ac:dyDescent="0.2">
      <c r="A112" s="2430" t="s">
        <v>674</v>
      </c>
      <c r="B112" s="2431"/>
      <c r="C112" s="2432">
        <f>'13 '!E296</f>
        <v>4100</v>
      </c>
      <c r="D112" s="2432">
        <f>'13 '!F296</f>
        <v>3467</v>
      </c>
      <c r="E112" s="2432">
        <f>'13 '!G296</f>
        <v>3467</v>
      </c>
      <c r="F112" s="2433">
        <f t="shared" si="8"/>
        <v>100</v>
      </c>
      <c r="G112" s="2434">
        <v>4100000</v>
      </c>
      <c r="H112" s="2434">
        <v>3466730</v>
      </c>
      <c r="I112" s="2434">
        <v>3466730</v>
      </c>
      <c r="J112" s="2434"/>
      <c r="K112" s="2434">
        <f>+G64+G70+G75+G80+G86+G91+G97+G102+G108+G113</f>
        <v>0</v>
      </c>
      <c r="L112" s="2434">
        <f>+H64+H70+H75+H80+H86+H91+H97+H102+H108+H113</f>
        <v>5408200677.1799994</v>
      </c>
      <c r="M112" s="2434">
        <f>+I64+I70+I75+I80+I86+I91+I97+I102+I108+I113</f>
        <v>5408015451.1799994</v>
      </c>
      <c r="N112" s="2459" t="s">
        <v>716</v>
      </c>
      <c r="Q112" s="2409" t="s">
        <v>944</v>
      </c>
      <c r="R112" s="2409">
        <v>0</v>
      </c>
      <c r="S112" s="2409">
        <v>0</v>
      </c>
      <c r="T112" s="2409">
        <v>1</v>
      </c>
    </row>
    <row r="113" spans="1:20" ht="13.5" customHeight="1" x14ac:dyDescent="0.2">
      <c r="A113" s="2480" t="s">
        <v>681</v>
      </c>
      <c r="B113" s="2431"/>
      <c r="C113" s="2432">
        <f>'13 '!E297</f>
        <v>0</v>
      </c>
      <c r="D113" s="2432">
        <f>'13 '!F297</f>
        <v>377</v>
      </c>
      <c r="E113" s="2432">
        <f>'13 '!G297</f>
        <v>377</v>
      </c>
      <c r="F113" s="2433">
        <f t="shared" si="8"/>
        <v>100</v>
      </c>
      <c r="G113" s="2434">
        <v>0</v>
      </c>
      <c r="H113" s="2434">
        <v>377000</v>
      </c>
      <c r="I113" s="2434">
        <v>377000</v>
      </c>
      <c r="J113" s="2434"/>
      <c r="K113" s="2434">
        <f>G65+G71+G76+G81+G87+G92+G98+G103+G109+G114</f>
        <v>0</v>
      </c>
      <c r="L113" s="2434">
        <f>H65+H71+H76+H81+H87+H92+H98+H103+H109+H114</f>
        <v>309931.88</v>
      </c>
      <c r="M113" s="2434">
        <f>I65+I71+I76+I81+I87+I92+I98+I103+I109+I114</f>
        <v>309931.88</v>
      </c>
      <c r="N113" s="2459" t="s">
        <v>1494</v>
      </c>
      <c r="Q113" s="2447" t="s">
        <v>714</v>
      </c>
      <c r="R113" s="2485">
        <f>R110+R111+R112</f>
        <v>2237886</v>
      </c>
      <c r="S113" s="2485">
        <f>S110+S111+S112</f>
        <v>7751429</v>
      </c>
      <c r="T113" s="2485">
        <f>T110+T111+T112</f>
        <v>7749255</v>
      </c>
    </row>
    <row r="114" spans="1:20" ht="15" thickBot="1" x14ac:dyDescent="0.25">
      <c r="A114" s="2486" t="s">
        <v>682</v>
      </c>
      <c r="B114" s="2461"/>
      <c r="C114" s="2462">
        <f>'13 '!E298</f>
        <v>0</v>
      </c>
      <c r="D114" s="2462">
        <f>'13 '!F298</f>
        <v>0</v>
      </c>
      <c r="E114" s="2462">
        <f>'13 '!G298</f>
        <v>0</v>
      </c>
      <c r="F114" s="2463">
        <v>0</v>
      </c>
      <c r="G114" s="2441">
        <v>0</v>
      </c>
      <c r="H114" s="2442">
        <v>0</v>
      </c>
      <c r="I114" s="2442">
        <v>0</v>
      </c>
      <c r="J114" s="2434"/>
      <c r="K114" s="2442">
        <v>0</v>
      </c>
      <c r="L114" s="2442">
        <v>0</v>
      </c>
      <c r="M114" s="2487">
        <f>I66</f>
        <v>1480.24</v>
      </c>
      <c r="N114" s="2459" t="s">
        <v>944</v>
      </c>
      <c r="R114" s="2414"/>
      <c r="S114" s="2414"/>
      <c r="T114" s="2414"/>
    </row>
    <row r="115" spans="1:20" ht="15.75" thickTop="1" thickBot="1" x14ac:dyDescent="0.25">
      <c r="F115" s="2414" t="s">
        <v>173</v>
      </c>
      <c r="G115" s="2567"/>
      <c r="H115" s="2567"/>
      <c r="I115" s="2567"/>
      <c r="J115" s="2567"/>
      <c r="K115" s="2429">
        <f>K110+K111+K112+K113+K114</f>
        <v>2237886000</v>
      </c>
      <c r="L115" s="2429">
        <f>L110+L111+L112+L113+L114</f>
        <v>7751428354.249999</v>
      </c>
      <c r="M115" s="2429">
        <f>M110+M111+M112+M113+M114</f>
        <v>7749254701.54</v>
      </c>
      <c r="N115" s="2459"/>
    </row>
    <row r="116" spans="1:20" s="2419" customFormat="1" ht="26.25" customHeight="1" thickTop="1" thickBot="1" x14ac:dyDescent="0.25">
      <c r="A116" s="2415" t="s">
        <v>668</v>
      </c>
      <c r="B116" s="2416" t="s">
        <v>671</v>
      </c>
      <c r="C116" s="2417" t="s">
        <v>669</v>
      </c>
      <c r="D116" s="2417" t="s">
        <v>670</v>
      </c>
      <c r="E116" s="2417" t="s">
        <v>923</v>
      </c>
      <c r="F116" s="2418" t="s">
        <v>924</v>
      </c>
      <c r="G116" s="2570"/>
      <c r="H116" s="2570"/>
      <c r="I116" s="2570"/>
      <c r="J116" s="2570"/>
      <c r="K116" s="2434"/>
      <c r="L116" s="2434"/>
      <c r="M116" s="2434"/>
      <c r="N116" s="2459"/>
    </row>
    <row r="117" spans="1:20" s="2424" customFormat="1" ht="15.75" thickTop="1" thickBot="1" x14ac:dyDescent="0.25">
      <c r="A117" s="2468">
        <v>1</v>
      </c>
      <c r="B117" s="2469">
        <v>2</v>
      </c>
      <c r="C117" s="2470">
        <v>3</v>
      </c>
      <c r="D117" s="2470">
        <v>4</v>
      </c>
      <c r="E117" s="2470">
        <v>5</v>
      </c>
      <c r="F117" s="2471" t="s">
        <v>445</v>
      </c>
      <c r="G117" s="2571"/>
      <c r="H117" s="2571"/>
      <c r="I117" s="2571"/>
      <c r="J117" s="2571"/>
      <c r="K117" s="2434"/>
      <c r="L117" s="2409"/>
      <c r="M117" s="2409"/>
      <c r="N117" s="2459"/>
    </row>
    <row r="118" spans="1:20" s="2447" customFormat="1" ht="15.75" thickTop="1" x14ac:dyDescent="0.25">
      <c r="A118" s="2488" t="s">
        <v>384</v>
      </c>
      <c r="B118" s="2473">
        <v>14</v>
      </c>
      <c r="C118" s="2456">
        <f>C119+C124</f>
        <v>255714</v>
      </c>
      <c r="D118" s="2456">
        <f>D119+D124</f>
        <v>298178</v>
      </c>
      <c r="E118" s="2456">
        <f>E119+E124</f>
        <v>297221</v>
      </c>
      <c r="F118" s="2451">
        <f>E118/D118*100</f>
        <v>99.679050768333013</v>
      </c>
      <c r="G118" s="2474">
        <f>SUM(G119,G124)</f>
        <v>255714000</v>
      </c>
      <c r="H118" s="2474">
        <f>SUM(H119,H124)</f>
        <v>298177614.61000001</v>
      </c>
      <c r="I118" s="2474">
        <f>SUM(I119,I124)</f>
        <v>297220702.35000002</v>
      </c>
      <c r="J118" s="2474"/>
      <c r="K118" s="2434"/>
      <c r="L118" s="2409"/>
      <c r="M118" s="2409"/>
      <c r="N118" s="2459"/>
    </row>
    <row r="119" spans="1:20" x14ac:dyDescent="0.2">
      <c r="A119" s="2475" t="s">
        <v>683</v>
      </c>
      <c r="B119" s="2431"/>
      <c r="C119" s="2476">
        <f>SUM(C120:C123)</f>
        <v>20801</v>
      </c>
      <c r="D119" s="2476">
        <f>SUM(D120:D123)</f>
        <v>24524</v>
      </c>
      <c r="E119" s="2476">
        <f>SUM(E120:E123)</f>
        <v>24362</v>
      </c>
      <c r="F119" s="2484">
        <f>E119/D119*100</f>
        <v>99.339422606426353</v>
      </c>
      <c r="G119" s="2429">
        <f>G120+G121+G122+G123</f>
        <v>20801000</v>
      </c>
      <c r="H119" s="2429">
        <f>H120+H121+H122+H123</f>
        <v>24523385.610000003</v>
      </c>
      <c r="I119" s="2429">
        <f>I120+I121+I122+I123</f>
        <v>24361193.350000001</v>
      </c>
      <c r="J119" s="2429"/>
      <c r="K119" s="2434"/>
      <c r="N119" s="2459"/>
    </row>
    <row r="120" spans="1:20" x14ac:dyDescent="0.2">
      <c r="A120" s="2430" t="s">
        <v>673</v>
      </c>
      <c r="B120" s="2431"/>
      <c r="C120" s="2432">
        <f>'14'!E161</f>
        <v>20201</v>
      </c>
      <c r="D120" s="2432">
        <f>'14'!F161</f>
        <v>22132</v>
      </c>
      <c r="E120" s="2432">
        <f>'14'!G161</f>
        <v>21970</v>
      </c>
      <c r="F120" s="2433">
        <f t="shared" ref="F120:F127" si="11">E120/D120*100</f>
        <v>99.268028194469551</v>
      </c>
      <c r="G120" s="2434">
        <v>20201000</v>
      </c>
      <c r="H120" s="2434">
        <v>22130958.260000002</v>
      </c>
      <c r="I120" s="2434">
        <v>21968766</v>
      </c>
      <c r="J120" s="2434"/>
      <c r="K120" s="2434"/>
      <c r="N120" s="2459"/>
    </row>
    <row r="121" spans="1:20" x14ac:dyDescent="0.2">
      <c r="A121" s="2430" t="s">
        <v>674</v>
      </c>
      <c r="B121" s="2431"/>
      <c r="C121" s="2432">
        <f>'14'!E162</f>
        <v>0</v>
      </c>
      <c r="D121" s="2432">
        <f>'14'!F162</f>
        <v>100</v>
      </c>
      <c r="E121" s="2432">
        <f>'14'!G162</f>
        <v>100</v>
      </c>
      <c r="F121" s="2433">
        <f t="shared" si="11"/>
        <v>100</v>
      </c>
      <c r="G121" s="2434">
        <v>0</v>
      </c>
      <c r="H121" s="2434">
        <v>100000</v>
      </c>
      <c r="I121" s="2434">
        <v>100000</v>
      </c>
      <c r="J121" s="2434"/>
      <c r="K121" s="2434"/>
      <c r="L121" s="2434"/>
      <c r="M121" s="2434"/>
      <c r="N121" s="2459"/>
    </row>
    <row r="122" spans="1:20" x14ac:dyDescent="0.2">
      <c r="A122" s="2436" t="s">
        <v>681</v>
      </c>
      <c r="B122" s="2431"/>
      <c r="C122" s="2432">
        <f>'14'!E163</f>
        <v>600</v>
      </c>
      <c r="D122" s="2432">
        <f>'14'!F163</f>
        <v>2292</v>
      </c>
      <c r="E122" s="2432">
        <f>'14'!G163</f>
        <v>2292</v>
      </c>
      <c r="F122" s="2433">
        <f t="shared" si="11"/>
        <v>100</v>
      </c>
      <c r="G122" s="2434">
        <v>600000</v>
      </c>
      <c r="H122" s="2434">
        <v>2292427.35</v>
      </c>
      <c r="I122" s="2434">
        <v>2292427.35</v>
      </c>
      <c r="J122" s="2434"/>
      <c r="K122" s="2434"/>
    </row>
    <row r="123" spans="1:20" x14ac:dyDescent="0.2">
      <c r="A123" s="2480" t="s">
        <v>682</v>
      </c>
      <c r="B123" s="2431"/>
      <c r="C123" s="2432">
        <f>'14'!E164</f>
        <v>0</v>
      </c>
      <c r="D123" s="2432">
        <f>'14'!F164</f>
        <v>0</v>
      </c>
      <c r="E123" s="2432">
        <f>'14'!G164</f>
        <v>0</v>
      </c>
      <c r="F123" s="2433">
        <v>0</v>
      </c>
      <c r="G123" s="2434">
        <v>0</v>
      </c>
      <c r="H123" s="2434">
        <v>0</v>
      </c>
      <c r="I123" s="2434">
        <v>0</v>
      </c>
      <c r="J123" s="2434"/>
      <c r="K123" s="2434"/>
    </row>
    <row r="124" spans="1:20" x14ac:dyDescent="0.2">
      <c r="A124" s="2481" t="s">
        <v>684</v>
      </c>
      <c r="B124" s="2431"/>
      <c r="C124" s="2476">
        <f>C125+C126+C127+C128</f>
        <v>234913</v>
      </c>
      <c r="D124" s="2476">
        <f>D125+D126+D127+D128</f>
        <v>273654</v>
      </c>
      <c r="E124" s="2476">
        <f>E125+E126+E127+E128</f>
        <v>272859</v>
      </c>
      <c r="F124" s="2484">
        <f t="shared" si="11"/>
        <v>99.709487162621414</v>
      </c>
      <c r="G124" s="2429">
        <f>SUM(G125:G128)</f>
        <v>234913000</v>
      </c>
      <c r="H124" s="2429">
        <f>SUM(H125:H128)</f>
        <v>273654229</v>
      </c>
      <c r="I124" s="2429">
        <f>SUM(I125:I128)</f>
        <v>272859509</v>
      </c>
      <c r="J124" s="2429"/>
      <c r="K124" s="2429"/>
    </row>
    <row r="125" spans="1:20" x14ac:dyDescent="0.2">
      <c r="A125" s="2430" t="s">
        <v>673</v>
      </c>
      <c r="B125" s="2431"/>
      <c r="C125" s="2432">
        <f>'14'!E167</f>
        <v>229557</v>
      </c>
      <c r="D125" s="2432">
        <f>'14'!F167</f>
        <v>252044</v>
      </c>
      <c r="E125" s="2432">
        <f>'14'!G167</f>
        <v>251249</v>
      </c>
      <c r="F125" s="2433">
        <f t="shared" si="11"/>
        <v>99.684578883052168</v>
      </c>
      <c r="G125" s="2434">
        <v>229557000</v>
      </c>
      <c r="H125" s="2434">
        <v>252044312</v>
      </c>
      <c r="I125" s="2434">
        <v>251249592</v>
      </c>
      <c r="J125" s="2434"/>
      <c r="K125" s="2434"/>
    </row>
    <row r="126" spans="1:20" x14ac:dyDescent="0.2">
      <c r="A126" s="2430" t="s">
        <v>674</v>
      </c>
      <c r="B126" s="2431"/>
      <c r="C126" s="2432">
        <f>'14'!E168</f>
        <v>5356</v>
      </c>
      <c r="D126" s="2432">
        <f>'14'!F168</f>
        <v>8906</v>
      </c>
      <c r="E126" s="2432">
        <f>'14'!G168</f>
        <v>8906</v>
      </c>
      <c r="F126" s="2433">
        <f t="shared" si="11"/>
        <v>100</v>
      </c>
      <c r="G126" s="2434">
        <v>5356000</v>
      </c>
      <c r="H126" s="2434">
        <v>8906000</v>
      </c>
      <c r="I126" s="2434">
        <v>8906000</v>
      </c>
      <c r="J126" s="2434"/>
      <c r="K126" s="2434"/>
    </row>
    <row r="127" spans="1:20" x14ac:dyDescent="0.2">
      <c r="A127" s="2480" t="s">
        <v>681</v>
      </c>
      <c r="B127" s="2431"/>
      <c r="C127" s="2432">
        <f>'14'!E169</f>
        <v>0</v>
      </c>
      <c r="D127" s="2432">
        <f>'14'!F169</f>
        <v>12704</v>
      </c>
      <c r="E127" s="2432">
        <f>'14'!G169</f>
        <v>12704</v>
      </c>
      <c r="F127" s="2433">
        <f t="shared" si="11"/>
        <v>100</v>
      </c>
      <c r="G127" s="2434">
        <v>0</v>
      </c>
      <c r="H127" s="2434">
        <v>12703917</v>
      </c>
      <c r="I127" s="2434">
        <v>12703917</v>
      </c>
      <c r="J127" s="2434"/>
      <c r="K127" s="2434"/>
    </row>
    <row r="128" spans="1:20" x14ac:dyDescent="0.2">
      <c r="A128" s="2480" t="s">
        <v>682</v>
      </c>
      <c r="B128" s="2431"/>
      <c r="C128" s="2432">
        <f>'14'!E170</f>
        <v>0</v>
      </c>
      <c r="D128" s="2432">
        <f>'14'!F170</f>
        <v>0</v>
      </c>
      <c r="E128" s="2432">
        <f>'14'!G170</f>
        <v>0</v>
      </c>
      <c r="F128" s="2440">
        <v>0</v>
      </c>
      <c r="G128" s="2441">
        <v>0</v>
      </c>
      <c r="H128" s="2442">
        <v>0</v>
      </c>
      <c r="I128" s="2442">
        <v>0</v>
      </c>
      <c r="J128" s="2434"/>
      <c r="K128" s="2434"/>
    </row>
    <row r="129" spans="1:20" s="2447" customFormat="1" ht="15" x14ac:dyDescent="0.25">
      <c r="A129" s="2489" t="s">
        <v>391</v>
      </c>
      <c r="B129" s="2490">
        <v>15</v>
      </c>
      <c r="C129" s="2491">
        <f>'15'!E15</f>
        <v>20</v>
      </c>
      <c r="D129" s="2491">
        <f>'15'!F15</f>
        <v>5</v>
      </c>
      <c r="E129" s="2491">
        <f>'15'!G15</f>
        <v>1</v>
      </c>
      <c r="F129" s="2492">
        <f>E129/D129*100</f>
        <v>20</v>
      </c>
      <c r="G129" s="2493">
        <v>20000</v>
      </c>
      <c r="H129" s="2494">
        <v>5000</v>
      </c>
      <c r="I129" s="2494">
        <v>576.9</v>
      </c>
      <c r="J129" s="2429"/>
      <c r="K129" s="2429"/>
    </row>
    <row r="130" spans="1:20" s="2447" customFormat="1" ht="15" x14ac:dyDescent="0.25">
      <c r="A130" s="2489" t="s">
        <v>392</v>
      </c>
      <c r="B130" s="2490">
        <v>16</v>
      </c>
      <c r="C130" s="2491">
        <f>'16'!E15</f>
        <v>20</v>
      </c>
      <c r="D130" s="2491">
        <f>'16'!F15</f>
        <v>0</v>
      </c>
      <c r="E130" s="2491">
        <f>'16'!G15</f>
        <v>0</v>
      </c>
      <c r="F130" s="2495">
        <v>0</v>
      </c>
      <c r="G130" s="2496">
        <v>20000</v>
      </c>
      <c r="H130" s="2497">
        <v>0</v>
      </c>
      <c r="I130" s="2497">
        <v>0</v>
      </c>
      <c r="J130" s="2429"/>
      <c r="K130" s="2429"/>
    </row>
    <row r="131" spans="1:20" s="2447" customFormat="1" ht="15" x14ac:dyDescent="0.25">
      <c r="A131" s="2488" t="s">
        <v>1254</v>
      </c>
      <c r="B131" s="2498">
        <v>17</v>
      </c>
      <c r="C131" s="2456">
        <f>SUM(C132:C135)</f>
        <v>539401</v>
      </c>
      <c r="D131" s="2456">
        <f>SUM(D132:D135)</f>
        <v>504152</v>
      </c>
      <c r="E131" s="2456">
        <f>SUM(E132:E135)</f>
        <v>446596</v>
      </c>
      <c r="F131" s="2451">
        <f>E131/D131*100</f>
        <v>88.583601770894489</v>
      </c>
      <c r="G131" s="2429">
        <f>SUM(G132:G135)</f>
        <v>539401000</v>
      </c>
      <c r="H131" s="2429">
        <f>SUM(H132:H135)</f>
        <v>504152263.96000004</v>
      </c>
      <c r="I131" s="2429">
        <f>SUM(I132:I135)</f>
        <v>446596482.73000002</v>
      </c>
      <c r="J131" s="2429"/>
      <c r="K131" s="2434">
        <f>G120+G125+G132+G129+G130+G137</f>
        <v>263852000</v>
      </c>
      <c r="L131" s="2434">
        <f>H120+H125+H132+H129+H130+H137</f>
        <v>353301924.05000001</v>
      </c>
      <c r="M131" s="2434">
        <f>I120+I125+I132+I129+I130+I137</f>
        <v>347795340.81999999</v>
      </c>
      <c r="N131" s="2434" t="s">
        <v>680</v>
      </c>
      <c r="Q131" s="2409"/>
    </row>
    <row r="132" spans="1:20" s="2447" customFormat="1" x14ac:dyDescent="0.2">
      <c r="A132" s="2430" t="s">
        <v>673</v>
      </c>
      <c r="B132" s="2450"/>
      <c r="C132" s="2432">
        <f>'17'!E125</f>
        <v>14054</v>
      </c>
      <c r="D132" s="2432">
        <f>'17'!F125</f>
        <v>53186</v>
      </c>
      <c r="E132" s="2432">
        <f>'17'!G125</f>
        <v>50043</v>
      </c>
      <c r="F132" s="2433">
        <f>E132/D132*100</f>
        <v>94.090550144774937</v>
      </c>
      <c r="G132" s="2434">
        <v>14054000</v>
      </c>
      <c r="H132" s="2434">
        <v>53185698.490000002</v>
      </c>
      <c r="I132" s="2434">
        <v>50043166.689999998</v>
      </c>
      <c r="J132" s="2434"/>
      <c r="K132" s="2434">
        <f t="shared" ref="K132:M134" si="12">G121+G126+G133+G138</f>
        <v>530703000</v>
      </c>
      <c r="L132" s="2434">
        <f t="shared" si="12"/>
        <v>459972565.47000003</v>
      </c>
      <c r="M132" s="2434">
        <f t="shared" si="12"/>
        <v>405559316.04000002</v>
      </c>
      <c r="N132" s="2459" t="s">
        <v>624</v>
      </c>
      <c r="Q132" s="2409"/>
    </row>
    <row r="133" spans="1:20" s="2447" customFormat="1" x14ac:dyDescent="0.2">
      <c r="A133" s="2430" t="s">
        <v>674</v>
      </c>
      <c r="B133" s="2450"/>
      <c r="C133" s="2432">
        <f>'17'!E126</f>
        <v>525347</v>
      </c>
      <c r="D133" s="2432">
        <f>'17'!F126</f>
        <v>450966</v>
      </c>
      <c r="E133" s="2432">
        <f>'17'!G126</f>
        <v>396553</v>
      </c>
      <c r="F133" s="2433">
        <f>E133/D133*100</f>
        <v>87.934123636815187</v>
      </c>
      <c r="G133" s="2434">
        <v>525347000</v>
      </c>
      <c r="H133" s="2434">
        <v>450966565.47000003</v>
      </c>
      <c r="I133" s="2434">
        <v>396553316.04000002</v>
      </c>
      <c r="J133" s="2434"/>
      <c r="K133" s="2434">
        <f t="shared" si="12"/>
        <v>600000</v>
      </c>
      <c r="L133" s="2434">
        <f t="shared" si="12"/>
        <v>14996344.35</v>
      </c>
      <c r="M133" s="2434">
        <f t="shared" si="12"/>
        <v>14996344.35</v>
      </c>
      <c r="N133" s="2459" t="s">
        <v>716</v>
      </c>
      <c r="Q133" s="2409"/>
    </row>
    <row r="134" spans="1:20" s="2447" customFormat="1" x14ac:dyDescent="0.2">
      <c r="A134" s="2436" t="s">
        <v>681</v>
      </c>
      <c r="B134" s="2431"/>
      <c r="C134" s="2432">
        <f>'17'!E127</f>
        <v>0</v>
      </c>
      <c r="D134" s="2432">
        <f>'17'!F127</f>
        <v>0</v>
      </c>
      <c r="E134" s="2432">
        <f>'17'!G127</f>
        <v>0</v>
      </c>
      <c r="F134" s="2433">
        <v>0</v>
      </c>
      <c r="G134" s="2434">
        <v>0</v>
      </c>
      <c r="H134" s="2434">
        <v>0</v>
      </c>
      <c r="I134" s="2434">
        <v>0</v>
      </c>
      <c r="J134" s="2434"/>
      <c r="K134" s="2434">
        <f t="shared" si="12"/>
        <v>0</v>
      </c>
      <c r="L134" s="2434">
        <f t="shared" si="12"/>
        <v>0</v>
      </c>
      <c r="M134" s="2434">
        <f t="shared" si="12"/>
        <v>0</v>
      </c>
      <c r="N134" s="2459" t="s">
        <v>1494</v>
      </c>
      <c r="Q134" s="2409"/>
    </row>
    <row r="135" spans="1:20" s="2447" customFormat="1" x14ac:dyDescent="0.2">
      <c r="A135" s="2449" t="s">
        <v>682</v>
      </c>
      <c r="B135" s="2438"/>
      <c r="C135" s="2439">
        <f>'17'!E128</f>
        <v>0</v>
      </c>
      <c r="D135" s="2439">
        <f>'17'!F128</f>
        <v>0</v>
      </c>
      <c r="E135" s="2439">
        <f>'17'!G128</f>
        <v>0</v>
      </c>
      <c r="F135" s="2440">
        <v>0</v>
      </c>
      <c r="G135" s="2441">
        <v>0</v>
      </c>
      <c r="H135" s="2442">
        <v>0</v>
      </c>
      <c r="I135" s="2442">
        <v>0</v>
      </c>
      <c r="J135" s="2434"/>
      <c r="K135" s="2442">
        <v>0</v>
      </c>
      <c r="L135" s="2442">
        <v>0</v>
      </c>
      <c r="M135" s="2442">
        <v>0</v>
      </c>
      <c r="N135" s="2459" t="s">
        <v>944</v>
      </c>
      <c r="Q135" s="2409"/>
    </row>
    <row r="136" spans="1:20" s="2447" customFormat="1" ht="15" x14ac:dyDescent="0.25">
      <c r="A136" s="2499" t="s">
        <v>1965</v>
      </c>
      <c r="B136" s="2473">
        <v>18</v>
      </c>
      <c r="C136" s="2456">
        <f>C137+C138+C139+C140</f>
        <v>0</v>
      </c>
      <c r="D136" s="2456">
        <f>D137+D138+D139+D140</f>
        <v>25936</v>
      </c>
      <c r="E136" s="2456">
        <f>E137+E138+E139+E140</f>
        <v>24533</v>
      </c>
      <c r="F136" s="2451">
        <f>E136/D136*100</f>
        <v>94.590530536705742</v>
      </c>
      <c r="G136" s="2429">
        <f>G137+G138+G139+G140</f>
        <v>0</v>
      </c>
      <c r="H136" s="2429">
        <f>H137+H138+H139+H140</f>
        <v>25935955.300000001</v>
      </c>
      <c r="I136" s="2429">
        <f>I137+I138+I139+I140</f>
        <v>24533239.23</v>
      </c>
      <c r="J136" s="2434"/>
      <c r="K136" s="2429">
        <f>K131+K132+K133+K134+K135</f>
        <v>795155000</v>
      </c>
      <c r="L136" s="2429">
        <f>L131+L132+L133+L134+L135</f>
        <v>828270833.87</v>
      </c>
      <c r="M136" s="2429">
        <f>M131+M132+M133+M134+M135</f>
        <v>768351001.21000004</v>
      </c>
      <c r="N136" s="2466" t="s">
        <v>943</v>
      </c>
      <c r="Q136" s="2409" t="s">
        <v>680</v>
      </c>
      <c r="R136" s="2414">
        <f>C120+C125+C129+C130+C132+C137</f>
        <v>263852</v>
      </c>
      <c r="S136" s="2414">
        <f>D120+D125+D129+D130+D132+D137</f>
        <v>353303</v>
      </c>
      <c r="T136" s="2414">
        <f>E120+E125+E129+E130+E132+E137</f>
        <v>347796</v>
      </c>
    </row>
    <row r="137" spans="1:20" s="2447" customFormat="1" x14ac:dyDescent="0.2">
      <c r="A137" s="2430" t="s">
        <v>673</v>
      </c>
      <c r="B137" s="2450"/>
      <c r="C137" s="2432">
        <f>'18'!E44</f>
        <v>0</v>
      </c>
      <c r="D137" s="2432">
        <f>'18'!F44</f>
        <v>25936</v>
      </c>
      <c r="E137" s="2432">
        <f>'18'!G44</f>
        <v>24533</v>
      </c>
      <c r="F137" s="2433">
        <f>E137/D137*100</f>
        <v>94.590530536705742</v>
      </c>
      <c r="G137" s="2434">
        <v>0</v>
      </c>
      <c r="H137" s="2434">
        <v>25935955.300000001</v>
      </c>
      <c r="I137" s="2434">
        <v>24533239.23</v>
      </c>
      <c r="J137" s="2434"/>
      <c r="K137" s="2434"/>
      <c r="Q137" s="2409" t="s">
        <v>715</v>
      </c>
      <c r="R137" s="2414">
        <f>C121+C126+C133+C138</f>
        <v>530703</v>
      </c>
      <c r="S137" s="2414">
        <f>D121+D126+D133+D138</f>
        <v>459972</v>
      </c>
      <c r="T137" s="2414">
        <f>E121+E126+E133+E138</f>
        <v>405559</v>
      </c>
    </row>
    <row r="138" spans="1:20" s="2447" customFormat="1" x14ac:dyDescent="0.2">
      <c r="A138" s="2430" t="s">
        <v>674</v>
      </c>
      <c r="B138" s="2450"/>
      <c r="C138" s="2432">
        <f>'18'!E45</f>
        <v>0</v>
      </c>
      <c r="D138" s="2432">
        <f>'18'!F45</f>
        <v>0</v>
      </c>
      <c r="E138" s="2432">
        <f>'18'!G45</f>
        <v>0</v>
      </c>
      <c r="F138" s="2433">
        <v>0</v>
      </c>
      <c r="G138" s="2434">
        <v>0</v>
      </c>
      <c r="H138" s="2434">
        <v>0</v>
      </c>
      <c r="I138" s="2434">
        <v>0</v>
      </c>
      <c r="J138" s="2434"/>
      <c r="K138" s="2434"/>
      <c r="Q138" s="2409" t="s">
        <v>716</v>
      </c>
      <c r="R138" s="2414">
        <f>C139+C134+C127+C122</f>
        <v>600</v>
      </c>
      <c r="S138" s="2414">
        <f>D139+D134+D127+D122</f>
        <v>14996</v>
      </c>
      <c r="T138" s="2414">
        <f>E139+E134+E127+E122</f>
        <v>14996</v>
      </c>
    </row>
    <row r="139" spans="1:20" x14ac:dyDescent="0.2">
      <c r="A139" s="2436" t="s">
        <v>681</v>
      </c>
      <c r="B139" s="2431"/>
      <c r="C139" s="2432">
        <f>'18'!E46</f>
        <v>0</v>
      </c>
      <c r="D139" s="2432">
        <f>'18'!F46</f>
        <v>0</v>
      </c>
      <c r="E139" s="2432">
        <f>'18'!G46</f>
        <v>0</v>
      </c>
      <c r="F139" s="2433">
        <v>0</v>
      </c>
      <c r="G139" s="2434">
        <v>0</v>
      </c>
      <c r="H139" s="2434">
        <v>0</v>
      </c>
      <c r="I139" s="2434">
        <v>0</v>
      </c>
      <c r="J139" s="2434"/>
      <c r="K139" s="2434"/>
      <c r="Q139" s="2409" t="s">
        <v>1494</v>
      </c>
      <c r="R139" s="2414">
        <f>C123+C128+C135+C140</f>
        <v>0</v>
      </c>
      <c r="S139" s="2414">
        <f>D123+D128+D135+D140</f>
        <v>0</v>
      </c>
      <c r="T139" s="2414">
        <f>E123+E128+E135+E140</f>
        <v>0</v>
      </c>
    </row>
    <row r="140" spans="1:20" x14ac:dyDescent="0.2">
      <c r="A140" s="2452" t="s">
        <v>682</v>
      </c>
      <c r="B140" s="2438"/>
      <c r="C140" s="2439">
        <f>'18'!E47</f>
        <v>0</v>
      </c>
      <c r="D140" s="2439">
        <f>'18'!F47</f>
        <v>0</v>
      </c>
      <c r="E140" s="2439">
        <f>'18'!G47</f>
        <v>0</v>
      </c>
      <c r="F140" s="2440">
        <v>0</v>
      </c>
      <c r="G140" s="2441">
        <v>0</v>
      </c>
      <c r="H140" s="2442">
        <v>0</v>
      </c>
      <c r="I140" s="2442">
        <v>0</v>
      </c>
      <c r="J140" s="2434"/>
      <c r="K140" s="2434"/>
      <c r="Q140" s="2409" t="s">
        <v>944</v>
      </c>
      <c r="R140" s="2409">
        <v>0</v>
      </c>
      <c r="S140" s="2409">
        <v>0</v>
      </c>
      <c r="T140" s="2409">
        <v>0</v>
      </c>
    </row>
    <row r="141" spans="1:20" s="2447" customFormat="1" ht="15" x14ac:dyDescent="0.25">
      <c r="A141" s="2641" t="s">
        <v>1237</v>
      </c>
      <c r="B141" s="2473">
        <v>30</v>
      </c>
      <c r="C141" s="2456">
        <f>SUM(C143:C145)</f>
        <v>17270</v>
      </c>
      <c r="D141" s="2456">
        <f>SUM(D143:D145)</f>
        <v>12050</v>
      </c>
      <c r="E141" s="2456">
        <f>SUM(E143:E145)</f>
        <v>9774</v>
      </c>
      <c r="F141" s="2451">
        <f>E141/D141*100</f>
        <v>81.112033195020743</v>
      </c>
      <c r="G141" s="2429">
        <f>SUM(G143:G145)</f>
        <v>17270000</v>
      </c>
      <c r="H141" s="2429">
        <f>SUM(H143:H145)</f>
        <v>12049979.640000001</v>
      </c>
      <c r="I141" s="2429">
        <f>SUM(I143:I145)</f>
        <v>9774296.5800000001</v>
      </c>
      <c r="J141" s="2429"/>
      <c r="K141" s="2434"/>
      <c r="L141" s="2434"/>
      <c r="M141" s="2434"/>
      <c r="Q141" s="2447" t="s">
        <v>714</v>
      </c>
      <c r="R141" s="2485">
        <f>R136+R137+R138+R139+R140</f>
        <v>795155</v>
      </c>
      <c r="S141" s="2485">
        <f>S136+S137+S138+S139+S140</f>
        <v>828271</v>
      </c>
      <c r="T141" s="2485">
        <f>T136+T137+T138+T139+T140</f>
        <v>768351</v>
      </c>
    </row>
    <row r="142" spans="1:20" s="2447" customFormat="1" ht="15" x14ac:dyDescent="0.25">
      <c r="A142" s="2634"/>
      <c r="B142" s="2473"/>
      <c r="C142" s="2456"/>
      <c r="D142" s="2456"/>
      <c r="E142" s="2456"/>
      <c r="F142" s="2451"/>
      <c r="G142" s="2429"/>
      <c r="H142" s="2429"/>
      <c r="I142" s="2429"/>
      <c r="J142" s="2429"/>
      <c r="K142" s="2434"/>
      <c r="L142" s="2434"/>
      <c r="M142" s="2434"/>
      <c r="Q142" s="2409" t="s">
        <v>1521</v>
      </c>
      <c r="R142" s="2414">
        <f>C139+C137+C134+C132+C130+C129+C127+C125+C122+C120</f>
        <v>264452</v>
      </c>
      <c r="S142" s="2414">
        <f>D139+D137+D134+D132+D130+D129+D127+D125+D122+D120</f>
        <v>368299</v>
      </c>
      <c r="T142" s="2414">
        <f>E139+E137+E134+E132+E130+E129+E127+E125+E122+E120</f>
        <v>362792</v>
      </c>
    </row>
    <row r="143" spans="1:20" s="2447" customFormat="1" x14ac:dyDescent="0.2">
      <c r="A143" s="2430" t="s">
        <v>673</v>
      </c>
      <c r="B143" s="2473"/>
      <c r="C143" s="2432">
        <f>'30 '!E705</f>
        <v>17270</v>
      </c>
      <c r="D143" s="2432">
        <f>'30 '!F705</f>
        <v>1525</v>
      </c>
      <c r="E143" s="2432">
        <f>'30 '!G705</f>
        <v>623</v>
      </c>
      <c r="F143" s="2433">
        <f>E143/D143*100</f>
        <v>40.852459016393446</v>
      </c>
      <c r="G143" s="2378">
        <v>17270000</v>
      </c>
      <c r="H143" s="2378">
        <v>1524876.48</v>
      </c>
      <c r="I143" s="2378">
        <v>623104.19999999995</v>
      </c>
      <c r="J143" s="2434"/>
      <c r="K143" s="2434"/>
      <c r="Q143" s="2409" t="s">
        <v>1522</v>
      </c>
      <c r="R143" s="2414">
        <f>C140+C138+C135+C133+C128+C126+C123+C121</f>
        <v>530703</v>
      </c>
      <c r="S143" s="2414">
        <f>D140+D138+D135+D133+D128+D126+D123+D121</f>
        <v>459972</v>
      </c>
      <c r="T143" s="2414">
        <f>E140+E138+E135+E133+E128+E126+E123+E121</f>
        <v>405559</v>
      </c>
    </row>
    <row r="144" spans="1:20" s="2447" customFormat="1" x14ac:dyDescent="0.2">
      <c r="A144" s="2430" t="s">
        <v>674</v>
      </c>
      <c r="B144" s="2473"/>
      <c r="C144" s="2432">
        <f>'30 '!E706</f>
        <v>0</v>
      </c>
      <c r="D144" s="2432">
        <f>'30 '!F706</f>
        <v>10525</v>
      </c>
      <c r="E144" s="2432">
        <f>'30 '!G706</f>
        <v>8636</v>
      </c>
      <c r="F144" s="2433">
        <f>E144/D144*100</f>
        <v>82.052256532066508</v>
      </c>
      <c r="G144" s="2378">
        <v>0</v>
      </c>
      <c r="H144" s="2378">
        <v>10525103.16</v>
      </c>
      <c r="I144" s="2378">
        <v>8636274.3800000008</v>
      </c>
      <c r="J144" s="2434"/>
      <c r="K144" s="2434"/>
      <c r="Q144" s="2409" t="s">
        <v>944</v>
      </c>
      <c r="R144" s="2409">
        <v>0</v>
      </c>
      <c r="S144" s="2409">
        <v>0</v>
      </c>
      <c r="T144" s="2409">
        <v>0</v>
      </c>
    </row>
    <row r="145" spans="1:20" s="2447" customFormat="1" x14ac:dyDescent="0.2">
      <c r="A145" s="2437" t="s">
        <v>1238</v>
      </c>
      <c r="B145" s="2500"/>
      <c r="C145" s="2432">
        <f>'30 '!E707</f>
        <v>0</v>
      </c>
      <c r="D145" s="2432">
        <f>'30 '!F707</f>
        <v>0</v>
      </c>
      <c r="E145" s="2432">
        <f>'30 '!G707</f>
        <v>515</v>
      </c>
      <c r="F145" s="2440">
        <v>0</v>
      </c>
      <c r="G145" s="2379">
        <v>0</v>
      </c>
      <c r="H145" s="2380">
        <v>0</v>
      </c>
      <c r="I145" s="2380">
        <v>514918</v>
      </c>
      <c r="J145" s="2434"/>
      <c r="K145" s="2434"/>
      <c r="Q145" s="2447" t="s">
        <v>714</v>
      </c>
      <c r="R145" s="2485">
        <f>R142+R143+R144</f>
        <v>795155</v>
      </c>
      <c r="S145" s="2485">
        <f>S142+S143+S144</f>
        <v>828271</v>
      </c>
      <c r="T145" s="2485">
        <f>T142+T143+T144</f>
        <v>768351</v>
      </c>
    </row>
    <row r="146" spans="1:20" s="2410" customFormat="1" ht="15" x14ac:dyDescent="0.25">
      <c r="A146" s="2443" t="s">
        <v>1361</v>
      </c>
      <c r="B146" s="2483">
        <v>32</v>
      </c>
      <c r="C146" s="2445">
        <f>SUM(C147:C149)</f>
        <v>0</v>
      </c>
      <c r="D146" s="2445">
        <f>SUM(D147:D149)</f>
        <v>0</v>
      </c>
      <c r="E146" s="2445">
        <f>SUM(E147:E149)</f>
        <v>25</v>
      </c>
      <c r="F146" s="2451">
        <v>0</v>
      </c>
      <c r="G146" s="2429">
        <f>SUM(G147:G149)</f>
        <v>0</v>
      </c>
      <c r="H146" s="2429">
        <f>SUM(H147:H149)</f>
        <v>0</v>
      </c>
      <c r="I146" s="2429">
        <f>SUM(I147:I149)</f>
        <v>25062.84</v>
      </c>
      <c r="J146" s="2429"/>
      <c r="K146" s="2429"/>
    </row>
    <row r="147" spans="1:20" s="2447" customFormat="1" x14ac:dyDescent="0.2">
      <c r="A147" s="2430" t="s">
        <v>673</v>
      </c>
      <c r="B147" s="2473"/>
      <c r="C147" s="2432">
        <f>'32 '!E16</f>
        <v>0</v>
      </c>
      <c r="D147" s="2432">
        <f>'32 '!F16</f>
        <v>0</v>
      </c>
      <c r="E147" s="2432">
        <f>'32 '!G16</f>
        <v>25</v>
      </c>
      <c r="F147" s="2433">
        <v>0</v>
      </c>
      <c r="G147" s="2377">
        <v>0</v>
      </c>
      <c r="H147" s="2377">
        <v>0</v>
      </c>
      <c r="I147" s="2377">
        <v>25062.84</v>
      </c>
      <c r="J147" s="2434"/>
      <c r="K147" s="2434"/>
    </row>
    <row r="148" spans="1:20" s="2447" customFormat="1" x14ac:dyDescent="0.2">
      <c r="A148" s="2430" t="s">
        <v>674</v>
      </c>
      <c r="B148" s="2473"/>
      <c r="C148" s="2432">
        <f>'32 '!E17</f>
        <v>0</v>
      </c>
      <c r="D148" s="2432">
        <f>'32 '!F17</f>
        <v>0</v>
      </c>
      <c r="E148" s="2432">
        <f>'32 '!G17</f>
        <v>0</v>
      </c>
      <c r="F148" s="2433">
        <v>0</v>
      </c>
      <c r="G148" s="2378">
        <v>0</v>
      </c>
      <c r="H148" s="2378">
        <v>0</v>
      </c>
      <c r="I148" s="2378">
        <v>0</v>
      </c>
      <c r="J148" s="2434"/>
      <c r="K148" s="2434"/>
    </row>
    <row r="149" spans="1:20" s="2447" customFormat="1" x14ac:dyDescent="0.2">
      <c r="A149" s="2437" t="s">
        <v>1238</v>
      </c>
      <c r="B149" s="2500"/>
      <c r="C149" s="2439">
        <f>'32 '!E18</f>
        <v>0</v>
      </c>
      <c r="D149" s="2439">
        <f>'32 '!F18</f>
        <v>0</v>
      </c>
      <c r="E149" s="2439">
        <f>'32 '!G18</f>
        <v>0</v>
      </c>
      <c r="F149" s="2440">
        <v>0</v>
      </c>
      <c r="G149" s="2379">
        <v>0</v>
      </c>
      <c r="H149" s="2380">
        <v>0</v>
      </c>
      <c r="I149" s="2380">
        <v>0</v>
      </c>
      <c r="J149" s="2434"/>
      <c r="K149" s="2434"/>
    </row>
    <row r="150" spans="1:20" s="2447" customFormat="1" ht="15" x14ac:dyDescent="0.25">
      <c r="A150" s="2633" t="s">
        <v>1963</v>
      </c>
      <c r="B150" s="2473">
        <v>36</v>
      </c>
      <c r="C150" s="2456">
        <f>C153+C154+C155</f>
        <v>0</v>
      </c>
      <c r="D150" s="2456">
        <f>D153+D154+D155</f>
        <v>151</v>
      </c>
      <c r="E150" s="2456">
        <f>E153+E154+E155</f>
        <v>151</v>
      </c>
      <c r="F150" s="2451">
        <f>E150/D150*100</f>
        <v>100</v>
      </c>
      <c r="G150" s="2429">
        <f>G153+G154+G155</f>
        <v>0</v>
      </c>
      <c r="H150" s="2429">
        <f>H153+H154+H155</f>
        <v>150631.57999999999</v>
      </c>
      <c r="I150" s="2429">
        <f>I153+I154+I155</f>
        <v>150631.57999999999</v>
      </c>
      <c r="J150" s="2434"/>
      <c r="K150" s="2434"/>
      <c r="Q150" s="2485"/>
      <c r="R150" s="2485"/>
      <c r="S150" s="2485"/>
    </row>
    <row r="151" spans="1:20" s="2447" customFormat="1" ht="15" x14ac:dyDescent="0.25">
      <c r="A151" s="2634"/>
      <c r="B151" s="2473"/>
      <c r="C151" s="2432"/>
      <c r="D151" s="2432"/>
      <c r="E151" s="2432"/>
      <c r="F151" s="2451"/>
      <c r="G151" s="2434"/>
      <c r="H151" s="2434"/>
      <c r="I151" s="2434"/>
      <c r="J151" s="2434"/>
      <c r="K151" s="2434"/>
    </row>
    <row r="152" spans="1:20" s="2447" customFormat="1" ht="15" x14ac:dyDescent="0.25">
      <c r="A152" s="2634"/>
      <c r="B152" s="2473"/>
      <c r="C152" s="2432"/>
      <c r="D152" s="2432"/>
      <c r="E152" s="2432"/>
      <c r="F152" s="2451"/>
      <c r="G152" s="2434"/>
      <c r="H152" s="2434"/>
      <c r="I152" s="2434"/>
      <c r="J152" s="2434"/>
      <c r="K152" s="2434"/>
      <c r="Q152" s="2485"/>
      <c r="R152" s="2485"/>
      <c r="S152" s="2485"/>
    </row>
    <row r="153" spans="1:20" s="2447" customFormat="1" x14ac:dyDescent="0.2">
      <c r="A153" s="2430" t="s">
        <v>673</v>
      </c>
      <c r="B153" s="2473"/>
      <c r="C153" s="2432">
        <f>'36'!E15</f>
        <v>0</v>
      </c>
      <c r="D153" s="2432">
        <f>'36'!F15</f>
        <v>151</v>
      </c>
      <c r="E153" s="2432">
        <f>'36'!G15</f>
        <v>151</v>
      </c>
      <c r="F153" s="2433">
        <f>E153/D153*100</f>
        <v>100</v>
      </c>
      <c r="G153" s="2377">
        <v>0</v>
      </c>
      <c r="H153" s="2377">
        <v>150631.57999999999</v>
      </c>
      <c r="I153" s="2377">
        <v>150631.57999999999</v>
      </c>
      <c r="J153" s="2434"/>
      <c r="K153" s="2434"/>
      <c r="Q153" s="2485"/>
      <c r="R153" s="2485"/>
      <c r="S153" s="2485"/>
    </row>
    <row r="154" spans="1:20" s="2447" customFormat="1" x14ac:dyDescent="0.2">
      <c r="A154" s="2430" t="s">
        <v>674</v>
      </c>
      <c r="B154" s="2473"/>
      <c r="C154" s="2432">
        <f>'36'!E16</f>
        <v>0</v>
      </c>
      <c r="D154" s="2432">
        <f>'36'!F16</f>
        <v>0</v>
      </c>
      <c r="E154" s="2432">
        <f>'36'!G16</f>
        <v>0</v>
      </c>
      <c r="F154" s="2433">
        <v>0</v>
      </c>
      <c r="G154" s="2378">
        <v>0</v>
      </c>
      <c r="H154" s="2378">
        <v>0</v>
      </c>
      <c r="I154" s="2378">
        <v>0</v>
      </c>
      <c r="J154" s="2434"/>
      <c r="K154" s="2434"/>
      <c r="Q154" s="2485"/>
      <c r="R154" s="2485"/>
      <c r="S154" s="2485"/>
    </row>
    <row r="155" spans="1:20" s="2447" customFormat="1" x14ac:dyDescent="0.2">
      <c r="A155" s="2437" t="s">
        <v>1238</v>
      </c>
      <c r="B155" s="2473"/>
      <c r="C155" s="2432">
        <f>'36'!E17</f>
        <v>0</v>
      </c>
      <c r="D155" s="2432">
        <f>'36'!F17</f>
        <v>0</v>
      </c>
      <c r="E155" s="2432">
        <f>'36'!G17</f>
        <v>0</v>
      </c>
      <c r="F155" s="2440">
        <v>0</v>
      </c>
      <c r="G155" s="2379">
        <v>0</v>
      </c>
      <c r="H155" s="2380">
        <v>0</v>
      </c>
      <c r="I155" s="2380">
        <v>0</v>
      </c>
      <c r="J155" s="2434"/>
      <c r="K155" s="2434"/>
      <c r="Q155" s="2485"/>
      <c r="R155" s="2485"/>
      <c r="S155" s="2485"/>
    </row>
    <row r="156" spans="1:20" s="2410" customFormat="1" ht="15" x14ac:dyDescent="0.25">
      <c r="A156" s="2641" t="s">
        <v>1709</v>
      </c>
      <c r="B156" s="2483">
        <v>37</v>
      </c>
      <c r="C156" s="2445">
        <f>SUM(C159:C161)</f>
        <v>0</v>
      </c>
      <c r="D156" s="2445">
        <f>SUM(D159:D161)</f>
        <v>23</v>
      </c>
      <c r="E156" s="2445">
        <f>SUM(E159:E161)</f>
        <v>23</v>
      </c>
      <c r="F156" s="2451">
        <f>E156/D156*100</f>
        <v>100</v>
      </c>
      <c r="G156" s="2429">
        <f>SUM(G159:G161)</f>
        <v>0</v>
      </c>
      <c r="H156" s="2429">
        <f>SUM(H159:H161)</f>
        <v>22553</v>
      </c>
      <c r="I156" s="2429">
        <f>SUM(I159:I161)</f>
        <v>22553</v>
      </c>
      <c r="J156" s="2429"/>
      <c r="K156" s="2429"/>
    </row>
    <row r="157" spans="1:20" s="2410" customFormat="1" ht="15" x14ac:dyDescent="0.25">
      <c r="A157" s="2634"/>
      <c r="B157" s="2473"/>
      <c r="C157" s="2456"/>
      <c r="D157" s="2456"/>
      <c r="E157" s="2456"/>
      <c r="F157" s="2451"/>
      <c r="G157" s="2429"/>
      <c r="H157" s="2429"/>
      <c r="I157" s="2429"/>
      <c r="J157" s="2429"/>
      <c r="K157" s="2429"/>
    </row>
    <row r="158" spans="1:20" s="2410" customFormat="1" ht="15" x14ac:dyDescent="0.25">
      <c r="A158" s="2634"/>
      <c r="B158" s="2473"/>
      <c r="C158" s="2456"/>
      <c r="D158" s="2456"/>
      <c r="E158" s="2456"/>
      <c r="F158" s="2451"/>
      <c r="G158" s="2429"/>
      <c r="H158" s="2429"/>
      <c r="I158" s="2429"/>
      <c r="J158" s="2429"/>
      <c r="K158" s="2429"/>
    </row>
    <row r="159" spans="1:20" s="2447" customFormat="1" x14ac:dyDescent="0.2">
      <c r="A159" s="2430" t="s">
        <v>673</v>
      </c>
      <c r="B159" s="2473"/>
      <c r="C159" s="2432">
        <f>'37'!E16</f>
        <v>0</v>
      </c>
      <c r="D159" s="2432">
        <f>'37'!F16</f>
        <v>23</v>
      </c>
      <c r="E159" s="2432">
        <f>'37'!G16</f>
        <v>23</v>
      </c>
      <c r="F159" s="2433">
        <f>E159/D159*100</f>
        <v>100</v>
      </c>
      <c r="G159" s="2377">
        <v>0</v>
      </c>
      <c r="H159" s="2377">
        <v>22553</v>
      </c>
      <c r="I159" s="2377">
        <v>22553</v>
      </c>
      <c r="J159" s="2434"/>
      <c r="K159" s="2434"/>
    </row>
    <row r="160" spans="1:20" s="2447" customFormat="1" x14ac:dyDescent="0.2">
      <c r="A160" s="2430" t="s">
        <v>674</v>
      </c>
      <c r="B160" s="2473"/>
      <c r="C160" s="2432">
        <f>'37'!E17</f>
        <v>0</v>
      </c>
      <c r="D160" s="2432">
        <f>'37'!F17</f>
        <v>0</v>
      </c>
      <c r="E160" s="2432">
        <f>'37'!G17</f>
        <v>0</v>
      </c>
      <c r="F160" s="2433">
        <v>0</v>
      </c>
      <c r="G160" s="2378">
        <v>0</v>
      </c>
      <c r="H160" s="2378">
        <v>0</v>
      </c>
      <c r="I160" s="2378">
        <v>0</v>
      </c>
      <c r="J160" s="2434"/>
      <c r="K160" s="2434"/>
    </row>
    <row r="161" spans="1:20" s="2447" customFormat="1" x14ac:dyDescent="0.2">
      <c r="A161" s="2437" t="s">
        <v>1238</v>
      </c>
      <c r="B161" s="2500"/>
      <c r="C161" s="2439">
        <f>'37'!E18</f>
        <v>0</v>
      </c>
      <c r="D161" s="2439">
        <f>'37'!F18</f>
        <v>0</v>
      </c>
      <c r="E161" s="2439">
        <f>'37'!G18</f>
        <v>0</v>
      </c>
      <c r="F161" s="2440">
        <v>0</v>
      </c>
      <c r="G161" s="2379">
        <v>0</v>
      </c>
      <c r="H161" s="2380">
        <v>0</v>
      </c>
      <c r="I161" s="2380">
        <v>0</v>
      </c>
      <c r="J161" s="2434"/>
      <c r="K161" s="2434"/>
    </row>
    <row r="162" spans="1:20" s="2447" customFormat="1" ht="15.75" customHeight="1" x14ac:dyDescent="0.2">
      <c r="A162" s="2641" t="s">
        <v>38</v>
      </c>
      <c r="B162" s="2473"/>
      <c r="C162" s="2501"/>
      <c r="D162" s="2501"/>
      <c r="E162" s="2501"/>
      <c r="F162" s="2502"/>
      <c r="G162" s="2434"/>
      <c r="H162" s="2434"/>
      <c r="I162" s="2434"/>
      <c r="J162" s="2434"/>
      <c r="K162" s="2434"/>
      <c r="L162" s="2434"/>
      <c r="M162" s="2434"/>
      <c r="Q162" s="2409"/>
    </row>
    <row r="163" spans="1:20" s="2447" customFormat="1" ht="16.5" customHeight="1" x14ac:dyDescent="0.25">
      <c r="A163" s="2633"/>
      <c r="B163" s="2473">
        <v>50</v>
      </c>
      <c r="C163" s="2503">
        <f>C164+C165+C166</f>
        <v>0</v>
      </c>
      <c r="D163" s="2503">
        <f>D164+D165+D166</f>
        <v>232144</v>
      </c>
      <c r="E163" s="2503">
        <f>E164+E165+E166</f>
        <v>312648</v>
      </c>
      <c r="F163" s="2451">
        <f>E163/D163*100</f>
        <v>134.67847542904403</v>
      </c>
      <c r="G163" s="2429">
        <f>SUM(G164:G166)</f>
        <v>0</v>
      </c>
      <c r="H163" s="2429">
        <f>SUM(H164:H166)</f>
        <v>232143705.13999999</v>
      </c>
      <c r="I163" s="2429">
        <f>SUM(I164:I166)</f>
        <v>312647964.39999998</v>
      </c>
      <c r="J163" s="2429"/>
      <c r="Q163" s="2409"/>
    </row>
    <row r="164" spans="1:20" s="2447" customFormat="1" x14ac:dyDescent="0.2">
      <c r="A164" s="2430" t="s">
        <v>673</v>
      </c>
      <c r="B164" s="2473"/>
      <c r="C164" s="2432">
        <f>'50'!E143</f>
        <v>0</v>
      </c>
      <c r="D164" s="2432">
        <f>'50'!F143</f>
        <v>0</v>
      </c>
      <c r="E164" s="2432">
        <f>'50'!G143</f>
        <v>0</v>
      </c>
      <c r="F164" s="2433">
        <v>0</v>
      </c>
      <c r="G164" s="2378">
        <v>0</v>
      </c>
      <c r="H164" s="2378">
        <v>0</v>
      </c>
      <c r="I164" s="2378">
        <v>0</v>
      </c>
      <c r="J164" s="2434"/>
      <c r="Q164" s="2409"/>
    </row>
    <row r="165" spans="1:20" s="2447" customFormat="1" x14ac:dyDescent="0.2">
      <c r="A165" s="2430" t="s">
        <v>674</v>
      </c>
      <c r="B165" s="2473"/>
      <c r="C165" s="2432">
        <f>'50'!E144</f>
        <v>0</v>
      </c>
      <c r="D165" s="2432">
        <f>'50'!F144</f>
        <v>232144</v>
      </c>
      <c r="E165" s="2432">
        <f>'50'!G144</f>
        <v>231921</v>
      </c>
      <c r="F165" s="2433">
        <f>E165/D165*100</f>
        <v>99.903938934454473</v>
      </c>
      <c r="G165" s="2378">
        <v>0</v>
      </c>
      <c r="H165" s="2378">
        <v>232143705.13999999</v>
      </c>
      <c r="I165" s="2378">
        <v>231921470.69</v>
      </c>
      <c r="J165" s="2434"/>
      <c r="K165" s="2434"/>
      <c r="L165" s="2434"/>
      <c r="M165" s="2434"/>
      <c r="Q165" s="2409"/>
    </row>
    <row r="166" spans="1:20" s="2447" customFormat="1" x14ac:dyDescent="0.2">
      <c r="A166" s="2437" t="s">
        <v>1238</v>
      </c>
      <c r="B166" s="2500"/>
      <c r="C166" s="2439">
        <f>'50'!E145</f>
        <v>0</v>
      </c>
      <c r="D166" s="2439">
        <f>'50'!F145</f>
        <v>0</v>
      </c>
      <c r="E166" s="2439">
        <f>'50'!G145</f>
        <v>80727</v>
      </c>
      <c r="F166" s="2440">
        <v>0</v>
      </c>
      <c r="G166" s="2379">
        <v>0</v>
      </c>
      <c r="H166" s="2380">
        <v>0</v>
      </c>
      <c r="I166" s="2380">
        <v>80726493.709999993</v>
      </c>
      <c r="J166" s="2434"/>
      <c r="K166" s="2434"/>
      <c r="L166" s="2434"/>
      <c r="M166" s="2434"/>
      <c r="Q166" s="2409"/>
    </row>
    <row r="167" spans="1:20" s="2447" customFormat="1" ht="16.5" customHeight="1" x14ac:dyDescent="0.2">
      <c r="A167" s="2642" t="s">
        <v>962</v>
      </c>
      <c r="B167" s="2473"/>
      <c r="C167" s="2432"/>
      <c r="D167" s="2432"/>
      <c r="E167" s="2432"/>
      <c r="F167" s="2433"/>
      <c r="G167" s="2434"/>
      <c r="H167" s="2434"/>
      <c r="I167" s="2434"/>
      <c r="J167" s="2434"/>
      <c r="K167" s="2434"/>
    </row>
    <row r="168" spans="1:20" s="2447" customFormat="1" ht="29.25" customHeight="1" x14ac:dyDescent="0.2">
      <c r="A168" s="2643"/>
      <c r="B168" s="2473">
        <v>52</v>
      </c>
      <c r="C168" s="2504">
        <f>C169+C170+C171</f>
        <v>300</v>
      </c>
      <c r="D168" s="2504">
        <f>D169+D170+D171</f>
        <v>20133</v>
      </c>
      <c r="E168" s="2504">
        <f>E169+E170+E171</f>
        <v>22033</v>
      </c>
      <c r="F168" s="2505">
        <f>E168/D168*100</f>
        <v>109.43724233844931</v>
      </c>
      <c r="G168" s="2506">
        <f>SUM(G169:G171)</f>
        <v>300000</v>
      </c>
      <c r="H168" s="2506">
        <f>SUM(H169:H171)</f>
        <v>20133247.309999999</v>
      </c>
      <c r="I168" s="2506">
        <f>SUM(I169:I171)</f>
        <v>22032545.620000001</v>
      </c>
      <c r="J168" s="2429"/>
      <c r="K168" s="2429"/>
      <c r="Q168" s="2409" t="s">
        <v>1521</v>
      </c>
      <c r="R168" s="2414">
        <f>C147+C153+C159+C164+C169+C143</f>
        <v>17270</v>
      </c>
      <c r="S168" s="2414">
        <f>D147+D153+D159+D164+D169+D143</f>
        <v>1699</v>
      </c>
      <c r="T168" s="2414">
        <f>E147+E153+E159+E164+E169+E143</f>
        <v>822</v>
      </c>
    </row>
    <row r="169" spans="1:20" s="2447" customFormat="1" ht="15" x14ac:dyDescent="0.2">
      <c r="A169" s="2430" t="s">
        <v>673</v>
      </c>
      <c r="B169" s="2473"/>
      <c r="C169" s="2432">
        <f>' 52  '!E289</f>
        <v>0</v>
      </c>
      <c r="D169" s="2432">
        <f>' 52  '!F289</f>
        <v>0</v>
      </c>
      <c r="E169" s="2432">
        <f>' 52  '!G289</f>
        <v>0</v>
      </c>
      <c r="F169" s="2433">
        <v>0</v>
      </c>
      <c r="G169" s="2507">
        <v>0</v>
      </c>
      <c r="H169" s="2507">
        <v>0</v>
      </c>
      <c r="I169" s="2507">
        <v>0</v>
      </c>
      <c r="J169" s="2434"/>
      <c r="K169" s="2434"/>
      <c r="Q169" s="2409" t="s">
        <v>1522</v>
      </c>
      <c r="R169" s="2414">
        <f>C148+C154+C160+C165+C170</f>
        <v>300</v>
      </c>
      <c r="S169" s="2414">
        <f>D148+D154+D160+D165+D170+D144</f>
        <v>262802</v>
      </c>
      <c r="T169" s="2414">
        <f>E148+E154+E160+E165+E170+E144</f>
        <v>258534</v>
      </c>
    </row>
    <row r="170" spans="1:20" s="2447" customFormat="1" ht="15" x14ac:dyDescent="0.2">
      <c r="A170" s="2430" t="s">
        <v>674</v>
      </c>
      <c r="B170" s="2473"/>
      <c r="C170" s="2432">
        <f>' 52  '!E290</f>
        <v>300</v>
      </c>
      <c r="D170" s="2432">
        <f>' 52  '!F290</f>
        <v>20133</v>
      </c>
      <c r="E170" s="2432">
        <f>' 52  '!G290</f>
        <v>17977</v>
      </c>
      <c r="F170" s="2433">
        <f>E170/D170*100</f>
        <v>89.291213430685929</v>
      </c>
      <c r="G170" s="2507">
        <v>300000</v>
      </c>
      <c r="H170" s="2507">
        <v>20133247.309999999</v>
      </c>
      <c r="I170" s="2507">
        <v>17976557.760000002</v>
      </c>
      <c r="J170" s="2434"/>
      <c r="K170" s="2434"/>
      <c r="Q170" s="2409" t="s">
        <v>944</v>
      </c>
      <c r="R170" s="2414">
        <f>C149+C155+C161+C166+C171</f>
        <v>0</v>
      </c>
      <c r="S170" s="2414">
        <f>D149+D155+D161+D166+D171</f>
        <v>0</v>
      </c>
      <c r="T170" s="2414">
        <f>E149+E155+E161+E166+E171+E145</f>
        <v>85298</v>
      </c>
    </row>
    <row r="171" spans="1:20" s="2447" customFormat="1" ht="15.75" thickBot="1" x14ac:dyDescent="0.25">
      <c r="A171" s="2602" t="s">
        <v>1238</v>
      </c>
      <c r="B171" s="2603"/>
      <c r="C171" s="2462">
        <f>' 52  '!E291</f>
        <v>0</v>
      </c>
      <c r="D171" s="2462">
        <f>' 52  '!F291</f>
        <v>0</v>
      </c>
      <c r="E171" s="2462">
        <f>' 52  '!G291</f>
        <v>4056</v>
      </c>
      <c r="F171" s="2463">
        <v>0</v>
      </c>
      <c r="G171" s="2573">
        <v>0</v>
      </c>
      <c r="H171" s="2574">
        <v>0</v>
      </c>
      <c r="I171" s="2574">
        <v>4055987.86</v>
      </c>
      <c r="J171" s="2434"/>
      <c r="K171" s="2434"/>
      <c r="Q171" s="2447" t="s">
        <v>714</v>
      </c>
      <c r="R171" s="2485">
        <f>R168+R169+R170</f>
        <v>17570</v>
      </c>
      <c r="S171" s="2485">
        <f>S168+S169+S170</f>
        <v>264501</v>
      </c>
      <c r="T171" s="2485">
        <f>T168+T169+T170</f>
        <v>344654</v>
      </c>
    </row>
    <row r="172" spans="1:20" s="2447" customFormat="1" ht="15" thickTop="1" x14ac:dyDescent="0.2">
      <c r="A172" s="2515"/>
      <c r="B172" s="2516"/>
      <c r="C172" s="2517"/>
      <c r="D172" s="2517"/>
      <c r="E172" s="2517"/>
      <c r="F172" s="2518"/>
      <c r="G172" s="2434"/>
      <c r="H172" s="2434"/>
      <c r="I172" s="2434"/>
      <c r="J172" s="2434"/>
      <c r="K172" s="2434"/>
      <c r="R172" s="2485"/>
      <c r="S172" s="2485"/>
      <c r="T172" s="2485"/>
    </row>
    <row r="173" spans="1:20" ht="15" thickBot="1" x14ac:dyDescent="0.25">
      <c r="F173" s="2414" t="s">
        <v>173</v>
      </c>
      <c r="G173" s="2567"/>
      <c r="H173" s="2567"/>
      <c r="I173" s="2567"/>
      <c r="J173" s="2567"/>
      <c r="K173" s="2567"/>
    </row>
    <row r="174" spans="1:20" s="2419" customFormat="1" ht="26.25" customHeight="1" thickTop="1" thickBot="1" x14ac:dyDescent="0.25">
      <c r="A174" s="2415" t="s">
        <v>668</v>
      </c>
      <c r="B174" s="2416" t="s">
        <v>671</v>
      </c>
      <c r="C174" s="2417" t="s">
        <v>669</v>
      </c>
      <c r="D174" s="2417" t="s">
        <v>670</v>
      </c>
      <c r="E174" s="2417" t="s">
        <v>923</v>
      </c>
      <c r="F174" s="2418" t="s">
        <v>924</v>
      </c>
      <c r="G174" s="2570"/>
      <c r="H174" s="2570"/>
      <c r="I174" s="2570"/>
      <c r="J174" s="2570"/>
      <c r="K174" s="2570"/>
    </row>
    <row r="175" spans="1:20" s="2424" customFormat="1" ht="12.75" thickTop="1" thickBot="1" x14ac:dyDescent="0.25">
      <c r="A175" s="2468">
        <v>1</v>
      </c>
      <c r="B175" s="2469">
        <v>2</v>
      </c>
      <c r="C175" s="2470">
        <v>3</v>
      </c>
      <c r="D175" s="2470">
        <v>4</v>
      </c>
      <c r="E175" s="2470">
        <v>5</v>
      </c>
      <c r="F175" s="2471" t="s">
        <v>445</v>
      </c>
      <c r="G175" s="2571"/>
      <c r="H175" s="2571"/>
      <c r="I175" s="2571"/>
      <c r="J175" s="2571"/>
      <c r="K175" s="2571"/>
    </row>
    <row r="176" spans="1:20" s="2447" customFormat="1" ht="14.25" customHeight="1" thickTop="1" x14ac:dyDescent="0.2">
      <c r="A176" s="2641" t="s">
        <v>985</v>
      </c>
      <c r="B176" s="2473"/>
      <c r="C176" s="2432"/>
      <c r="D176" s="2432"/>
      <c r="E176" s="2432"/>
      <c r="F176" s="2433"/>
      <c r="G176" s="2434"/>
      <c r="H176" s="2434"/>
      <c r="I176" s="2434"/>
      <c r="J176" s="2434"/>
      <c r="K176" s="2434"/>
    </row>
    <row r="177" spans="1:19" s="2447" customFormat="1" ht="15" x14ac:dyDescent="0.25">
      <c r="A177" s="2633"/>
      <c r="B177" s="2473">
        <v>56</v>
      </c>
      <c r="C177" s="2456">
        <f>C178+C179+C180</f>
        <v>0</v>
      </c>
      <c r="D177" s="2456">
        <f>D178+D179+D180</f>
        <v>17054</v>
      </c>
      <c r="E177" s="2456">
        <f>E178+E179+E180</f>
        <v>3325</v>
      </c>
      <c r="F177" s="2451">
        <f>E177/D177*100</f>
        <v>19.496892224698019</v>
      </c>
      <c r="G177" s="2429">
        <f>SUM(G178:G180)</f>
        <v>0</v>
      </c>
      <c r="H177" s="2429">
        <f>SUM(H178:H180)</f>
        <v>17054434.379999999</v>
      </c>
      <c r="I177" s="2429">
        <f>SUM(I178:I180)</f>
        <v>3325536.75</v>
      </c>
      <c r="J177" s="2429"/>
      <c r="K177" s="2429"/>
    </row>
    <row r="178" spans="1:19" s="2447" customFormat="1" x14ac:dyDescent="0.2">
      <c r="A178" s="2430" t="s">
        <v>673</v>
      </c>
      <c r="B178" s="2473"/>
      <c r="C178" s="2432">
        <f>'56'!E411</f>
        <v>0</v>
      </c>
      <c r="D178" s="2432">
        <f>'56'!F411</f>
        <v>11985</v>
      </c>
      <c r="E178" s="2432">
        <f>'56'!G411</f>
        <v>3325</v>
      </c>
      <c r="F178" s="2433">
        <f>E178/D178*100</f>
        <v>27.743012098456404</v>
      </c>
      <c r="G178" s="2381">
        <v>0</v>
      </c>
      <c r="H178" s="2382">
        <v>11984924.279999999</v>
      </c>
      <c r="I178" s="2382">
        <v>3325536.75</v>
      </c>
      <c r="J178" s="2434"/>
      <c r="K178" s="2434"/>
      <c r="Q178" s="2485"/>
      <c r="R178" s="2485"/>
      <c r="S178" s="2485"/>
    </row>
    <row r="179" spans="1:19" s="2447" customFormat="1" x14ac:dyDescent="0.2">
      <c r="A179" s="2430" t="s">
        <v>674</v>
      </c>
      <c r="B179" s="2473"/>
      <c r="C179" s="2432">
        <f>'56'!E412</f>
        <v>0</v>
      </c>
      <c r="D179" s="2432">
        <f>'56'!F412</f>
        <v>5069</v>
      </c>
      <c r="E179" s="2432">
        <f>'56'!G412</f>
        <v>0</v>
      </c>
      <c r="F179" s="2433">
        <f>E179/D179*100</f>
        <v>0</v>
      </c>
      <c r="G179" s="2381">
        <v>0</v>
      </c>
      <c r="H179" s="2382">
        <v>5069510.0999999996</v>
      </c>
      <c r="I179" s="2382">
        <v>0</v>
      </c>
      <c r="J179" s="2434"/>
      <c r="K179" s="2434"/>
    </row>
    <row r="180" spans="1:19" s="2447" customFormat="1" x14ac:dyDescent="0.2">
      <c r="A180" s="2437" t="s">
        <v>1238</v>
      </c>
      <c r="B180" s="2500"/>
      <c r="C180" s="2439">
        <f>'56'!E413</f>
        <v>0</v>
      </c>
      <c r="D180" s="2439">
        <f>'56'!F413</f>
        <v>0</v>
      </c>
      <c r="E180" s="2439">
        <f>'56'!G413</f>
        <v>0</v>
      </c>
      <c r="F180" s="2440">
        <v>0</v>
      </c>
      <c r="G180" s="2379">
        <v>0</v>
      </c>
      <c r="H180" s="2380">
        <v>0</v>
      </c>
      <c r="I180" s="2380">
        <v>0</v>
      </c>
      <c r="J180" s="2434"/>
      <c r="K180" s="2434"/>
      <c r="Q180" s="2485"/>
      <c r="R180" s="2485"/>
      <c r="S180" s="2485"/>
    </row>
    <row r="181" spans="1:19" s="2447" customFormat="1" ht="14.25" customHeight="1" x14ac:dyDescent="0.2">
      <c r="A181" s="2641" t="s">
        <v>797</v>
      </c>
      <c r="B181" s="2473"/>
      <c r="C181" s="2432"/>
      <c r="D181" s="2432"/>
      <c r="E181" s="2432"/>
      <c r="F181" s="2433"/>
      <c r="G181" s="2434"/>
      <c r="H181" s="2434"/>
      <c r="I181" s="2434"/>
      <c r="J181" s="2434"/>
      <c r="K181" s="2434"/>
      <c r="Q181" s="2485"/>
      <c r="R181" s="2485"/>
      <c r="S181" s="2485"/>
    </row>
    <row r="182" spans="1:19" s="2447" customFormat="1" ht="15" x14ac:dyDescent="0.25">
      <c r="A182" s="2633"/>
      <c r="B182" s="2473"/>
      <c r="C182" s="2456"/>
      <c r="D182" s="2456"/>
      <c r="E182" s="2456"/>
      <c r="F182" s="2451"/>
      <c r="G182" s="2429"/>
      <c r="H182" s="2429"/>
      <c r="I182" s="2429"/>
      <c r="J182" s="2429"/>
      <c r="K182" s="2429"/>
      <c r="Q182" s="2485"/>
      <c r="R182" s="2485"/>
      <c r="S182" s="2485"/>
    </row>
    <row r="183" spans="1:19" s="2447" customFormat="1" ht="30.75" customHeight="1" x14ac:dyDescent="0.25">
      <c r="A183" s="2633"/>
      <c r="B183" s="2473">
        <v>57</v>
      </c>
      <c r="C183" s="2456">
        <f>C184+C185+C186</f>
        <v>0</v>
      </c>
      <c r="D183" s="2456">
        <f>D184+D185+D186</f>
        <v>10899</v>
      </c>
      <c r="E183" s="2456">
        <f>E184+E185+E186</f>
        <v>3719</v>
      </c>
      <c r="F183" s="2451">
        <f>E183/D183*100</f>
        <v>34.122396550142213</v>
      </c>
      <c r="G183" s="2429">
        <f>SUM(G184:G186)</f>
        <v>0</v>
      </c>
      <c r="H183" s="2429">
        <f>SUM(H184:H186)</f>
        <v>10899295.24</v>
      </c>
      <c r="I183" s="2429">
        <f>SUM(I184:I186)</f>
        <v>3719293.17</v>
      </c>
      <c r="J183" s="2429"/>
      <c r="K183" s="2429"/>
      <c r="Q183" s="2485"/>
      <c r="R183" s="2485"/>
      <c r="S183" s="2485"/>
    </row>
    <row r="184" spans="1:19" s="2447" customFormat="1" x14ac:dyDescent="0.2">
      <c r="A184" s="2430" t="s">
        <v>673</v>
      </c>
      <c r="B184" s="2473"/>
      <c r="C184" s="2432">
        <f>'57  '!E231</f>
        <v>0</v>
      </c>
      <c r="D184" s="2432">
        <f>'57  '!F231</f>
        <v>9139</v>
      </c>
      <c r="E184" s="2432">
        <f>'57  '!G231</f>
        <v>3641</v>
      </c>
      <c r="F184" s="2433">
        <f>E184/D184*100</f>
        <v>39.840245103402999</v>
      </c>
      <c r="G184" s="2381">
        <v>0</v>
      </c>
      <c r="H184" s="2382">
        <v>9139074.4700000007</v>
      </c>
      <c r="I184" s="2382">
        <v>3641413.17</v>
      </c>
      <c r="J184" s="2434"/>
      <c r="K184" s="2434"/>
    </row>
    <row r="185" spans="1:19" s="2447" customFormat="1" x14ac:dyDescent="0.2">
      <c r="A185" s="2430" t="s">
        <v>674</v>
      </c>
      <c r="B185" s="2473"/>
      <c r="C185" s="2432">
        <f>'57  '!E232</f>
        <v>0</v>
      </c>
      <c r="D185" s="2432">
        <f>'57  '!F232</f>
        <v>1760</v>
      </c>
      <c r="E185" s="2432">
        <f>'57  '!G232</f>
        <v>78</v>
      </c>
      <c r="F185" s="2433">
        <f>E185/D185*100</f>
        <v>4.4318181818181817</v>
      </c>
      <c r="G185" s="2381">
        <v>0</v>
      </c>
      <c r="H185" s="2382">
        <v>1760220.77</v>
      </c>
      <c r="I185" s="2382">
        <v>77880</v>
      </c>
      <c r="J185" s="2434"/>
      <c r="K185" s="2434"/>
    </row>
    <row r="186" spans="1:19" s="2447" customFormat="1" x14ac:dyDescent="0.2">
      <c r="A186" s="2437" t="s">
        <v>1238</v>
      </c>
      <c r="B186" s="2500"/>
      <c r="C186" s="2439">
        <f>'57  '!E233</f>
        <v>0</v>
      </c>
      <c r="D186" s="2439">
        <f>'57  '!F233</f>
        <v>0</v>
      </c>
      <c r="E186" s="2439">
        <f>'57  '!G233</f>
        <v>0</v>
      </c>
      <c r="F186" s="2440">
        <v>0</v>
      </c>
      <c r="G186" s="2379">
        <v>0</v>
      </c>
      <c r="H186" s="2380">
        <v>0</v>
      </c>
      <c r="I186" s="2380">
        <v>0</v>
      </c>
      <c r="J186" s="2434"/>
      <c r="K186" s="2434"/>
    </row>
    <row r="187" spans="1:19" s="2447" customFormat="1" ht="15" customHeight="1" x14ac:dyDescent="0.2">
      <c r="A187" s="2633" t="s">
        <v>318</v>
      </c>
      <c r="B187" s="2473"/>
      <c r="C187" s="2432"/>
      <c r="D187" s="2432"/>
      <c r="E187" s="2432"/>
      <c r="F187" s="2433"/>
      <c r="G187" s="2434"/>
      <c r="H187" s="2434"/>
      <c r="I187" s="2434"/>
      <c r="J187" s="2434"/>
      <c r="K187" s="2434"/>
    </row>
    <row r="188" spans="1:19" s="2447" customFormat="1" ht="29.25" customHeight="1" x14ac:dyDescent="0.25">
      <c r="A188" s="2633"/>
      <c r="B188" s="2473">
        <v>58</v>
      </c>
      <c r="C188" s="2456">
        <f>C189+C190+C191</f>
        <v>0</v>
      </c>
      <c r="D188" s="2456">
        <f>D189+D190+D191</f>
        <v>16752</v>
      </c>
      <c r="E188" s="2456">
        <f>E189+E190+E191</f>
        <v>4823</v>
      </c>
      <c r="F188" s="2451">
        <f>E188/D188*100</f>
        <v>28.790592168099334</v>
      </c>
      <c r="G188" s="2512">
        <f>SUM(G189:G191)</f>
        <v>0</v>
      </c>
      <c r="H188" s="2429">
        <f>SUM(H189:H191)</f>
        <v>16751855.84</v>
      </c>
      <c r="I188" s="2429">
        <f>SUM(I189:I191)</f>
        <v>4823287.62</v>
      </c>
      <c r="J188" s="2429"/>
      <c r="K188" s="2429"/>
    </row>
    <row r="189" spans="1:19" s="2447" customFormat="1" x14ac:dyDescent="0.2">
      <c r="A189" s="2430" t="s">
        <v>673</v>
      </c>
      <c r="B189" s="2473"/>
      <c r="C189" s="2432">
        <f>'58  '!E222</f>
        <v>0</v>
      </c>
      <c r="D189" s="2432">
        <f>'58  '!F222</f>
        <v>14117</v>
      </c>
      <c r="E189" s="2432">
        <f>'58  '!G222</f>
        <v>4823</v>
      </c>
      <c r="F189" s="2433">
        <f>E189/D189*100</f>
        <v>34.164482538783027</v>
      </c>
      <c r="G189" s="2381">
        <v>0</v>
      </c>
      <c r="H189" s="2382">
        <v>14116535.640000001</v>
      </c>
      <c r="I189" s="2382">
        <v>4823287.62</v>
      </c>
      <c r="J189" s="2434"/>
      <c r="K189" s="2434"/>
    </row>
    <row r="190" spans="1:19" s="2447" customFormat="1" x14ac:dyDescent="0.2">
      <c r="A190" s="2430" t="s">
        <v>674</v>
      </c>
      <c r="B190" s="2473"/>
      <c r="C190" s="2432">
        <f>'58  '!E223</f>
        <v>0</v>
      </c>
      <c r="D190" s="2432">
        <f>'58  '!F223</f>
        <v>2635</v>
      </c>
      <c r="E190" s="2432">
        <f>'58  '!G223</f>
        <v>0</v>
      </c>
      <c r="F190" s="2433">
        <f>E190/D190*100</f>
        <v>0</v>
      </c>
      <c r="G190" s="2381">
        <v>0</v>
      </c>
      <c r="H190" s="2382">
        <v>2635320.2000000002</v>
      </c>
      <c r="I190" s="2382">
        <v>0</v>
      </c>
      <c r="J190" s="2434"/>
      <c r="K190" s="2434"/>
    </row>
    <row r="191" spans="1:19" s="2447" customFormat="1" x14ac:dyDescent="0.2">
      <c r="A191" s="2437" t="s">
        <v>1238</v>
      </c>
      <c r="B191" s="2500"/>
      <c r="C191" s="2439">
        <f>'58  '!E224</f>
        <v>0</v>
      </c>
      <c r="D191" s="2439">
        <f>'58  '!F224</f>
        <v>0</v>
      </c>
      <c r="E191" s="2439">
        <f>'58  '!G224</f>
        <v>0</v>
      </c>
      <c r="F191" s="2440">
        <v>0</v>
      </c>
      <c r="G191" s="2379">
        <v>0</v>
      </c>
      <c r="H191" s="2380">
        <v>0</v>
      </c>
      <c r="I191" s="2380">
        <v>0</v>
      </c>
      <c r="J191" s="2434"/>
      <c r="K191" s="2434"/>
    </row>
    <row r="192" spans="1:19" s="2447" customFormat="1" ht="15" x14ac:dyDescent="0.25">
      <c r="A192" s="2513" t="s">
        <v>321</v>
      </c>
      <c r="B192" s="2473">
        <v>59</v>
      </c>
      <c r="C192" s="2456">
        <f>C193+C194+C195</f>
        <v>24522</v>
      </c>
      <c r="D192" s="2456">
        <f>D193+D194+D195</f>
        <v>262656</v>
      </c>
      <c r="E192" s="2456">
        <f>E193+E194+E195</f>
        <v>454826</v>
      </c>
      <c r="F192" s="2451">
        <f>E192/D192*100</f>
        <v>173.16413864522417</v>
      </c>
      <c r="G192" s="2429">
        <f>SUM(G193:G195)</f>
        <v>24522000</v>
      </c>
      <c r="H192" s="2429">
        <f>SUM(H193:H195)</f>
        <v>262656088.76999998</v>
      </c>
      <c r="I192" s="2429">
        <f>SUM(I193:I195)</f>
        <v>454825876.73000002</v>
      </c>
      <c r="J192" s="2429"/>
      <c r="K192" s="2429"/>
    </row>
    <row r="193" spans="1:13" s="2447" customFormat="1" x14ac:dyDescent="0.2">
      <c r="A193" s="2430" t="s">
        <v>673</v>
      </c>
      <c r="B193" s="2473"/>
      <c r="C193" s="2432">
        <f>'59  '!E387</f>
        <v>24422</v>
      </c>
      <c r="D193" s="2432">
        <f>'59  '!F387</f>
        <v>79133</v>
      </c>
      <c r="E193" s="2432">
        <f>'59  '!G387</f>
        <v>75890</v>
      </c>
      <c r="F193" s="2433">
        <f>E193/D193*100</f>
        <v>95.901836149267695</v>
      </c>
      <c r="G193" s="2381">
        <v>24422000</v>
      </c>
      <c r="H193" s="2382">
        <v>79134129.379999995</v>
      </c>
      <c r="I193" s="2382">
        <v>75889168.670000002</v>
      </c>
      <c r="J193" s="2434"/>
      <c r="K193" s="2434"/>
    </row>
    <row r="194" spans="1:13" s="2447" customFormat="1" x14ac:dyDescent="0.2">
      <c r="A194" s="2430" t="s">
        <v>674</v>
      </c>
      <c r="B194" s="2473"/>
      <c r="C194" s="2432">
        <f>'59  '!E388</f>
        <v>100</v>
      </c>
      <c r="D194" s="2432">
        <f>'59  '!F388</f>
        <v>183523</v>
      </c>
      <c r="E194" s="2432">
        <f>'59  '!G388</f>
        <v>171071</v>
      </c>
      <c r="F194" s="2433">
        <f>E194/D194*100</f>
        <v>93.215019370869044</v>
      </c>
      <c r="G194" s="2381">
        <v>100000</v>
      </c>
      <c r="H194" s="2382">
        <v>183521959.38999999</v>
      </c>
      <c r="I194" s="2382">
        <v>171071592.11000001</v>
      </c>
      <c r="J194" s="2434"/>
      <c r="K194" s="2434"/>
    </row>
    <row r="195" spans="1:13" s="2447" customFormat="1" x14ac:dyDescent="0.2">
      <c r="A195" s="2437" t="s">
        <v>1238</v>
      </c>
      <c r="B195" s="2500"/>
      <c r="C195" s="2439">
        <f>'59  '!E389</f>
        <v>0</v>
      </c>
      <c r="D195" s="2439">
        <f>'59  '!F389</f>
        <v>0</v>
      </c>
      <c r="E195" s="2439">
        <f>'59  '!G389</f>
        <v>207865</v>
      </c>
      <c r="F195" s="2440">
        <v>0</v>
      </c>
      <c r="G195" s="2379">
        <v>0</v>
      </c>
      <c r="H195" s="2380">
        <v>0</v>
      </c>
      <c r="I195" s="2380">
        <v>207865115.94999999</v>
      </c>
      <c r="J195" s="2434"/>
      <c r="K195" s="2434"/>
    </row>
    <row r="196" spans="1:13" s="2447" customFormat="1" ht="14.25" customHeight="1" x14ac:dyDescent="0.2">
      <c r="A196" s="2641" t="s">
        <v>856</v>
      </c>
      <c r="B196" s="2473"/>
      <c r="C196" s="2432"/>
      <c r="D196" s="2432"/>
      <c r="E196" s="2432"/>
      <c r="F196" s="2433"/>
      <c r="G196" s="2434"/>
      <c r="H196" s="2434"/>
      <c r="I196" s="2434"/>
      <c r="J196" s="2434"/>
      <c r="K196" s="2434"/>
    </row>
    <row r="197" spans="1:13" s="2447" customFormat="1" ht="15" x14ac:dyDescent="0.25">
      <c r="A197" s="2633"/>
      <c r="B197" s="2473">
        <v>60</v>
      </c>
      <c r="C197" s="2456">
        <f>C198+C199+C200</f>
        <v>0</v>
      </c>
      <c r="D197" s="2456">
        <f>D198+D199+D200</f>
        <v>65400</v>
      </c>
      <c r="E197" s="2456">
        <f>E198+E199+E200</f>
        <v>88391</v>
      </c>
      <c r="F197" s="2451">
        <f>E197/D197*100</f>
        <v>135.15443425076452</v>
      </c>
      <c r="G197" s="2512">
        <f>SUM(G198:G200)</f>
        <v>0</v>
      </c>
      <c r="H197" s="2429">
        <f>SUM(H198:H200)</f>
        <v>65399982.399999999</v>
      </c>
      <c r="I197" s="2429">
        <f>SUM(I198:I200)</f>
        <v>88390868.599999994</v>
      </c>
      <c r="J197" s="2429"/>
      <c r="K197" s="2429"/>
    </row>
    <row r="198" spans="1:13" s="2447" customFormat="1" x14ac:dyDescent="0.2">
      <c r="A198" s="2430" t="s">
        <v>673</v>
      </c>
      <c r="B198" s="2473"/>
      <c r="C198" s="2432">
        <f>'60  '!E113</f>
        <v>0</v>
      </c>
      <c r="D198" s="2432">
        <f>'60  '!F113</f>
        <v>65400</v>
      </c>
      <c r="E198" s="2432">
        <f>'60  '!G113</f>
        <v>49389</v>
      </c>
      <c r="F198" s="2433">
        <f>E198/D198*100</f>
        <v>75.518348623853214</v>
      </c>
      <c r="G198" s="2381">
        <v>0</v>
      </c>
      <c r="H198" s="2382">
        <v>65399982.399999999</v>
      </c>
      <c r="I198" s="2382">
        <v>49388791.100000001</v>
      </c>
      <c r="J198" s="2434"/>
      <c r="K198" s="2434"/>
      <c r="L198" s="2434"/>
      <c r="M198" s="2434"/>
    </row>
    <row r="199" spans="1:13" s="2447" customFormat="1" x14ac:dyDescent="0.2">
      <c r="A199" s="2430" t="s">
        <v>674</v>
      </c>
      <c r="B199" s="2473"/>
      <c r="C199" s="2432">
        <f>'60  '!E114</f>
        <v>0</v>
      </c>
      <c r="D199" s="2432">
        <f>'60  '!F114</f>
        <v>0</v>
      </c>
      <c r="E199" s="2432">
        <f>'60  '!G114</f>
        <v>0</v>
      </c>
      <c r="F199" s="2433">
        <v>0</v>
      </c>
      <c r="G199" s="2381">
        <v>0</v>
      </c>
      <c r="H199" s="2382">
        <v>0</v>
      </c>
      <c r="I199" s="2382">
        <v>0</v>
      </c>
      <c r="J199" s="2434"/>
      <c r="K199" s="2434"/>
      <c r="L199" s="2434"/>
      <c r="M199" s="2434"/>
    </row>
    <row r="200" spans="1:13" s="2447" customFormat="1" x14ac:dyDescent="0.2">
      <c r="A200" s="2437" t="s">
        <v>1238</v>
      </c>
      <c r="B200" s="2500"/>
      <c r="C200" s="2439">
        <f>'60  '!E115</f>
        <v>0</v>
      </c>
      <c r="D200" s="2439">
        <f>'60  '!F115</f>
        <v>0</v>
      </c>
      <c r="E200" s="2439">
        <f>'60  '!G115</f>
        <v>39002</v>
      </c>
      <c r="F200" s="2440">
        <v>0</v>
      </c>
      <c r="G200" s="2379">
        <v>0</v>
      </c>
      <c r="H200" s="2380">
        <v>0</v>
      </c>
      <c r="I200" s="2380">
        <v>39002077.5</v>
      </c>
      <c r="J200" s="2575"/>
      <c r="K200" s="2434"/>
      <c r="L200" s="2434"/>
      <c r="M200" s="2434"/>
    </row>
    <row r="201" spans="1:13" s="2447" customFormat="1" ht="14.25" customHeight="1" x14ac:dyDescent="0.2">
      <c r="A201" s="2633" t="s">
        <v>1009</v>
      </c>
      <c r="B201" s="2473"/>
      <c r="C201" s="2432"/>
      <c r="D201" s="2432"/>
      <c r="E201" s="2432"/>
      <c r="F201" s="2433"/>
      <c r="G201" s="2434"/>
      <c r="H201" s="2434"/>
      <c r="I201" s="2434"/>
      <c r="J201" s="2434"/>
      <c r="K201" s="2434"/>
    </row>
    <row r="202" spans="1:13" s="2447" customFormat="1" ht="15" x14ac:dyDescent="0.25">
      <c r="A202" s="2633"/>
      <c r="B202" s="2473">
        <v>61</v>
      </c>
      <c r="C202" s="2456">
        <f>C203+C204+C205</f>
        <v>0</v>
      </c>
      <c r="D202" s="2456">
        <f>D203+D204+D205</f>
        <v>848</v>
      </c>
      <c r="E202" s="2456">
        <f>E203+E204+E205</f>
        <v>1609</v>
      </c>
      <c r="F202" s="2451">
        <f>E202/D202*100</f>
        <v>189.74056603773585</v>
      </c>
      <c r="G202" s="2429">
        <f>SUM(G203:G205)</f>
        <v>0</v>
      </c>
      <c r="H202" s="2429">
        <f>SUM(H203:H205)</f>
        <v>847891.71</v>
      </c>
      <c r="I202" s="2429">
        <f>SUM(I203:I205)</f>
        <v>1608666.0899999999</v>
      </c>
      <c r="J202" s="2429"/>
      <c r="K202" s="2429"/>
    </row>
    <row r="203" spans="1:13" s="2447" customFormat="1" x14ac:dyDescent="0.2">
      <c r="A203" s="2430" t="s">
        <v>673</v>
      </c>
      <c r="B203" s="2473"/>
      <c r="C203" s="2432">
        <f>'61   '!E37</f>
        <v>0</v>
      </c>
      <c r="D203" s="2432">
        <f>'61   '!F37</f>
        <v>766</v>
      </c>
      <c r="E203" s="2432">
        <f>'61   '!G37</f>
        <v>768</v>
      </c>
      <c r="F203" s="2433">
        <f>E203/D203*100</f>
        <v>100.26109660574411</v>
      </c>
      <c r="G203" s="2381">
        <v>0</v>
      </c>
      <c r="H203" s="2382">
        <v>765608.26</v>
      </c>
      <c r="I203" s="2382">
        <f>765608.26+1986.7</f>
        <v>767594.96</v>
      </c>
      <c r="J203" s="2434"/>
      <c r="K203" s="2434"/>
    </row>
    <row r="204" spans="1:13" s="2447" customFormat="1" x14ac:dyDescent="0.2">
      <c r="A204" s="2430" t="s">
        <v>674</v>
      </c>
      <c r="B204" s="2473"/>
      <c r="C204" s="2432">
        <f>'61   '!E38</f>
        <v>0</v>
      </c>
      <c r="D204" s="2432">
        <f>'61   '!F38</f>
        <v>82</v>
      </c>
      <c r="E204" s="2432">
        <f>'61   '!G38</f>
        <v>82</v>
      </c>
      <c r="F204" s="2433">
        <f>E204/D204*100</f>
        <v>100</v>
      </c>
      <c r="G204" s="2381">
        <v>0</v>
      </c>
      <c r="H204" s="2382">
        <v>82283.45</v>
      </c>
      <c r="I204" s="2382">
        <v>82283.45</v>
      </c>
      <c r="J204" s="2434"/>
      <c r="K204" s="2434"/>
    </row>
    <row r="205" spans="1:13" s="2447" customFormat="1" x14ac:dyDescent="0.2">
      <c r="A205" s="2437" t="s">
        <v>1238</v>
      </c>
      <c r="B205" s="2500"/>
      <c r="C205" s="2439">
        <f>'61   '!E39</f>
        <v>0</v>
      </c>
      <c r="D205" s="2439">
        <f>'61   '!F39</f>
        <v>0</v>
      </c>
      <c r="E205" s="2439">
        <f>'61   '!G39</f>
        <v>759</v>
      </c>
      <c r="F205" s="2440">
        <v>0</v>
      </c>
      <c r="G205" s="2379">
        <v>0</v>
      </c>
      <c r="H205" s="2380">
        <v>0</v>
      </c>
      <c r="I205" s="2380">
        <v>758787.68</v>
      </c>
      <c r="J205" s="2434"/>
      <c r="K205" s="2434"/>
    </row>
    <row r="206" spans="1:13" s="2447" customFormat="1" ht="14.25" customHeight="1" x14ac:dyDescent="0.2">
      <c r="A206" s="2641" t="s">
        <v>495</v>
      </c>
      <c r="B206" s="2473"/>
      <c r="C206" s="2432"/>
      <c r="D206" s="2432"/>
      <c r="E206" s="2432"/>
      <c r="F206" s="2433"/>
      <c r="G206" s="2434"/>
      <c r="H206" s="2434"/>
      <c r="I206" s="2434"/>
      <c r="J206" s="2434"/>
      <c r="K206" s="2434"/>
    </row>
    <row r="207" spans="1:13" s="2447" customFormat="1" ht="15" x14ac:dyDescent="0.25">
      <c r="A207" s="2633"/>
      <c r="B207" s="2473">
        <v>63</v>
      </c>
      <c r="C207" s="2456">
        <f>C208+C209+C210</f>
        <v>0</v>
      </c>
      <c r="D207" s="2456">
        <f>D208+D209+D210</f>
        <v>81267</v>
      </c>
      <c r="E207" s="2456">
        <f>E208+E209+E210</f>
        <v>93267</v>
      </c>
      <c r="F207" s="2451">
        <f>E207/D207*100</f>
        <v>114.76614123814095</v>
      </c>
      <c r="G207" s="2429">
        <f>SUM(G208:G210)</f>
        <v>0</v>
      </c>
      <c r="H207" s="2429">
        <f>SUM(H208:H210)</f>
        <v>81267128.870000005</v>
      </c>
      <c r="I207" s="2429">
        <f>SUM(I208:I210)</f>
        <v>93267153.969999999</v>
      </c>
      <c r="J207" s="2429"/>
      <c r="K207" s="2429"/>
      <c r="M207" s="2576"/>
    </row>
    <row r="208" spans="1:13" s="2447" customFormat="1" x14ac:dyDescent="0.2">
      <c r="A208" s="2430" t="s">
        <v>673</v>
      </c>
      <c r="B208" s="2473"/>
      <c r="C208" s="2432">
        <f>'63'!E139</f>
        <v>0</v>
      </c>
      <c r="D208" s="2432">
        <f>'63'!F139</f>
        <v>80658</v>
      </c>
      <c r="E208" s="2432">
        <f>'63'!G139</f>
        <v>44834</v>
      </c>
      <c r="F208" s="2433">
        <f>E208/D208*100</f>
        <v>55.585310818517698</v>
      </c>
      <c r="G208" s="2381">
        <v>0</v>
      </c>
      <c r="H208" s="2382">
        <v>80659114.450000003</v>
      </c>
      <c r="I208" s="2382">
        <v>44834683.07</v>
      </c>
      <c r="J208" s="2434"/>
      <c r="K208" s="2434"/>
      <c r="L208" s="2434"/>
      <c r="M208" s="2434"/>
    </row>
    <row r="209" spans="1:20" s="2447" customFormat="1" x14ac:dyDescent="0.2">
      <c r="A209" s="2430" t="s">
        <v>674</v>
      </c>
      <c r="B209" s="2473"/>
      <c r="C209" s="2432">
        <f>'63'!E140</f>
        <v>0</v>
      </c>
      <c r="D209" s="2432">
        <f>'63'!F140</f>
        <v>609</v>
      </c>
      <c r="E209" s="2432">
        <f>'63'!G140</f>
        <v>384</v>
      </c>
      <c r="F209" s="2433">
        <f>E209/D209*100</f>
        <v>63.054187192118228</v>
      </c>
      <c r="G209" s="2381">
        <v>0</v>
      </c>
      <c r="H209" s="2382">
        <v>608014.42000000004</v>
      </c>
      <c r="I209" s="2382">
        <v>383126</v>
      </c>
      <c r="J209" s="2434"/>
      <c r="K209" s="2434"/>
      <c r="L209" s="2434"/>
      <c r="M209" s="2434"/>
    </row>
    <row r="210" spans="1:20" s="2447" customFormat="1" ht="15.75" customHeight="1" x14ac:dyDescent="0.2">
      <c r="A210" s="2437" t="s">
        <v>1238</v>
      </c>
      <c r="B210" s="2500"/>
      <c r="C210" s="2439">
        <f>'63'!E141</f>
        <v>0</v>
      </c>
      <c r="D210" s="2439">
        <f>'63'!F141</f>
        <v>0</v>
      </c>
      <c r="E210" s="2439">
        <f>'63'!G141</f>
        <v>48049</v>
      </c>
      <c r="F210" s="2440">
        <v>0</v>
      </c>
      <c r="G210" s="2379">
        <v>0</v>
      </c>
      <c r="H210" s="2380">
        <v>0</v>
      </c>
      <c r="I210" s="2380">
        <v>48049344.899999999</v>
      </c>
      <c r="J210" s="2434"/>
      <c r="K210" s="2577"/>
      <c r="L210" s="2577"/>
      <c r="M210" s="2577"/>
    </row>
    <row r="211" spans="1:20" s="2447" customFormat="1" x14ac:dyDescent="0.2">
      <c r="A211" s="2646" t="s">
        <v>1104</v>
      </c>
      <c r="B211" s="2473"/>
      <c r="C211" s="2432"/>
      <c r="D211" s="2432"/>
      <c r="E211" s="2432"/>
      <c r="F211" s="2433"/>
      <c r="G211" s="2434"/>
      <c r="H211" s="2434"/>
      <c r="I211" s="2434"/>
      <c r="J211" s="2434"/>
      <c r="K211" s="2434"/>
    </row>
    <row r="212" spans="1:20" s="2447" customFormat="1" ht="15" x14ac:dyDescent="0.25">
      <c r="A212" s="2634"/>
      <c r="B212" s="2473">
        <v>64</v>
      </c>
      <c r="C212" s="2456">
        <f>C213+C214+C215</f>
        <v>387</v>
      </c>
      <c r="D212" s="2456">
        <f>D213+D214+D215</f>
        <v>14052</v>
      </c>
      <c r="E212" s="2456">
        <f>E213+E214+E215</f>
        <v>19851</v>
      </c>
      <c r="F212" s="2451">
        <f>E212/D212*100</f>
        <v>141.26814688300598</v>
      </c>
      <c r="G212" s="2429">
        <f>SUM(G213:G215)</f>
        <v>387000</v>
      </c>
      <c r="H212" s="2429">
        <f>SUM(H213:H215)</f>
        <v>14051669.130000001</v>
      </c>
      <c r="I212" s="2429">
        <f>SUM(I213:I215)</f>
        <v>19851322.68</v>
      </c>
      <c r="J212" s="2429"/>
      <c r="K212" s="2429"/>
    </row>
    <row r="213" spans="1:20" s="2447" customFormat="1" x14ac:dyDescent="0.2">
      <c r="A213" s="2430" t="s">
        <v>673</v>
      </c>
      <c r="B213" s="2473"/>
      <c r="C213" s="2432">
        <f>'64'!E226</f>
        <v>387</v>
      </c>
      <c r="D213" s="2432">
        <f>'64'!F226</f>
        <v>14052</v>
      </c>
      <c r="E213" s="2432">
        <f>'64'!G226</f>
        <v>10657</v>
      </c>
      <c r="F213" s="2433">
        <f>E213/D213*100</f>
        <v>75.839738115570725</v>
      </c>
      <c r="G213" s="2381">
        <v>387000</v>
      </c>
      <c r="H213" s="2382">
        <v>14051669.130000001</v>
      </c>
      <c r="I213" s="2382">
        <v>10657735.449999999</v>
      </c>
      <c r="J213" s="2434"/>
      <c r="K213" s="2434"/>
    </row>
    <row r="214" spans="1:20" s="2447" customFormat="1" x14ac:dyDescent="0.2">
      <c r="A214" s="2430" t="s">
        <v>674</v>
      </c>
      <c r="B214" s="2473"/>
      <c r="C214" s="2432">
        <f>'64'!E227</f>
        <v>0</v>
      </c>
      <c r="D214" s="2432">
        <f>'64'!F227</f>
        <v>0</v>
      </c>
      <c r="E214" s="2432">
        <f>'64'!G227</f>
        <v>0</v>
      </c>
      <c r="F214" s="2433">
        <v>0</v>
      </c>
      <c r="G214" s="2381">
        <v>0</v>
      </c>
      <c r="H214" s="2382">
        <v>0</v>
      </c>
      <c r="I214" s="2382">
        <v>0</v>
      </c>
      <c r="J214" s="2434"/>
      <c r="K214" s="2434"/>
    </row>
    <row r="215" spans="1:20" s="2447" customFormat="1" x14ac:dyDescent="0.2">
      <c r="A215" s="2437" t="s">
        <v>1238</v>
      </c>
      <c r="B215" s="2500"/>
      <c r="C215" s="2439">
        <f>'64'!E228</f>
        <v>0</v>
      </c>
      <c r="D215" s="2439">
        <f>'64'!F228</f>
        <v>0</v>
      </c>
      <c r="E215" s="2439">
        <f>'64'!G228</f>
        <v>9194</v>
      </c>
      <c r="F215" s="2440">
        <v>0</v>
      </c>
      <c r="G215" s="2379">
        <v>0</v>
      </c>
      <c r="H215" s="2380">
        <v>0</v>
      </c>
      <c r="I215" s="2380">
        <v>9193587.2300000004</v>
      </c>
      <c r="J215" s="2434"/>
      <c r="K215" s="2434"/>
    </row>
    <row r="216" spans="1:20" s="2447" customFormat="1" x14ac:dyDescent="0.2">
      <c r="A216" s="2641" t="s">
        <v>1495</v>
      </c>
      <c r="B216" s="2473"/>
      <c r="C216" s="2432"/>
      <c r="D216" s="2432"/>
      <c r="E216" s="2432"/>
      <c r="F216" s="2433"/>
      <c r="G216" s="2434"/>
      <c r="H216" s="2434"/>
      <c r="I216" s="2434"/>
      <c r="J216" s="2434"/>
      <c r="K216" s="2434"/>
      <c r="Q216" s="2409"/>
    </row>
    <row r="217" spans="1:20" s="2447" customFormat="1" ht="15" x14ac:dyDescent="0.25">
      <c r="A217" s="2634"/>
      <c r="B217" s="2473">
        <v>66</v>
      </c>
      <c r="C217" s="2456">
        <f>C218+C219+C220</f>
        <v>0</v>
      </c>
      <c r="D217" s="2456">
        <f>D218+D219+D220</f>
        <v>61617</v>
      </c>
      <c r="E217" s="2456">
        <f>E218+E219+E220</f>
        <v>82988</v>
      </c>
      <c r="F217" s="2451">
        <f>E217/D217*100</f>
        <v>134.68361004268303</v>
      </c>
      <c r="G217" s="2514">
        <f>SUM(G218:G220)</f>
        <v>0</v>
      </c>
      <c r="H217" s="2514">
        <f>SUM(H218:H220)</f>
        <v>61617085.329999998</v>
      </c>
      <c r="I217" s="2514">
        <f>SUM(I218:I220)</f>
        <v>82987701.049999997</v>
      </c>
      <c r="J217" s="2434"/>
      <c r="K217" s="2434"/>
      <c r="Q217" s="2409"/>
    </row>
    <row r="218" spans="1:20" s="2447" customFormat="1" x14ac:dyDescent="0.2">
      <c r="A218" s="2430" t="s">
        <v>673</v>
      </c>
      <c r="B218" s="2473"/>
      <c r="C218" s="2432">
        <f>'66  '!E420</f>
        <v>0</v>
      </c>
      <c r="D218" s="2432">
        <f>'66  '!F420</f>
        <v>59129</v>
      </c>
      <c r="E218" s="2432">
        <f>'66  '!G420</f>
        <v>50331</v>
      </c>
      <c r="F218" s="2433">
        <f>E218/D218*100</f>
        <v>85.120668369158963</v>
      </c>
      <c r="G218" s="2381">
        <v>0</v>
      </c>
      <c r="H218" s="2382">
        <v>59128985.640000001</v>
      </c>
      <c r="I218" s="2382">
        <v>50331064.719999999</v>
      </c>
      <c r="J218" s="2577"/>
      <c r="K218" s="2577"/>
      <c r="Q218" s="2409"/>
    </row>
    <row r="219" spans="1:20" s="2447" customFormat="1" x14ac:dyDescent="0.2">
      <c r="A219" s="2430" t="s">
        <v>674</v>
      </c>
      <c r="B219" s="2473"/>
      <c r="C219" s="2432">
        <f>'66  '!E421</f>
        <v>0</v>
      </c>
      <c r="D219" s="2432">
        <f>'66  '!F421</f>
        <v>2488</v>
      </c>
      <c r="E219" s="2432">
        <f>'66  '!G421</f>
        <v>1835</v>
      </c>
      <c r="F219" s="2433">
        <f>E219/D219*100</f>
        <v>73.754019292604497</v>
      </c>
      <c r="G219" s="2381">
        <v>0</v>
      </c>
      <c r="H219" s="2382">
        <v>2488099.69</v>
      </c>
      <c r="I219" s="2382">
        <v>1834700</v>
      </c>
      <c r="J219" s="2434"/>
      <c r="K219" s="2434"/>
      <c r="Q219" s="2409"/>
    </row>
    <row r="220" spans="1:20" s="2447" customFormat="1" x14ac:dyDescent="0.2">
      <c r="A220" s="2437" t="s">
        <v>1238</v>
      </c>
      <c r="B220" s="2500"/>
      <c r="C220" s="2439">
        <f>'66  '!E422</f>
        <v>0</v>
      </c>
      <c r="D220" s="2439">
        <f>'66  '!F422</f>
        <v>0</v>
      </c>
      <c r="E220" s="2439">
        <f>'66  '!G422</f>
        <v>30822</v>
      </c>
      <c r="F220" s="2440">
        <v>0</v>
      </c>
      <c r="G220" s="2379">
        <v>0</v>
      </c>
      <c r="H220" s="2380">
        <v>0</v>
      </c>
      <c r="I220" s="2380">
        <v>30821936.329999998</v>
      </c>
      <c r="J220" s="2434"/>
      <c r="K220" s="2434"/>
      <c r="Q220" s="2409"/>
    </row>
    <row r="221" spans="1:20" s="2447" customFormat="1" x14ac:dyDescent="0.2">
      <c r="A221" s="2641" t="s">
        <v>1496</v>
      </c>
      <c r="B221" s="2473"/>
      <c r="C221" s="2432"/>
      <c r="D221" s="2432"/>
      <c r="E221" s="2432"/>
      <c r="F221" s="2433"/>
      <c r="G221" s="2434"/>
      <c r="H221" s="2434"/>
      <c r="I221" s="2434"/>
      <c r="J221" s="2434"/>
      <c r="K221" s="2434"/>
      <c r="R221" s="2485"/>
      <c r="S221" s="2485"/>
    </row>
    <row r="222" spans="1:20" s="2447" customFormat="1" ht="15" x14ac:dyDescent="0.25">
      <c r="A222" s="2634"/>
      <c r="B222" s="2473">
        <v>67</v>
      </c>
      <c r="C222" s="2456">
        <f>C223+C224+C225</f>
        <v>0</v>
      </c>
      <c r="D222" s="2456">
        <f>D223+D224+D225</f>
        <v>32845</v>
      </c>
      <c r="E222" s="2456">
        <f>E223+E224+E225</f>
        <v>37426</v>
      </c>
      <c r="F222" s="2451">
        <f>E222/D222*100</f>
        <v>113.94732836048105</v>
      </c>
      <c r="G222" s="2514">
        <f>SUM(G223:G225)</f>
        <v>0</v>
      </c>
      <c r="H222" s="2514">
        <f>SUM(H223:H225)</f>
        <v>32844747.399999999</v>
      </c>
      <c r="I222" s="2514">
        <f>SUM(I223:I225)</f>
        <v>37426414.769999996</v>
      </c>
      <c r="J222" s="2434"/>
      <c r="K222" s="2434"/>
      <c r="Q222" s="2409" t="s">
        <v>1521</v>
      </c>
      <c r="R222" s="2485">
        <f>C178+C184+C189+C193+C198+C203+C208+C213+C218+C223</f>
        <v>24809</v>
      </c>
      <c r="S222" s="2485">
        <f>D178+D184+D189+D193+D198+D203+D208+D213+D218+D223</f>
        <v>366724</v>
      </c>
      <c r="T222" s="2485">
        <f>E178+E184+E189+E193+E198+E203+E208+E213+E218+E223</f>
        <v>264485</v>
      </c>
    </row>
    <row r="223" spans="1:20" s="2447" customFormat="1" x14ac:dyDescent="0.2">
      <c r="A223" s="2430" t="s">
        <v>673</v>
      </c>
      <c r="B223" s="2473"/>
      <c r="C223" s="2432">
        <f>'67 '!E121</f>
        <v>0</v>
      </c>
      <c r="D223" s="2432">
        <f>'67 '!F121</f>
        <v>32345</v>
      </c>
      <c r="E223" s="2432">
        <f>'67 '!G121</f>
        <v>20827</v>
      </c>
      <c r="F223" s="2433">
        <f>E223/D223*100</f>
        <v>64.390168495903538</v>
      </c>
      <c r="G223" s="2378">
        <v>0</v>
      </c>
      <c r="H223" s="2378">
        <v>32344893.399999999</v>
      </c>
      <c r="I223" s="2378">
        <v>20827028.84</v>
      </c>
      <c r="J223" s="2577"/>
      <c r="K223" s="2577"/>
      <c r="Q223" s="2409" t="s">
        <v>1522</v>
      </c>
      <c r="R223" s="2485">
        <f t="shared" ref="R223:T224" si="13">C224+C219+C214+C209+C204+C199+C194+C190+C185+C179</f>
        <v>100</v>
      </c>
      <c r="S223" s="2485">
        <f t="shared" si="13"/>
        <v>196666</v>
      </c>
      <c r="T223" s="2485">
        <f t="shared" si="13"/>
        <v>173450</v>
      </c>
    </row>
    <row r="224" spans="1:20" s="2447" customFormat="1" x14ac:dyDescent="0.2">
      <c r="A224" s="2430" t="s">
        <v>674</v>
      </c>
      <c r="B224" s="2473"/>
      <c r="C224" s="2432">
        <f>'67 '!E122</f>
        <v>0</v>
      </c>
      <c r="D224" s="2432">
        <f>'67 '!F122</f>
        <v>500</v>
      </c>
      <c r="E224" s="2432">
        <f>'67 '!G122</f>
        <v>0</v>
      </c>
      <c r="F224" s="2433">
        <v>0</v>
      </c>
      <c r="G224" s="2378">
        <v>0</v>
      </c>
      <c r="H224" s="2378">
        <v>499854</v>
      </c>
      <c r="I224" s="2378">
        <v>0</v>
      </c>
      <c r="J224" s="2434"/>
      <c r="K224" s="2434"/>
      <c r="Q224" s="2409" t="s">
        <v>944</v>
      </c>
      <c r="R224" s="2485">
        <f t="shared" si="13"/>
        <v>0</v>
      </c>
      <c r="S224" s="2485">
        <f t="shared" si="13"/>
        <v>0</v>
      </c>
      <c r="T224" s="2485">
        <f t="shared" si="13"/>
        <v>352290</v>
      </c>
    </row>
    <row r="225" spans="1:20" s="2447" customFormat="1" ht="15" thickBot="1" x14ac:dyDescent="0.25">
      <c r="A225" s="2430" t="s">
        <v>1238</v>
      </c>
      <c r="B225" s="2473"/>
      <c r="C225" s="2432">
        <f>'67 '!E123</f>
        <v>0</v>
      </c>
      <c r="D225" s="2432">
        <f>'67 '!F123</f>
        <v>0</v>
      </c>
      <c r="E225" s="2432">
        <f>'67 '!G123</f>
        <v>16599</v>
      </c>
      <c r="F225" s="2433">
        <v>0</v>
      </c>
      <c r="G225" s="2379">
        <v>0</v>
      </c>
      <c r="H225" s="2380">
        <v>0</v>
      </c>
      <c r="I225" s="2380">
        <v>16599385.93</v>
      </c>
      <c r="J225" s="2434"/>
      <c r="K225" s="2434"/>
      <c r="Q225" s="2447" t="s">
        <v>714</v>
      </c>
      <c r="R225" s="2485">
        <f>R222+R223+R224</f>
        <v>24909</v>
      </c>
      <c r="S225" s="2485">
        <f>S222+S223+S224</f>
        <v>563390</v>
      </c>
      <c r="T225" s="2485">
        <f>T222+T223+T224</f>
        <v>790225</v>
      </c>
    </row>
    <row r="226" spans="1:20" s="2447" customFormat="1" ht="15" thickTop="1" x14ac:dyDescent="0.2">
      <c r="A226" s="2508"/>
      <c r="B226" s="2509"/>
      <c r="C226" s="2510"/>
      <c r="D226" s="2510"/>
      <c r="E226" s="2510"/>
      <c r="F226" s="2511"/>
      <c r="G226" s="2434"/>
      <c r="H226" s="2434"/>
      <c r="I226" s="2434"/>
      <c r="J226" s="2434"/>
      <c r="K226" s="2434"/>
      <c r="Q226" s="2485"/>
      <c r="R226" s="2485"/>
      <c r="S226" s="2485"/>
      <c r="T226" s="2485"/>
    </row>
    <row r="227" spans="1:20" s="2447" customFormat="1" x14ac:dyDescent="0.2">
      <c r="A227" s="2515"/>
      <c r="B227" s="2516"/>
      <c r="C227" s="2517"/>
      <c r="D227" s="2517"/>
      <c r="E227" s="2517"/>
      <c r="F227" s="2518"/>
      <c r="G227" s="2434"/>
      <c r="H227" s="2434"/>
      <c r="I227" s="2434"/>
      <c r="J227" s="2434"/>
      <c r="K227" s="2434"/>
      <c r="Q227" s="2485"/>
      <c r="R227" s="2485"/>
      <c r="S227" s="2485"/>
    </row>
    <row r="228" spans="1:20" ht="15" thickBot="1" x14ac:dyDescent="0.25">
      <c r="F228" s="2414" t="s">
        <v>173</v>
      </c>
      <c r="G228" s="2567"/>
      <c r="H228" s="2567"/>
      <c r="I228" s="2567"/>
      <c r="J228" s="2567"/>
      <c r="K228" s="2567"/>
    </row>
    <row r="229" spans="1:20" s="2419" customFormat="1" ht="26.25" customHeight="1" thickTop="1" thickBot="1" x14ac:dyDescent="0.25">
      <c r="A229" s="2415" t="s">
        <v>668</v>
      </c>
      <c r="B229" s="2416" t="s">
        <v>671</v>
      </c>
      <c r="C229" s="2417" t="s">
        <v>669</v>
      </c>
      <c r="D229" s="2417" t="s">
        <v>670</v>
      </c>
      <c r="E229" s="2417" t="s">
        <v>923</v>
      </c>
      <c r="F229" s="2418" t="s">
        <v>924</v>
      </c>
      <c r="G229" s="2570"/>
      <c r="H229" s="2570"/>
      <c r="I229" s="2570"/>
      <c r="J229" s="2570"/>
      <c r="K229" s="2570"/>
    </row>
    <row r="230" spans="1:20" s="2424" customFormat="1" ht="12.75" thickTop="1" thickBot="1" x14ac:dyDescent="0.25">
      <c r="A230" s="2468">
        <v>1</v>
      </c>
      <c r="B230" s="2469">
        <v>2</v>
      </c>
      <c r="C230" s="2470">
        <v>3</v>
      </c>
      <c r="D230" s="2470">
        <v>4</v>
      </c>
      <c r="E230" s="2470">
        <v>5</v>
      </c>
      <c r="F230" s="2471" t="s">
        <v>445</v>
      </c>
      <c r="G230" s="2571"/>
      <c r="H230" s="2571"/>
      <c r="I230" s="2571"/>
      <c r="J230" s="2571"/>
      <c r="K230" s="2571"/>
    </row>
    <row r="231" spans="1:20" s="2447" customFormat="1" ht="15" thickTop="1" x14ac:dyDescent="0.2">
      <c r="A231" s="2641" t="s">
        <v>1497</v>
      </c>
      <c r="B231" s="2473"/>
      <c r="C231" s="2432"/>
      <c r="D231" s="2432"/>
      <c r="E231" s="2432"/>
      <c r="F231" s="2433"/>
      <c r="G231" s="2434"/>
      <c r="H231" s="2434"/>
      <c r="I231" s="2434"/>
      <c r="J231" s="2434"/>
      <c r="K231" s="2434"/>
      <c r="Q231" s="2485"/>
      <c r="R231" s="2485"/>
      <c r="S231" s="2485"/>
    </row>
    <row r="232" spans="1:20" s="2447" customFormat="1" x14ac:dyDescent="0.2">
      <c r="A232" s="2634"/>
      <c r="B232" s="2473"/>
      <c r="C232" s="2432"/>
      <c r="D232" s="2432"/>
      <c r="E232" s="2432"/>
      <c r="F232" s="2433"/>
      <c r="G232" s="2434"/>
      <c r="H232" s="2434"/>
      <c r="I232" s="2434"/>
      <c r="J232" s="2434"/>
      <c r="K232" s="2434"/>
    </row>
    <row r="233" spans="1:20" s="2447" customFormat="1" ht="15" x14ac:dyDescent="0.25">
      <c r="A233" s="2634"/>
      <c r="B233" s="2473">
        <v>68</v>
      </c>
      <c r="C233" s="2456">
        <f>C234+C235+C236</f>
        <v>0</v>
      </c>
      <c r="D233" s="2456">
        <f>D234+D235+D236</f>
        <v>24908</v>
      </c>
      <c r="E233" s="2456">
        <f>E234+E235+E236</f>
        <v>35581</v>
      </c>
      <c r="F233" s="2451">
        <f>E233/D233*100</f>
        <v>142.84968684759914</v>
      </c>
      <c r="G233" s="2514">
        <f>SUM(G234:G236)</f>
        <v>0</v>
      </c>
      <c r="H233" s="2514">
        <f>SUM(H234:H236)</f>
        <v>24907819.530000001</v>
      </c>
      <c r="I233" s="2514">
        <f>SUM(I234:I236)</f>
        <v>35580650.539999999</v>
      </c>
      <c r="J233" s="2434"/>
      <c r="K233" s="2434"/>
    </row>
    <row r="234" spans="1:20" s="2447" customFormat="1" x14ac:dyDescent="0.2">
      <c r="A234" s="2430" t="s">
        <v>673</v>
      </c>
      <c r="B234" s="2473"/>
      <c r="C234" s="2432">
        <f>'68 '!E98</f>
        <v>0</v>
      </c>
      <c r="D234" s="2432">
        <f>'68 '!F98</f>
        <v>24408</v>
      </c>
      <c r="E234" s="2432">
        <f>'68 '!G98</f>
        <v>21031</v>
      </c>
      <c r="F234" s="2433">
        <f>E234/D234*100</f>
        <v>86.164372336938712</v>
      </c>
      <c r="G234" s="2381">
        <v>0</v>
      </c>
      <c r="H234" s="2382">
        <v>24407965.530000001</v>
      </c>
      <c r="I234" s="2382">
        <v>21030946.170000002</v>
      </c>
      <c r="J234" s="2577"/>
      <c r="K234" s="2577"/>
    </row>
    <row r="235" spans="1:20" s="2447" customFormat="1" x14ac:dyDescent="0.2">
      <c r="A235" s="2430" t="s">
        <v>674</v>
      </c>
      <c r="B235" s="2473"/>
      <c r="C235" s="2432">
        <f>'68 '!E99</f>
        <v>0</v>
      </c>
      <c r="D235" s="2432">
        <f>'68 '!F99</f>
        <v>500</v>
      </c>
      <c r="E235" s="2432">
        <f>'68 '!G99</f>
        <v>113</v>
      </c>
      <c r="F235" s="2433">
        <f>E235/D235*100</f>
        <v>22.6</v>
      </c>
      <c r="G235" s="2381">
        <v>0</v>
      </c>
      <c r="H235" s="2382">
        <v>499854</v>
      </c>
      <c r="I235" s="2382">
        <v>112900</v>
      </c>
      <c r="J235" s="2434"/>
      <c r="K235" s="2434"/>
    </row>
    <row r="236" spans="1:20" s="2447" customFormat="1" x14ac:dyDescent="0.2">
      <c r="A236" s="2437" t="s">
        <v>1238</v>
      </c>
      <c r="B236" s="2500"/>
      <c r="C236" s="2439">
        <f>'68 '!E100</f>
        <v>0</v>
      </c>
      <c r="D236" s="2439">
        <f>'68 '!F100</f>
        <v>0</v>
      </c>
      <c r="E236" s="2439">
        <f>'68 '!G100</f>
        <v>14437</v>
      </c>
      <c r="F236" s="2440">
        <v>0</v>
      </c>
      <c r="G236" s="2379">
        <v>0</v>
      </c>
      <c r="H236" s="2380">
        <v>0</v>
      </c>
      <c r="I236" s="2380">
        <v>14436804.369999999</v>
      </c>
      <c r="J236" s="2434"/>
      <c r="K236" s="2434"/>
    </row>
    <row r="237" spans="1:20" s="2447" customFormat="1" x14ac:dyDescent="0.2">
      <c r="A237" s="2633" t="s">
        <v>1498</v>
      </c>
      <c r="B237" s="2473"/>
      <c r="C237" s="2432"/>
      <c r="D237" s="2432"/>
      <c r="E237" s="2432"/>
      <c r="F237" s="2433"/>
      <c r="G237" s="2434"/>
      <c r="H237" s="2434"/>
      <c r="I237" s="2434"/>
      <c r="J237" s="2434"/>
      <c r="K237" s="2434"/>
    </row>
    <row r="238" spans="1:20" s="2447" customFormat="1" ht="15" x14ac:dyDescent="0.25">
      <c r="A238" s="2634"/>
      <c r="B238" s="2473">
        <v>69</v>
      </c>
      <c r="C238" s="2456">
        <f>C239+C240+C241</f>
        <v>0</v>
      </c>
      <c r="D238" s="2456">
        <f>D239+D240+D241</f>
        <v>8009</v>
      </c>
      <c r="E238" s="2456">
        <f>E239+E240+E241</f>
        <v>9277</v>
      </c>
      <c r="F238" s="2451">
        <f>E238/D238*100</f>
        <v>115.83218878761394</v>
      </c>
      <c r="G238" s="2514">
        <f>SUM(G239:G241)</f>
        <v>0</v>
      </c>
      <c r="H238" s="2514">
        <f>SUM(H239:H241)</f>
        <v>8008920.9500000002</v>
      </c>
      <c r="I238" s="2514">
        <f>SUM(I239:I241)</f>
        <v>9276822.5500000007</v>
      </c>
      <c r="J238" s="2434"/>
      <c r="K238" s="2434"/>
    </row>
    <row r="239" spans="1:20" s="2447" customFormat="1" x14ac:dyDescent="0.2">
      <c r="A239" s="2430" t="s">
        <v>673</v>
      </c>
      <c r="B239" s="2473"/>
      <c r="C239" s="2432">
        <f>'69 '!E68</f>
        <v>0</v>
      </c>
      <c r="D239" s="2432">
        <f>'69 '!F68</f>
        <v>8009</v>
      </c>
      <c r="E239" s="2432">
        <f>'69 '!G68</f>
        <v>5563</v>
      </c>
      <c r="F239" s="2433">
        <f>E239/D239*100</f>
        <v>69.459358222000247</v>
      </c>
      <c r="G239" s="2381">
        <v>0</v>
      </c>
      <c r="H239" s="2382">
        <v>8008920.9500000002</v>
      </c>
      <c r="I239" s="2382">
        <v>5562591.6600000001</v>
      </c>
      <c r="J239" s="2577"/>
      <c r="K239" s="2577"/>
    </row>
    <row r="240" spans="1:20" s="2447" customFormat="1" x14ac:dyDescent="0.2">
      <c r="A240" s="2430" t="s">
        <v>674</v>
      </c>
      <c r="B240" s="2473"/>
      <c r="C240" s="2432">
        <f>'69 '!E69</f>
        <v>0</v>
      </c>
      <c r="D240" s="2432">
        <f>'69 '!F69</f>
        <v>0</v>
      </c>
      <c r="E240" s="2432">
        <f>'69 '!G69</f>
        <v>0</v>
      </c>
      <c r="F240" s="2433">
        <v>0</v>
      </c>
      <c r="G240" s="2381">
        <v>0</v>
      </c>
      <c r="H240" s="2382">
        <v>0</v>
      </c>
      <c r="I240" s="2382">
        <v>0</v>
      </c>
      <c r="J240" s="2434"/>
      <c r="K240" s="2434"/>
      <c r="L240" s="2576"/>
      <c r="M240" s="2576"/>
    </row>
    <row r="241" spans="1:22" s="2447" customFormat="1" x14ac:dyDescent="0.2">
      <c r="A241" s="2437" t="s">
        <v>1238</v>
      </c>
      <c r="B241" s="2500"/>
      <c r="C241" s="2439">
        <f>'69 '!E70</f>
        <v>0</v>
      </c>
      <c r="D241" s="2439">
        <f>'69 '!F70</f>
        <v>0</v>
      </c>
      <c r="E241" s="2439">
        <f>'69 '!G70</f>
        <v>3714</v>
      </c>
      <c r="F241" s="2440">
        <v>0</v>
      </c>
      <c r="G241" s="2379">
        <v>0</v>
      </c>
      <c r="H241" s="2380">
        <v>0</v>
      </c>
      <c r="I241" s="2380">
        <v>3714230.89</v>
      </c>
      <c r="J241" s="2434"/>
      <c r="K241" s="2434">
        <f>G143+G147+G153+G159+G164+G169+G178+G184+G189+G193+G198+G203+G208+G213+G218+G223+G234+G239+G245+G250+G260+G266+G255</f>
        <v>58094000</v>
      </c>
      <c r="L241" s="2434">
        <f>H143+H147+H153+H159+H164+H169+H178+H184+H189+H193+H198+H203+H208+H213+H218+H223+H234+H239+H245+H250+H260+H266+H255</f>
        <v>445010106.50999993</v>
      </c>
      <c r="M241" s="2434">
        <f>I143+I147+I153+I159+I164+I169+I178+I184+I189+I193+I198+I203+I208+I213+I218+I223+I234+I239+I245+I250+I260+I266+I255</f>
        <v>315973838.29000002</v>
      </c>
      <c r="N241" s="2459" t="s">
        <v>1968</v>
      </c>
    </row>
    <row r="242" spans="1:22" s="2447" customFormat="1" x14ac:dyDescent="0.2">
      <c r="A242" s="2641" t="s">
        <v>1499</v>
      </c>
      <c r="B242" s="2473"/>
      <c r="C242" s="2432"/>
      <c r="D242" s="2432"/>
      <c r="E242" s="2432"/>
      <c r="F242" s="2433"/>
      <c r="G242" s="2434"/>
      <c r="H242" s="2434"/>
      <c r="I242" s="2434"/>
      <c r="J242" s="2434"/>
      <c r="K242" s="2434">
        <f>G144+G148+G160+G165+G170+G179+G185+G190+G194+G199+G204+G209+G214+G219+G224+G235+G240+G246+G251+G256+G261+G154+G267</f>
        <v>400000</v>
      </c>
      <c r="L242" s="2434">
        <f>H144+H148+H160+H165+H170+H179+H185+H190+H194+H199+H204+H209+H214+H219+H224+H235+H240+H246+H251+H256+H261+H154+H267</f>
        <v>468012381.62999994</v>
      </c>
      <c r="M242" s="2434">
        <f>I144+I148+I160+I165+I170+I179+I185+I190+I194+I199+I204+I209+I214+I219+I224+I235+I240+I246+I251+I256+I261+I154+I267</f>
        <v>432728864.08999997</v>
      </c>
      <c r="N242" s="2459" t="s">
        <v>1969</v>
      </c>
    </row>
    <row r="243" spans="1:22" s="2447" customFormat="1" x14ac:dyDescent="0.2">
      <c r="A243" s="2634"/>
      <c r="B243" s="2473"/>
      <c r="C243" s="2432"/>
      <c r="D243" s="2432"/>
      <c r="E243" s="2432"/>
      <c r="F243" s="2433"/>
      <c r="G243" s="2434"/>
      <c r="H243" s="2434"/>
      <c r="I243" s="2434"/>
      <c r="J243" s="2434"/>
      <c r="K243" s="2442">
        <f>G145+G149+G161+G166+G171+G180+G186+G191+G195+G200+G205+G210+G215+G220+G225+G236+G241+G247+G252++G257+G262+G155+G268</f>
        <v>0</v>
      </c>
      <c r="L243" s="2442">
        <f>H145+H149+H161+H166+H171+H180+H186+H191+H195+H200+H205+H210+H215+H220+H225+H236+H241+H247+H252++H257+H262+H155+H268</f>
        <v>0</v>
      </c>
      <c r="M243" s="2442">
        <f>I145+I149+I161+I166+I171+I180+I186+I191+I195+I200+I205+I210+I215+I220+I225+I236+I241+I247+I252++I257+I262+I155+I268</f>
        <v>496902697.47999996</v>
      </c>
      <c r="N243" s="2459" t="s">
        <v>1970</v>
      </c>
    </row>
    <row r="244" spans="1:22" s="2447" customFormat="1" ht="15" x14ac:dyDescent="0.25">
      <c r="A244" s="2634"/>
      <c r="B244" s="2473">
        <v>71</v>
      </c>
      <c r="C244" s="2456">
        <f>C245+C246+C247</f>
        <v>0</v>
      </c>
      <c r="D244" s="2456">
        <f>D245+D246+D247</f>
        <v>7575</v>
      </c>
      <c r="E244" s="2456">
        <f>E245+E246+E247</f>
        <v>9975</v>
      </c>
      <c r="F244" s="2451">
        <f>E244/D244*100</f>
        <v>131.68316831683168</v>
      </c>
      <c r="G244" s="2514">
        <f>SUM(G245:G247)</f>
        <v>0</v>
      </c>
      <c r="H244" s="2514">
        <f>SUM(H245:H247)</f>
        <v>7574941.2599999998</v>
      </c>
      <c r="I244" s="2514">
        <f>SUM(I245:I247)</f>
        <v>9975482.2699999996</v>
      </c>
      <c r="J244" s="2434"/>
      <c r="K244" s="2429">
        <f>K241+K242+K243</f>
        <v>58494000</v>
      </c>
      <c r="L244" s="2429">
        <f>L241+L242+L243</f>
        <v>913022488.13999987</v>
      </c>
      <c r="M244" s="2429">
        <f>M241+M242+M243</f>
        <v>1245605399.8599999</v>
      </c>
      <c r="N244" s="2466" t="s">
        <v>1971</v>
      </c>
    </row>
    <row r="245" spans="1:22" s="2447" customFormat="1" x14ac:dyDescent="0.2">
      <c r="A245" s="2430" t="s">
        <v>673</v>
      </c>
      <c r="B245" s="2473"/>
      <c r="C245" s="2432">
        <f>'71 '!E36</f>
        <v>0</v>
      </c>
      <c r="D245" s="2432">
        <f>'71 '!F36</f>
        <v>7575</v>
      </c>
      <c r="E245" s="2432">
        <f>'71 '!G36</f>
        <v>4428</v>
      </c>
      <c r="F245" s="2433">
        <f>E245/D245*100</f>
        <v>58.455445544554451</v>
      </c>
      <c r="G245" s="2381">
        <v>0</v>
      </c>
      <c r="H245" s="2382">
        <v>7574941.2599999998</v>
      </c>
      <c r="I245" s="2382">
        <v>4428636.32</v>
      </c>
      <c r="J245" s="2577"/>
      <c r="K245" s="2577"/>
      <c r="L245" s="2576"/>
    </row>
    <row r="246" spans="1:22" s="2447" customFormat="1" x14ac:dyDescent="0.2">
      <c r="A246" s="2430" t="s">
        <v>674</v>
      </c>
      <c r="B246" s="2473"/>
      <c r="C246" s="2432">
        <f>'71 '!E37</f>
        <v>0</v>
      </c>
      <c r="D246" s="2432">
        <f>'71 '!F37</f>
        <v>0</v>
      </c>
      <c r="E246" s="2432">
        <f>'71 '!G37</f>
        <v>0</v>
      </c>
      <c r="F246" s="2433">
        <v>0</v>
      </c>
      <c r="G246" s="2381">
        <v>0</v>
      </c>
      <c r="H246" s="2382">
        <v>0</v>
      </c>
      <c r="I246" s="2382">
        <v>0</v>
      </c>
      <c r="J246" s="2434"/>
      <c r="K246" s="2434"/>
    </row>
    <row r="247" spans="1:22" s="2447" customFormat="1" x14ac:dyDescent="0.2">
      <c r="A247" s="2437" t="s">
        <v>1238</v>
      </c>
      <c r="B247" s="2500"/>
      <c r="C247" s="2439">
        <f>'71 '!E38</f>
        <v>0</v>
      </c>
      <c r="D247" s="2439">
        <f>'71 '!F38</f>
        <v>0</v>
      </c>
      <c r="E247" s="2439">
        <f>'71 '!G38</f>
        <v>5547</v>
      </c>
      <c r="F247" s="2440">
        <v>0</v>
      </c>
      <c r="G247" s="2379">
        <v>0</v>
      </c>
      <c r="H247" s="2380">
        <v>0</v>
      </c>
      <c r="I247" s="2380">
        <v>5546845.9500000002</v>
      </c>
      <c r="J247" s="2434"/>
      <c r="K247" s="2434"/>
    </row>
    <row r="248" spans="1:22" s="2447" customFormat="1" ht="15" x14ac:dyDescent="0.25">
      <c r="A248" s="2641" t="s">
        <v>1710</v>
      </c>
      <c r="B248" s="2473">
        <v>72</v>
      </c>
      <c r="C248" s="2456">
        <f>C250+C251+C252</f>
        <v>0</v>
      </c>
      <c r="D248" s="2456">
        <f>D250+D251+D252</f>
        <v>100</v>
      </c>
      <c r="E248" s="2456">
        <f>E250+E251+E252</f>
        <v>25</v>
      </c>
      <c r="F248" s="2451">
        <f>E248/D248*100</f>
        <v>25</v>
      </c>
      <c r="G248" s="2429">
        <f>G250+G251+G252</f>
        <v>0</v>
      </c>
      <c r="H248" s="2429">
        <f>H250+H251+H252</f>
        <v>100028.15</v>
      </c>
      <c r="I248" s="2429">
        <f>I250+I251+I252</f>
        <v>25168</v>
      </c>
      <c r="J248" s="2434"/>
      <c r="K248" s="2434"/>
    </row>
    <row r="249" spans="1:22" s="2447" customFormat="1" x14ac:dyDescent="0.2">
      <c r="A249" s="2634"/>
      <c r="B249" s="2473"/>
      <c r="C249" s="2432"/>
      <c r="D249" s="2432"/>
      <c r="E249" s="2432"/>
      <c r="F249" s="2433"/>
      <c r="G249" s="2434"/>
      <c r="H249" s="2434"/>
      <c r="I249" s="2434"/>
      <c r="J249" s="2434"/>
      <c r="K249" s="2434"/>
    </row>
    <row r="250" spans="1:22" s="2447" customFormat="1" x14ac:dyDescent="0.2">
      <c r="A250" s="2430" t="s">
        <v>673</v>
      </c>
      <c r="B250" s="2473"/>
      <c r="C250" s="2432">
        <f>'72 '!E65</f>
        <v>0</v>
      </c>
      <c r="D250" s="2432">
        <f>'72 '!F65</f>
        <v>100</v>
      </c>
      <c r="E250" s="2432">
        <f>'72 '!G65</f>
        <v>25</v>
      </c>
      <c r="F250" s="2433">
        <f>E250/D250*100</f>
        <v>25</v>
      </c>
      <c r="G250" s="2381">
        <v>0</v>
      </c>
      <c r="H250" s="2382">
        <v>100028.15</v>
      </c>
      <c r="I250" s="2382">
        <v>25168</v>
      </c>
      <c r="J250" s="2434"/>
      <c r="K250" s="2434"/>
    </row>
    <row r="251" spans="1:22" s="2447" customFormat="1" x14ac:dyDescent="0.2">
      <c r="A251" s="2430" t="s">
        <v>674</v>
      </c>
      <c r="B251" s="2473"/>
      <c r="C251" s="2432">
        <f>'72 '!E66</f>
        <v>0</v>
      </c>
      <c r="D251" s="2432">
        <f>'72 '!F66</f>
        <v>0</v>
      </c>
      <c r="E251" s="2432">
        <f>'72 '!G66</f>
        <v>0</v>
      </c>
      <c r="F251" s="2433">
        <v>0</v>
      </c>
      <c r="G251" s="2381">
        <v>0</v>
      </c>
      <c r="H251" s="2382">
        <v>0</v>
      </c>
      <c r="I251" s="2382">
        <v>0</v>
      </c>
      <c r="J251" s="2434"/>
      <c r="K251" s="2434"/>
    </row>
    <row r="252" spans="1:22" s="2447" customFormat="1" x14ac:dyDescent="0.2">
      <c r="A252" s="2437" t="s">
        <v>1238</v>
      </c>
      <c r="B252" s="2500"/>
      <c r="C252" s="2439">
        <f>'72 '!E67</f>
        <v>0</v>
      </c>
      <c r="D252" s="2439">
        <f>'72 '!F67</f>
        <v>0</v>
      </c>
      <c r="E252" s="2439">
        <f>'72 '!G67</f>
        <v>0</v>
      </c>
      <c r="F252" s="2440">
        <v>0</v>
      </c>
      <c r="G252" s="2379">
        <v>0</v>
      </c>
      <c r="H252" s="2380">
        <v>0</v>
      </c>
      <c r="I252" s="2380">
        <v>0</v>
      </c>
      <c r="J252" s="2434"/>
      <c r="K252" s="2434"/>
    </row>
    <row r="253" spans="1:22" s="2447" customFormat="1" ht="15" x14ac:dyDescent="0.25">
      <c r="A253" s="2641" t="s">
        <v>1698</v>
      </c>
      <c r="B253" s="2473">
        <v>73</v>
      </c>
      <c r="C253" s="2456">
        <f>C255+C256+C257</f>
        <v>0</v>
      </c>
      <c r="D253" s="2456">
        <f>D255+D256+D257</f>
        <v>91</v>
      </c>
      <c r="E253" s="2456">
        <f>E255+E256+E257</f>
        <v>62</v>
      </c>
      <c r="F253" s="2451">
        <f>E253/D253*100</f>
        <v>68.131868131868131</v>
      </c>
      <c r="G253" s="2429">
        <f>G255+G256+G257</f>
        <v>0</v>
      </c>
      <c r="H253" s="2429">
        <f>H255+H256+H257</f>
        <v>90950.51</v>
      </c>
      <c r="I253" s="2429">
        <f>I255+I256+I257</f>
        <v>62186.16</v>
      </c>
      <c r="J253" s="2434"/>
      <c r="K253" s="2434"/>
      <c r="Q253" s="2413"/>
      <c r="R253" s="2411"/>
      <c r="S253" s="2412"/>
      <c r="T253" s="2412"/>
      <c r="U253" s="2412"/>
      <c r="V253" s="2537"/>
    </row>
    <row r="254" spans="1:22" s="2447" customFormat="1" x14ac:dyDescent="0.2">
      <c r="A254" s="2634"/>
      <c r="B254" s="2473"/>
      <c r="C254" s="2432"/>
      <c r="D254" s="2432"/>
      <c r="E254" s="2432"/>
      <c r="F254" s="2433"/>
      <c r="G254" s="2434"/>
      <c r="H254" s="2434"/>
      <c r="I254" s="2434"/>
      <c r="J254" s="2434"/>
      <c r="K254" s="2434"/>
      <c r="Q254" s="2413"/>
      <c r="R254" s="2411"/>
      <c r="S254" s="2412"/>
      <c r="T254" s="2412"/>
      <c r="U254" s="2412"/>
      <c r="V254" s="2537"/>
    </row>
    <row r="255" spans="1:22" s="2447" customFormat="1" x14ac:dyDescent="0.2">
      <c r="A255" s="2430" t="s">
        <v>673</v>
      </c>
      <c r="B255" s="2473"/>
      <c r="C255" s="2432">
        <f>'73 '!E55</f>
        <v>0</v>
      </c>
      <c r="D255" s="2432">
        <f>'73 '!F55</f>
        <v>91</v>
      </c>
      <c r="E255" s="2432">
        <f>'73 '!G55</f>
        <v>21</v>
      </c>
      <c r="F255" s="2433">
        <f>E255/D255*100</f>
        <v>23.076923076923077</v>
      </c>
      <c r="G255" s="2381">
        <v>0</v>
      </c>
      <c r="H255" s="2382">
        <v>90950.51</v>
      </c>
      <c r="I255" s="2382">
        <v>20695</v>
      </c>
      <c r="J255" s="2434"/>
      <c r="K255" s="2434"/>
      <c r="Q255" s="2413"/>
      <c r="R255" s="2411"/>
      <c r="S255" s="2412"/>
      <c r="T255" s="2412"/>
      <c r="U255" s="2412"/>
      <c r="V255" s="2537"/>
    </row>
    <row r="256" spans="1:22" s="2447" customFormat="1" ht="15" x14ac:dyDescent="0.25">
      <c r="A256" s="2430" t="s">
        <v>674</v>
      </c>
      <c r="B256" s="2473"/>
      <c r="C256" s="2432">
        <f>'73 '!E56</f>
        <v>0</v>
      </c>
      <c r="D256" s="2432">
        <f>'73 '!F56</f>
        <v>0</v>
      </c>
      <c r="E256" s="2432">
        <f>'73 '!G56</f>
        <v>0</v>
      </c>
      <c r="F256" s="2433">
        <v>0</v>
      </c>
      <c r="G256" s="2381">
        <v>0</v>
      </c>
      <c r="H256" s="2382">
        <v>0</v>
      </c>
      <c r="I256" s="2382">
        <v>0</v>
      </c>
      <c r="J256" s="2434"/>
      <c r="K256" s="2434"/>
      <c r="Q256" s="2413"/>
      <c r="R256" s="2411"/>
      <c r="S256" s="2538"/>
      <c r="T256" s="2538"/>
      <c r="U256" s="2538"/>
      <c r="V256" s="2539"/>
    </row>
    <row r="257" spans="1:22" s="2447" customFormat="1" x14ac:dyDescent="0.2">
      <c r="A257" s="2437" t="s">
        <v>1238</v>
      </c>
      <c r="B257" s="2500"/>
      <c r="C257" s="2439">
        <f>'73 '!E57</f>
        <v>0</v>
      </c>
      <c r="D257" s="2439">
        <f>'73 '!F57</f>
        <v>0</v>
      </c>
      <c r="E257" s="2439">
        <f>'73 '!G57</f>
        <v>41</v>
      </c>
      <c r="F257" s="2440">
        <v>0</v>
      </c>
      <c r="G257" s="2379">
        <v>0</v>
      </c>
      <c r="H257" s="2380">
        <v>0</v>
      </c>
      <c r="I257" s="2380">
        <v>41491.160000000003</v>
      </c>
      <c r="J257" s="2434"/>
      <c r="K257" s="2434"/>
      <c r="Q257" s="2413"/>
      <c r="R257" s="2411"/>
      <c r="S257" s="2412"/>
      <c r="T257" s="2412"/>
      <c r="U257" s="2412"/>
      <c r="V257" s="2537"/>
    </row>
    <row r="258" spans="1:22" s="2447" customFormat="1" ht="15" x14ac:dyDescent="0.25">
      <c r="A258" s="2633" t="s">
        <v>1711</v>
      </c>
      <c r="B258" s="2473">
        <v>74</v>
      </c>
      <c r="C258" s="2456">
        <f>C260+C261+C262</f>
        <v>16015</v>
      </c>
      <c r="D258" s="2456">
        <f>D260+D261+D262</f>
        <v>10550</v>
      </c>
      <c r="E258" s="2456">
        <f>E260+E261+E262</f>
        <v>5284</v>
      </c>
      <c r="F258" s="2451">
        <f>E258/D258*100</f>
        <v>50.085308056872037</v>
      </c>
      <c r="G258" s="2429">
        <f>G260+G261+G262</f>
        <v>16015000</v>
      </c>
      <c r="H258" s="2429">
        <f>H260+H261+H262</f>
        <v>10550000</v>
      </c>
      <c r="I258" s="2429">
        <f>I260+I261+I262</f>
        <v>5284055.33</v>
      </c>
      <c r="J258" s="2434"/>
      <c r="K258" s="2434"/>
      <c r="Q258" s="2413"/>
      <c r="R258" s="2411"/>
      <c r="S258" s="2412"/>
      <c r="T258" s="2412"/>
      <c r="U258" s="2412"/>
      <c r="V258" s="2537"/>
    </row>
    <row r="259" spans="1:22" s="2447" customFormat="1" ht="15" x14ac:dyDescent="0.25">
      <c r="A259" s="2634"/>
      <c r="B259" s="2473"/>
      <c r="C259" s="2432"/>
      <c r="D259" s="2432"/>
      <c r="E259" s="2432"/>
      <c r="F259" s="2433"/>
      <c r="G259" s="2434"/>
      <c r="H259" s="2434"/>
      <c r="I259" s="2434"/>
      <c r="J259" s="2434"/>
      <c r="K259" s="2434"/>
      <c r="Q259" s="2413"/>
      <c r="R259" s="2411"/>
      <c r="S259" s="2538"/>
      <c r="T259" s="2538"/>
      <c r="U259" s="2538"/>
      <c r="V259" s="2412"/>
    </row>
    <row r="260" spans="1:22" s="2447" customFormat="1" x14ac:dyDescent="0.2">
      <c r="A260" s="2430" t="s">
        <v>673</v>
      </c>
      <c r="B260" s="2473"/>
      <c r="C260" s="2432">
        <f>'74 '!E174</f>
        <v>16015</v>
      </c>
      <c r="D260" s="2432">
        <f>'74 '!F174</f>
        <v>10550</v>
      </c>
      <c r="E260" s="2432">
        <f>'74 '!G174</f>
        <v>3608</v>
      </c>
      <c r="F260" s="2433">
        <f>E260/D260*100</f>
        <v>34.199052132701425</v>
      </c>
      <c r="G260" s="2378">
        <v>16015000</v>
      </c>
      <c r="H260" s="2378">
        <v>10550000</v>
      </c>
      <c r="I260" s="2378">
        <v>3607897.31</v>
      </c>
      <c r="J260" s="2434"/>
      <c r="K260" s="2434"/>
      <c r="Q260" s="2413"/>
      <c r="R260" s="2411"/>
      <c r="S260" s="2412"/>
      <c r="T260" s="2412"/>
      <c r="U260" s="2412"/>
      <c r="V260" s="2412"/>
    </row>
    <row r="261" spans="1:22" s="2447" customFormat="1" ht="18" x14ac:dyDescent="0.25">
      <c r="A261" s="2430" t="s">
        <v>674</v>
      </c>
      <c r="B261" s="2473"/>
      <c r="C261" s="2432">
        <f>'74 '!E175</f>
        <v>0</v>
      </c>
      <c r="D261" s="2432">
        <f>'74 '!F175</f>
        <v>0</v>
      </c>
      <c r="E261" s="2432">
        <f>'74 '!G175</f>
        <v>0</v>
      </c>
      <c r="F261" s="2433">
        <v>0</v>
      </c>
      <c r="G261" s="2378">
        <v>0</v>
      </c>
      <c r="H261" s="2378">
        <v>0</v>
      </c>
      <c r="I261" s="2378">
        <v>0</v>
      </c>
      <c r="J261" s="2434"/>
      <c r="K261" s="2434"/>
      <c r="Q261" s="2529"/>
      <c r="R261" s="2520"/>
      <c r="S261" s="2249"/>
      <c r="T261" s="2249"/>
      <c r="U261" s="2249"/>
      <c r="V261" s="2540"/>
    </row>
    <row r="262" spans="1:22" s="2447" customFormat="1" ht="18" x14ac:dyDescent="0.25">
      <c r="A262" s="2437" t="s">
        <v>1238</v>
      </c>
      <c r="B262" s="2500"/>
      <c r="C262" s="2439">
        <f>'74 '!E176</f>
        <v>0</v>
      </c>
      <c r="D262" s="2439">
        <f>'74 '!F176</f>
        <v>0</v>
      </c>
      <c r="E262" s="2439">
        <f>'74 '!G176</f>
        <v>1676</v>
      </c>
      <c r="F262" s="2440">
        <v>0</v>
      </c>
      <c r="G262" s="2379">
        <v>0</v>
      </c>
      <c r="H262" s="2380">
        <v>0</v>
      </c>
      <c r="I262" s="2380">
        <v>1676158.02</v>
      </c>
      <c r="J262" s="2434"/>
      <c r="K262" s="2434"/>
      <c r="Q262" s="2464"/>
      <c r="R262" s="2520"/>
      <c r="S262" s="2521"/>
      <c r="T262" s="2521"/>
      <c r="U262" s="2521"/>
      <c r="V262" s="2521"/>
    </row>
    <row r="263" spans="1:22" s="2447" customFormat="1" ht="14.25" customHeight="1" x14ac:dyDescent="0.25">
      <c r="A263" s="2641" t="s">
        <v>1956</v>
      </c>
      <c r="B263" s="2473">
        <v>75</v>
      </c>
      <c r="C263" s="2456">
        <f>C266+C267+C268</f>
        <v>0</v>
      </c>
      <c r="D263" s="2456">
        <f>D266+D267+D268</f>
        <v>33899</v>
      </c>
      <c r="E263" s="2456">
        <f>E266+E267+E268</f>
        <v>50522</v>
      </c>
      <c r="F263" s="2451">
        <f>E263/D263*100</f>
        <v>149.03684474468272</v>
      </c>
      <c r="G263" s="2429">
        <f>G266+G267+G268</f>
        <v>0</v>
      </c>
      <c r="H263" s="2429">
        <f>H266+H267+H268</f>
        <v>33899532</v>
      </c>
      <c r="I263" s="2429">
        <f>I266+I267+I268</f>
        <v>50521859.560000002</v>
      </c>
      <c r="J263" s="2434"/>
      <c r="K263" s="2434"/>
      <c r="Q263" s="2464"/>
      <c r="R263" s="2520"/>
      <c r="S263" s="2521"/>
      <c r="T263" s="2521"/>
      <c r="U263" s="2521"/>
      <c r="V263" s="2521"/>
    </row>
    <row r="264" spans="1:22" s="2447" customFormat="1" ht="15.75" customHeight="1" x14ac:dyDescent="0.25">
      <c r="A264" s="2634"/>
      <c r="B264" s="2473"/>
      <c r="C264" s="2432"/>
      <c r="D264" s="2432"/>
      <c r="E264" s="2432"/>
      <c r="F264" s="2433"/>
      <c r="G264" s="2434"/>
      <c r="H264" s="2434"/>
      <c r="I264" s="2434"/>
      <c r="J264" s="2434"/>
      <c r="K264" s="2434"/>
      <c r="Q264" s="2519" t="s">
        <v>1964</v>
      </c>
      <c r="R264" s="2520"/>
      <c r="S264" s="2521"/>
      <c r="T264" s="2521"/>
      <c r="U264" s="2521"/>
      <c r="V264" s="2521"/>
    </row>
    <row r="265" spans="1:22" s="2447" customFormat="1" ht="15" customHeight="1" x14ac:dyDescent="0.2">
      <c r="A265" s="2634"/>
      <c r="B265" s="2473"/>
      <c r="C265" s="2432"/>
      <c r="D265" s="2432"/>
      <c r="E265" s="2432"/>
      <c r="F265" s="2433"/>
      <c r="G265" s="2434"/>
      <c r="H265" s="2434"/>
      <c r="I265" s="2434"/>
      <c r="J265" s="2434"/>
      <c r="K265" s="2434"/>
      <c r="Q265" s="2464" t="s">
        <v>1521</v>
      </c>
      <c r="R265" s="2522">
        <f>C266+C260+C255+C250+C245+C239+C234+C223+C218+C213+C208+C203+C198+C189+C184+C178+C169+C164+C159+C153+C147+C143+C193</f>
        <v>58094</v>
      </c>
      <c r="S265" s="2522">
        <f>D266+D260+D255+D250+D245+D239+D234+D223+D218+D213+D208+D203+D198+D189+D184+D178+D169+D164+D159+D153+D147+D143+D193</f>
        <v>445010</v>
      </c>
      <c r="T265" s="2522">
        <f>E266+E260+E255+E250+E245+E239+E234+E223+E218+E213+E208+E203+E198+E189+E184+E178+E169+E164+E159+E153+E147+E143+E193</f>
        <v>315973</v>
      </c>
      <c r="U265" s="2521"/>
      <c r="V265" s="2521"/>
    </row>
    <row r="266" spans="1:22" s="2447" customFormat="1" x14ac:dyDescent="0.2">
      <c r="A266" s="2430" t="s">
        <v>673</v>
      </c>
      <c r="B266" s="2473"/>
      <c r="C266" s="2432">
        <f>'75'!E1225</f>
        <v>0</v>
      </c>
      <c r="D266" s="2432">
        <f>'75'!F1225</f>
        <v>25854</v>
      </c>
      <c r="E266" s="2432">
        <f>'75'!G1225</f>
        <v>15990</v>
      </c>
      <c r="F266" s="2433">
        <f>E266/D266*100</f>
        <v>61.847296356463218</v>
      </c>
      <c r="G266" s="2381">
        <v>0</v>
      </c>
      <c r="H266" s="2382">
        <v>25854322</v>
      </c>
      <c r="I266" s="2382">
        <v>15990247.859999999</v>
      </c>
      <c r="J266" s="2434"/>
      <c r="K266" s="2434"/>
      <c r="Q266" s="2409" t="s">
        <v>1522</v>
      </c>
      <c r="R266" s="2523">
        <f t="shared" ref="R266:T267" si="14">C267+C261+C256+C251+C246+C240+C235+C224+C219+C214+C209+C204+C199+C194+C190+C185+C179+C170+C165+C160+C154+C148+C144</f>
        <v>400</v>
      </c>
      <c r="S266" s="2523">
        <f t="shared" si="14"/>
        <v>468013</v>
      </c>
      <c r="T266" s="2523">
        <f t="shared" si="14"/>
        <v>432729</v>
      </c>
      <c r="U266" s="2412"/>
      <c r="V266" s="2412"/>
    </row>
    <row r="267" spans="1:22" s="2447" customFormat="1" ht="15" x14ac:dyDescent="0.25">
      <c r="A267" s="2430" t="s">
        <v>674</v>
      </c>
      <c r="B267" s="2473"/>
      <c r="C267" s="2432">
        <f>'75'!E1226</f>
        <v>0</v>
      </c>
      <c r="D267" s="2432">
        <f>'75'!F1226</f>
        <v>8045</v>
      </c>
      <c r="E267" s="2432">
        <f>'75'!G1226</f>
        <v>632</v>
      </c>
      <c r="F267" s="2433">
        <f>E267/D267*100</f>
        <v>7.8558110627719087</v>
      </c>
      <c r="G267" s="2381">
        <v>0</v>
      </c>
      <c r="H267" s="2382">
        <v>8045210</v>
      </c>
      <c r="I267" s="2382">
        <v>632079.69999999995</v>
      </c>
      <c r="J267" s="2434"/>
      <c r="K267" s="2434"/>
      <c r="Q267" s="2464" t="s">
        <v>944</v>
      </c>
      <c r="R267" s="2522">
        <f t="shared" si="14"/>
        <v>0</v>
      </c>
      <c r="S267" s="2522">
        <f t="shared" si="14"/>
        <v>0</v>
      </c>
      <c r="T267" s="2522">
        <f t="shared" si="14"/>
        <v>496903</v>
      </c>
      <c r="U267" s="2249"/>
      <c r="V267" s="2540"/>
    </row>
    <row r="268" spans="1:22" s="2447" customFormat="1" x14ac:dyDescent="0.2">
      <c r="A268" s="2437" t="s">
        <v>1238</v>
      </c>
      <c r="B268" s="2500"/>
      <c r="C268" s="2432">
        <f>'75'!E1227</f>
        <v>0</v>
      </c>
      <c r="D268" s="2432">
        <f>'75'!F1227</f>
        <v>0</v>
      </c>
      <c r="E268" s="2432">
        <f>'75'!G1227</f>
        <v>33900</v>
      </c>
      <c r="F268" s="2440">
        <v>0</v>
      </c>
      <c r="G268" s="2379">
        <v>0</v>
      </c>
      <c r="H268" s="2380">
        <v>0</v>
      </c>
      <c r="I268" s="2380">
        <v>33899532</v>
      </c>
      <c r="J268" s="2434"/>
      <c r="K268" s="2434"/>
      <c r="Q268" s="2464" t="s">
        <v>943</v>
      </c>
      <c r="R268" s="2578">
        <f>R265+R266+R267</f>
        <v>58494</v>
      </c>
      <c r="S268" s="2578">
        <f>S265+S266+S267</f>
        <v>913023</v>
      </c>
      <c r="T268" s="2578">
        <f>T265+T266+T267</f>
        <v>1245605</v>
      </c>
      <c r="U268" s="2521"/>
      <c r="V268" s="2521"/>
    </row>
    <row r="269" spans="1:22" s="2447" customFormat="1" ht="45" x14ac:dyDescent="0.25">
      <c r="A269" s="2457" t="s">
        <v>1986</v>
      </c>
      <c r="B269" s="2483">
        <v>99</v>
      </c>
      <c r="C269" s="2445">
        <f>C270+C271</f>
        <v>40000</v>
      </c>
      <c r="D269" s="2445">
        <f>SUM(D270:D271)</f>
        <v>86121</v>
      </c>
      <c r="E269" s="2445">
        <f>SUM(E270:E271)</f>
        <v>77715</v>
      </c>
      <c r="F269" s="2433">
        <f>E269/D269*100</f>
        <v>90.239314452920894</v>
      </c>
      <c r="G269" s="2429">
        <v>40000000</v>
      </c>
      <c r="H269" s="2429">
        <f>SUM(H270:H271)</f>
        <v>86121217.159999996</v>
      </c>
      <c r="I269" s="2429">
        <f>SUM(I270:I271)</f>
        <v>77714505.5</v>
      </c>
      <c r="J269" s="2429"/>
      <c r="K269" s="2429">
        <f>K51+K110+K131+G270+G273+K241</f>
        <v>3249316000</v>
      </c>
      <c r="L269" s="2429">
        <f>L51+L110+L131+H270+H273+L241</f>
        <v>4109450891.4000001</v>
      </c>
      <c r="M269" s="2429">
        <f>M51+M110+M131+I270+I273+M241</f>
        <v>3471363443.2100005</v>
      </c>
      <c r="N269" s="2459" t="s">
        <v>680</v>
      </c>
      <c r="Q269" s="2409"/>
      <c r="R269" s="2521"/>
      <c r="S269" s="2521"/>
      <c r="T269" s="2521"/>
      <c r="U269" s="2521"/>
      <c r="V269" s="2521"/>
    </row>
    <row r="270" spans="1:22" s="2447" customFormat="1" ht="18" x14ac:dyDescent="0.25">
      <c r="A270" s="2430" t="s">
        <v>673</v>
      </c>
      <c r="B270" s="2473"/>
      <c r="C270" s="2432">
        <f>SUM('F - 99'!E21)</f>
        <v>20000</v>
      </c>
      <c r="D270" s="2432">
        <f>SUM('F - 99'!F21)</f>
        <v>30000</v>
      </c>
      <c r="E270" s="2432">
        <f>SUM('F - 99'!G21)</f>
        <v>28836</v>
      </c>
      <c r="F270" s="2433">
        <f>E270/D270*100</f>
        <v>96.12</v>
      </c>
      <c r="G270" s="2434">
        <v>20000000</v>
      </c>
      <c r="H270" s="2434">
        <v>30000000</v>
      </c>
      <c r="I270" s="2434">
        <v>28835581.5</v>
      </c>
      <c r="J270" s="2434"/>
      <c r="K270" s="2429">
        <f>K52+K111+K132+K242+G271+G274</f>
        <v>568812000</v>
      </c>
      <c r="L270" s="2429">
        <f>L52+L111+L132+L242+H271+H274</f>
        <v>1075746010.5</v>
      </c>
      <c r="M270" s="2429">
        <f>M52+M111+M132+M242+I271+I274</f>
        <v>978185193.80999994</v>
      </c>
      <c r="N270" s="2459" t="s">
        <v>1712</v>
      </c>
      <c r="Q270" s="2409"/>
      <c r="R270" s="2579"/>
      <c r="S270" s="2521"/>
      <c r="T270" s="2521"/>
      <c r="U270" s="2521"/>
      <c r="V270" s="2521"/>
    </row>
    <row r="271" spans="1:22" s="2447" customFormat="1" x14ac:dyDescent="0.2">
      <c r="A271" s="2437" t="s">
        <v>674</v>
      </c>
      <c r="B271" s="2500"/>
      <c r="C271" s="2439">
        <f>SUM('F - 99'!E22)</f>
        <v>20000</v>
      </c>
      <c r="D271" s="2439">
        <f>SUM('F - 99'!F22)</f>
        <v>56121</v>
      </c>
      <c r="E271" s="2439">
        <f>SUM('F - 99'!G22)</f>
        <v>48879</v>
      </c>
      <c r="F271" s="2440">
        <f>E271/D271*100</f>
        <v>87.095739562730529</v>
      </c>
      <c r="G271" s="2441">
        <v>20000000</v>
      </c>
      <c r="H271" s="2442">
        <v>56121217.159999996</v>
      </c>
      <c r="I271" s="2442">
        <v>48878924</v>
      </c>
      <c r="J271" s="2434"/>
      <c r="K271" s="2429">
        <f>K133+K112+K53</f>
        <v>600000</v>
      </c>
      <c r="L271" s="2429">
        <f t="shared" ref="K271:M272" si="15">L133+L112+L53</f>
        <v>5454338317.21</v>
      </c>
      <c r="M271" s="2429">
        <f t="shared" si="15"/>
        <v>5450141012.1199999</v>
      </c>
      <c r="N271" s="2459" t="s">
        <v>716</v>
      </c>
      <c r="R271" s="2414"/>
      <c r="S271" s="2414"/>
      <c r="T271" s="2414"/>
      <c r="U271" s="2409"/>
    </row>
    <row r="272" spans="1:22" s="2447" customFormat="1" ht="15" x14ac:dyDescent="0.25">
      <c r="A272" s="2524" t="s">
        <v>144</v>
      </c>
      <c r="B272" s="2473">
        <v>199</v>
      </c>
      <c r="C272" s="2456">
        <f>SUM(C273:C274)</f>
        <v>5300</v>
      </c>
      <c r="D272" s="2456">
        <f>SUM(D273:D274)</f>
        <v>6522</v>
      </c>
      <c r="E272" s="2456">
        <f>SUM(E273:E274)</f>
        <v>5679</v>
      </c>
      <c r="F272" s="2433">
        <f>E272/D272*100</f>
        <v>87.074517019319231</v>
      </c>
      <c r="G272" s="2429">
        <f>G273</f>
        <v>5300000</v>
      </c>
      <c r="H272" s="2429">
        <f>H273</f>
        <v>6521556.6699999999</v>
      </c>
      <c r="I272" s="2429">
        <f>I273</f>
        <v>5679410.8700000001</v>
      </c>
      <c r="J272" s="2429"/>
      <c r="K272" s="2429">
        <f t="shared" si="15"/>
        <v>0</v>
      </c>
      <c r="L272" s="2429">
        <f t="shared" si="15"/>
        <v>2562471.88</v>
      </c>
      <c r="M272" s="2429">
        <f t="shared" si="15"/>
        <v>2562263.88</v>
      </c>
      <c r="N272" s="2459" t="s">
        <v>1494</v>
      </c>
      <c r="Q272" s="2409" t="s">
        <v>1521</v>
      </c>
      <c r="R272" s="2414">
        <f>C273+C270+C266+C260+C255+C250+C245+C239+C234</f>
        <v>41315</v>
      </c>
      <c r="S272" s="2414">
        <f t="shared" ref="R272:T273" si="16">D273+D270+D266+D260+D255+D250+D245+D239+D234</f>
        <v>113109</v>
      </c>
      <c r="T272" s="2414">
        <f t="shared" si="16"/>
        <v>85181</v>
      </c>
      <c r="U272" s="2409"/>
    </row>
    <row r="273" spans="1:21" s="2447" customFormat="1" x14ac:dyDescent="0.2">
      <c r="A273" s="2430" t="s">
        <v>673</v>
      </c>
      <c r="B273" s="2473"/>
      <c r="C273" s="2432">
        <f>SUM('F -199 '!E25)</f>
        <v>5300</v>
      </c>
      <c r="D273" s="2432">
        <f>SUM('F -199 '!F25)</f>
        <v>6522</v>
      </c>
      <c r="E273" s="2432">
        <f>SUM('F -199 '!G25)</f>
        <v>5679</v>
      </c>
      <c r="F273" s="2433">
        <f>E273/D273*100</f>
        <v>87.074517019319231</v>
      </c>
      <c r="G273" s="2434">
        <v>5300000</v>
      </c>
      <c r="H273" s="2434">
        <v>6521556.6699999999</v>
      </c>
      <c r="I273" s="2434">
        <v>5679410.8700000001</v>
      </c>
      <c r="J273" s="2434"/>
      <c r="K273" s="2514">
        <f>K243+K135+K114+G12+G23</f>
        <v>5294000</v>
      </c>
      <c r="L273" s="2514">
        <f>L243+L135+L114+H12+H23</f>
        <v>5294000</v>
      </c>
      <c r="M273" s="2514">
        <f>M243+M135+M114+I12+I23</f>
        <v>501935477.71999997</v>
      </c>
      <c r="N273" s="2459" t="s">
        <v>944</v>
      </c>
      <c r="Q273" s="2409" t="s">
        <v>1522</v>
      </c>
      <c r="R273" s="2414">
        <f t="shared" si="16"/>
        <v>20000</v>
      </c>
      <c r="S273" s="2414">
        <f t="shared" si="16"/>
        <v>64666</v>
      </c>
      <c r="T273" s="2414">
        <f t="shared" si="16"/>
        <v>49624</v>
      </c>
      <c r="U273" s="2409"/>
    </row>
    <row r="274" spans="1:21" s="2447" customFormat="1" ht="15" thickBot="1" x14ac:dyDescent="0.25">
      <c r="A274" s="2437" t="s">
        <v>674</v>
      </c>
      <c r="B274" s="2500"/>
      <c r="C274" s="2439">
        <f>SUM('F -199 '!E26)</f>
        <v>0</v>
      </c>
      <c r="D274" s="2439">
        <f>SUM('F -199 '!F26)</f>
        <v>0</v>
      </c>
      <c r="E274" s="2439">
        <f>SUM('F -199 '!G26)</f>
        <v>0</v>
      </c>
      <c r="F274" s="2440">
        <v>0</v>
      </c>
      <c r="G274" s="2441">
        <v>0</v>
      </c>
      <c r="H274" s="2442">
        <v>0</v>
      </c>
      <c r="I274" s="2442">
        <v>0</v>
      </c>
      <c r="J274" s="2434"/>
      <c r="K274" s="2525">
        <f>SUM(K269:K273)</f>
        <v>3824022000</v>
      </c>
      <c r="L274" s="2525">
        <f>SUM(L269:L273)</f>
        <v>10647391690.99</v>
      </c>
      <c r="M274" s="2525">
        <f>SUM(M269:M273)</f>
        <v>10404187390.739998</v>
      </c>
      <c r="N274" s="2466" t="s">
        <v>802</v>
      </c>
      <c r="Q274" s="2409" t="s">
        <v>944</v>
      </c>
      <c r="R274" s="2414">
        <f>C268+C262+C257+C252+C247+C241+C236</f>
        <v>0</v>
      </c>
      <c r="S274" s="2414">
        <f>D268+D262+D257+D252+D247+D241+D236</f>
        <v>0</v>
      </c>
      <c r="T274" s="2414">
        <f>E268+E262+E257+E252+E247+E241+E236</f>
        <v>59315</v>
      </c>
      <c r="U274" s="2409"/>
    </row>
    <row r="275" spans="1:21" ht="26.25" customHeight="1" thickTop="1" thickBot="1" x14ac:dyDescent="0.3">
      <c r="A275" s="2644" t="s">
        <v>1240</v>
      </c>
      <c r="B275" s="2645"/>
      <c r="C275" s="2526">
        <f>C7+C13+C18+C24+C29+C34+C39+C45+C50+C60+C82+C93+C104+C118+C129+C130+C131+C136+C141+C146+C156+C163+C168+C177+C183+C188+C192+C197+C202+C207+C212+C217+C222+C233+C238+C244+C248+C253+C258+C269+C272+C263+C150</f>
        <v>3824022</v>
      </c>
      <c r="D275" s="2526">
        <f>D7+D13+D18+D24+D29+D34+D39+D45+D50+D60+D82+D93+D104+D118+D129+D130+D131+D136+D141+D146+D156+D163+D168+D177+D183+D188+D192+D197+D202+D207+D212+D217+D222+D233+D238+D244+D248+D253+D258+D269+D272+D263+D150</f>
        <v>10647392</v>
      </c>
      <c r="E275" s="2526">
        <f>E7+E13+E18+E24+E29+E34+E39+E45+E50+E60+E82+E93+E104+E118+E129+E130+E131+E136+E141+E146+E156+E163+E168+E177+E183+E188+E192+E197+E202+E207+E212+E217+E222+E233+E238+E244+E248+E253+E258+E269+E272+E263+E150</f>
        <v>10404187</v>
      </c>
      <c r="F275" s="2527">
        <f>E275/D275*100</f>
        <v>97.715825621898773</v>
      </c>
      <c r="G275" s="2528">
        <f>SUM(G7,G13,G18,G24,G29,G34,G39,G45,G50,G60,G82,G93,G104,G118,G129,G130,G131,G136,G141,G146,G150,G156,G163,G168,G177,G183,G188,G192,G197,G202,G207,G212,G217,G222,G233,G238,G244,G248,G253,G258,G263,G269,G272)</f>
        <v>3824022000</v>
      </c>
      <c r="H275" s="2528">
        <f>SUM(H7,H13,H18,H24,H29,H34,H39,H45,H50,H60,H82,H93,H104,H118,H129,H130,H131,H136,H141,H146,H150,H156,H163,H168,H177,H183,H188,H192,H197,H202,H207,H212,H217,H222,H233,H238,H244,H248,H253,H258,H263,H269,H272)</f>
        <v>10647391690.989998</v>
      </c>
      <c r="I275" s="2528">
        <f>SUM(I7,I13,I18,I24,I29,I34,I39,I45,I50,I60,I82,I93,I104,I118,I129,I130,I131,I136,I141,I146,I150,I156,I163,I168,I177,I183,I188,I192,I197,I202,I207,I212,I217,I222,I233,I238,I244,I248,I253,I258,I263,I269,I272)</f>
        <v>10404187390.74</v>
      </c>
      <c r="J275" s="2580"/>
      <c r="K275" s="2429">
        <f>SUM(K270,K272)</f>
        <v>568812000</v>
      </c>
      <c r="L275" s="2429">
        <f>SUM(L270,L272)</f>
        <v>1078308482.3800001</v>
      </c>
      <c r="M275" s="2429">
        <f>SUM(M270,M272)</f>
        <v>980747457.68999994</v>
      </c>
      <c r="N275" s="2459" t="s">
        <v>1500</v>
      </c>
      <c r="Q275" s="2447" t="s">
        <v>714</v>
      </c>
      <c r="R275" s="2414">
        <f>R272+R273+R274</f>
        <v>61315</v>
      </c>
      <c r="S275" s="2414">
        <f>S272+S273+S274</f>
        <v>177775</v>
      </c>
      <c r="T275" s="2414">
        <f>T272+T273+T274</f>
        <v>194120</v>
      </c>
    </row>
    <row r="276" spans="1:21" ht="20.25" customHeight="1" thickTop="1" x14ac:dyDescent="0.2">
      <c r="A276" s="2529" t="s">
        <v>1397</v>
      </c>
      <c r="C276" s="2412">
        <f>SUM(C12,C23)</f>
        <v>5294</v>
      </c>
      <c r="D276" s="2412">
        <f>D12+D23+D44+D145+D149+D161+D171+D215+D166+D180+D186+D191+D195+D200+D205+D210+D220+D225+D236+D241+D247+D252+D257+D262+D268+D155</f>
        <v>5294</v>
      </c>
      <c r="E276" s="2412">
        <f>E12+E23+E44+E145+E149+E161+E171+E215+E166+E180+E186+E191+E195+E200+E205+E210+E220+E225+E236+E241+E247+E252+E257+E262+E268+E155++E66</f>
        <v>501935</v>
      </c>
      <c r="F276" s="2518">
        <f>E276/D276*100</f>
        <v>9481.2051378919532</v>
      </c>
      <c r="G276" s="2478">
        <f>K276</f>
        <v>5294000</v>
      </c>
      <c r="H276" s="2478">
        <f>L276</f>
        <v>5294000</v>
      </c>
      <c r="I276" s="2478">
        <f>M276</f>
        <v>501935477.71999997</v>
      </c>
      <c r="J276" s="2478"/>
      <c r="K276" s="2429">
        <f>SUM(K273)</f>
        <v>5294000</v>
      </c>
      <c r="L276" s="2429">
        <f>SUM(L273)</f>
        <v>5294000</v>
      </c>
      <c r="M276" s="2429">
        <f>SUM(M273)</f>
        <v>501935477.71999997</v>
      </c>
      <c r="N276" s="2459" t="s">
        <v>944</v>
      </c>
      <c r="R276" s="2414"/>
      <c r="S276" s="2414"/>
      <c r="T276" s="2414"/>
    </row>
    <row r="277" spans="1:21" ht="48" thickBot="1" x14ac:dyDescent="0.3">
      <c r="A277" s="2530" t="s">
        <v>1250</v>
      </c>
      <c r="B277" s="2531"/>
      <c r="C277" s="2532">
        <f>C275-C276</f>
        <v>3818728</v>
      </c>
      <c r="D277" s="2532">
        <f>D275-D276</f>
        <v>10642098</v>
      </c>
      <c r="E277" s="2533">
        <f>E275-E276</f>
        <v>9902252</v>
      </c>
      <c r="F277" s="2534">
        <f>E277/D277*100</f>
        <v>93.047930962485026</v>
      </c>
      <c r="G277" s="2535">
        <f>G275-G276</f>
        <v>3818728000</v>
      </c>
      <c r="H277" s="2535">
        <f>H275-H276</f>
        <v>10642097690.989998</v>
      </c>
      <c r="I277" s="2535">
        <f>I275-I276</f>
        <v>9902251913.0200005</v>
      </c>
      <c r="J277" s="2580"/>
      <c r="K277" s="2429">
        <f>K274</f>
        <v>3824022000</v>
      </c>
      <c r="L277" s="2429">
        <f>L274</f>
        <v>10647391690.99</v>
      </c>
      <c r="M277" s="2429">
        <f>M274</f>
        <v>10404187390.739998</v>
      </c>
      <c r="N277" s="2459" t="s">
        <v>802</v>
      </c>
    </row>
    <row r="278" spans="1:21" ht="12" customHeight="1" thickTop="1" thickBot="1" x14ac:dyDescent="0.3">
      <c r="A278" s="2583" t="s">
        <v>1398</v>
      </c>
      <c r="B278" s="2519"/>
      <c r="C278" s="2578"/>
      <c r="D278" s="2578"/>
      <c r="E278" s="2578"/>
      <c r="F278" s="2584"/>
      <c r="G278" s="2581"/>
      <c r="H278" s="2581"/>
      <c r="I278" s="2581"/>
      <c r="J278" s="2581"/>
      <c r="K278" s="2525" t="e">
        <f>SUM(#REF!)</f>
        <v>#REF!</v>
      </c>
      <c r="L278" s="2525" t="e">
        <f>SUM(#REF!)</f>
        <v>#REF!</v>
      </c>
      <c r="M278" s="2525" t="e">
        <f>SUM(#REF!)</f>
        <v>#REF!</v>
      </c>
    </row>
    <row r="279" spans="1:21" ht="9.75" customHeight="1" thickTop="1" x14ac:dyDescent="0.2">
      <c r="A279" s="2635" t="s">
        <v>1399</v>
      </c>
      <c r="B279" s="2636"/>
      <c r="C279" s="2636"/>
      <c r="D279" s="2636"/>
      <c r="E279" s="2636"/>
      <c r="F279" s="2636"/>
      <c r="G279" s="2582"/>
      <c r="H279" s="2582"/>
      <c r="I279" s="2582"/>
      <c r="J279" s="2582"/>
      <c r="K279" s="2582"/>
    </row>
    <row r="280" spans="1:21" x14ac:dyDescent="0.2">
      <c r="A280" s="2636"/>
      <c r="B280" s="2636"/>
      <c r="C280" s="2636"/>
      <c r="D280" s="2636"/>
      <c r="E280" s="2636"/>
      <c r="F280" s="2636"/>
      <c r="G280" s="2434"/>
      <c r="H280" s="2434"/>
      <c r="I280" s="2434"/>
      <c r="J280" s="2434"/>
      <c r="K280" s="2434"/>
    </row>
    <row r="282" spans="1:21" ht="15" x14ac:dyDescent="0.25">
      <c r="G282" s="2536"/>
      <c r="H282" s="2536"/>
      <c r="I282" s="2536"/>
    </row>
    <row r="283" spans="1:21" ht="15" x14ac:dyDescent="0.25">
      <c r="D283" s="2517"/>
      <c r="E283" s="2517"/>
      <c r="F283" s="2517"/>
      <c r="G283" s="2536"/>
      <c r="H283" s="2536"/>
      <c r="I283" s="2536"/>
    </row>
    <row r="284" spans="1:21" s="2410" customFormat="1" ht="15" x14ac:dyDescent="0.25">
      <c r="A284" s="2541" t="s">
        <v>1517</v>
      </c>
      <c r="B284" s="2542"/>
      <c r="C284" s="2538">
        <f>SUM(C7,C13,C18,C24,C29,C34,C39,C45,C50,C61,C72,C77,C83,C94,C105,C119,C129,C130,C131,C136)</f>
        <v>2170698</v>
      </c>
      <c r="D284" s="2538">
        <f>SUM(D7,D13,D18,D24,D29,D34,D39,D45,D50,D61,D72,D77,D83,D94,D105,D119,D129,D130,D131,D136)</f>
        <v>6019324</v>
      </c>
      <c r="E284" s="2538">
        <f>SUM(E7,E13,E18,E24,E29,E34,E39,E45,E50,E61,E72,E77,E83,E94,E105,E119,E129,E130,E131,E136)</f>
        <v>5453670</v>
      </c>
      <c r="F284" s="2538"/>
      <c r="G284" s="2536">
        <f>SUM(G7,G13,G18,G24,G29,G34,G39,G45,G50,G61,G72,G136,G77,G83,G94,G105,G119,G129,G130,G131)</f>
        <v>2170698000</v>
      </c>
      <c r="H284" s="2536">
        <f>SUM(H7,H13,H18,H24,H29,H34,H39,H45,H50,H61,H72,H136,H77,H83,H94,H105,H119,H129,H130,H131)</f>
        <v>6019324339.499999</v>
      </c>
      <c r="I284" s="2536">
        <f>SUM(I7,I13,I18,I24,I29,I34,I39,I45,I50,I61,I72,I136,I77,I83,I94,I105,I119,I129,I130,I131)</f>
        <v>5453670049.9899998</v>
      </c>
      <c r="J284" s="2536"/>
      <c r="K284" s="2536"/>
    </row>
    <row r="285" spans="1:21" s="2410" customFormat="1" ht="15" x14ac:dyDescent="0.25">
      <c r="A285" s="2543" t="s">
        <v>660</v>
      </c>
      <c r="B285" s="2542"/>
      <c r="C285" s="2538">
        <f>SUM(C67,C88,C99,C110,C124)</f>
        <v>1549530</v>
      </c>
      <c r="D285" s="2538">
        <f>SUM(D67,D88,D99,D110,D124)</f>
        <v>3622402</v>
      </c>
      <c r="E285" s="2538">
        <f>SUM(E67,E88,E99,E110,E124)</f>
        <v>3621518</v>
      </c>
      <c r="F285" s="2538"/>
      <c r="G285" s="2536">
        <f>SUM(G67,G88,G99,G110,G124)</f>
        <v>1549530000</v>
      </c>
      <c r="H285" s="2536">
        <f>SUM(H67,H88,H99,H110,H124)</f>
        <v>3622402089.5199995</v>
      </c>
      <c r="I285" s="2536">
        <f>SUM(I67,I88,I99,I110,I124)</f>
        <v>3621518024.5199995</v>
      </c>
      <c r="J285" s="2536"/>
      <c r="K285" s="2536"/>
    </row>
    <row r="286" spans="1:21" s="2410" customFormat="1" ht="15" x14ac:dyDescent="0.25">
      <c r="A286" s="2543" t="s">
        <v>1359</v>
      </c>
      <c r="B286" s="2542"/>
      <c r="C286" s="2538">
        <f>SUM(C244,C238,C233,C222,C217,C212,C207,C202,C197,C192,C188,C183,C177,C168,C163,C156,C146,C141+C248+C253+C258,C263,C150)</f>
        <v>58494</v>
      </c>
      <c r="D286" s="2538">
        <f>SUM(D244,D238,D233,D222,D217,D212,D207,D202,D197,D192,D188,D183,D177,D168,D163,D156,D146,D141+D248+D253+D258,D263,D150)</f>
        <v>913023</v>
      </c>
      <c r="E286" s="2538">
        <f>SUM(E244,E238,E233,E222,E217,E212,E207,E202,E197,E192,E188,E183,E177,E168,E163,E156,E146,E141+E248+E253+E258,E263,E150)</f>
        <v>1245605</v>
      </c>
      <c r="F286" s="2538"/>
      <c r="G286" s="2536">
        <f>SUM(G244,G238,G233,G222,G217,G212,G207,G202,G197,G192,G188,G183,G177,G168,G163,G156,G146,G141,G150,G248,G253,G258,G263)</f>
        <v>58494000</v>
      </c>
      <c r="H286" s="2536">
        <f>SUM(H244,H238,H233,H222,H217,H212,H207,H202,H197,H192,H188,H183,H177,H168,H163,H156,H146,H141,H150,H248,H253,H258,H263)</f>
        <v>913022488.13999987</v>
      </c>
      <c r="I286" s="2536">
        <f>SUM(I244,I238,I233,I222,I217,I212,I207,I202,I197,I192,I188,I183,I177,I168,I163,I156,I146,I141,I150,I248,I253,I258,I263)</f>
        <v>1245605399.8599997</v>
      </c>
      <c r="J286" s="2538"/>
      <c r="K286" s="2536"/>
    </row>
    <row r="287" spans="1:21" s="2410" customFormat="1" ht="15" x14ac:dyDescent="0.25">
      <c r="A287" s="2543" t="s">
        <v>144</v>
      </c>
      <c r="B287" s="2542"/>
      <c r="C287" s="2538">
        <f>SUM(C272)</f>
        <v>5300</v>
      </c>
      <c r="D287" s="2538">
        <f>SUM(D272)</f>
        <v>6522</v>
      </c>
      <c r="E287" s="2538">
        <f>SUM(E272)</f>
        <v>5679</v>
      </c>
      <c r="F287" s="2538"/>
      <c r="G287" s="2536">
        <f>SUM(G272)</f>
        <v>5300000</v>
      </c>
      <c r="H287" s="2536">
        <f>SUM(H272)</f>
        <v>6521556.6699999999</v>
      </c>
      <c r="I287" s="2536">
        <f>SUM(I272)</f>
        <v>5679410.8700000001</v>
      </c>
      <c r="J287" s="2536"/>
      <c r="K287" s="2536"/>
    </row>
    <row r="288" spans="1:21" s="2410" customFormat="1" ht="15" x14ac:dyDescent="0.25">
      <c r="A288" s="2541" t="s">
        <v>1518</v>
      </c>
      <c r="B288" s="2542"/>
      <c r="C288" s="2538">
        <f>SUM(C269)</f>
        <v>40000</v>
      </c>
      <c r="D288" s="2538">
        <f>SUM(D269)</f>
        <v>86121</v>
      </c>
      <c r="E288" s="2538">
        <f>SUM(E269)</f>
        <v>77715</v>
      </c>
      <c r="F288" s="2538"/>
      <c r="G288" s="2536">
        <f>SUM(G269)</f>
        <v>40000000</v>
      </c>
      <c r="H288" s="2536">
        <f>SUM(H269)</f>
        <v>86121217.159999996</v>
      </c>
      <c r="I288" s="2536">
        <f>SUM(I269)</f>
        <v>77714505.5</v>
      </c>
      <c r="J288" s="2536"/>
      <c r="K288" s="2536"/>
    </row>
    <row r="289" spans="1:11" s="2410" customFormat="1" ht="15.75" thickBot="1" x14ac:dyDescent="0.3">
      <c r="A289" s="2544" t="s">
        <v>943</v>
      </c>
      <c r="B289" s="2545"/>
      <c r="C289" s="2546">
        <f>SUM(C284:C288)</f>
        <v>3824022</v>
      </c>
      <c r="D289" s="2546">
        <f t="shared" ref="D289:I289" si="17">SUM(D284:D288)</f>
        <v>10647392</v>
      </c>
      <c r="E289" s="2546">
        <f t="shared" si="17"/>
        <v>10404187</v>
      </c>
      <c r="F289" s="2546"/>
      <c r="G289" s="2535">
        <f t="shared" si="17"/>
        <v>3824022000</v>
      </c>
      <c r="H289" s="2535">
        <f t="shared" si="17"/>
        <v>10647391690.989998</v>
      </c>
      <c r="I289" s="2535">
        <f t="shared" si="17"/>
        <v>10404187390.74</v>
      </c>
      <c r="J289" s="2536"/>
      <c r="K289" s="2536"/>
    </row>
    <row r="290" spans="1:11" s="2447" customFormat="1" ht="15.75" thickTop="1" x14ac:dyDescent="0.25">
      <c r="A290" s="2410" t="s">
        <v>944</v>
      </c>
      <c r="B290" s="2547"/>
      <c r="C290" s="2538">
        <f>C12+C23+C44+C145+C149+C161+C166+C171+C180+C186+C191+C195+C200+C205+C210+C215+C220+C225+C236+C241+C247+C252+C257+C262+C268+C155</f>
        <v>5294</v>
      </c>
      <c r="D290" s="2538">
        <f>D12+D23+D44+D145+D149+D161+D166+D171+D180+D186+D191+D195+D200+D205+D210+D215+D220+D225+D236+D241+D247+D252+D257+D262+D268+D155</f>
        <v>5294</v>
      </c>
      <c r="E290" s="2538">
        <f>E12+E23+E44+E145+E149+E161+E166+E171+E180+E186+E191+E195+E200+E205+E210+E215+E220+E225+E236+E241+E247+E252+E257+E262+E268+E155+E66</f>
        <v>501935</v>
      </c>
      <c r="F290" s="2538"/>
      <c r="G290" s="2536">
        <f>SUM(G145,G161,G166,G171,G195,G200,G205,G215,G12,G23,G149,G155,G180,G186,G191,G210,G220,G225,G236,G241,G247,G252,G257,G262,G268)</f>
        <v>5294000</v>
      </c>
      <c r="H290" s="2536">
        <f>SUM(H145,H161,H166,H171,H195,H200,H205,H215,H12,H23,H149,H155,H180,H186,H191,H210,H220,H225,H236,H241,H247,H252,H257,H262,H268)</f>
        <v>5294000</v>
      </c>
      <c r="I290" s="2536">
        <f>SUM(I145,I161,I166,I171,I195,I200,I205,I215,I12,I23,I149,I155,I180,I186,I191,I210,I220,I225,I236,I241,I247,I252,I257,I262,I268,I66)</f>
        <v>501935477.71999997</v>
      </c>
      <c r="J290" s="2536"/>
      <c r="K290" s="2536"/>
    </row>
    <row r="291" spans="1:11" s="2447" customFormat="1" ht="15.75" thickBot="1" x14ac:dyDescent="0.3">
      <c r="A291" s="2544" t="s">
        <v>1520</v>
      </c>
      <c r="B291" s="2548"/>
      <c r="C291" s="2546">
        <f>C289-C290</f>
        <v>3818728</v>
      </c>
      <c r="D291" s="2546">
        <f t="shared" ref="D291:I291" si="18">D289-D290</f>
        <v>10642098</v>
      </c>
      <c r="E291" s="2546">
        <f t="shared" si="18"/>
        <v>9902252</v>
      </c>
      <c r="F291" s="2546"/>
      <c r="G291" s="2535">
        <f t="shared" si="18"/>
        <v>3818728000</v>
      </c>
      <c r="H291" s="2535">
        <f t="shared" si="18"/>
        <v>10642097690.989998</v>
      </c>
      <c r="I291" s="2535">
        <f t="shared" si="18"/>
        <v>9902251913.0200005</v>
      </c>
      <c r="J291" s="2536"/>
      <c r="K291" s="2536"/>
    </row>
    <row r="292" spans="1:11" s="2447" customFormat="1" ht="15.75" thickTop="1" x14ac:dyDescent="0.25">
      <c r="A292" s="2410"/>
      <c r="B292" s="2547"/>
      <c r="C292" s="2538"/>
      <c r="D292" s="2549"/>
      <c r="E292" s="2549"/>
      <c r="F292" s="2549"/>
      <c r="G292" s="2536"/>
      <c r="H292" s="2536"/>
      <c r="I292" s="2536"/>
      <c r="J292" s="2536"/>
      <c r="K292" s="2536"/>
    </row>
    <row r="293" spans="1:11" s="2410" customFormat="1" ht="15" x14ac:dyDescent="0.25">
      <c r="A293" s="2410" t="s">
        <v>925</v>
      </c>
      <c r="B293" s="2542"/>
      <c r="C293" s="2538">
        <f>R272+R222+R168+R110+R51+R136+R138+R274+R224+R170+R144+R112+R53</f>
        <v>3255210</v>
      </c>
      <c r="D293" s="2538">
        <f>S272+S222+S168+S110+S51+S136+S138+S274+S224+S170+S144+S112+S53</f>
        <v>9569084</v>
      </c>
      <c r="E293" s="2538">
        <f>T272+T222+T168+T110+T51+T136+T138+T274+T224+T170+T144+T112+T53</f>
        <v>9423439</v>
      </c>
      <c r="F293" s="2538"/>
      <c r="G293" s="2536">
        <f>SUM(G8,G10,G12,G14,G16,G19,G21,G23,G25,G27,G30,G32,G35,G37,G40,G42,G46,G48,G51,G53,G62,G64,G66,G68,G70,G73,G75,G78,G80,G84,G86,G89,G91,G95,G97,G100,G102,G106,G108,G111,G113,G120,G122,G125,G127,G129,G130,G132,G134,G137,G139,G143,G145,G147,G149,G153,G155,G159,G161,G164,G166,G169,G171,G178,G180,G184,G186,G189,G191,G193,G195,G198,G200,G203,G205,G208,G210,G213,G215,G218,G220,G223,G225,G234,G236,G239,G241,G245,G247,G250,G252,G255,G257,G260,G262,G266,G268,G270,G273)</f>
        <v>3255210000</v>
      </c>
      <c r="H293" s="2536">
        <f>SUM(H8,H10,H12,H14,H16,H19,H21,H23,H25,H27,H30,H32,H35,H37,H40,H42,H46,H48,H51,H53,H62,H64,H66,H68,H70,H73,H75,H78,H80,H84,H86,H89,H91,H95,H97,H100,H102,H106,H108,H111,H113,H120,H122,H125,H127,H129,H130,H132,H134,H137,H139,H143,H145,H147,H149,H153,H155,H159,H161,H164,H166,H169,H171,H178,H180,H184,H186,H189,H191,H193,H195,H198,H200,H203,H205,H208,H210,H213,H215,H218,H220,H223,H225,H234,H236,H239,H241,H245,H247,H250,H252,H255,H257,H260,H262,H266,H268,H270,H273)</f>
        <v>9569083208.6099968</v>
      </c>
      <c r="I293" s="2536">
        <f>SUM(I8,I10,I12,I14,I16,I19,I21,I23,I25,I27,I30,I32,I35,I37,I40,I42,I46,I48,I51,I53,I62,I64,I66,I68,I70,I73,I75,I78,I80,I84,I86,I89,I91,I95,I97,I100,I102,I106,I108,I111,I113,I120,I122,I125,I127,I129,I130,I132,I134,I137,I139,I143,I145,I147,I149,I153,I155,I159,I161,I164,I166,I169,I171,I178,I180,I184,I186,I189,I191,I193,I195,I198,I200,I203,I205,I208,I210,I213,I215,I218,I220,I223,I225,I234,I236,I239,I241,I245,I247,I250,I252,I255,I257,I260,I262,I266,I268,I270,I273)</f>
        <v>9423439933.0500011</v>
      </c>
      <c r="J293" s="2536"/>
      <c r="K293" s="2536"/>
    </row>
    <row r="294" spans="1:11" s="2410" customFormat="1" ht="15" x14ac:dyDescent="0.25">
      <c r="A294" s="2410" t="s">
        <v>1519</v>
      </c>
      <c r="B294" s="2542"/>
      <c r="C294" s="2538">
        <f>R273+R223+R169+R111+R52+R137+R139</f>
        <v>568812</v>
      </c>
      <c r="D294" s="2538">
        <f>S273+S223+S169+S111+S52+S137+S139</f>
        <v>1078308</v>
      </c>
      <c r="E294" s="2538">
        <f>T273+T223+T169+T111+T52+T137+T139</f>
        <v>980748</v>
      </c>
      <c r="F294" s="2538"/>
      <c r="G294" s="2536">
        <f>SUM(G9,G11,G15,G17,G20,G22,G26,G28,G31,G36,G38,G41,G43,G47,G49,G52,G54,G63,G65,G69,G71,G74,G76,G79,G81,G85,G87,G90,G92,G96,G98,G101,G103,G107,G109,G112,G114,G121,G123,G126,G128,G133,G135,G138,G140,G144,G148,G154,G160,G165,G170,G179,G185,G190,G194,G199,G204,G209,G214,G219,G224,G235,G240,G246,G251,G256,G261,G267,G271,G274)</f>
        <v>568812000</v>
      </c>
      <c r="H294" s="2536">
        <f>SUM(H9,H11,H15,H17,H20,H22,H26,H28,H31,H36,H38,H41,H43,H47,H49,H52,H54,H63,H65,H69,H71,H74,H76,H79,H81,H85,H87,H90,H92,H96,H98,H101,H103,H107,H109,H112,H114,H121,H123,H126,H128,H133,H135,H138,H140,H144,H148,H154,H160,H165,H170,H179,H185,H190,H194,H199,H204,H209,H214,H219,H224,H235,H240,H246,H251,H256,H261,H267,H271,H274)</f>
        <v>1078308482.3800001</v>
      </c>
      <c r="I294" s="2536">
        <f>SUM(I9,I11,I15,I17,I20,I22,I26,I28,I31,I36,I38,I41,I43,I47,I49,I52,I54,I63,I65,I69,I71,I74,I76,I79,I81,I85,I87,I90,I92,I96,I98,I101,I103,I107,I109,I112,I114,I121,I123,I126,I128,I133,I135,I138,I140,I144,I148,I154,I160,I165,I170,I179,I185,I190,I194,I199,I204,I209,I214,I219,I224,I235,I240,I246,I251,I256,I261,I267,I271,I274)</f>
        <v>980747457.69000018</v>
      </c>
      <c r="J294" s="2536"/>
      <c r="K294" s="2536"/>
    </row>
    <row r="295" spans="1:11" s="2410" customFormat="1" ht="15.75" thickBot="1" x14ac:dyDescent="0.3">
      <c r="A295" s="2544" t="s">
        <v>943</v>
      </c>
      <c r="B295" s="2545"/>
      <c r="C295" s="2546">
        <f>SUM(C293:C294)</f>
        <v>3824022</v>
      </c>
      <c r="D295" s="2546">
        <f t="shared" ref="D295:I295" si="19">SUM(D293:D294)</f>
        <v>10647392</v>
      </c>
      <c r="E295" s="2546">
        <f t="shared" si="19"/>
        <v>10404187</v>
      </c>
      <c r="F295" s="2546"/>
      <c r="G295" s="2535">
        <f t="shared" si="19"/>
        <v>3824022000</v>
      </c>
      <c r="H295" s="2535">
        <f t="shared" si="19"/>
        <v>10647391690.989998</v>
      </c>
      <c r="I295" s="2535">
        <f t="shared" si="19"/>
        <v>10404187390.740002</v>
      </c>
      <c r="J295" s="2536"/>
      <c r="K295" s="2536"/>
    </row>
    <row r="296" spans="1:11" s="2447" customFormat="1" ht="15.75" thickTop="1" x14ac:dyDescent="0.25">
      <c r="A296" s="2410" t="s">
        <v>944</v>
      </c>
      <c r="B296" s="2547"/>
      <c r="C296" s="2538">
        <f>R274+R224+R170+R140+R112+R53</f>
        <v>5294</v>
      </c>
      <c r="D296" s="2538">
        <f>S274+S224+S170+S140+S112+S53</f>
        <v>5294</v>
      </c>
      <c r="E296" s="2538">
        <f>T274+T224+T170+T140+T112+T53</f>
        <v>501935</v>
      </c>
      <c r="F296" s="2538"/>
      <c r="G296" s="2536">
        <v>5294000</v>
      </c>
      <c r="H296" s="2536">
        <v>5294000</v>
      </c>
      <c r="I296" s="2536">
        <v>501935477.72000003</v>
      </c>
      <c r="J296" s="2536"/>
      <c r="K296" s="2536"/>
    </row>
    <row r="297" spans="1:11" s="2447" customFormat="1" ht="15.75" thickBot="1" x14ac:dyDescent="0.3">
      <c r="A297" s="2544" t="s">
        <v>1520</v>
      </c>
      <c r="B297" s="2548"/>
      <c r="C297" s="2546">
        <f>C295-C296</f>
        <v>3818728</v>
      </c>
      <c r="D297" s="2546">
        <f t="shared" ref="D297:I297" si="20">D295-D296</f>
        <v>10642098</v>
      </c>
      <c r="E297" s="2546">
        <f t="shared" si="20"/>
        <v>9902252</v>
      </c>
      <c r="F297" s="2546"/>
      <c r="G297" s="2535">
        <f t="shared" si="20"/>
        <v>3818728000</v>
      </c>
      <c r="H297" s="2535">
        <f t="shared" si="20"/>
        <v>10642097690.989998</v>
      </c>
      <c r="I297" s="2535">
        <f t="shared" si="20"/>
        <v>9902251913.0200024</v>
      </c>
      <c r="J297" s="2536"/>
      <c r="K297" s="2536"/>
    </row>
    <row r="298" spans="1:11" ht="15" thickTop="1" x14ac:dyDescent="0.2"/>
    <row r="300" spans="1:11" x14ac:dyDescent="0.2">
      <c r="A300" s="2413" t="s">
        <v>1966</v>
      </c>
      <c r="C300" s="2412">
        <v>33334</v>
      </c>
      <c r="D300" s="2412">
        <v>33334</v>
      </c>
      <c r="E300" s="2412">
        <v>33333</v>
      </c>
      <c r="G300" s="2550">
        <v>33334000</v>
      </c>
      <c r="H300" s="2550">
        <v>33334000</v>
      </c>
      <c r="I300" s="2550">
        <v>33333336</v>
      </c>
    </row>
    <row r="301" spans="1:11" ht="15" x14ac:dyDescent="0.25">
      <c r="A301" s="2551"/>
      <c r="B301" s="2552"/>
      <c r="C301" s="2553">
        <v>86492</v>
      </c>
      <c r="D301" s="2553">
        <v>100778</v>
      </c>
      <c r="E301" s="2553">
        <v>100776</v>
      </c>
      <c r="F301" s="2554"/>
      <c r="G301" s="2555">
        <v>86492000</v>
      </c>
      <c r="H301" s="2555">
        <v>100777714.28</v>
      </c>
      <c r="I301" s="2555">
        <v>100776422.73999999</v>
      </c>
    </row>
    <row r="302" spans="1:11" ht="15" x14ac:dyDescent="0.25">
      <c r="A302" s="2556" t="s">
        <v>1967</v>
      </c>
      <c r="B302" s="2557"/>
      <c r="C302" s="2558">
        <f>C300+C301</f>
        <v>119826</v>
      </c>
      <c r="D302" s="2558">
        <f>D300+D301</f>
        <v>134112</v>
      </c>
      <c r="E302" s="2558">
        <f>E300+E301</f>
        <v>134109</v>
      </c>
      <c r="F302" s="2559"/>
      <c r="G302" s="2536">
        <f>G300+G301</f>
        <v>119826000</v>
      </c>
      <c r="H302" s="2536">
        <f>H300+H301</f>
        <v>134111714.28</v>
      </c>
      <c r="I302" s="2536">
        <f>I300+I301</f>
        <v>134109758.73999999</v>
      </c>
    </row>
    <row r="303" spans="1:11" ht="15.75" thickBot="1" x14ac:dyDescent="0.3">
      <c r="A303" s="2560"/>
      <c r="B303" s="2561"/>
      <c r="C303" s="2562"/>
      <c r="D303" s="2562"/>
      <c r="E303" s="2563"/>
      <c r="F303" s="2563"/>
      <c r="G303" s="2563"/>
      <c r="H303" s="2563"/>
      <c r="I303" s="2563"/>
    </row>
    <row r="304" spans="1:11" ht="15.75" thickTop="1" x14ac:dyDescent="0.25">
      <c r="A304" s="2413" t="s">
        <v>943</v>
      </c>
      <c r="C304" s="2538">
        <f>C291+C302</f>
        <v>3938554</v>
      </c>
      <c r="D304" s="2538">
        <f>D291+D302</f>
        <v>10776210</v>
      </c>
      <c r="E304" s="2538">
        <f>E291+E302</f>
        <v>10036361</v>
      </c>
      <c r="F304" s="2538"/>
      <c r="G304" s="2536">
        <f>G302+G291</f>
        <v>3938554000</v>
      </c>
      <c r="H304" s="2536">
        <f>H302+H291</f>
        <v>10776209405.269999</v>
      </c>
      <c r="I304" s="2536">
        <f>I302+I291</f>
        <v>10036361671.76</v>
      </c>
    </row>
    <row r="305" spans="1:16" x14ac:dyDescent="0.2">
      <c r="G305" s="2412"/>
      <c r="H305" s="2412"/>
      <c r="I305" s="2412"/>
    </row>
    <row r="306" spans="1:16" x14ac:dyDescent="0.2">
      <c r="G306" s="2412"/>
      <c r="H306" s="2412"/>
      <c r="I306" s="2412"/>
    </row>
    <row r="309" spans="1:16" x14ac:dyDescent="0.2">
      <c r="A309" s="2564"/>
      <c r="B309" s="2465"/>
      <c r="C309" s="2517"/>
      <c r="D309" s="2517"/>
      <c r="E309" s="2517"/>
      <c r="F309" s="2517"/>
      <c r="G309" s="2478"/>
      <c r="H309" s="2478"/>
      <c r="I309" s="2478"/>
      <c r="J309" s="2517"/>
      <c r="K309" s="2478"/>
      <c r="L309" s="2515"/>
      <c r="M309" s="2515"/>
      <c r="N309" s="2515"/>
      <c r="O309" s="2515"/>
      <c r="P309" s="2515"/>
    </row>
    <row r="310" spans="1:16" x14ac:dyDescent="0.2">
      <c r="A310" s="2564"/>
      <c r="B310" s="2465"/>
      <c r="C310" s="2517"/>
      <c r="D310" s="2517"/>
      <c r="E310" s="2517"/>
      <c r="F310" s="2517"/>
      <c r="G310" s="2478"/>
      <c r="H310" s="2478"/>
      <c r="I310" s="2478"/>
      <c r="J310" s="2478"/>
      <c r="K310" s="2478"/>
      <c r="L310" s="2515"/>
      <c r="M310" s="2515"/>
      <c r="N310" s="2515"/>
      <c r="O310" s="2515"/>
      <c r="P310" s="2515"/>
    </row>
    <row r="311" spans="1:16" x14ac:dyDescent="0.2">
      <c r="A311" s="2564"/>
      <c r="B311" s="2465"/>
      <c r="C311" s="2517"/>
      <c r="D311" s="2517"/>
      <c r="E311" s="2517"/>
      <c r="F311" s="2517"/>
      <c r="G311" s="2478"/>
      <c r="H311" s="2478"/>
      <c r="I311" s="2478"/>
      <c r="J311" s="2478"/>
      <c r="K311" s="2478"/>
      <c r="L311" s="2515"/>
      <c r="M311" s="2515"/>
      <c r="N311" s="2515"/>
      <c r="O311" s="2515"/>
      <c r="P311" s="2515"/>
    </row>
    <row r="312" spans="1:16" x14ac:dyDescent="0.2">
      <c r="A312" s="2564"/>
      <c r="B312" s="2465"/>
      <c r="C312" s="2517"/>
      <c r="D312" s="2517"/>
      <c r="E312" s="2517"/>
      <c r="F312" s="2517"/>
      <c r="G312" s="2478"/>
      <c r="H312" s="2478"/>
      <c r="I312" s="2478"/>
      <c r="J312" s="2478"/>
      <c r="K312" s="2478"/>
      <c r="L312" s="2515"/>
      <c r="M312" s="2515"/>
      <c r="N312" s="2515"/>
      <c r="O312" s="2515"/>
      <c r="P312" s="2515"/>
    </row>
    <row r="313" spans="1:16" x14ac:dyDescent="0.2">
      <c r="A313" s="2564"/>
      <c r="B313" s="2465"/>
      <c r="C313" s="2517"/>
      <c r="D313" s="2517"/>
      <c r="E313" s="2517"/>
      <c r="F313" s="2517"/>
      <c r="G313" s="2478"/>
      <c r="H313" s="2478"/>
      <c r="I313" s="2478"/>
      <c r="J313" s="2478"/>
      <c r="K313" s="2478"/>
      <c r="L313" s="2515"/>
      <c r="M313" s="2515"/>
      <c r="N313" s="2515"/>
      <c r="O313" s="2515"/>
      <c r="P313" s="2515"/>
    </row>
    <row r="314" spans="1:16" x14ac:dyDescent="0.2">
      <c r="A314" s="2564"/>
      <c r="B314" s="2465"/>
      <c r="C314" s="2517"/>
      <c r="D314" s="2517"/>
      <c r="E314" s="2517"/>
      <c r="F314" s="2517"/>
      <c r="G314" s="2478"/>
      <c r="H314" s="2478"/>
      <c r="I314" s="2478"/>
      <c r="J314" s="2517"/>
      <c r="K314" s="2478"/>
      <c r="L314" s="2515"/>
      <c r="M314" s="2515"/>
      <c r="N314" s="2515"/>
      <c r="O314" s="2515"/>
      <c r="P314" s="2515"/>
    </row>
    <row r="315" spans="1:16" x14ac:dyDescent="0.2">
      <c r="A315" s="2564"/>
      <c r="B315" s="2465"/>
      <c r="C315" s="2517"/>
      <c r="D315" s="2517"/>
      <c r="E315" s="2517"/>
      <c r="F315" s="2517"/>
      <c r="G315" s="2478"/>
      <c r="H315" s="2478"/>
      <c r="I315" s="2478"/>
      <c r="J315" s="2478"/>
      <c r="K315" s="2478"/>
      <c r="L315" s="2515"/>
      <c r="M315" s="2515"/>
      <c r="N315" s="2515"/>
      <c r="O315" s="2515"/>
      <c r="P315" s="2515"/>
    </row>
    <row r="316" spans="1:16" x14ac:dyDescent="0.2">
      <c r="A316" s="2564"/>
      <c r="B316" s="2465"/>
      <c r="C316" s="2517"/>
      <c r="D316" s="2517"/>
      <c r="E316" s="2517"/>
      <c r="F316" s="2517"/>
      <c r="G316" s="2478"/>
      <c r="H316" s="2478"/>
      <c r="I316" s="2478"/>
      <c r="J316" s="2478"/>
      <c r="K316" s="2478"/>
      <c r="L316" s="2515"/>
      <c r="M316" s="2515"/>
      <c r="N316" s="2515"/>
      <c r="O316" s="2515"/>
      <c r="P316" s="2515"/>
    </row>
    <row r="317" spans="1:16" x14ac:dyDescent="0.2">
      <c r="A317" s="2564"/>
      <c r="B317" s="2465"/>
      <c r="C317" s="2517"/>
      <c r="D317" s="2517"/>
      <c r="E317" s="2517"/>
      <c r="F317" s="2517"/>
      <c r="G317" s="2478"/>
      <c r="H317" s="2478"/>
      <c r="I317" s="2478"/>
      <c r="J317" s="2478"/>
      <c r="K317" s="2478"/>
      <c r="L317" s="2515"/>
      <c r="M317" s="2515"/>
      <c r="N317" s="2515"/>
      <c r="O317" s="2515"/>
      <c r="P317" s="2515"/>
    </row>
    <row r="318" spans="1:16" x14ac:dyDescent="0.2">
      <c r="A318" s="2564"/>
      <c r="B318" s="2465"/>
      <c r="C318" s="2517"/>
      <c r="D318" s="2517"/>
      <c r="E318" s="2517"/>
      <c r="F318" s="2517"/>
      <c r="G318" s="2478"/>
      <c r="H318" s="2478"/>
      <c r="I318" s="2478"/>
      <c r="J318" s="2478"/>
      <c r="K318" s="2478"/>
      <c r="L318" s="2515"/>
      <c r="M318" s="2515"/>
      <c r="N318" s="2515"/>
      <c r="O318" s="2515"/>
      <c r="P318" s="2515"/>
    </row>
    <row r="319" spans="1:16" x14ac:dyDescent="0.2">
      <c r="A319" s="2564"/>
      <c r="B319" s="2465"/>
      <c r="C319" s="2517"/>
      <c r="D319" s="2517"/>
      <c r="E319" s="2517"/>
      <c r="F319" s="2517"/>
      <c r="G319" s="2478"/>
      <c r="H319" s="2478"/>
      <c r="I319" s="2478"/>
      <c r="J319" s="2478"/>
      <c r="K319" s="2478"/>
      <c r="L319" s="2515"/>
      <c r="M319" s="2515"/>
      <c r="N319" s="2515"/>
      <c r="O319" s="2515"/>
      <c r="P319" s="2515"/>
    </row>
  </sheetData>
  <mergeCells count="25">
    <mergeCell ref="A263:A265"/>
    <mergeCell ref="A156:A158"/>
    <mergeCell ref="A187:A188"/>
    <mergeCell ref="A242:A244"/>
    <mergeCell ref="A237:A238"/>
    <mergeCell ref="A248:A249"/>
    <mergeCell ref="A253:A254"/>
    <mergeCell ref="A258:A259"/>
    <mergeCell ref="A231:A233"/>
    <mergeCell ref="A150:A152"/>
    <mergeCell ref="A279:F280"/>
    <mergeCell ref="A1:F1"/>
    <mergeCell ref="A2:F2"/>
    <mergeCell ref="A201:A202"/>
    <mergeCell ref="A181:A183"/>
    <mergeCell ref="A196:A197"/>
    <mergeCell ref="A176:A177"/>
    <mergeCell ref="A162:A163"/>
    <mergeCell ref="A167:A168"/>
    <mergeCell ref="A206:A207"/>
    <mergeCell ref="A141:A142"/>
    <mergeCell ref="A275:B275"/>
    <mergeCell ref="A211:A212"/>
    <mergeCell ref="A216:A217"/>
    <mergeCell ref="A221:A222"/>
  </mergeCells>
  <phoneticPr fontId="35" type="noConversion"/>
  <pageMargins left="0.78740157480314965" right="0.78740157480314965" top="0.78740157480314965" bottom="0.98425196850393704" header="0.51181102362204722" footer="0.51181102362204722"/>
  <pageSetup paperSize="9" scale="85" firstPageNumber="22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S303"/>
  <sheetViews>
    <sheetView showGridLines="0" view="pageBreakPreview" zoomScaleNormal="100" zoomScaleSheetLayoutView="100" workbookViewId="0">
      <selection activeCell="K317" sqref="K317"/>
    </sheetView>
  </sheetViews>
  <sheetFormatPr defaultRowHeight="12.75" x14ac:dyDescent="0.2"/>
  <cols>
    <col min="1" max="2" width="4.7109375" style="702" customWidth="1"/>
    <col min="3" max="3" width="8.85546875" style="667" customWidth="1"/>
    <col min="4" max="4" width="45.85546875" style="534" customWidth="1"/>
    <col min="5" max="5" width="14.140625" style="495" customWidth="1"/>
    <col min="6" max="6" width="14.5703125" style="495" customWidth="1"/>
    <col min="7" max="7" width="13.140625" style="495" customWidth="1"/>
    <col min="8" max="8" width="7.28515625" style="668" customWidth="1"/>
    <col min="9" max="9" width="9.140625" style="534"/>
    <col min="10" max="10" width="11.42578125" style="534" bestFit="1" customWidth="1"/>
    <col min="11" max="11" width="9.42578125" style="534" bestFit="1" customWidth="1"/>
    <col min="12" max="16384" width="9.140625" style="534"/>
  </cols>
  <sheetData>
    <row r="1" spans="1:9" s="664" customFormat="1" ht="18.75" thickBot="1" x14ac:dyDescent="0.3">
      <c r="A1" s="479" t="s">
        <v>428</v>
      </c>
      <c r="B1" s="480"/>
      <c r="C1" s="481"/>
      <c r="D1" s="482"/>
      <c r="E1" s="483"/>
      <c r="F1" s="483" t="s">
        <v>429</v>
      </c>
      <c r="G1" s="484"/>
      <c r="H1" s="663"/>
    </row>
    <row r="2" spans="1:9" x14ac:dyDescent="0.2">
      <c r="A2" s="665"/>
      <c r="B2" s="666"/>
    </row>
    <row r="3" spans="1:9" s="504" customFormat="1" ht="14.25" x14ac:dyDescent="0.2">
      <c r="A3" s="670" t="s">
        <v>387</v>
      </c>
      <c r="B3" s="671"/>
      <c r="C3" s="672" t="s">
        <v>897</v>
      </c>
      <c r="E3" s="493"/>
      <c r="F3" s="493"/>
      <c r="G3" s="493"/>
      <c r="H3" s="673"/>
    </row>
    <row r="4" spans="1:9" s="669" customFormat="1" ht="14.25" x14ac:dyDescent="0.2">
      <c r="A4" s="665"/>
      <c r="B4" s="666"/>
      <c r="C4" s="672" t="s">
        <v>898</v>
      </c>
      <c r="E4" s="675"/>
      <c r="F4" s="675"/>
      <c r="G4" s="675"/>
      <c r="H4" s="676"/>
    </row>
    <row r="5" spans="1:9" x14ac:dyDescent="0.2">
      <c r="A5" s="665"/>
      <c r="B5" s="666"/>
    </row>
    <row r="6" spans="1:9" ht="15.75" x14ac:dyDescent="0.25">
      <c r="A6" s="677" t="s">
        <v>925</v>
      </c>
      <c r="B6" s="666"/>
    </row>
    <row r="7" spans="1:9" ht="13.5" thickBot="1" x14ac:dyDescent="0.25">
      <c r="H7" s="668" t="s">
        <v>173</v>
      </c>
    </row>
    <row r="8" spans="1:9" s="107" customFormat="1" ht="20.25" customHeight="1" thickTop="1" thickBot="1" x14ac:dyDescent="0.25">
      <c r="A8" s="633" t="s">
        <v>174</v>
      </c>
      <c r="B8" s="634" t="s">
        <v>175</v>
      </c>
      <c r="C8" s="678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637" t="s">
        <v>924</v>
      </c>
    </row>
    <row r="9" spans="1:9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638" t="s">
        <v>61</v>
      </c>
      <c r="I9" s="107"/>
    </row>
    <row r="10" spans="1:9" s="1107" customFormat="1" ht="15.75" thickTop="1" x14ac:dyDescent="0.25">
      <c r="A10" s="222">
        <v>3311</v>
      </c>
      <c r="B10" s="1111">
        <v>5212</v>
      </c>
      <c r="C10" s="1230"/>
      <c r="D10" s="657" t="s">
        <v>712</v>
      </c>
      <c r="E10" s="1123"/>
      <c r="F10" s="450">
        <v>200</v>
      </c>
      <c r="G10" s="371">
        <v>200</v>
      </c>
      <c r="H10" s="240">
        <f>(G10/F10)*100</f>
        <v>100</v>
      </c>
    </row>
    <row r="11" spans="1:9" s="1107" customFormat="1" ht="15" x14ac:dyDescent="0.25">
      <c r="A11" s="50"/>
      <c r="B11" s="19"/>
      <c r="C11" s="1119" t="s">
        <v>459</v>
      </c>
      <c r="D11" s="312" t="s">
        <v>460</v>
      </c>
      <c r="E11" s="48"/>
      <c r="F11" s="314">
        <v>200</v>
      </c>
      <c r="G11" s="316">
        <v>200</v>
      </c>
      <c r="H11" s="1125">
        <f>(G11/F11)*100</f>
        <v>100</v>
      </c>
    </row>
    <row r="12" spans="1:9" s="1107" customFormat="1" ht="15" x14ac:dyDescent="0.25">
      <c r="A12" s="50">
        <v>3311</v>
      </c>
      <c r="B12" s="19">
        <v>5213</v>
      </c>
      <c r="C12" s="122"/>
      <c r="D12" s="1108" t="s">
        <v>475</v>
      </c>
      <c r="E12" s="48">
        <v>228</v>
      </c>
      <c r="F12" s="168">
        <v>328</v>
      </c>
      <c r="G12" s="447">
        <v>328</v>
      </c>
      <c r="H12" s="212">
        <f>(G12/F12)*100</f>
        <v>100</v>
      </c>
    </row>
    <row r="13" spans="1:9" s="1107" customFormat="1" ht="14.25" x14ac:dyDescent="0.2">
      <c r="A13" s="50"/>
      <c r="B13" s="19"/>
      <c r="C13" s="1119" t="s">
        <v>476</v>
      </c>
      <c r="D13" s="1114" t="s">
        <v>677</v>
      </c>
      <c r="E13" s="55">
        <v>228</v>
      </c>
      <c r="F13" s="314">
        <v>228</v>
      </c>
      <c r="G13" s="316">
        <v>228</v>
      </c>
      <c r="H13" s="1125">
        <f t="shared" ref="H13:H51" si="0">(G13/F13)*100</f>
        <v>100</v>
      </c>
    </row>
    <row r="14" spans="1:9" s="1107" customFormat="1" ht="14.25" x14ac:dyDescent="0.2">
      <c r="A14" s="50"/>
      <c r="B14" s="19"/>
      <c r="C14" s="1119" t="s">
        <v>459</v>
      </c>
      <c r="D14" s="312" t="s">
        <v>460</v>
      </c>
      <c r="E14" s="55"/>
      <c r="F14" s="314">
        <v>100</v>
      </c>
      <c r="G14" s="316">
        <v>100</v>
      </c>
      <c r="H14" s="1125">
        <f t="shared" si="0"/>
        <v>100</v>
      </c>
    </row>
    <row r="15" spans="1:9" s="1107" customFormat="1" ht="15" x14ac:dyDescent="0.25">
      <c r="A15" s="50">
        <v>3311</v>
      </c>
      <c r="B15" s="19">
        <v>5221</v>
      </c>
      <c r="C15" s="1119"/>
      <c r="D15" s="1195" t="s">
        <v>1257</v>
      </c>
      <c r="E15" s="55"/>
      <c r="F15" s="313">
        <v>500</v>
      </c>
      <c r="G15" s="315">
        <v>500</v>
      </c>
      <c r="H15" s="212">
        <f t="shared" si="0"/>
        <v>100</v>
      </c>
    </row>
    <row r="16" spans="1:9" s="1107" customFormat="1" ht="14.25" x14ac:dyDescent="0.2">
      <c r="A16" s="50"/>
      <c r="B16" s="19"/>
      <c r="C16" s="1135" t="s">
        <v>262</v>
      </c>
      <c r="D16" s="1114" t="s">
        <v>333</v>
      </c>
      <c r="E16" s="55"/>
      <c r="F16" s="314">
        <v>500</v>
      </c>
      <c r="G16" s="316">
        <v>500</v>
      </c>
      <c r="H16" s="1125">
        <f t="shared" si="0"/>
        <v>100</v>
      </c>
    </row>
    <row r="17" spans="1:8" s="1107" customFormat="1" ht="15" x14ac:dyDescent="0.25">
      <c r="A17" s="50">
        <v>3311</v>
      </c>
      <c r="B17" s="19">
        <v>5222</v>
      </c>
      <c r="C17" s="1119"/>
      <c r="D17" s="87" t="s">
        <v>461</v>
      </c>
      <c r="E17" s="71"/>
      <c r="F17" s="315">
        <f>F19+F20+F21+F18</f>
        <v>2227</v>
      </c>
      <c r="G17" s="315">
        <f>G19+G20+G21+G18</f>
        <v>2227</v>
      </c>
      <c r="H17" s="212">
        <f t="shared" si="0"/>
        <v>100</v>
      </c>
    </row>
    <row r="18" spans="1:8" s="1107" customFormat="1" ht="15" x14ac:dyDescent="0.25">
      <c r="A18" s="50"/>
      <c r="B18" s="19"/>
      <c r="C18" s="1135" t="s">
        <v>262</v>
      </c>
      <c r="D18" s="1114" t="s">
        <v>333</v>
      </c>
      <c r="E18" s="71"/>
      <c r="F18" s="314">
        <v>650</v>
      </c>
      <c r="G18" s="316">
        <v>650</v>
      </c>
      <c r="H18" s="1125">
        <f t="shared" si="0"/>
        <v>100</v>
      </c>
    </row>
    <row r="19" spans="1:8" s="1107" customFormat="1" ht="15" x14ac:dyDescent="0.25">
      <c r="A19" s="50"/>
      <c r="B19" s="19"/>
      <c r="C19" s="1135" t="s">
        <v>1262</v>
      </c>
      <c r="D19" s="1114" t="s">
        <v>1757</v>
      </c>
      <c r="E19" s="71"/>
      <c r="F19" s="314">
        <v>97</v>
      </c>
      <c r="G19" s="316">
        <v>97</v>
      </c>
      <c r="H19" s="1125">
        <f t="shared" si="0"/>
        <v>100</v>
      </c>
    </row>
    <row r="20" spans="1:8" s="1107" customFormat="1" ht="14.25" x14ac:dyDescent="0.2">
      <c r="A20" s="50"/>
      <c r="B20" s="19"/>
      <c r="C20" s="1119" t="s">
        <v>459</v>
      </c>
      <c r="D20" s="312" t="s">
        <v>460</v>
      </c>
      <c r="E20" s="55"/>
      <c r="F20" s="314">
        <v>830</v>
      </c>
      <c r="G20" s="316">
        <v>830</v>
      </c>
      <c r="H20" s="1125">
        <f t="shared" si="0"/>
        <v>100</v>
      </c>
    </row>
    <row r="21" spans="1:8" s="1107" customFormat="1" ht="14.25" x14ac:dyDescent="0.2">
      <c r="A21" s="50"/>
      <c r="B21" s="19"/>
      <c r="C21" s="1119" t="s">
        <v>1504</v>
      </c>
      <c r="D21" s="312" t="s">
        <v>1503</v>
      </c>
      <c r="E21" s="55"/>
      <c r="F21" s="314">
        <v>650</v>
      </c>
      <c r="G21" s="316">
        <v>650</v>
      </c>
      <c r="H21" s="1125">
        <f t="shared" si="0"/>
        <v>100</v>
      </c>
    </row>
    <row r="22" spans="1:8" s="1107" customFormat="1" ht="15" x14ac:dyDescent="0.25">
      <c r="A22" s="50">
        <v>3311</v>
      </c>
      <c r="B22" s="19">
        <v>5223</v>
      </c>
      <c r="C22" s="1119"/>
      <c r="D22" s="309" t="s">
        <v>1260</v>
      </c>
      <c r="E22" s="55"/>
      <c r="F22" s="313">
        <v>25</v>
      </c>
      <c r="G22" s="315">
        <v>25</v>
      </c>
      <c r="H22" s="212">
        <f t="shared" si="0"/>
        <v>100</v>
      </c>
    </row>
    <row r="23" spans="1:8" s="1107" customFormat="1" ht="14.25" x14ac:dyDescent="0.2">
      <c r="A23" s="50"/>
      <c r="B23" s="19"/>
      <c r="C23" s="1135" t="s">
        <v>1262</v>
      </c>
      <c r="D23" s="1114" t="s">
        <v>1795</v>
      </c>
      <c r="E23" s="55"/>
      <c r="F23" s="314">
        <v>25</v>
      </c>
      <c r="G23" s="316">
        <v>25</v>
      </c>
      <c r="H23" s="1125">
        <f t="shared" si="0"/>
        <v>100</v>
      </c>
    </row>
    <row r="24" spans="1:8" s="1107" customFormat="1" ht="15" x14ac:dyDescent="0.25">
      <c r="A24" s="50">
        <v>3311</v>
      </c>
      <c r="B24" s="19">
        <v>5229</v>
      </c>
      <c r="C24" s="1135"/>
      <c r="D24" s="309" t="s">
        <v>890</v>
      </c>
      <c r="E24" s="55"/>
      <c r="F24" s="313">
        <v>25</v>
      </c>
      <c r="G24" s="315">
        <v>25</v>
      </c>
      <c r="H24" s="212">
        <f t="shared" si="0"/>
        <v>100</v>
      </c>
    </row>
    <row r="25" spans="1:8" s="1107" customFormat="1" ht="14.25" x14ac:dyDescent="0.2">
      <c r="A25" s="50"/>
      <c r="B25" s="19"/>
      <c r="C25" s="1119" t="s">
        <v>459</v>
      </c>
      <c r="D25" s="312" t="s">
        <v>460</v>
      </c>
      <c r="E25" s="55"/>
      <c r="F25" s="314">
        <v>25</v>
      </c>
      <c r="G25" s="316">
        <v>25</v>
      </c>
      <c r="H25" s="1125">
        <f t="shared" si="0"/>
        <v>100</v>
      </c>
    </row>
    <row r="26" spans="1:8" s="1107" customFormat="1" ht="15" x14ac:dyDescent="0.25">
      <c r="A26" s="50">
        <v>3311</v>
      </c>
      <c r="B26" s="19">
        <v>5321</v>
      </c>
      <c r="C26" s="1119"/>
      <c r="D26" s="1108" t="s">
        <v>1261</v>
      </c>
      <c r="E26" s="71">
        <v>1044</v>
      </c>
      <c r="F26" s="313">
        <v>1119</v>
      </c>
      <c r="G26" s="315">
        <v>1119</v>
      </c>
      <c r="H26" s="212">
        <f t="shared" si="0"/>
        <v>100</v>
      </c>
    </row>
    <row r="27" spans="1:8" s="1107" customFormat="1" ht="14.25" x14ac:dyDescent="0.2">
      <c r="A27" s="50"/>
      <c r="B27" s="19"/>
      <c r="C27" s="1119" t="s">
        <v>476</v>
      </c>
      <c r="D27" s="1114" t="s">
        <v>677</v>
      </c>
      <c r="E27" s="55">
        <v>1044</v>
      </c>
      <c r="F27" s="314">
        <v>1044</v>
      </c>
      <c r="G27" s="316">
        <v>1044</v>
      </c>
      <c r="H27" s="1125">
        <f t="shared" si="0"/>
        <v>100</v>
      </c>
    </row>
    <row r="28" spans="1:8" s="1107" customFormat="1" ht="14.25" x14ac:dyDescent="0.2">
      <c r="A28" s="50"/>
      <c r="B28" s="19"/>
      <c r="C28" s="1119" t="s">
        <v>459</v>
      </c>
      <c r="D28" s="312" t="s">
        <v>460</v>
      </c>
      <c r="E28" s="55"/>
      <c r="F28" s="314">
        <v>75</v>
      </c>
      <c r="G28" s="316">
        <v>75</v>
      </c>
      <c r="H28" s="1125">
        <f t="shared" si="0"/>
        <v>100</v>
      </c>
    </row>
    <row r="29" spans="1:8" s="1107" customFormat="1" ht="15" x14ac:dyDescent="0.25">
      <c r="A29" s="50">
        <v>3312</v>
      </c>
      <c r="B29" s="19">
        <v>5212</v>
      </c>
      <c r="C29" s="1119"/>
      <c r="D29" s="380" t="s">
        <v>712</v>
      </c>
      <c r="E29" s="55"/>
      <c r="F29" s="315">
        <f>F30+F31</f>
        <v>685</v>
      </c>
      <c r="G29" s="315">
        <f>G30+G31</f>
        <v>685</v>
      </c>
      <c r="H29" s="212">
        <f t="shared" si="0"/>
        <v>100</v>
      </c>
    </row>
    <row r="30" spans="1:8" s="1107" customFormat="1" ht="14.25" x14ac:dyDescent="0.2">
      <c r="A30" s="50"/>
      <c r="B30" s="19"/>
      <c r="C30" s="1135" t="s">
        <v>1262</v>
      </c>
      <c r="D30" s="1114" t="s">
        <v>1757</v>
      </c>
      <c r="E30" s="55"/>
      <c r="F30" s="314">
        <v>125</v>
      </c>
      <c r="G30" s="316">
        <v>125</v>
      </c>
      <c r="H30" s="1125">
        <f t="shared" si="0"/>
        <v>100</v>
      </c>
    </row>
    <row r="31" spans="1:8" s="1107" customFormat="1" ht="14.25" x14ac:dyDescent="0.2">
      <c r="A31" s="50"/>
      <c r="B31" s="19"/>
      <c r="C31" s="1119" t="s">
        <v>459</v>
      </c>
      <c r="D31" s="312" t="s">
        <v>460</v>
      </c>
      <c r="E31" s="55"/>
      <c r="F31" s="314">
        <v>560</v>
      </c>
      <c r="G31" s="316">
        <v>560</v>
      </c>
      <c r="H31" s="1125">
        <f t="shared" si="0"/>
        <v>100</v>
      </c>
    </row>
    <row r="32" spans="1:8" s="1107" customFormat="1" ht="15" x14ac:dyDescent="0.25">
      <c r="A32" s="50">
        <v>3312</v>
      </c>
      <c r="B32" s="19">
        <v>5213</v>
      </c>
      <c r="C32" s="1120"/>
      <c r="D32" s="1108" t="s">
        <v>475</v>
      </c>
      <c r="E32" s="71"/>
      <c r="F32" s="315">
        <f>F33+F34+F35</f>
        <v>1710</v>
      </c>
      <c r="G32" s="315">
        <f>G33+G34+G35</f>
        <v>1710</v>
      </c>
      <c r="H32" s="212">
        <f t="shared" si="0"/>
        <v>100</v>
      </c>
    </row>
    <row r="33" spans="1:10" s="1107" customFormat="1" ht="15" x14ac:dyDescent="0.25">
      <c r="A33" s="50"/>
      <c r="B33" s="19"/>
      <c r="C33" s="1135" t="s">
        <v>262</v>
      </c>
      <c r="D33" s="1114" t="s">
        <v>333</v>
      </c>
      <c r="E33" s="71"/>
      <c r="F33" s="314">
        <v>830</v>
      </c>
      <c r="G33" s="316">
        <v>830</v>
      </c>
      <c r="H33" s="1125">
        <f t="shared" si="0"/>
        <v>100</v>
      </c>
    </row>
    <row r="34" spans="1:10" s="1107" customFormat="1" ht="14.25" x14ac:dyDescent="0.2">
      <c r="A34" s="50"/>
      <c r="B34" s="19"/>
      <c r="C34" s="1119" t="s">
        <v>459</v>
      </c>
      <c r="D34" s="312" t="s">
        <v>460</v>
      </c>
      <c r="E34" s="55"/>
      <c r="F34" s="314">
        <v>230</v>
      </c>
      <c r="G34" s="316">
        <v>230</v>
      </c>
      <c r="H34" s="1125">
        <f t="shared" si="0"/>
        <v>100</v>
      </c>
    </row>
    <row r="35" spans="1:10" s="1107" customFormat="1" ht="14.25" x14ac:dyDescent="0.2">
      <c r="A35" s="50"/>
      <c r="B35" s="19"/>
      <c r="C35" s="1119" t="s">
        <v>1504</v>
      </c>
      <c r="D35" s="312" t="s">
        <v>1503</v>
      </c>
      <c r="E35" s="55"/>
      <c r="F35" s="314">
        <v>650</v>
      </c>
      <c r="G35" s="316">
        <v>650</v>
      </c>
      <c r="H35" s="1125">
        <f t="shared" si="0"/>
        <v>100</v>
      </c>
    </row>
    <row r="36" spans="1:10" s="1107" customFormat="1" ht="15" x14ac:dyDescent="0.25">
      <c r="A36" s="50">
        <v>3312</v>
      </c>
      <c r="B36" s="19">
        <v>5221</v>
      </c>
      <c r="C36" s="1119"/>
      <c r="D36" s="1195" t="s">
        <v>1257</v>
      </c>
      <c r="E36" s="55"/>
      <c r="F36" s="313">
        <v>85</v>
      </c>
      <c r="G36" s="315">
        <v>85</v>
      </c>
      <c r="H36" s="212">
        <f t="shared" si="0"/>
        <v>100</v>
      </c>
    </row>
    <row r="37" spans="1:10" s="1107" customFormat="1" ht="14.25" x14ac:dyDescent="0.2">
      <c r="A37" s="50"/>
      <c r="B37" s="19"/>
      <c r="C37" s="1135" t="s">
        <v>1262</v>
      </c>
      <c r="D37" s="1114" t="s">
        <v>1757</v>
      </c>
      <c r="E37" s="55"/>
      <c r="F37" s="314">
        <v>25</v>
      </c>
      <c r="G37" s="316">
        <v>25</v>
      </c>
      <c r="H37" s="1125">
        <f t="shared" si="0"/>
        <v>100</v>
      </c>
    </row>
    <row r="38" spans="1:10" s="1107" customFormat="1" ht="14.25" x14ac:dyDescent="0.2">
      <c r="A38" s="50"/>
      <c r="B38" s="19"/>
      <c r="C38" s="1119" t="s">
        <v>459</v>
      </c>
      <c r="D38" s="312" t="s">
        <v>460</v>
      </c>
      <c r="E38" s="55"/>
      <c r="F38" s="314">
        <v>60</v>
      </c>
      <c r="G38" s="316">
        <v>60</v>
      </c>
      <c r="H38" s="1125">
        <f t="shared" si="0"/>
        <v>100</v>
      </c>
    </row>
    <row r="39" spans="1:10" s="1107" customFormat="1" ht="15" x14ac:dyDescent="0.25">
      <c r="A39" s="50">
        <v>3312</v>
      </c>
      <c r="B39" s="19">
        <v>5222</v>
      </c>
      <c r="C39" s="1119"/>
      <c r="D39" s="87" t="s">
        <v>461</v>
      </c>
      <c r="E39" s="71"/>
      <c r="F39" s="315">
        <f>F41+F42+F43+F40</f>
        <v>3506</v>
      </c>
      <c r="G39" s="315">
        <f>G41+G42+G43+G40</f>
        <v>3505</v>
      </c>
      <c r="H39" s="212">
        <f t="shared" si="0"/>
        <v>99.971477467199094</v>
      </c>
    </row>
    <row r="40" spans="1:10" s="1107" customFormat="1" ht="15" x14ac:dyDescent="0.25">
      <c r="A40" s="50"/>
      <c r="B40" s="19"/>
      <c r="C40" s="1135" t="s">
        <v>262</v>
      </c>
      <c r="D40" s="1114" t="s">
        <v>333</v>
      </c>
      <c r="E40" s="71"/>
      <c r="F40" s="314">
        <v>560</v>
      </c>
      <c r="G40" s="316">
        <v>560</v>
      </c>
      <c r="H40" s="1125">
        <f t="shared" si="0"/>
        <v>100</v>
      </c>
    </row>
    <row r="41" spans="1:10" s="1107" customFormat="1" ht="15" x14ac:dyDescent="0.25">
      <c r="A41" s="50"/>
      <c r="B41" s="19"/>
      <c r="C41" s="1135" t="s">
        <v>1262</v>
      </c>
      <c r="D41" s="1114" t="s">
        <v>1757</v>
      </c>
      <c r="E41" s="71"/>
      <c r="F41" s="314">
        <v>535</v>
      </c>
      <c r="G41" s="316">
        <v>534</v>
      </c>
      <c r="H41" s="1125">
        <f t="shared" si="0"/>
        <v>99.813084112149525</v>
      </c>
    </row>
    <row r="42" spans="1:10" s="1107" customFormat="1" ht="14.25" x14ac:dyDescent="0.2">
      <c r="A42" s="50"/>
      <c r="B42" s="19"/>
      <c r="C42" s="1119" t="s">
        <v>459</v>
      </c>
      <c r="D42" s="312" t="s">
        <v>460</v>
      </c>
      <c r="E42" s="55"/>
      <c r="F42" s="314">
        <v>1336</v>
      </c>
      <c r="G42" s="316">
        <v>1336</v>
      </c>
      <c r="H42" s="1125">
        <f t="shared" si="0"/>
        <v>100</v>
      </c>
    </row>
    <row r="43" spans="1:10" s="1107" customFormat="1" ht="14.25" x14ac:dyDescent="0.2">
      <c r="A43" s="50"/>
      <c r="B43" s="19"/>
      <c r="C43" s="1119" t="s">
        <v>1504</v>
      </c>
      <c r="D43" s="312" t="s">
        <v>1503</v>
      </c>
      <c r="E43" s="55"/>
      <c r="F43" s="314">
        <v>1075</v>
      </c>
      <c r="G43" s="316">
        <v>1075</v>
      </c>
      <c r="H43" s="1125">
        <f t="shared" si="0"/>
        <v>100</v>
      </c>
    </row>
    <row r="44" spans="1:10" s="1107" customFormat="1" ht="15" x14ac:dyDescent="0.25">
      <c r="A44" s="50">
        <v>3312</v>
      </c>
      <c r="B44" s="19">
        <v>5223</v>
      </c>
      <c r="C44" s="1119"/>
      <c r="D44" s="309" t="s">
        <v>1260</v>
      </c>
      <c r="E44" s="71">
        <v>4680</v>
      </c>
      <c r="F44" s="315">
        <f>F45+F47+F46</f>
        <v>200</v>
      </c>
      <c r="G44" s="315">
        <f>G45+G47+G46</f>
        <v>200</v>
      </c>
      <c r="H44" s="212">
        <f t="shared" si="0"/>
        <v>100</v>
      </c>
    </row>
    <row r="45" spans="1:10" s="1107" customFormat="1" ht="14.25" x14ac:dyDescent="0.2">
      <c r="A45" s="50"/>
      <c r="B45" s="19"/>
      <c r="C45" s="1135" t="s">
        <v>1262</v>
      </c>
      <c r="D45" s="1114" t="s">
        <v>1757</v>
      </c>
      <c r="E45" s="55"/>
      <c r="F45" s="314">
        <v>90</v>
      </c>
      <c r="G45" s="316">
        <v>90</v>
      </c>
      <c r="H45" s="1125">
        <f t="shared" si="0"/>
        <v>100</v>
      </c>
    </row>
    <row r="46" spans="1:10" s="1107" customFormat="1" ht="14.25" x14ac:dyDescent="0.2">
      <c r="A46" s="50"/>
      <c r="B46" s="19"/>
      <c r="C46" s="1119" t="s">
        <v>459</v>
      </c>
      <c r="D46" s="312" t="s">
        <v>460</v>
      </c>
      <c r="E46" s="55"/>
      <c r="F46" s="314">
        <v>110</v>
      </c>
      <c r="G46" s="316">
        <v>110</v>
      </c>
      <c r="H46" s="1125">
        <f t="shared" si="0"/>
        <v>100</v>
      </c>
    </row>
    <row r="47" spans="1:10" s="1107" customFormat="1" ht="14.25" x14ac:dyDescent="0.2">
      <c r="A47" s="50"/>
      <c r="B47" s="19"/>
      <c r="C47" s="1119" t="s">
        <v>1504</v>
      </c>
      <c r="D47" s="312" t="s">
        <v>1503</v>
      </c>
      <c r="E47" s="55">
        <v>4680</v>
      </c>
      <c r="F47" s="314">
        <v>0</v>
      </c>
      <c r="G47" s="316">
        <v>0</v>
      </c>
      <c r="H47" s="1125">
        <v>0</v>
      </c>
    </row>
    <row r="48" spans="1:10" s="1107" customFormat="1" ht="15" x14ac:dyDescent="0.25">
      <c r="A48" s="50">
        <v>3312</v>
      </c>
      <c r="B48" s="19">
        <v>5229</v>
      </c>
      <c r="C48" s="1119"/>
      <c r="D48" s="309" t="s">
        <v>890</v>
      </c>
      <c r="E48" s="71"/>
      <c r="F48" s="313">
        <v>675</v>
      </c>
      <c r="G48" s="315">
        <v>675</v>
      </c>
      <c r="H48" s="212">
        <f t="shared" si="0"/>
        <v>100</v>
      </c>
      <c r="J48" s="1141"/>
    </row>
    <row r="49" spans="1:10" s="1107" customFormat="1" ht="15" x14ac:dyDescent="0.25">
      <c r="A49" s="50"/>
      <c r="B49" s="19"/>
      <c r="C49" s="1135" t="s">
        <v>1262</v>
      </c>
      <c r="D49" s="1114" t="s">
        <v>1757</v>
      </c>
      <c r="E49" s="71"/>
      <c r="F49" s="314">
        <v>25</v>
      </c>
      <c r="G49" s="316">
        <v>25</v>
      </c>
      <c r="H49" s="1125">
        <f t="shared" si="0"/>
        <v>100</v>
      </c>
      <c r="J49" s="1141"/>
    </row>
    <row r="50" spans="1:10" s="1107" customFormat="1" ht="14.25" x14ac:dyDescent="0.2">
      <c r="A50" s="50"/>
      <c r="B50" s="19"/>
      <c r="C50" s="1119" t="s">
        <v>1504</v>
      </c>
      <c r="D50" s="312" t="s">
        <v>1503</v>
      </c>
      <c r="E50" s="55"/>
      <c r="F50" s="314">
        <v>650</v>
      </c>
      <c r="G50" s="316">
        <v>650</v>
      </c>
      <c r="H50" s="1125">
        <f t="shared" si="0"/>
        <v>100</v>
      </c>
    </row>
    <row r="51" spans="1:10" s="1107" customFormat="1" ht="15" x14ac:dyDescent="0.25">
      <c r="A51" s="50">
        <v>3312</v>
      </c>
      <c r="B51" s="19">
        <v>5321</v>
      </c>
      <c r="C51" s="1119"/>
      <c r="D51" s="1108" t="s">
        <v>1261</v>
      </c>
      <c r="E51" s="71">
        <v>228</v>
      </c>
      <c r="F51" s="313">
        <v>2738</v>
      </c>
      <c r="G51" s="315">
        <v>2738</v>
      </c>
      <c r="H51" s="1124">
        <f t="shared" si="0"/>
        <v>100</v>
      </c>
    </row>
    <row r="52" spans="1:10" s="1107" customFormat="1" ht="15" x14ac:dyDescent="0.25">
      <c r="A52" s="50"/>
      <c r="B52" s="19"/>
      <c r="C52" s="1135" t="s">
        <v>1262</v>
      </c>
      <c r="D52" s="1114" t="s">
        <v>1757</v>
      </c>
      <c r="E52" s="71"/>
      <c r="F52" s="314">
        <v>90</v>
      </c>
      <c r="G52" s="316">
        <v>90</v>
      </c>
      <c r="H52" s="1125">
        <f t="shared" ref="H52:H63" si="1">(G52/F52)*100</f>
        <v>100</v>
      </c>
    </row>
    <row r="53" spans="1:10" s="1107" customFormat="1" ht="15" x14ac:dyDescent="0.25">
      <c r="A53" s="50"/>
      <c r="B53" s="19"/>
      <c r="C53" s="1218" t="s">
        <v>22</v>
      </c>
      <c r="D53" s="166" t="s">
        <v>1263</v>
      </c>
      <c r="E53" s="71"/>
      <c r="F53" s="314">
        <v>720</v>
      </c>
      <c r="G53" s="316">
        <v>720</v>
      </c>
      <c r="H53" s="1125">
        <f t="shared" si="1"/>
        <v>100</v>
      </c>
    </row>
    <row r="54" spans="1:10" s="1107" customFormat="1" ht="14.25" x14ac:dyDescent="0.2">
      <c r="A54" s="50"/>
      <c r="B54" s="19"/>
      <c r="C54" s="1119" t="s">
        <v>476</v>
      </c>
      <c r="D54" s="1114" t="s">
        <v>677</v>
      </c>
      <c r="E54" s="55">
        <v>228</v>
      </c>
      <c r="F54" s="314">
        <v>228</v>
      </c>
      <c r="G54" s="316">
        <v>228</v>
      </c>
      <c r="H54" s="1125">
        <f t="shared" si="1"/>
        <v>100</v>
      </c>
    </row>
    <row r="55" spans="1:10" s="1107" customFormat="1" ht="14.25" x14ac:dyDescent="0.2">
      <c r="A55" s="50"/>
      <c r="B55" s="19"/>
      <c r="C55" s="1119" t="s">
        <v>459</v>
      </c>
      <c r="D55" s="312" t="s">
        <v>460</v>
      </c>
      <c r="E55" s="55"/>
      <c r="F55" s="314">
        <v>910</v>
      </c>
      <c r="G55" s="316">
        <v>910</v>
      </c>
      <c r="H55" s="1125">
        <f t="shared" si="1"/>
        <v>100</v>
      </c>
    </row>
    <row r="56" spans="1:10" s="1107" customFormat="1" ht="14.25" x14ac:dyDescent="0.2">
      <c r="A56" s="50"/>
      <c r="B56" s="19"/>
      <c r="C56" s="1119" t="s">
        <v>1504</v>
      </c>
      <c r="D56" s="312" t="s">
        <v>1503</v>
      </c>
      <c r="E56" s="55"/>
      <c r="F56" s="314">
        <v>790</v>
      </c>
      <c r="G56" s="316">
        <v>790</v>
      </c>
      <c r="H56" s="1125">
        <f t="shared" si="1"/>
        <v>100</v>
      </c>
    </row>
    <row r="57" spans="1:10" s="1107" customFormat="1" ht="15" x14ac:dyDescent="0.25">
      <c r="A57" s="50">
        <v>3312</v>
      </c>
      <c r="B57" s="19">
        <v>5329</v>
      </c>
      <c r="C57" s="1119"/>
      <c r="D57" s="309" t="s">
        <v>702</v>
      </c>
      <c r="E57" s="55"/>
      <c r="F57" s="313">
        <v>25</v>
      </c>
      <c r="G57" s="315">
        <v>25</v>
      </c>
      <c r="H57" s="212">
        <f t="shared" si="1"/>
        <v>100</v>
      </c>
    </row>
    <row r="58" spans="1:10" s="1107" customFormat="1" ht="14.25" x14ac:dyDescent="0.2">
      <c r="A58" s="50"/>
      <c r="B58" s="19"/>
      <c r="C58" s="1135" t="s">
        <v>1262</v>
      </c>
      <c r="D58" s="1114" t="s">
        <v>1757</v>
      </c>
      <c r="E58" s="55"/>
      <c r="F58" s="314">
        <v>25</v>
      </c>
      <c r="G58" s="316">
        <v>25</v>
      </c>
      <c r="H58" s="1125">
        <f t="shared" si="1"/>
        <v>100</v>
      </c>
    </row>
    <row r="59" spans="1:10" s="1107" customFormat="1" ht="15" x14ac:dyDescent="0.25">
      <c r="A59" s="50">
        <v>3312</v>
      </c>
      <c r="B59" s="19">
        <v>5331</v>
      </c>
      <c r="C59" s="1119"/>
      <c r="D59" s="1131" t="s">
        <v>876</v>
      </c>
      <c r="E59" s="55"/>
      <c r="F59" s="313">
        <v>90</v>
      </c>
      <c r="G59" s="315">
        <v>90</v>
      </c>
      <c r="H59" s="212">
        <f t="shared" si="1"/>
        <v>100</v>
      </c>
    </row>
    <row r="60" spans="1:10" s="1107" customFormat="1" ht="14.25" x14ac:dyDescent="0.2">
      <c r="A60" s="50"/>
      <c r="B60" s="19"/>
      <c r="C60" s="1119" t="s">
        <v>459</v>
      </c>
      <c r="D60" s="312" t="s">
        <v>460</v>
      </c>
      <c r="E60" s="55"/>
      <c r="F60" s="314">
        <v>90</v>
      </c>
      <c r="G60" s="316">
        <v>90</v>
      </c>
      <c r="H60" s="1125">
        <f t="shared" si="1"/>
        <v>100</v>
      </c>
    </row>
    <row r="61" spans="1:10" s="1107" customFormat="1" ht="15" x14ac:dyDescent="0.25">
      <c r="A61" s="50">
        <v>3312</v>
      </c>
      <c r="B61" s="19">
        <v>5493</v>
      </c>
      <c r="C61" s="1135"/>
      <c r="D61" s="309" t="s">
        <v>730</v>
      </c>
      <c r="E61" s="55"/>
      <c r="F61" s="313">
        <v>150</v>
      </c>
      <c r="G61" s="315">
        <v>150</v>
      </c>
      <c r="H61" s="212">
        <f t="shared" si="1"/>
        <v>100</v>
      </c>
    </row>
    <row r="62" spans="1:10" s="1107" customFormat="1" ht="14.25" x14ac:dyDescent="0.2">
      <c r="A62" s="50"/>
      <c r="B62" s="19"/>
      <c r="C62" s="1135" t="s">
        <v>1262</v>
      </c>
      <c r="D62" s="1114" t="s">
        <v>1757</v>
      </c>
      <c r="E62" s="55"/>
      <c r="F62" s="314">
        <v>130</v>
      </c>
      <c r="G62" s="316">
        <v>130</v>
      </c>
      <c r="H62" s="1125">
        <f t="shared" si="1"/>
        <v>100</v>
      </c>
    </row>
    <row r="63" spans="1:10" s="1107" customFormat="1" ht="14.25" x14ac:dyDescent="0.2">
      <c r="A63" s="50"/>
      <c r="B63" s="19"/>
      <c r="C63" s="1119" t="s">
        <v>459</v>
      </c>
      <c r="D63" s="312" t="s">
        <v>460</v>
      </c>
      <c r="E63" s="55"/>
      <c r="F63" s="314">
        <v>20</v>
      </c>
      <c r="G63" s="316">
        <v>20</v>
      </c>
      <c r="H63" s="1125">
        <f t="shared" si="1"/>
        <v>100</v>
      </c>
    </row>
    <row r="64" spans="1:10" s="1107" customFormat="1" ht="15" x14ac:dyDescent="0.25">
      <c r="A64" s="50">
        <v>3314</v>
      </c>
      <c r="B64" s="19">
        <v>5321</v>
      </c>
      <c r="C64" s="1119"/>
      <c r="D64" s="1108" t="s">
        <v>1261</v>
      </c>
      <c r="E64" s="71">
        <v>9000</v>
      </c>
      <c r="F64" s="313">
        <v>8130</v>
      </c>
      <c r="G64" s="315">
        <v>8130</v>
      </c>
      <c r="H64" s="212">
        <f t="shared" ref="H64:H78" si="2">(G64/F64)*100</f>
        <v>100</v>
      </c>
    </row>
    <row r="65" spans="1:11" s="1107" customFormat="1" ht="14.25" x14ac:dyDescent="0.2">
      <c r="A65" s="50"/>
      <c r="B65" s="19"/>
      <c r="C65" s="1135" t="s">
        <v>226</v>
      </c>
      <c r="D65" s="85" t="s">
        <v>678</v>
      </c>
      <c r="E65" s="55">
        <v>9000</v>
      </c>
      <c r="F65" s="314">
        <v>8130</v>
      </c>
      <c r="G65" s="316">
        <v>8130</v>
      </c>
      <c r="H65" s="1125">
        <f t="shared" si="2"/>
        <v>100</v>
      </c>
    </row>
    <row r="66" spans="1:11" s="1107" customFormat="1" ht="15" x14ac:dyDescent="0.25">
      <c r="A66" s="50">
        <v>3315</v>
      </c>
      <c r="B66" s="19">
        <v>5213</v>
      </c>
      <c r="C66" s="1135"/>
      <c r="D66" s="1108" t="s">
        <v>475</v>
      </c>
      <c r="E66" s="55"/>
      <c r="F66" s="313">
        <v>400</v>
      </c>
      <c r="G66" s="315">
        <v>400</v>
      </c>
      <c r="H66" s="212">
        <f t="shared" si="2"/>
        <v>100</v>
      </c>
    </row>
    <row r="67" spans="1:11" s="1107" customFormat="1" ht="14.25" x14ac:dyDescent="0.2">
      <c r="A67" s="50"/>
      <c r="B67" s="19"/>
      <c r="C67" s="1135" t="s">
        <v>262</v>
      </c>
      <c r="D67" s="1114" t="s">
        <v>333</v>
      </c>
      <c r="E67" s="55"/>
      <c r="F67" s="314">
        <v>400</v>
      </c>
      <c r="G67" s="316">
        <v>400</v>
      </c>
      <c r="H67" s="1125">
        <f t="shared" si="2"/>
        <v>100</v>
      </c>
    </row>
    <row r="68" spans="1:11" s="1107" customFormat="1" ht="15" x14ac:dyDescent="0.25">
      <c r="A68" s="50">
        <v>3315</v>
      </c>
      <c r="B68" s="19">
        <v>5222</v>
      </c>
      <c r="C68" s="1135"/>
      <c r="D68" s="87" t="s">
        <v>461</v>
      </c>
      <c r="E68" s="55"/>
      <c r="F68" s="313">
        <v>25</v>
      </c>
      <c r="G68" s="315">
        <v>25</v>
      </c>
      <c r="H68" s="212">
        <f t="shared" si="2"/>
        <v>100</v>
      </c>
    </row>
    <row r="69" spans="1:11" s="1107" customFormat="1" ht="15" thickBot="1" x14ac:dyDescent="0.25">
      <c r="A69" s="1127"/>
      <c r="B69" s="1133"/>
      <c r="C69" s="1174" t="s">
        <v>1262</v>
      </c>
      <c r="D69" s="1155" t="s">
        <v>1757</v>
      </c>
      <c r="E69" s="1151"/>
      <c r="F69" s="441">
        <v>25</v>
      </c>
      <c r="G69" s="442">
        <v>25</v>
      </c>
      <c r="H69" s="1147">
        <f t="shared" si="2"/>
        <v>100</v>
      </c>
      <c r="J69" s="1141">
        <f>F10+F12+F15+F17+F22+F24+F26+F29+F32+F36+F39+F44+F48+F51+F57+F59+F61+F64+F66+F68</f>
        <v>22843</v>
      </c>
      <c r="K69" s="1141">
        <f>G10+G12+G15+G17+G22+G24+G26+G29+G32+G36+G39+G44+G48+G51+G57+G59+G61+G64+G66+G68</f>
        <v>22842</v>
      </c>
    </row>
    <row r="70" spans="1:11" s="1114" customFormat="1" ht="15" thickTop="1" x14ac:dyDescent="0.2">
      <c r="A70" s="1139"/>
      <c r="B70" s="1139"/>
      <c r="C70" s="1447"/>
      <c r="E70" s="1337"/>
      <c r="F70" s="314"/>
      <c r="G70" s="314"/>
      <c r="H70" s="2397"/>
    </row>
    <row r="71" spans="1:11" ht="13.5" thickBot="1" x14ac:dyDescent="0.25">
      <c r="H71" s="668" t="s">
        <v>173</v>
      </c>
    </row>
    <row r="72" spans="1:11" s="107" customFormat="1" ht="20.25" customHeight="1" thickTop="1" thickBot="1" x14ac:dyDescent="0.25">
      <c r="A72" s="633" t="s">
        <v>174</v>
      </c>
      <c r="B72" s="634" t="s">
        <v>175</v>
      </c>
      <c r="C72" s="678" t="s">
        <v>744</v>
      </c>
      <c r="D72" s="636" t="s">
        <v>176</v>
      </c>
      <c r="E72" s="636" t="s">
        <v>177</v>
      </c>
      <c r="F72" s="636" t="s">
        <v>922</v>
      </c>
      <c r="G72" s="636" t="s">
        <v>923</v>
      </c>
      <c r="H72" s="637" t="s">
        <v>924</v>
      </c>
    </row>
    <row r="73" spans="1:11" s="384" customFormat="1" ht="13.5" thickTop="1" thickBot="1" x14ac:dyDescent="0.25">
      <c r="A73" s="568">
        <v>1</v>
      </c>
      <c r="B73" s="569">
        <v>2</v>
      </c>
      <c r="C73" s="569">
        <v>3</v>
      </c>
      <c r="D73" s="569">
        <v>4</v>
      </c>
      <c r="E73" s="569">
        <v>5</v>
      </c>
      <c r="F73" s="543">
        <v>6</v>
      </c>
      <c r="G73" s="543">
        <v>7</v>
      </c>
      <c r="H73" s="638" t="s">
        <v>61</v>
      </c>
      <c r="I73" s="107"/>
    </row>
    <row r="74" spans="1:11" s="1107" customFormat="1" ht="15.75" thickTop="1" x14ac:dyDescent="0.25">
      <c r="A74" s="50">
        <v>3315</v>
      </c>
      <c r="B74" s="19">
        <v>5223</v>
      </c>
      <c r="C74" s="1135"/>
      <c r="D74" s="309" t="s">
        <v>1260</v>
      </c>
      <c r="E74" s="55"/>
      <c r="F74" s="313">
        <v>20</v>
      </c>
      <c r="G74" s="315">
        <v>20</v>
      </c>
      <c r="H74" s="212">
        <f t="shared" si="2"/>
        <v>100</v>
      </c>
    </row>
    <row r="75" spans="1:11" s="1107" customFormat="1" ht="14.25" x14ac:dyDescent="0.2">
      <c r="A75" s="50"/>
      <c r="B75" s="19"/>
      <c r="C75" s="1119" t="s">
        <v>459</v>
      </c>
      <c r="D75" s="312" t="s">
        <v>460</v>
      </c>
      <c r="E75" s="55"/>
      <c r="F75" s="314">
        <v>20</v>
      </c>
      <c r="G75" s="316">
        <v>20</v>
      </c>
      <c r="H75" s="1125">
        <f t="shared" si="2"/>
        <v>100</v>
      </c>
    </row>
    <row r="76" spans="1:11" s="1107" customFormat="1" ht="15" x14ac:dyDescent="0.25">
      <c r="A76" s="50">
        <v>3315</v>
      </c>
      <c r="B76" s="19">
        <v>5339</v>
      </c>
      <c r="C76" s="1135"/>
      <c r="D76" s="309" t="s">
        <v>1601</v>
      </c>
      <c r="E76" s="71">
        <v>22500</v>
      </c>
      <c r="F76" s="313">
        <v>22600</v>
      </c>
      <c r="G76" s="315">
        <v>22600</v>
      </c>
      <c r="H76" s="212">
        <f t="shared" si="2"/>
        <v>100</v>
      </c>
    </row>
    <row r="77" spans="1:11" s="1107" customFormat="1" ht="14.25" x14ac:dyDescent="0.2">
      <c r="A77" s="50"/>
      <c r="B77" s="19"/>
      <c r="C77" s="1135" t="s">
        <v>369</v>
      </c>
      <c r="D77" s="85" t="s">
        <v>933</v>
      </c>
      <c r="E77" s="55">
        <v>22500</v>
      </c>
      <c r="F77" s="314">
        <v>22500</v>
      </c>
      <c r="G77" s="316">
        <v>22500</v>
      </c>
      <c r="H77" s="1125">
        <f t="shared" si="2"/>
        <v>100</v>
      </c>
    </row>
    <row r="78" spans="1:11" s="1107" customFormat="1" ht="14.25" x14ac:dyDescent="0.2">
      <c r="A78" s="50"/>
      <c r="B78" s="19"/>
      <c r="C78" s="1119" t="s">
        <v>459</v>
      </c>
      <c r="D78" s="312" t="s">
        <v>460</v>
      </c>
      <c r="E78" s="55"/>
      <c r="F78" s="314">
        <v>100</v>
      </c>
      <c r="G78" s="316">
        <v>100</v>
      </c>
      <c r="H78" s="1125">
        <f t="shared" si="2"/>
        <v>100</v>
      </c>
    </row>
    <row r="79" spans="1:11" s="1107" customFormat="1" ht="15" x14ac:dyDescent="0.25">
      <c r="A79" s="50">
        <v>3319</v>
      </c>
      <c r="B79" s="19">
        <v>5166</v>
      </c>
      <c r="C79" s="122"/>
      <c r="D79" s="1108" t="s">
        <v>646</v>
      </c>
      <c r="E79" s="48">
        <v>25</v>
      </c>
      <c r="F79" s="168">
        <v>0</v>
      </c>
      <c r="G79" s="315">
        <v>0</v>
      </c>
      <c r="H79" s="1124">
        <v>0</v>
      </c>
    </row>
    <row r="80" spans="1:11" s="1107" customFormat="1" ht="15" x14ac:dyDescent="0.25">
      <c r="A80" s="50">
        <v>3319</v>
      </c>
      <c r="B80" s="19">
        <v>5169</v>
      </c>
      <c r="C80" s="122"/>
      <c r="D80" s="1108" t="s">
        <v>892</v>
      </c>
      <c r="E80" s="48">
        <v>540</v>
      </c>
      <c r="F80" s="168">
        <v>385</v>
      </c>
      <c r="G80" s="447">
        <v>385</v>
      </c>
      <c r="H80" s="212">
        <f t="shared" ref="H80:H125" si="3">(G80/F80)*100</f>
        <v>100</v>
      </c>
      <c r="J80" s="1141"/>
      <c r="K80" s="1141"/>
    </row>
    <row r="81" spans="1:8" s="1107" customFormat="1" ht="15" x14ac:dyDescent="0.25">
      <c r="A81" s="50">
        <v>3319</v>
      </c>
      <c r="B81" s="19">
        <v>5194</v>
      </c>
      <c r="C81" s="122"/>
      <c r="D81" s="1108" t="s">
        <v>636</v>
      </c>
      <c r="E81" s="48">
        <v>140</v>
      </c>
      <c r="F81" s="168">
        <v>140</v>
      </c>
      <c r="G81" s="447">
        <v>140</v>
      </c>
      <c r="H81" s="212">
        <f t="shared" si="3"/>
        <v>100</v>
      </c>
    </row>
    <row r="82" spans="1:8" s="1107" customFormat="1" ht="15" x14ac:dyDescent="0.25">
      <c r="A82" s="50">
        <v>3319</v>
      </c>
      <c r="B82" s="19">
        <v>5212</v>
      </c>
      <c r="C82" s="122"/>
      <c r="D82" s="380" t="s">
        <v>712</v>
      </c>
      <c r="E82" s="48"/>
      <c r="F82" s="447">
        <f>F83+F84+F85</f>
        <v>1220</v>
      </c>
      <c r="G82" s="447">
        <f>G83+G84+G85</f>
        <v>1220</v>
      </c>
      <c r="H82" s="212">
        <f t="shared" si="3"/>
        <v>100</v>
      </c>
    </row>
    <row r="83" spans="1:8" s="1107" customFormat="1" ht="15" x14ac:dyDescent="0.25">
      <c r="A83" s="50"/>
      <c r="B83" s="19"/>
      <c r="C83" s="1135" t="s">
        <v>262</v>
      </c>
      <c r="D83" s="1114" t="s">
        <v>333</v>
      </c>
      <c r="E83" s="48"/>
      <c r="F83" s="314">
        <v>600</v>
      </c>
      <c r="G83" s="316">
        <v>600</v>
      </c>
      <c r="H83" s="1125">
        <f t="shared" si="3"/>
        <v>100</v>
      </c>
    </row>
    <row r="84" spans="1:8" s="1107" customFormat="1" ht="15" x14ac:dyDescent="0.25">
      <c r="A84" s="50"/>
      <c r="B84" s="19"/>
      <c r="C84" s="1135" t="s">
        <v>1262</v>
      </c>
      <c r="D84" s="1114" t="s">
        <v>1757</v>
      </c>
      <c r="E84" s="48"/>
      <c r="F84" s="314">
        <v>220</v>
      </c>
      <c r="G84" s="316">
        <v>220</v>
      </c>
      <c r="H84" s="1125">
        <f t="shared" si="3"/>
        <v>100</v>
      </c>
    </row>
    <row r="85" spans="1:8" s="1107" customFormat="1" ht="15" x14ac:dyDescent="0.25">
      <c r="A85" s="34"/>
      <c r="B85" s="19"/>
      <c r="C85" s="1119" t="s">
        <v>459</v>
      </c>
      <c r="D85" s="312" t="s">
        <v>460</v>
      </c>
      <c r="E85" s="48"/>
      <c r="F85" s="314">
        <v>400</v>
      </c>
      <c r="G85" s="316">
        <v>400</v>
      </c>
      <c r="H85" s="1125">
        <f t="shared" si="3"/>
        <v>100</v>
      </c>
    </row>
    <row r="86" spans="1:8" s="1107" customFormat="1" ht="15" x14ac:dyDescent="0.25">
      <c r="A86" s="50">
        <v>3319</v>
      </c>
      <c r="B86" s="19">
        <v>5213</v>
      </c>
      <c r="C86" s="1119"/>
      <c r="D86" s="1108" t="s">
        <v>475</v>
      </c>
      <c r="E86" s="48"/>
      <c r="F86" s="315">
        <f>F87+F88+F89</f>
        <v>2520</v>
      </c>
      <c r="G86" s="315">
        <f>G87+G88+G89</f>
        <v>2520</v>
      </c>
      <c r="H86" s="212">
        <f t="shared" si="3"/>
        <v>100</v>
      </c>
    </row>
    <row r="87" spans="1:8" s="1107" customFormat="1" ht="15" x14ac:dyDescent="0.25">
      <c r="A87" s="50"/>
      <c r="B87" s="19"/>
      <c r="C87" s="1135" t="s">
        <v>262</v>
      </c>
      <c r="D87" s="1114" t="s">
        <v>333</v>
      </c>
      <c r="E87" s="48"/>
      <c r="F87" s="314">
        <v>1300</v>
      </c>
      <c r="G87" s="316">
        <v>1300</v>
      </c>
      <c r="H87" s="1125">
        <f t="shared" si="3"/>
        <v>100</v>
      </c>
    </row>
    <row r="88" spans="1:8" s="1107" customFormat="1" ht="15" x14ac:dyDescent="0.25">
      <c r="A88" s="50"/>
      <c r="B88" s="19"/>
      <c r="C88" s="1135" t="s">
        <v>1262</v>
      </c>
      <c r="D88" s="1114" t="s">
        <v>1757</v>
      </c>
      <c r="E88" s="48"/>
      <c r="F88" s="314">
        <v>135</v>
      </c>
      <c r="G88" s="316">
        <v>135</v>
      </c>
      <c r="H88" s="1125">
        <f t="shared" si="3"/>
        <v>100</v>
      </c>
    </row>
    <row r="89" spans="1:8" s="1107" customFormat="1" ht="15" x14ac:dyDescent="0.25">
      <c r="A89" s="50"/>
      <c r="B89" s="19"/>
      <c r="C89" s="1119" t="s">
        <v>459</v>
      </c>
      <c r="D89" s="312" t="s">
        <v>460</v>
      </c>
      <c r="E89" s="48"/>
      <c r="F89" s="314">
        <v>1085</v>
      </c>
      <c r="G89" s="316">
        <v>1085</v>
      </c>
      <c r="H89" s="1125">
        <f t="shared" si="3"/>
        <v>100</v>
      </c>
    </row>
    <row r="90" spans="1:8" s="1107" customFormat="1" ht="15" x14ac:dyDescent="0.25">
      <c r="A90" s="34">
        <v>3319</v>
      </c>
      <c r="B90" s="1139">
        <v>5221</v>
      </c>
      <c r="C90" s="1119"/>
      <c r="D90" s="1195" t="s">
        <v>1257</v>
      </c>
      <c r="E90" s="48"/>
      <c r="F90" s="313">
        <v>45</v>
      </c>
      <c r="G90" s="447">
        <v>45</v>
      </c>
      <c r="H90" s="212">
        <f t="shared" si="3"/>
        <v>100</v>
      </c>
    </row>
    <row r="91" spans="1:8" s="1107" customFormat="1" ht="15" x14ac:dyDescent="0.25">
      <c r="A91" s="34"/>
      <c r="B91" s="1139"/>
      <c r="C91" s="1135" t="s">
        <v>1262</v>
      </c>
      <c r="D91" s="1114" t="s">
        <v>1757</v>
      </c>
      <c r="E91" s="48"/>
      <c r="F91" s="314">
        <v>15</v>
      </c>
      <c r="G91" s="316">
        <v>15</v>
      </c>
      <c r="H91" s="1125">
        <f t="shared" si="3"/>
        <v>100</v>
      </c>
    </row>
    <row r="92" spans="1:8" s="1107" customFormat="1" ht="15" x14ac:dyDescent="0.25">
      <c r="A92" s="34"/>
      <c r="B92" s="1139"/>
      <c r="C92" s="1119" t="s">
        <v>459</v>
      </c>
      <c r="D92" s="312" t="s">
        <v>460</v>
      </c>
      <c r="E92" s="48"/>
      <c r="F92" s="314">
        <v>30</v>
      </c>
      <c r="G92" s="316">
        <v>30</v>
      </c>
      <c r="H92" s="1125">
        <f t="shared" si="3"/>
        <v>100</v>
      </c>
    </row>
    <row r="93" spans="1:8" s="1107" customFormat="1" ht="15" x14ac:dyDescent="0.25">
      <c r="A93" s="34">
        <v>3319</v>
      </c>
      <c r="B93" s="1139">
        <v>5222</v>
      </c>
      <c r="C93" s="122"/>
      <c r="D93" s="87" t="s">
        <v>461</v>
      </c>
      <c r="E93" s="48"/>
      <c r="F93" s="447">
        <f>F94+F95+F96+F97</f>
        <v>4468</v>
      </c>
      <c r="G93" s="447">
        <f>G94+G95+G96+G97</f>
        <v>4468</v>
      </c>
      <c r="H93" s="212">
        <f t="shared" si="3"/>
        <v>100</v>
      </c>
    </row>
    <row r="94" spans="1:8" s="1107" customFormat="1" ht="15" x14ac:dyDescent="0.25">
      <c r="A94" s="34"/>
      <c r="B94" s="1139"/>
      <c r="C94" s="1135" t="s">
        <v>262</v>
      </c>
      <c r="D94" s="1114" t="s">
        <v>333</v>
      </c>
      <c r="E94" s="48"/>
      <c r="F94" s="314">
        <v>580</v>
      </c>
      <c r="G94" s="316">
        <v>580</v>
      </c>
      <c r="H94" s="1125">
        <f t="shared" si="3"/>
        <v>100</v>
      </c>
    </row>
    <row r="95" spans="1:8" s="1107" customFormat="1" ht="15" x14ac:dyDescent="0.25">
      <c r="A95" s="34"/>
      <c r="B95" s="1139"/>
      <c r="C95" s="1135" t="s">
        <v>1262</v>
      </c>
      <c r="D95" s="1114" t="s">
        <v>1757</v>
      </c>
      <c r="E95" s="48"/>
      <c r="F95" s="314">
        <v>1373</v>
      </c>
      <c r="G95" s="316">
        <v>1373</v>
      </c>
      <c r="H95" s="1125">
        <f t="shared" si="3"/>
        <v>100</v>
      </c>
    </row>
    <row r="96" spans="1:8" s="1107" customFormat="1" ht="15" x14ac:dyDescent="0.25">
      <c r="A96" s="34"/>
      <c r="B96" s="1139"/>
      <c r="C96" s="1135" t="s">
        <v>369</v>
      </c>
      <c r="D96" s="85" t="s">
        <v>933</v>
      </c>
      <c r="E96" s="48"/>
      <c r="F96" s="314">
        <v>30</v>
      </c>
      <c r="G96" s="316">
        <v>30</v>
      </c>
      <c r="H96" s="1125">
        <f t="shared" si="3"/>
        <v>100</v>
      </c>
    </row>
    <row r="97" spans="1:8" s="1107" customFormat="1" ht="15" x14ac:dyDescent="0.25">
      <c r="A97" s="34"/>
      <c r="B97" s="1139"/>
      <c r="C97" s="1119" t="s">
        <v>459</v>
      </c>
      <c r="D97" s="312" t="s">
        <v>460</v>
      </c>
      <c r="E97" s="48"/>
      <c r="F97" s="314">
        <v>2485</v>
      </c>
      <c r="G97" s="316">
        <v>2485</v>
      </c>
      <c r="H97" s="1125">
        <f t="shared" si="3"/>
        <v>100</v>
      </c>
    </row>
    <row r="98" spans="1:8" s="1107" customFormat="1" ht="15" x14ac:dyDescent="0.25">
      <c r="A98" s="34">
        <v>3319</v>
      </c>
      <c r="B98" s="1139">
        <v>5223</v>
      </c>
      <c r="C98" s="1119"/>
      <c r="D98" s="309" t="s">
        <v>1260</v>
      </c>
      <c r="E98" s="48"/>
      <c r="F98" s="315">
        <f>F99+F100+F101</f>
        <v>315</v>
      </c>
      <c r="G98" s="315">
        <f>G99+G100+G101</f>
        <v>315</v>
      </c>
      <c r="H98" s="212">
        <f t="shared" si="3"/>
        <v>100</v>
      </c>
    </row>
    <row r="99" spans="1:8" s="1107" customFormat="1" ht="15" x14ac:dyDescent="0.25">
      <c r="A99" s="34"/>
      <c r="B99" s="1139"/>
      <c r="C99" s="1135" t="s">
        <v>262</v>
      </c>
      <c r="D99" s="1114" t="s">
        <v>333</v>
      </c>
      <c r="E99" s="48"/>
      <c r="F99" s="314">
        <v>210</v>
      </c>
      <c r="G99" s="316">
        <v>210</v>
      </c>
      <c r="H99" s="1125">
        <f t="shared" si="3"/>
        <v>100</v>
      </c>
    </row>
    <row r="100" spans="1:8" s="1107" customFormat="1" ht="15" x14ac:dyDescent="0.25">
      <c r="A100" s="34"/>
      <c r="B100" s="1139"/>
      <c r="C100" s="1135" t="s">
        <v>1262</v>
      </c>
      <c r="D100" s="1114" t="s">
        <v>1757</v>
      </c>
      <c r="E100" s="48"/>
      <c r="F100" s="314">
        <v>45</v>
      </c>
      <c r="G100" s="316">
        <v>45</v>
      </c>
      <c r="H100" s="1125">
        <f t="shared" si="3"/>
        <v>100</v>
      </c>
    </row>
    <row r="101" spans="1:8" s="1107" customFormat="1" ht="15" x14ac:dyDescent="0.25">
      <c r="A101" s="34"/>
      <c r="B101" s="1139"/>
      <c r="C101" s="1119" t="s">
        <v>459</v>
      </c>
      <c r="D101" s="312" t="s">
        <v>460</v>
      </c>
      <c r="E101" s="48"/>
      <c r="F101" s="314">
        <v>60</v>
      </c>
      <c r="G101" s="316">
        <v>60</v>
      </c>
      <c r="H101" s="1125">
        <f t="shared" si="3"/>
        <v>100</v>
      </c>
    </row>
    <row r="102" spans="1:8" s="1107" customFormat="1" ht="15" x14ac:dyDescent="0.25">
      <c r="A102" s="34">
        <v>3319</v>
      </c>
      <c r="B102" s="1139">
        <v>5229</v>
      </c>
      <c r="C102" s="1119"/>
      <c r="D102" s="1412" t="s">
        <v>1191</v>
      </c>
      <c r="E102" s="48"/>
      <c r="F102" s="313">
        <v>25</v>
      </c>
      <c r="G102" s="315">
        <v>25</v>
      </c>
      <c r="H102" s="212">
        <f t="shared" si="3"/>
        <v>100</v>
      </c>
    </row>
    <row r="103" spans="1:8" s="1107" customFormat="1" ht="15" x14ac:dyDescent="0.25">
      <c r="A103" s="34"/>
      <c r="B103" s="1139"/>
      <c r="C103" s="1135" t="s">
        <v>1262</v>
      </c>
      <c r="D103" s="1114" t="s">
        <v>1757</v>
      </c>
      <c r="E103" s="48"/>
      <c r="F103" s="314">
        <v>25</v>
      </c>
      <c r="G103" s="316">
        <v>25</v>
      </c>
      <c r="H103" s="1125">
        <f t="shared" si="3"/>
        <v>100</v>
      </c>
    </row>
    <row r="104" spans="1:8" s="1107" customFormat="1" ht="15" x14ac:dyDescent="0.25">
      <c r="A104" s="34">
        <v>3319</v>
      </c>
      <c r="B104" s="1139">
        <v>5321</v>
      </c>
      <c r="C104" s="1135"/>
      <c r="D104" s="1108" t="s">
        <v>1261</v>
      </c>
      <c r="E104" s="48"/>
      <c r="F104" s="315">
        <f>F105+F106+F107+F108</f>
        <v>3685</v>
      </c>
      <c r="G104" s="315">
        <f>G105+G106+G107+G108</f>
        <v>3680</v>
      </c>
      <c r="H104" s="212">
        <f t="shared" si="3"/>
        <v>99.864314789687924</v>
      </c>
    </row>
    <row r="105" spans="1:8" s="1107" customFormat="1" ht="15" x14ac:dyDescent="0.25">
      <c r="A105" s="34"/>
      <c r="B105" s="1139"/>
      <c r="C105" s="1135" t="s">
        <v>262</v>
      </c>
      <c r="D105" s="1114" t="s">
        <v>333</v>
      </c>
      <c r="E105" s="48"/>
      <c r="F105" s="314">
        <v>1150</v>
      </c>
      <c r="G105" s="316">
        <v>1150</v>
      </c>
      <c r="H105" s="1125">
        <f t="shared" si="3"/>
        <v>100</v>
      </c>
    </row>
    <row r="106" spans="1:8" s="1107" customFormat="1" ht="15" x14ac:dyDescent="0.25">
      <c r="A106" s="34"/>
      <c r="B106" s="1139"/>
      <c r="C106" s="1135" t="s">
        <v>1262</v>
      </c>
      <c r="D106" s="1114" t="s">
        <v>1757</v>
      </c>
      <c r="E106" s="48"/>
      <c r="F106" s="314">
        <v>120</v>
      </c>
      <c r="G106" s="316">
        <v>120</v>
      </c>
      <c r="H106" s="1125">
        <f t="shared" si="3"/>
        <v>100</v>
      </c>
    </row>
    <row r="107" spans="1:8" s="1107" customFormat="1" ht="14.25" x14ac:dyDescent="0.2">
      <c r="A107" s="34"/>
      <c r="B107" s="1139"/>
      <c r="C107" s="1119" t="s">
        <v>459</v>
      </c>
      <c r="D107" s="312" t="s">
        <v>460</v>
      </c>
      <c r="E107" s="55"/>
      <c r="F107" s="314">
        <v>2275</v>
      </c>
      <c r="G107" s="316">
        <v>2270</v>
      </c>
      <c r="H107" s="1125">
        <f t="shared" si="3"/>
        <v>99.780219780219781</v>
      </c>
    </row>
    <row r="108" spans="1:8" s="1107" customFormat="1" ht="14.25" x14ac:dyDescent="0.2">
      <c r="A108" s="34"/>
      <c r="B108" s="1139"/>
      <c r="C108" s="1119" t="s">
        <v>1504</v>
      </c>
      <c r="D108" s="312" t="s">
        <v>1503</v>
      </c>
      <c r="E108" s="55"/>
      <c r="F108" s="314">
        <v>140</v>
      </c>
      <c r="G108" s="316">
        <v>140</v>
      </c>
      <c r="H108" s="1125">
        <f t="shared" si="3"/>
        <v>100</v>
      </c>
    </row>
    <row r="109" spans="1:8" s="1107" customFormat="1" ht="15" x14ac:dyDescent="0.25">
      <c r="A109" s="34">
        <v>3319</v>
      </c>
      <c r="B109" s="1139">
        <v>5329</v>
      </c>
      <c r="C109" s="1119"/>
      <c r="D109" s="309" t="s">
        <v>702</v>
      </c>
      <c r="E109" s="55"/>
      <c r="F109" s="313">
        <v>15</v>
      </c>
      <c r="G109" s="315">
        <v>15</v>
      </c>
      <c r="H109" s="212">
        <f t="shared" si="3"/>
        <v>100</v>
      </c>
    </row>
    <row r="110" spans="1:8" s="1107" customFormat="1" ht="14.25" x14ac:dyDescent="0.2">
      <c r="A110" s="34"/>
      <c r="B110" s="1139"/>
      <c r="C110" s="1135" t="s">
        <v>1262</v>
      </c>
      <c r="D110" s="1114" t="s">
        <v>1757</v>
      </c>
      <c r="E110" s="55"/>
      <c r="F110" s="314">
        <v>15</v>
      </c>
      <c r="G110" s="316">
        <v>15</v>
      </c>
      <c r="H110" s="1125">
        <f t="shared" si="3"/>
        <v>100</v>
      </c>
    </row>
    <row r="111" spans="1:8" s="1107" customFormat="1" ht="15" x14ac:dyDescent="0.25">
      <c r="A111" s="34">
        <v>3319</v>
      </c>
      <c r="B111" s="1139">
        <v>5331</v>
      </c>
      <c r="C111" s="1119"/>
      <c r="D111" s="1131" t="s">
        <v>876</v>
      </c>
      <c r="E111" s="55"/>
      <c r="F111" s="315">
        <f>F112+F113</f>
        <v>55</v>
      </c>
      <c r="G111" s="315">
        <f>G112+G113</f>
        <v>55</v>
      </c>
      <c r="H111" s="212">
        <f t="shared" si="3"/>
        <v>100</v>
      </c>
    </row>
    <row r="112" spans="1:8" s="1107" customFormat="1" ht="14.25" x14ac:dyDescent="0.2">
      <c r="A112" s="34"/>
      <c r="B112" s="1139"/>
      <c r="C112" s="1135" t="s">
        <v>1262</v>
      </c>
      <c r="D112" s="1114" t="s">
        <v>1757</v>
      </c>
      <c r="E112" s="55"/>
      <c r="F112" s="314">
        <v>25</v>
      </c>
      <c r="G112" s="316">
        <v>25</v>
      </c>
      <c r="H112" s="1125">
        <f t="shared" si="3"/>
        <v>100</v>
      </c>
    </row>
    <row r="113" spans="1:11" s="1107" customFormat="1" ht="14.25" x14ac:dyDescent="0.2">
      <c r="A113" s="34"/>
      <c r="B113" s="1139"/>
      <c r="C113" s="1119" t="s">
        <v>459</v>
      </c>
      <c r="D113" s="312" t="s">
        <v>460</v>
      </c>
      <c r="E113" s="55"/>
      <c r="F113" s="314">
        <v>30</v>
      </c>
      <c r="G113" s="316">
        <v>30</v>
      </c>
      <c r="H113" s="1125">
        <f t="shared" si="3"/>
        <v>100</v>
      </c>
    </row>
    <row r="114" spans="1:11" s="1107" customFormat="1" ht="15" x14ac:dyDescent="0.25">
      <c r="A114" s="34">
        <v>3319</v>
      </c>
      <c r="B114" s="1139">
        <v>5339</v>
      </c>
      <c r="C114" s="1120"/>
      <c r="D114" s="309" t="s">
        <v>1601</v>
      </c>
      <c r="E114" s="48"/>
      <c r="F114" s="315">
        <f>F115+F116+F117</f>
        <v>1225</v>
      </c>
      <c r="G114" s="315">
        <f>G115+G116+G117</f>
        <v>1225</v>
      </c>
      <c r="H114" s="212">
        <f t="shared" si="3"/>
        <v>100</v>
      </c>
    </row>
    <row r="115" spans="1:11" s="1107" customFormat="1" ht="15" x14ac:dyDescent="0.25">
      <c r="A115" s="34"/>
      <c r="B115" s="1139"/>
      <c r="C115" s="1135" t="s">
        <v>262</v>
      </c>
      <c r="D115" s="1114" t="s">
        <v>333</v>
      </c>
      <c r="E115" s="48"/>
      <c r="F115" s="314">
        <v>200</v>
      </c>
      <c r="G115" s="316">
        <v>200</v>
      </c>
      <c r="H115" s="1125">
        <f t="shared" si="3"/>
        <v>100</v>
      </c>
    </row>
    <row r="116" spans="1:11" s="1107" customFormat="1" ht="14.25" x14ac:dyDescent="0.2">
      <c r="A116" s="34"/>
      <c r="B116" s="1139"/>
      <c r="C116" s="1119" t="s">
        <v>459</v>
      </c>
      <c r="D116" s="312" t="s">
        <v>460</v>
      </c>
      <c r="E116" s="55"/>
      <c r="F116" s="314">
        <v>125</v>
      </c>
      <c r="G116" s="316">
        <v>125</v>
      </c>
      <c r="H116" s="1125">
        <f t="shared" si="3"/>
        <v>100</v>
      </c>
    </row>
    <row r="117" spans="1:11" s="1107" customFormat="1" ht="14.25" x14ac:dyDescent="0.2">
      <c r="A117" s="34"/>
      <c r="B117" s="1139"/>
      <c r="C117" s="1119" t="s">
        <v>1504</v>
      </c>
      <c r="D117" s="312" t="s">
        <v>1503</v>
      </c>
      <c r="E117" s="55"/>
      <c r="F117" s="314">
        <v>900</v>
      </c>
      <c r="G117" s="316">
        <v>900</v>
      </c>
      <c r="H117" s="1125">
        <f t="shared" si="3"/>
        <v>100</v>
      </c>
    </row>
    <row r="118" spans="1:11" s="1107" customFormat="1" ht="15" x14ac:dyDescent="0.25">
      <c r="A118" s="34">
        <v>3319</v>
      </c>
      <c r="B118" s="1139">
        <v>5493</v>
      </c>
      <c r="C118" s="1119"/>
      <c r="D118" s="309" t="s">
        <v>730</v>
      </c>
      <c r="E118" s="55"/>
      <c r="F118" s="315">
        <f>F119+F120</f>
        <v>665</v>
      </c>
      <c r="G118" s="315">
        <f>G119+G120</f>
        <v>665</v>
      </c>
      <c r="H118" s="212">
        <f t="shared" si="3"/>
        <v>100</v>
      </c>
    </row>
    <row r="119" spans="1:11" s="1107" customFormat="1" ht="14.25" x14ac:dyDescent="0.2">
      <c r="A119" s="34"/>
      <c r="B119" s="1139"/>
      <c r="C119" s="1135" t="s">
        <v>1262</v>
      </c>
      <c r="D119" s="1114" t="s">
        <v>1757</v>
      </c>
      <c r="E119" s="55"/>
      <c r="F119" s="314">
        <v>505</v>
      </c>
      <c r="G119" s="316">
        <v>505</v>
      </c>
      <c r="H119" s="1125">
        <f t="shared" si="3"/>
        <v>100</v>
      </c>
    </row>
    <row r="120" spans="1:11" s="1107" customFormat="1" ht="14.25" x14ac:dyDescent="0.2">
      <c r="A120" s="34"/>
      <c r="B120" s="1139"/>
      <c r="C120" s="1119" t="s">
        <v>459</v>
      </c>
      <c r="D120" s="312" t="s">
        <v>460</v>
      </c>
      <c r="E120" s="55"/>
      <c r="F120" s="314">
        <v>160</v>
      </c>
      <c r="G120" s="316">
        <v>160</v>
      </c>
      <c r="H120" s="1125">
        <f t="shared" si="3"/>
        <v>100</v>
      </c>
    </row>
    <row r="121" spans="1:11" s="1107" customFormat="1" ht="15" x14ac:dyDescent="0.25">
      <c r="A121" s="34">
        <v>3322</v>
      </c>
      <c r="B121" s="1139">
        <v>5213</v>
      </c>
      <c r="C121" s="1119"/>
      <c r="D121" s="1108" t="s">
        <v>475</v>
      </c>
      <c r="E121" s="71"/>
      <c r="F121" s="313">
        <v>444</v>
      </c>
      <c r="G121" s="315">
        <v>444</v>
      </c>
      <c r="H121" s="212">
        <f t="shared" si="3"/>
        <v>100</v>
      </c>
    </row>
    <row r="122" spans="1:11" s="1107" customFormat="1" ht="14.25" x14ac:dyDescent="0.2">
      <c r="A122" s="34"/>
      <c r="B122" s="1139"/>
      <c r="C122" s="1120" t="s">
        <v>874</v>
      </c>
      <c r="D122" s="312" t="s">
        <v>1258</v>
      </c>
      <c r="E122" s="55"/>
      <c r="F122" s="314">
        <v>444</v>
      </c>
      <c r="G122" s="316">
        <v>444</v>
      </c>
      <c r="H122" s="1125">
        <f t="shared" si="3"/>
        <v>100</v>
      </c>
    </row>
    <row r="123" spans="1:11" s="1107" customFormat="1" ht="15" x14ac:dyDescent="0.25">
      <c r="A123" s="34">
        <v>3322</v>
      </c>
      <c r="B123" s="1139">
        <v>5222</v>
      </c>
      <c r="C123" s="1120"/>
      <c r="D123" s="87" t="s">
        <v>461</v>
      </c>
      <c r="E123" s="55"/>
      <c r="F123" s="315">
        <f>F124+F125</f>
        <v>200</v>
      </c>
      <c r="G123" s="315">
        <f>G124+G125</f>
        <v>200</v>
      </c>
      <c r="H123" s="212">
        <f t="shared" si="3"/>
        <v>100</v>
      </c>
      <c r="J123" s="1141"/>
      <c r="K123" s="1141"/>
    </row>
    <row r="124" spans="1:11" s="1107" customFormat="1" ht="14.25" x14ac:dyDescent="0.2">
      <c r="A124" s="34"/>
      <c r="B124" s="1139"/>
      <c r="C124" s="1120" t="s">
        <v>874</v>
      </c>
      <c r="D124" s="312" t="s">
        <v>1258</v>
      </c>
      <c r="E124" s="55"/>
      <c r="F124" s="314">
        <v>150</v>
      </c>
      <c r="G124" s="316">
        <v>150</v>
      </c>
      <c r="H124" s="1125">
        <f t="shared" si="3"/>
        <v>100</v>
      </c>
    </row>
    <row r="125" spans="1:11" s="1107" customFormat="1" ht="14.25" x14ac:dyDescent="0.2">
      <c r="A125" s="34"/>
      <c r="B125" s="1139"/>
      <c r="C125" s="1120" t="s">
        <v>875</v>
      </c>
      <c r="D125" s="312" t="s">
        <v>1259</v>
      </c>
      <c r="E125" s="55"/>
      <c r="F125" s="314">
        <v>50</v>
      </c>
      <c r="G125" s="316">
        <v>50</v>
      </c>
      <c r="H125" s="1125">
        <f t="shared" si="3"/>
        <v>100</v>
      </c>
    </row>
    <row r="126" spans="1:11" s="1107" customFormat="1" ht="15" x14ac:dyDescent="0.25">
      <c r="A126" s="34">
        <v>3322</v>
      </c>
      <c r="B126" s="1139">
        <v>5223</v>
      </c>
      <c r="C126" s="1120"/>
      <c r="D126" s="309" t="s">
        <v>1260</v>
      </c>
      <c r="E126" s="71">
        <v>21320</v>
      </c>
      <c r="F126" s="315">
        <f>F127+F128+F129</f>
        <v>3642</v>
      </c>
      <c r="G126" s="315">
        <f>G127+G128+G129</f>
        <v>3642</v>
      </c>
      <c r="H126" s="212">
        <f t="shared" ref="H126:H135" si="4">(G126/F126)*100</f>
        <v>100</v>
      </c>
    </row>
    <row r="127" spans="1:11" s="1107" customFormat="1" ht="14.25" x14ac:dyDescent="0.2">
      <c r="A127" s="34"/>
      <c r="B127" s="1139"/>
      <c r="C127" s="1120" t="s">
        <v>223</v>
      </c>
      <c r="D127" s="1114" t="s">
        <v>224</v>
      </c>
      <c r="E127" s="55">
        <v>21320</v>
      </c>
      <c r="F127" s="314">
        <v>0</v>
      </c>
      <c r="G127" s="316">
        <v>0</v>
      </c>
      <c r="H127" s="1125">
        <v>0</v>
      </c>
    </row>
    <row r="128" spans="1:11" s="1107" customFormat="1" ht="14.25" x14ac:dyDescent="0.2">
      <c r="A128" s="34"/>
      <c r="B128" s="1139"/>
      <c r="C128" s="1120" t="s">
        <v>874</v>
      </c>
      <c r="D128" s="312" t="s">
        <v>1258</v>
      </c>
      <c r="E128" s="55"/>
      <c r="F128" s="314">
        <v>3472</v>
      </c>
      <c r="G128" s="316">
        <v>3472</v>
      </c>
      <c r="H128" s="1125">
        <f t="shared" si="4"/>
        <v>100</v>
      </c>
    </row>
    <row r="129" spans="1:11" s="1107" customFormat="1" ht="14.25" x14ac:dyDescent="0.2">
      <c r="A129" s="34"/>
      <c r="B129" s="1139"/>
      <c r="C129" s="1120" t="s">
        <v>875</v>
      </c>
      <c r="D129" s="312" t="s">
        <v>1259</v>
      </c>
      <c r="E129" s="55"/>
      <c r="F129" s="314">
        <v>170</v>
      </c>
      <c r="G129" s="316">
        <v>170</v>
      </c>
      <c r="H129" s="1125">
        <f t="shared" si="4"/>
        <v>100</v>
      </c>
    </row>
    <row r="130" spans="1:11" s="1107" customFormat="1" ht="15" x14ac:dyDescent="0.25">
      <c r="A130" s="34">
        <v>3322</v>
      </c>
      <c r="B130" s="1139">
        <v>5321</v>
      </c>
      <c r="C130" s="1120"/>
      <c r="D130" s="1108" t="s">
        <v>1261</v>
      </c>
      <c r="E130" s="55"/>
      <c r="F130" s="315">
        <f>F131+F132</f>
        <v>4203</v>
      </c>
      <c r="G130" s="315">
        <f>G131+G132</f>
        <v>4203</v>
      </c>
      <c r="H130" s="212">
        <f t="shared" si="4"/>
        <v>100</v>
      </c>
    </row>
    <row r="131" spans="1:11" s="1107" customFormat="1" ht="14.25" x14ac:dyDescent="0.2">
      <c r="A131" s="34"/>
      <c r="B131" s="1139"/>
      <c r="C131" s="1120" t="s">
        <v>874</v>
      </c>
      <c r="D131" s="312" t="s">
        <v>1258</v>
      </c>
      <c r="E131" s="55"/>
      <c r="F131" s="314">
        <v>2496</v>
      </c>
      <c r="G131" s="316">
        <v>2496</v>
      </c>
      <c r="H131" s="1125">
        <f t="shared" si="4"/>
        <v>100</v>
      </c>
    </row>
    <row r="132" spans="1:11" s="1107" customFormat="1" ht="14.25" x14ac:dyDescent="0.2">
      <c r="A132" s="34"/>
      <c r="B132" s="1139"/>
      <c r="C132" s="1120" t="s">
        <v>875</v>
      </c>
      <c r="D132" s="312" t="s">
        <v>1259</v>
      </c>
      <c r="E132" s="55"/>
      <c r="F132" s="314">
        <v>1707</v>
      </c>
      <c r="G132" s="316">
        <v>1707</v>
      </c>
      <c r="H132" s="1125">
        <f t="shared" si="4"/>
        <v>100</v>
      </c>
    </row>
    <row r="133" spans="1:11" s="1107" customFormat="1" ht="15" x14ac:dyDescent="0.25">
      <c r="A133" s="34">
        <v>3322</v>
      </c>
      <c r="B133" s="1139">
        <v>5493</v>
      </c>
      <c r="C133" s="1135"/>
      <c r="D133" s="309" t="s">
        <v>730</v>
      </c>
      <c r="E133" s="55"/>
      <c r="F133" s="315">
        <f>F134+F135</f>
        <v>1515</v>
      </c>
      <c r="G133" s="315">
        <f>G134+G135</f>
        <v>1515</v>
      </c>
      <c r="H133" s="212">
        <f t="shared" si="4"/>
        <v>100</v>
      </c>
      <c r="J133" s="1141"/>
      <c r="K133" s="1141"/>
    </row>
    <row r="134" spans="1:11" s="1107" customFormat="1" ht="14.25" x14ac:dyDescent="0.2">
      <c r="A134" s="34"/>
      <c r="B134" s="1139"/>
      <c r="C134" s="1120" t="s">
        <v>874</v>
      </c>
      <c r="D134" s="312" t="s">
        <v>1258</v>
      </c>
      <c r="E134" s="55"/>
      <c r="F134" s="314">
        <v>1465</v>
      </c>
      <c r="G134" s="316">
        <v>1465</v>
      </c>
      <c r="H134" s="1125">
        <f t="shared" si="4"/>
        <v>100</v>
      </c>
      <c r="J134" s="1141">
        <f>F74+F76+F79+F80+F81+F82+F86+F90+F93+F98+F102+F104+F109+F114+F118+F121+F123+F126+F130+F133+F111</f>
        <v>47387</v>
      </c>
      <c r="K134" s="1141">
        <f>G74+G76+G79+G80+G81+G82+G86+G90+G93+G98+G102+G104+G109+G114+G118+G121+G123+G126+G130+G133+G111</f>
        <v>47382</v>
      </c>
    </row>
    <row r="135" spans="1:11" s="1107" customFormat="1" ht="15" thickBot="1" x14ac:dyDescent="0.25">
      <c r="A135" s="1146"/>
      <c r="B135" s="1139"/>
      <c r="C135" s="1120" t="s">
        <v>875</v>
      </c>
      <c r="D135" s="2327" t="s">
        <v>1259</v>
      </c>
      <c r="E135" s="1151"/>
      <c r="F135" s="314">
        <v>50</v>
      </c>
      <c r="G135" s="316">
        <v>50</v>
      </c>
      <c r="H135" s="1125">
        <f t="shared" si="4"/>
        <v>100</v>
      </c>
    </row>
    <row r="136" spans="1:11" s="361" customFormat="1" ht="35.25" customHeight="1" thickTop="1" thickBot="1" x14ac:dyDescent="0.3">
      <c r="A136" s="639" t="s">
        <v>256</v>
      </c>
      <c r="B136" s="784"/>
      <c r="C136" s="683"/>
      <c r="D136" s="784"/>
      <c r="E136" s="785">
        <f>E12+E26+E51+E64+E76+E79+E80+E81+E126+E44</f>
        <v>59705</v>
      </c>
      <c r="F136" s="643">
        <f>J69+J134</f>
        <v>70230</v>
      </c>
      <c r="G136" s="643">
        <f>K69+K134</f>
        <v>70224</v>
      </c>
      <c r="H136" s="786">
        <f>(G136/F136)*100</f>
        <v>99.991456642460491</v>
      </c>
      <c r="J136" s="701"/>
      <c r="K136" s="701"/>
    </row>
    <row r="137" spans="1:11" ht="13.5" thickTop="1" x14ac:dyDescent="0.2"/>
    <row r="139" spans="1:11" ht="15.75" x14ac:dyDescent="0.25">
      <c r="A139" s="33" t="s">
        <v>1310</v>
      </c>
      <c r="B139" s="645"/>
      <c r="C139" s="684"/>
      <c r="D139" s="685"/>
      <c r="E139" s="686"/>
      <c r="F139" s="687"/>
      <c r="G139" s="688"/>
      <c r="H139" s="689"/>
    </row>
    <row r="140" spans="1:11" ht="15.75" thickBot="1" x14ac:dyDescent="0.3">
      <c r="A140" s="645"/>
      <c r="B140" s="645"/>
      <c r="C140" s="684"/>
      <c r="D140" s="685"/>
      <c r="E140" s="686"/>
      <c r="F140" s="687"/>
      <c r="G140" s="688"/>
      <c r="H140" s="668" t="s">
        <v>173</v>
      </c>
    </row>
    <row r="141" spans="1:11" s="107" customFormat="1" ht="20.25" customHeight="1" thickTop="1" thickBot="1" x14ac:dyDescent="0.25">
      <c r="A141" s="690" t="s">
        <v>174</v>
      </c>
      <c r="B141" s="691" t="s">
        <v>175</v>
      </c>
      <c r="C141" s="692" t="s">
        <v>744</v>
      </c>
      <c r="D141" s="693" t="s">
        <v>176</v>
      </c>
      <c r="E141" s="694" t="s">
        <v>177</v>
      </c>
      <c r="F141" s="694" t="s">
        <v>922</v>
      </c>
      <c r="G141" s="694" t="s">
        <v>923</v>
      </c>
      <c r="H141" s="695" t="s">
        <v>924</v>
      </c>
    </row>
    <row r="142" spans="1:11" s="384" customFormat="1" ht="13.5" thickTop="1" thickBot="1" x14ac:dyDescent="0.25">
      <c r="A142" s="568">
        <v>1</v>
      </c>
      <c r="B142" s="569">
        <v>2</v>
      </c>
      <c r="C142" s="569">
        <v>3</v>
      </c>
      <c r="D142" s="569">
        <v>4</v>
      </c>
      <c r="E142" s="569">
        <v>5</v>
      </c>
      <c r="F142" s="543">
        <v>6</v>
      </c>
      <c r="G142" s="543">
        <v>7</v>
      </c>
      <c r="H142" s="638" t="s">
        <v>61</v>
      </c>
      <c r="I142" s="107"/>
    </row>
    <row r="143" spans="1:11" s="384" customFormat="1" ht="15.75" thickTop="1" x14ac:dyDescent="0.25">
      <c r="A143" s="50">
        <v>3319</v>
      </c>
      <c r="B143" s="19">
        <v>6341</v>
      </c>
      <c r="C143" s="1391"/>
      <c r="D143" s="381" t="s">
        <v>261</v>
      </c>
      <c r="E143" s="94"/>
      <c r="F143" s="315">
        <v>50</v>
      </c>
      <c r="G143" s="315">
        <v>50</v>
      </c>
      <c r="H143" s="203">
        <f>(G143/F143)*100</f>
        <v>100</v>
      </c>
      <c r="I143" s="107"/>
    </row>
    <row r="144" spans="1:11" s="384" customFormat="1" ht="14.25" x14ac:dyDescent="0.2">
      <c r="A144" s="34"/>
      <c r="B144" s="154"/>
      <c r="C144" s="1135" t="s">
        <v>262</v>
      </c>
      <c r="D144" s="1177" t="s">
        <v>333</v>
      </c>
      <c r="E144" s="1337"/>
      <c r="F144" s="316">
        <v>50</v>
      </c>
      <c r="G144" s="316">
        <v>50</v>
      </c>
      <c r="H144" s="1116">
        <f>(G144/F144)*100</f>
        <v>100</v>
      </c>
      <c r="I144" s="107"/>
    </row>
    <row r="145" spans="1:13" s="1107" customFormat="1" ht="15" x14ac:dyDescent="0.25">
      <c r="A145" s="50">
        <v>3319</v>
      </c>
      <c r="B145" s="19">
        <v>6341</v>
      </c>
      <c r="C145" s="1391"/>
      <c r="D145" s="381" t="s">
        <v>261</v>
      </c>
      <c r="E145" s="94"/>
      <c r="F145" s="315">
        <v>1000</v>
      </c>
      <c r="G145" s="315">
        <v>1000</v>
      </c>
      <c r="H145" s="203">
        <f>(G145/F145)*100</f>
        <v>100</v>
      </c>
    </row>
    <row r="146" spans="1:13" s="1107" customFormat="1" ht="15" thickBot="1" x14ac:dyDescent="0.25">
      <c r="A146" s="1146"/>
      <c r="B146" s="1914"/>
      <c r="C146" s="1174" t="s">
        <v>262</v>
      </c>
      <c r="D146" s="1915" t="s">
        <v>333</v>
      </c>
      <c r="E146" s="1422"/>
      <c r="F146" s="442">
        <v>1000</v>
      </c>
      <c r="G146" s="442">
        <v>1000</v>
      </c>
      <c r="H146" s="1401">
        <f>(G146/F146)*100</f>
        <v>100</v>
      </c>
    </row>
    <row r="147" spans="1:13" s="361" customFormat="1" ht="35.25" customHeight="1" thickTop="1" thickBot="1" x14ac:dyDescent="0.3">
      <c r="A147" s="696" t="s">
        <v>257</v>
      </c>
      <c r="B147" s="697"/>
      <c r="C147" s="698"/>
      <c r="D147" s="697"/>
      <c r="E147" s="699">
        <v>0</v>
      </c>
      <c r="F147" s="699">
        <f>F145+F143</f>
        <v>1050</v>
      </c>
      <c r="G147" s="699">
        <f>G145+G143</f>
        <v>1050</v>
      </c>
      <c r="H147" s="700">
        <f>(G147/F147)*100</f>
        <v>100</v>
      </c>
      <c r="K147" s="701">
        <f>E147+E136</f>
        <v>59705</v>
      </c>
      <c r="L147" s="701">
        <f>F147+F136</f>
        <v>71280</v>
      </c>
      <c r="M147" s="701">
        <f>G147+G136</f>
        <v>71274</v>
      </c>
    </row>
    <row r="148" spans="1:13" s="361" customFormat="1" ht="18.75" thickTop="1" x14ac:dyDescent="0.25">
      <c r="A148" s="359"/>
      <c r="B148" s="360"/>
      <c r="C148" s="142"/>
      <c r="D148" s="360"/>
      <c r="E148" s="17"/>
      <c r="F148" s="17"/>
      <c r="G148" s="17"/>
      <c r="H148" s="1459"/>
      <c r="K148" s="701"/>
      <c r="L148" s="701"/>
      <c r="M148" s="701"/>
    </row>
    <row r="149" spans="1:13" s="361" customFormat="1" ht="18" x14ac:dyDescent="0.25">
      <c r="A149" s="359"/>
      <c r="B149" s="360"/>
      <c r="C149" s="142"/>
      <c r="D149" s="360"/>
      <c r="E149" s="17"/>
      <c r="F149" s="17"/>
      <c r="G149" s="17"/>
      <c r="H149" s="1459"/>
      <c r="K149" s="701"/>
      <c r="L149" s="701"/>
      <c r="M149" s="701"/>
    </row>
    <row r="150" spans="1:13" s="361" customFormat="1" ht="18" x14ac:dyDescent="0.25">
      <c r="A150" s="359"/>
      <c r="B150" s="360"/>
      <c r="C150" s="142"/>
      <c r="D150" s="360"/>
      <c r="E150" s="17"/>
      <c r="F150" s="17"/>
      <c r="G150" s="17"/>
      <c r="H150" s="1459"/>
      <c r="K150" s="701"/>
      <c r="L150" s="701"/>
      <c r="M150" s="701"/>
    </row>
    <row r="151" spans="1:13" s="361" customFormat="1" ht="18" x14ac:dyDescent="0.25">
      <c r="A151" s="359"/>
      <c r="B151" s="360"/>
      <c r="C151" s="142"/>
      <c r="D151" s="360"/>
      <c r="E151" s="17"/>
      <c r="F151" s="17"/>
      <c r="G151" s="17"/>
      <c r="H151" s="1459"/>
      <c r="K151" s="701"/>
      <c r="L151" s="701"/>
      <c r="M151" s="701"/>
    </row>
    <row r="152" spans="1:13" s="361" customFormat="1" ht="18" x14ac:dyDescent="0.25">
      <c r="A152" s="359"/>
      <c r="B152" s="360"/>
      <c r="C152" s="142"/>
      <c r="D152" s="360"/>
      <c r="E152" s="17"/>
      <c r="F152" s="17"/>
      <c r="G152" s="17"/>
      <c r="H152" s="1459"/>
      <c r="K152" s="701"/>
      <c r="L152" s="701"/>
      <c r="M152" s="701"/>
    </row>
    <row r="153" spans="1:13" ht="15.75" x14ac:dyDescent="0.25">
      <c r="A153" s="677" t="s">
        <v>660</v>
      </c>
      <c r="B153" s="666"/>
    </row>
    <row r="154" spans="1:13" ht="15.75" x14ac:dyDescent="0.25">
      <c r="A154" s="677"/>
      <c r="B154" s="666"/>
    </row>
    <row r="155" spans="1:13" s="669" customFormat="1" ht="15.75" x14ac:dyDescent="0.25">
      <c r="A155" s="703" t="s">
        <v>945</v>
      </c>
      <c r="B155" s="666"/>
      <c r="C155" s="667"/>
      <c r="D155" s="534"/>
      <c r="E155" s="585" t="s">
        <v>877</v>
      </c>
      <c r="F155" s="675"/>
      <c r="G155" s="675"/>
      <c r="H155" s="676"/>
    </row>
    <row r="156" spans="1:13" ht="13.5" thickBot="1" x14ac:dyDescent="0.25">
      <c r="A156" s="787"/>
      <c r="B156" s="666"/>
      <c r="H156" s="668" t="s">
        <v>173</v>
      </c>
    </row>
    <row r="157" spans="1:13" s="711" customFormat="1" ht="20.25" customHeight="1" thickTop="1" thickBot="1" x14ac:dyDescent="0.25">
      <c r="A157" s="788" t="s">
        <v>174</v>
      </c>
      <c r="B157" s="706" t="s">
        <v>175</v>
      </c>
      <c r="C157" s="707" t="s">
        <v>744</v>
      </c>
      <c r="D157" s="708" t="s">
        <v>176</v>
      </c>
      <c r="E157" s="709" t="s">
        <v>177</v>
      </c>
      <c r="F157" s="709" t="s">
        <v>922</v>
      </c>
      <c r="G157" s="709" t="s">
        <v>923</v>
      </c>
      <c r="H157" s="710" t="s">
        <v>924</v>
      </c>
    </row>
    <row r="158" spans="1:13" s="384" customFormat="1" ht="13.5" thickTop="1" thickBot="1" x14ac:dyDescent="0.25">
      <c r="A158" s="568">
        <v>1</v>
      </c>
      <c r="B158" s="569">
        <v>2</v>
      </c>
      <c r="C158" s="569">
        <v>3</v>
      </c>
      <c r="D158" s="569">
        <v>4</v>
      </c>
      <c r="E158" s="569">
        <v>5</v>
      </c>
      <c r="F158" s="543">
        <v>6</v>
      </c>
      <c r="G158" s="543">
        <v>7</v>
      </c>
      <c r="H158" s="638" t="s">
        <v>61</v>
      </c>
      <c r="I158" s="107"/>
    </row>
    <row r="159" spans="1:13" ht="15.75" thickTop="1" x14ac:dyDescent="0.25">
      <c r="A159" s="1912">
        <v>3314</v>
      </c>
      <c r="B159" s="713">
        <v>5331</v>
      </c>
      <c r="C159" s="714"/>
      <c r="D159" s="626" t="s">
        <v>249</v>
      </c>
      <c r="E159" s="389">
        <f>E160+E161+E162+E163+E164+E165+E166</f>
        <v>36512</v>
      </c>
      <c r="F159" s="389">
        <f>F160+F161+F162+F163+F164+F165+F166</f>
        <v>37561</v>
      </c>
      <c r="G159" s="389">
        <f>G160+G161+G162+G163+G164+G165+G166</f>
        <v>37561</v>
      </c>
      <c r="H159" s="789">
        <f t="shared" ref="H159:H167" si="5">G159/F159*100</f>
        <v>100</v>
      </c>
    </row>
    <row r="160" spans="1:13" ht="14.25" x14ac:dyDescent="0.2">
      <c r="A160" s="712"/>
      <c r="B160" s="729"/>
      <c r="C160" s="719" t="s">
        <v>611</v>
      </c>
      <c r="D160" s="756" t="s">
        <v>1322</v>
      </c>
      <c r="E160" s="356">
        <v>2674</v>
      </c>
      <c r="F160" s="356">
        <v>2464</v>
      </c>
      <c r="G160" s="356">
        <v>2464</v>
      </c>
      <c r="H160" s="718">
        <f t="shared" si="5"/>
        <v>100</v>
      </c>
    </row>
    <row r="161" spans="1:8" ht="13.5" customHeight="1" x14ac:dyDescent="0.2">
      <c r="A161" s="712"/>
      <c r="B161" s="729"/>
      <c r="C161" s="554" t="s">
        <v>606</v>
      </c>
      <c r="D161" s="550" t="s">
        <v>1141</v>
      </c>
      <c r="E161" s="790">
        <v>13372</v>
      </c>
      <c r="F161" s="790">
        <v>13422</v>
      </c>
      <c r="G161" s="316">
        <v>13422</v>
      </c>
      <c r="H161" s="718">
        <f t="shared" si="5"/>
        <v>100</v>
      </c>
    </row>
    <row r="162" spans="1:8" ht="13.5" customHeight="1" x14ac:dyDescent="0.2">
      <c r="A162" s="712"/>
      <c r="B162" s="729"/>
      <c r="C162" s="554" t="s">
        <v>1181</v>
      </c>
      <c r="D162" s="571" t="s">
        <v>360</v>
      </c>
      <c r="E162" s="790">
        <v>1602</v>
      </c>
      <c r="F162" s="790">
        <v>1584</v>
      </c>
      <c r="G162" s="316">
        <v>1584</v>
      </c>
      <c r="H162" s="718">
        <f t="shared" si="5"/>
        <v>100</v>
      </c>
    </row>
    <row r="163" spans="1:8" ht="13.5" customHeight="1" x14ac:dyDescent="0.2">
      <c r="A163" s="712"/>
      <c r="B163" s="729"/>
      <c r="C163" s="554" t="s">
        <v>703</v>
      </c>
      <c r="D163" s="571" t="s">
        <v>746</v>
      </c>
      <c r="E163" s="790">
        <v>18864</v>
      </c>
      <c r="F163" s="790">
        <v>18864</v>
      </c>
      <c r="G163" s="316">
        <v>18864</v>
      </c>
      <c r="H163" s="718">
        <f t="shared" si="5"/>
        <v>100</v>
      </c>
    </row>
    <row r="164" spans="1:8" ht="13.5" customHeight="1" x14ac:dyDescent="0.2">
      <c r="A164" s="712"/>
      <c r="B164" s="729"/>
      <c r="C164" s="554" t="s">
        <v>226</v>
      </c>
      <c r="D164" s="791" t="s">
        <v>678</v>
      </c>
      <c r="E164" s="790"/>
      <c r="F164" s="790">
        <v>870</v>
      </c>
      <c r="G164" s="316">
        <v>870</v>
      </c>
      <c r="H164" s="718">
        <f t="shared" si="5"/>
        <v>100</v>
      </c>
    </row>
    <row r="165" spans="1:8" ht="13.5" customHeight="1" x14ac:dyDescent="0.2">
      <c r="A165" s="712"/>
      <c r="B165" s="729"/>
      <c r="C165" s="730" t="s">
        <v>361</v>
      </c>
      <c r="D165" s="770" t="s">
        <v>929</v>
      </c>
      <c r="E165" s="731"/>
      <c r="F165" s="732">
        <v>256</v>
      </c>
      <c r="G165" s="732">
        <v>256</v>
      </c>
      <c r="H165" s="718">
        <f t="shared" si="5"/>
        <v>100</v>
      </c>
    </row>
    <row r="166" spans="1:8" ht="14.25" customHeight="1" thickBot="1" x14ac:dyDescent="0.25">
      <c r="A166" s="712"/>
      <c r="B166" s="729"/>
      <c r="C166" s="730" t="s">
        <v>362</v>
      </c>
      <c r="D166" s="770" t="s">
        <v>930</v>
      </c>
      <c r="E166" s="731"/>
      <c r="F166" s="732">
        <v>101</v>
      </c>
      <c r="G166" s="732">
        <v>101</v>
      </c>
      <c r="H166" s="718">
        <f t="shared" si="5"/>
        <v>100</v>
      </c>
    </row>
    <row r="167" spans="1:8" s="368" customFormat="1" ht="18" thickTop="1" thickBot="1" x14ac:dyDescent="0.3">
      <c r="A167" s="720" t="s">
        <v>1162</v>
      </c>
      <c r="B167" s="721"/>
      <c r="C167" s="722"/>
      <c r="D167" s="723"/>
      <c r="E167" s="724">
        <f>SUM(E159)</f>
        <v>36512</v>
      </c>
      <c r="F167" s="724">
        <f>F159</f>
        <v>37561</v>
      </c>
      <c r="G167" s="724">
        <f>G159</f>
        <v>37561</v>
      </c>
      <c r="H167" s="736">
        <f t="shared" si="5"/>
        <v>100</v>
      </c>
    </row>
    <row r="168" spans="1:8" ht="13.5" thickTop="1" x14ac:dyDescent="0.2"/>
    <row r="169" spans="1:8" s="368" customFormat="1" ht="27.75" customHeight="1" thickBot="1" x14ac:dyDescent="0.3">
      <c r="A169" s="792" t="s">
        <v>946</v>
      </c>
      <c r="B169" s="740"/>
      <c r="C169" s="741"/>
      <c r="D169" s="742"/>
      <c r="E169" s="743">
        <f>SUM(E167)</f>
        <v>36512</v>
      </c>
      <c r="F169" s="743">
        <f>SUM(F167)</f>
        <v>37561</v>
      </c>
      <c r="G169" s="743">
        <f>SUM(G167)</f>
        <v>37561</v>
      </c>
      <c r="H169" s="793">
        <f>(G169/F169)*100</f>
        <v>100</v>
      </c>
    </row>
    <row r="170" spans="1:8" ht="13.5" thickTop="1" x14ac:dyDescent="0.2">
      <c r="A170" s="666"/>
      <c r="B170" s="666"/>
    </row>
    <row r="171" spans="1:8" x14ac:dyDescent="0.2">
      <c r="A171" s="666"/>
      <c r="B171" s="666"/>
    </row>
    <row r="172" spans="1:8" x14ac:dyDescent="0.2">
      <c r="A172" s="666"/>
      <c r="B172" s="666"/>
    </row>
    <row r="173" spans="1:8" x14ac:dyDescent="0.2">
      <c r="A173" s="666"/>
      <c r="B173" s="666"/>
    </row>
    <row r="175" spans="1:8" s="669" customFormat="1" ht="15.75" x14ac:dyDescent="0.25">
      <c r="A175" s="703" t="s">
        <v>947</v>
      </c>
      <c r="B175" s="666"/>
      <c r="C175" s="667"/>
      <c r="D175" s="534"/>
      <c r="E175" s="585" t="s">
        <v>878</v>
      </c>
      <c r="F175" s="675"/>
      <c r="G175" s="675"/>
      <c r="H175" s="676"/>
    </row>
    <row r="176" spans="1:8" ht="13.5" thickBot="1" x14ac:dyDescent="0.25">
      <c r="A176" s="787"/>
      <c r="B176" s="666"/>
      <c r="H176" s="668" t="s">
        <v>173</v>
      </c>
    </row>
    <row r="177" spans="1:12" s="711" customFormat="1" ht="20.25" customHeight="1" thickTop="1" thickBot="1" x14ac:dyDescent="0.25">
      <c r="A177" s="788" t="s">
        <v>174</v>
      </c>
      <c r="B177" s="706" t="s">
        <v>175</v>
      </c>
      <c r="C177" s="707" t="s">
        <v>744</v>
      </c>
      <c r="D177" s="708" t="s">
        <v>176</v>
      </c>
      <c r="E177" s="709" t="s">
        <v>177</v>
      </c>
      <c r="F177" s="709" t="s">
        <v>922</v>
      </c>
      <c r="G177" s="709" t="s">
        <v>923</v>
      </c>
      <c r="H177" s="710" t="s">
        <v>924</v>
      </c>
    </row>
    <row r="178" spans="1:12" s="384" customFormat="1" ht="13.5" thickTop="1" thickBot="1" x14ac:dyDescent="0.25">
      <c r="A178" s="568">
        <v>1</v>
      </c>
      <c r="B178" s="569">
        <v>2</v>
      </c>
      <c r="C178" s="569">
        <v>3</v>
      </c>
      <c r="D178" s="569">
        <v>4</v>
      </c>
      <c r="E178" s="569">
        <v>5</v>
      </c>
      <c r="F178" s="543">
        <v>6</v>
      </c>
      <c r="G178" s="543">
        <v>7</v>
      </c>
      <c r="H178" s="638" t="s">
        <v>61</v>
      </c>
      <c r="I178" s="107"/>
    </row>
    <row r="179" spans="1:12" ht="15.75" thickTop="1" x14ac:dyDescent="0.25">
      <c r="A179" s="1912">
        <v>3315</v>
      </c>
      <c r="B179" s="713">
        <v>5331</v>
      </c>
      <c r="C179" s="794"/>
      <c r="D179" s="626" t="s">
        <v>249</v>
      </c>
      <c r="E179" s="795">
        <f>E180+E183+E185</f>
        <v>28662</v>
      </c>
      <c r="F179" s="795">
        <f>F180+F181+F182+F183+F184+F185+F186</f>
        <v>32214</v>
      </c>
      <c r="G179" s="795">
        <f>G180+G181+G182+G183+G184+G185+G186</f>
        <v>32214</v>
      </c>
      <c r="H179" s="715">
        <f t="shared" ref="H179:H189" si="6">G179/F179*100</f>
        <v>100</v>
      </c>
    </row>
    <row r="180" spans="1:12" ht="14.25" x14ac:dyDescent="0.2">
      <c r="A180" s="712"/>
      <c r="B180" s="729"/>
      <c r="C180" s="719" t="s">
        <v>611</v>
      </c>
      <c r="D180" s="756" t="s">
        <v>1322</v>
      </c>
      <c r="E180" s="757">
        <v>4700</v>
      </c>
      <c r="F180" s="356">
        <v>6758</v>
      </c>
      <c r="G180" s="356">
        <v>6758</v>
      </c>
      <c r="H180" s="718">
        <f t="shared" si="6"/>
        <v>100</v>
      </c>
    </row>
    <row r="181" spans="1:12" ht="14.25" x14ac:dyDescent="0.2">
      <c r="A181" s="712"/>
      <c r="B181" s="729"/>
      <c r="C181" s="1721" t="s">
        <v>260</v>
      </c>
      <c r="D181" s="2328" t="s">
        <v>32</v>
      </c>
      <c r="E181" s="757"/>
      <c r="F181" s="356">
        <v>32</v>
      </c>
      <c r="G181" s="356">
        <v>32</v>
      </c>
      <c r="H181" s="718">
        <f t="shared" si="6"/>
        <v>100</v>
      </c>
    </row>
    <row r="182" spans="1:12" ht="14.25" x14ac:dyDescent="0.2">
      <c r="A182" s="712"/>
      <c r="B182" s="729"/>
      <c r="C182" s="1120" t="s">
        <v>197</v>
      </c>
      <c r="D182" s="117" t="s">
        <v>931</v>
      </c>
      <c r="E182" s="757"/>
      <c r="F182" s="356">
        <v>250</v>
      </c>
      <c r="G182" s="356">
        <v>250</v>
      </c>
      <c r="H182" s="718">
        <f t="shared" si="6"/>
        <v>100</v>
      </c>
    </row>
    <row r="183" spans="1:12" ht="14.25" x14ac:dyDescent="0.2">
      <c r="A183" s="712"/>
      <c r="B183" s="729"/>
      <c r="C183" s="554" t="s">
        <v>606</v>
      </c>
      <c r="D183" s="550" t="s">
        <v>1141</v>
      </c>
      <c r="E183" s="757">
        <v>10182</v>
      </c>
      <c r="F183" s="356">
        <v>10732</v>
      </c>
      <c r="G183" s="356">
        <v>10732</v>
      </c>
      <c r="H183" s="718">
        <f t="shared" si="6"/>
        <v>100</v>
      </c>
    </row>
    <row r="184" spans="1:12" ht="14.25" x14ac:dyDescent="0.2">
      <c r="A184" s="712"/>
      <c r="B184" s="729"/>
      <c r="C184" s="1120" t="s">
        <v>22</v>
      </c>
      <c r="D184" s="91" t="s">
        <v>1263</v>
      </c>
      <c r="E184" s="757"/>
      <c r="F184" s="356">
        <v>337</v>
      </c>
      <c r="G184" s="356">
        <v>337</v>
      </c>
      <c r="H184" s="718">
        <f t="shared" si="6"/>
        <v>100</v>
      </c>
    </row>
    <row r="185" spans="1:12" ht="14.25" x14ac:dyDescent="0.2">
      <c r="A185" s="712"/>
      <c r="B185" s="729"/>
      <c r="C185" s="554" t="s">
        <v>703</v>
      </c>
      <c r="D185" s="571" t="s">
        <v>746</v>
      </c>
      <c r="E185" s="757">
        <v>13780</v>
      </c>
      <c r="F185" s="356">
        <v>14085</v>
      </c>
      <c r="G185" s="356">
        <v>14085</v>
      </c>
      <c r="H185" s="718">
        <f t="shared" si="6"/>
        <v>100</v>
      </c>
    </row>
    <row r="186" spans="1:12" ht="15" thickBot="1" x14ac:dyDescent="0.25">
      <c r="A186" s="712"/>
      <c r="B186" s="729"/>
      <c r="C186" s="730" t="s">
        <v>362</v>
      </c>
      <c r="D186" s="1908" t="s">
        <v>930</v>
      </c>
      <c r="E186" s="796"/>
      <c r="F186" s="732">
        <v>20</v>
      </c>
      <c r="G186" s="732">
        <v>20</v>
      </c>
      <c r="H186" s="1909">
        <f t="shared" si="6"/>
        <v>100</v>
      </c>
    </row>
    <row r="187" spans="1:12" s="368" customFormat="1" ht="20.25" customHeight="1" thickTop="1" thickBot="1" x14ac:dyDescent="0.3">
      <c r="A187" s="720" t="s">
        <v>1162</v>
      </c>
      <c r="B187" s="721"/>
      <c r="C187" s="722"/>
      <c r="D187" s="723"/>
      <c r="E187" s="724">
        <f>E179</f>
        <v>28662</v>
      </c>
      <c r="F187" s="724">
        <f>F179</f>
        <v>32214</v>
      </c>
      <c r="G187" s="724">
        <f>G179</f>
        <v>32214</v>
      </c>
      <c r="H187" s="736">
        <f t="shared" si="6"/>
        <v>100</v>
      </c>
    </row>
    <row r="188" spans="1:12" ht="15.75" thickTop="1" x14ac:dyDescent="0.25">
      <c r="A188" s="726">
        <v>3315</v>
      </c>
      <c r="B188" s="1523">
        <v>6351</v>
      </c>
      <c r="C188" s="714"/>
      <c r="D188" s="626" t="s">
        <v>1234</v>
      </c>
      <c r="E188" s="389">
        <f>E189+E190</f>
        <v>600</v>
      </c>
      <c r="F188" s="389">
        <f>F189+F190</f>
        <v>677</v>
      </c>
      <c r="G188" s="389">
        <f>G189+G190</f>
        <v>677</v>
      </c>
      <c r="H188" s="715">
        <f>G188/F188*100</f>
        <v>100</v>
      </c>
    </row>
    <row r="189" spans="1:12" ht="14.25" x14ac:dyDescent="0.2">
      <c r="A189" s="716"/>
      <c r="B189" s="1910"/>
      <c r="C189" s="1120" t="s">
        <v>197</v>
      </c>
      <c r="D189" s="117" t="s">
        <v>931</v>
      </c>
      <c r="E189" s="436">
        <v>600</v>
      </c>
      <c r="F189" s="436">
        <v>600</v>
      </c>
      <c r="G189" s="436">
        <v>600</v>
      </c>
      <c r="H189" s="718">
        <f t="shared" si="6"/>
        <v>100</v>
      </c>
    </row>
    <row r="190" spans="1:12" ht="15" thickBot="1" x14ac:dyDescent="0.25">
      <c r="A190" s="712"/>
      <c r="B190" s="729"/>
      <c r="C190" s="1120" t="s">
        <v>22</v>
      </c>
      <c r="D190" s="91" t="s">
        <v>1263</v>
      </c>
      <c r="E190" s="436"/>
      <c r="F190" s="436">
        <v>77</v>
      </c>
      <c r="G190" s="436">
        <v>77</v>
      </c>
      <c r="H190" s="718">
        <f>G190/F190*100</f>
        <v>100</v>
      </c>
    </row>
    <row r="191" spans="1:12" ht="20.25" customHeight="1" thickTop="1" thickBot="1" x14ac:dyDescent="0.3">
      <c r="A191" s="720" t="s">
        <v>1163</v>
      </c>
      <c r="B191" s="721"/>
      <c r="C191" s="722"/>
      <c r="D191" s="723"/>
      <c r="E191" s="724">
        <f>E188</f>
        <v>600</v>
      </c>
      <c r="F191" s="724">
        <f>SUM(F188)</f>
        <v>677</v>
      </c>
      <c r="G191" s="724">
        <f>SUM(G188)</f>
        <v>677</v>
      </c>
      <c r="H191" s="736">
        <f>G191/F191*100</f>
        <v>100</v>
      </c>
      <c r="J191" s="495"/>
      <c r="K191" s="495"/>
      <c r="L191" s="495"/>
    </row>
    <row r="192" spans="1:12" ht="20.25" customHeight="1" thickTop="1" x14ac:dyDescent="0.25">
      <c r="A192" s="362"/>
      <c r="B192" s="363"/>
      <c r="C192" s="364"/>
      <c r="D192" s="365"/>
      <c r="E192" s="738"/>
      <c r="F192" s="738"/>
      <c r="G192" s="738"/>
      <c r="H192" s="586"/>
      <c r="J192" s="495"/>
      <c r="K192" s="495"/>
      <c r="L192" s="495"/>
    </row>
    <row r="193" spans="1:12" s="368" customFormat="1" ht="27.75" customHeight="1" thickBot="1" x14ac:dyDescent="0.3">
      <c r="A193" s="792" t="s">
        <v>948</v>
      </c>
      <c r="B193" s="740"/>
      <c r="C193" s="741"/>
      <c r="D193" s="742"/>
      <c r="E193" s="743">
        <f>E187+E191</f>
        <v>29262</v>
      </c>
      <c r="F193" s="743">
        <f>F187+F191</f>
        <v>32891</v>
      </c>
      <c r="G193" s="743">
        <f>G187+G191</f>
        <v>32891</v>
      </c>
      <c r="H193" s="797">
        <f>(G193/F193)*100</f>
        <v>100</v>
      </c>
      <c r="K193" s="526"/>
      <c r="L193" s="526"/>
    </row>
    <row r="194" spans="1:12" s="368" customFormat="1" ht="24.75" customHeight="1" thickTop="1" x14ac:dyDescent="0.25">
      <c r="A194" s="362"/>
      <c r="B194" s="363"/>
      <c r="C194" s="364"/>
      <c r="D194" s="365"/>
      <c r="E194" s="738"/>
      <c r="F194" s="738"/>
      <c r="G194" s="738"/>
      <c r="H194" s="367"/>
      <c r="K194" s="526"/>
      <c r="L194" s="526"/>
    </row>
    <row r="195" spans="1:12" s="368" customFormat="1" ht="24.75" customHeight="1" x14ac:dyDescent="0.25">
      <c r="A195" s="362"/>
      <c r="B195" s="363"/>
      <c r="C195" s="364"/>
      <c r="D195" s="365"/>
      <c r="E195" s="738"/>
      <c r="F195" s="738"/>
      <c r="G195" s="738"/>
      <c r="H195" s="367"/>
      <c r="K195" s="526"/>
      <c r="L195" s="526"/>
    </row>
    <row r="196" spans="1:12" s="368" customFormat="1" ht="24.75" customHeight="1" x14ac:dyDescent="0.25">
      <c r="A196" s="362"/>
      <c r="B196" s="363"/>
      <c r="C196" s="364"/>
      <c r="D196" s="365"/>
      <c r="E196" s="738"/>
      <c r="F196" s="738"/>
      <c r="G196" s="738"/>
      <c r="H196" s="367"/>
      <c r="K196" s="526"/>
      <c r="L196" s="526"/>
    </row>
    <row r="197" spans="1:12" s="368" customFormat="1" ht="24.75" customHeight="1" x14ac:dyDescent="0.25">
      <c r="A197" s="362"/>
      <c r="B197" s="363"/>
      <c r="C197" s="364"/>
      <c r="D197" s="365"/>
      <c r="E197" s="738"/>
      <c r="F197" s="738"/>
      <c r="G197" s="738"/>
      <c r="H197" s="367"/>
      <c r="K197" s="526"/>
      <c r="L197" s="526"/>
    </row>
    <row r="198" spans="1:12" s="368" customFormat="1" ht="21" customHeight="1" x14ac:dyDescent="0.25">
      <c r="A198" s="362"/>
      <c r="B198" s="363"/>
      <c r="C198" s="364"/>
      <c r="D198" s="365"/>
      <c r="E198" s="738"/>
      <c r="F198" s="738"/>
      <c r="G198" s="738"/>
      <c r="H198" s="367"/>
      <c r="K198" s="526"/>
      <c r="L198" s="526"/>
    </row>
    <row r="199" spans="1:12" s="669" customFormat="1" ht="15.75" x14ac:dyDescent="0.25">
      <c r="A199" s="703" t="s">
        <v>759</v>
      </c>
      <c r="B199" s="666"/>
      <c r="C199" s="667"/>
      <c r="D199" s="534"/>
      <c r="E199" s="585" t="s">
        <v>879</v>
      </c>
      <c r="F199" s="675"/>
      <c r="G199" s="675"/>
      <c r="H199" s="676"/>
    </row>
    <row r="200" spans="1:12" ht="13.5" thickBot="1" x14ac:dyDescent="0.25">
      <c r="A200" s="787"/>
      <c r="B200" s="666"/>
      <c r="H200" s="668" t="s">
        <v>173</v>
      </c>
    </row>
    <row r="201" spans="1:12" s="711" customFormat="1" ht="20.25" customHeight="1" thickTop="1" thickBot="1" x14ac:dyDescent="0.25">
      <c r="A201" s="788" t="s">
        <v>174</v>
      </c>
      <c r="B201" s="706" t="s">
        <v>175</v>
      </c>
      <c r="C201" s="707" t="s">
        <v>744</v>
      </c>
      <c r="D201" s="708" t="s">
        <v>176</v>
      </c>
      <c r="E201" s="709" t="s">
        <v>177</v>
      </c>
      <c r="F201" s="709" t="s">
        <v>922</v>
      </c>
      <c r="G201" s="709" t="s">
        <v>923</v>
      </c>
      <c r="H201" s="710" t="s">
        <v>924</v>
      </c>
    </row>
    <row r="202" spans="1:12" s="384" customFormat="1" ht="13.5" thickTop="1" thickBot="1" x14ac:dyDescent="0.25">
      <c r="A202" s="568">
        <v>1</v>
      </c>
      <c r="B202" s="569">
        <v>2</v>
      </c>
      <c r="C202" s="569">
        <v>3</v>
      </c>
      <c r="D202" s="569">
        <v>4</v>
      </c>
      <c r="E202" s="569">
        <v>5</v>
      </c>
      <c r="F202" s="543">
        <v>6</v>
      </c>
      <c r="G202" s="543">
        <v>7</v>
      </c>
      <c r="H202" s="638" t="s">
        <v>61</v>
      </c>
      <c r="I202" s="107"/>
    </row>
    <row r="203" spans="1:12" ht="15.75" thickTop="1" x14ac:dyDescent="0.25">
      <c r="A203" s="1912">
        <v>3315</v>
      </c>
      <c r="B203" s="713">
        <v>5331</v>
      </c>
      <c r="C203" s="714"/>
      <c r="D203" s="626" t="s">
        <v>249</v>
      </c>
      <c r="E203" s="389">
        <f>E204+E205+E206</f>
        <v>5807</v>
      </c>
      <c r="F203" s="389">
        <f>F204+F205+F206</f>
        <v>5563</v>
      </c>
      <c r="G203" s="389">
        <f>G204+G205+G206</f>
        <v>5563</v>
      </c>
      <c r="H203" s="715">
        <f>G203/F203*100</f>
        <v>100</v>
      </c>
    </row>
    <row r="204" spans="1:12" ht="14.25" x14ac:dyDescent="0.2">
      <c r="A204" s="712"/>
      <c r="B204" s="729"/>
      <c r="C204" s="719" t="s">
        <v>611</v>
      </c>
      <c r="D204" s="756" t="s">
        <v>1322</v>
      </c>
      <c r="E204" s="356">
        <v>1236</v>
      </c>
      <c r="F204" s="356">
        <v>687</v>
      </c>
      <c r="G204" s="356">
        <v>687</v>
      </c>
      <c r="H204" s="718">
        <f>G204/F204*100</f>
        <v>100</v>
      </c>
    </row>
    <row r="205" spans="1:12" ht="14.25" x14ac:dyDescent="0.2">
      <c r="A205" s="712"/>
      <c r="B205" s="729"/>
      <c r="C205" s="554" t="s">
        <v>606</v>
      </c>
      <c r="D205" s="550" t="s">
        <v>1141</v>
      </c>
      <c r="E205" s="356">
        <v>1911</v>
      </c>
      <c r="F205" s="356">
        <v>2396</v>
      </c>
      <c r="G205" s="356">
        <v>2396</v>
      </c>
      <c r="H205" s="718">
        <f>G205/F205*100</f>
        <v>100</v>
      </c>
    </row>
    <row r="206" spans="1:12" ht="15" thickBot="1" x14ac:dyDescent="0.25">
      <c r="A206" s="712"/>
      <c r="B206" s="729"/>
      <c r="C206" s="554" t="s">
        <v>703</v>
      </c>
      <c r="D206" s="571" t="s">
        <v>746</v>
      </c>
      <c r="E206" s="356">
        <v>2660</v>
      </c>
      <c r="F206" s="356">
        <v>2480</v>
      </c>
      <c r="G206" s="356">
        <v>2480</v>
      </c>
      <c r="H206" s="718">
        <f>G206/F206*100</f>
        <v>100</v>
      </c>
    </row>
    <row r="207" spans="1:12" s="368" customFormat="1" ht="20.25" customHeight="1" thickTop="1" thickBot="1" x14ac:dyDescent="0.3">
      <c r="A207" s="720" t="s">
        <v>1162</v>
      </c>
      <c r="B207" s="721"/>
      <c r="C207" s="722"/>
      <c r="D207" s="723"/>
      <c r="E207" s="724">
        <f>SUM(E203)</f>
        <v>5807</v>
      </c>
      <c r="F207" s="724">
        <f>SUM(F203)</f>
        <v>5563</v>
      </c>
      <c r="G207" s="724">
        <f>SUM(G203)</f>
        <v>5563</v>
      </c>
      <c r="H207" s="736">
        <f>G207/F207*100</f>
        <v>100</v>
      </c>
    </row>
    <row r="208" spans="1:12" ht="13.5" thickTop="1" x14ac:dyDescent="0.2"/>
    <row r="209" spans="1:9" s="368" customFormat="1" ht="27.75" customHeight="1" thickBot="1" x14ac:dyDescent="0.3">
      <c r="A209" s="792" t="s">
        <v>1308</v>
      </c>
      <c r="B209" s="740"/>
      <c r="C209" s="741"/>
      <c r="D209" s="742"/>
      <c r="E209" s="743">
        <f>SUM(E207)</f>
        <v>5807</v>
      </c>
      <c r="F209" s="743">
        <f>SUM(F207)</f>
        <v>5563</v>
      </c>
      <c r="G209" s="743">
        <f>SUM(G207)</f>
        <v>5563</v>
      </c>
      <c r="H209" s="793">
        <f>(G209/F209)*100</f>
        <v>100</v>
      </c>
    </row>
    <row r="210" spans="1:9" ht="13.5" thickTop="1" x14ac:dyDescent="0.2">
      <c r="A210" s="665"/>
      <c r="B210" s="666"/>
    </row>
    <row r="211" spans="1:9" x14ac:dyDescent="0.2">
      <c r="A211" s="798"/>
    </row>
    <row r="212" spans="1:9" x14ac:dyDescent="0.2">
      <c r="A212" s="798"/>
    </row>
    <row r="213" spans="1:9" x14ac:dyDescent="0.2">
      <c r="A213" s="798"/>
    </row>
    <row r="214" spans="1:9" x14ac:dyDescent="0.2">
      <c r="A214" s="798"/>
    </row>
    <row r="215" spans="1:9" s="503" customFormat="1" ht="15.75" x14ac:dyDescent="0.25">
      <c r="A215" s="703" t="s">
        <v>949</v>
      </c>
      <c r="B215" s="754"/>
      <c r="C215" s="755"/>
      <c r="E215" s="585" t="s">
        <v>880</v>
      </c>
      <c r="F215" s="585"/>
      <c r="G215" s="585"/>
      <c r="H215" s="744"/>
    </row>
    <row r="216" spans="1:9" ht="13.5" thickBot="1" x14ac:dyDescent="0.25">
      <c r="A216" s="787"/>
      <c r="B216" s="666"/>
      <c r="H216" s="668" t="s">
        <v>173</v>
      </c>
    </row>
    <row r="217" spans="1:9" s="711" customFormat="1" ht="20.25" customHeight="1" thickTop="1" thickBot="1" x14ac:dyDescent="0.25">
      <c r="A217" s="788" t="s">
        <v>174</v>
      </c>
      <c r="B217" s="706" t="s">
        <v>175</v>
      </c>
      <c r="C217" s="707" t="s">
        <v>744</v>
      </c>
      <c r="D217" s="708" t="s">
        <v>176</v>
      </c>
      <c r="E217" s="709" t="s">
        <v>177</v>
      </c>
      <c r="F217" s="709" t="s">
        <v>922</v>
      </c>
      <c r="G217" s="709" t="s">
        <v>923</v>
      </c>
      <c r="H217" s="710" t="s">
        <v>924</v>
      </c>
    </row>
    <row r="218" spans="1:9" s="384" customFormat="1" ht="13.5" thickTop="1" thickBot="1" x14ac:dyDescent="0.25">
      <c r="A218" s="568">
        <v>1</v>
      </c>
      <c r="B218" s="569">
        <v>2</v>
      </c>
      <c r="C218" s="569">
        <v>3</v>
      </c>
      <c r="D218" s="569">
        <v>4</v>
      </c>
      <c r="E218" s="569">
        <v>5</v>
      </c>
      <c r="F218" s="543">
        <v>6</v>
      </c>
      <c r="G218" s="543">
        <v>7</v>
      </c>
      <c r="H218" s="638" t="s">
        <v>61</v>
      </c>
      <c r="I218" s="107"/>
    </row>
    <row r="219" spans="1:9" ht="15.75" thickTop="1" x14ac:dyDescent="0.25">
      <c r="A219" s="1912">
        <v>3315</v>
      </c>
      <c r="B219" s="713">
        <v>5331</v>
      </c>
      <c r="C219" s="714"/>
      <c r="D219" s="626" t="s">
        <v>249</v>
      </c>
      <c r="E219" s="389">
        <f>E220+E222+E224</f>
        <v>12659</v>
      </c>
      <c r="F219" s="389">
        <f>F220+F222+F224+F221+F223</f>
        <v>13643</v>
      </c>
      <c r="G219" s="389">
        <f>G220+G222+G224+G221+G223</f>
        <v>13643</v>
      </c>
      <c r="H219" s="715">
        <f t="shared" ref="H219:H228" si="7">G219/F219*100</f>
        <v>100</v>
      </c>
    </row>
    <row r="220" spans="1:9" ht="14.25" x14ac:dyDescent="0.2">
      <c r="A220" s="712"/>
      <c r="B220" s="729"/>
      <c r="C220" s="719" t="s">
        <v>611</v>
      </c>
      <c r="D220" s="756" t="s">
        <v>1322</v>
      </c>
      <c r="E220" s="356">
        <v>1065</v>
      </c>
      <c r="F220" s="356">
        <v>1189</v>
      </c>
      <c r="G220" s="356">
        <v>1189</v>
      </c>
      <c r="H220" s="718">
        <f t="shared" si="7"/>
        <v>100</v>
      </c>
    </row>
    <row r="221" spans="1:9" ht="14.25" x14ac:dyDescent="0.2">
      <c r="A221" s="712"/>
      <c r="B221" s="729"/>
      <c r="C221" s="1120" t="s">
        <v>197</v>
      </c>
      <c r="D221" s="117" t="s">
        <v>931</v>
      </c>
      <c r="E221" s="356"/>
      <c r="F221" s="356">
        <v>710</v>
      </c>
      <c r="G221" s="356">
        <v>710</v>
      </c>
      <c r="H221" s="718">
        <f t="shared" si="7"/>
        <v>100</v>
      </c>
    </row>
    <row r="222" spans="1:9" ht="14.25" x14ac:dyDescent="0.2">
      <c r="A222" s="712"/>
      <c r="B222" s="729"/>
      <c r="C222" s="554" t="s">
        <v>606</v>
      </c>
      <c r="D222" s="550" t="s">
        <v>1141</v>
      </c>
      <c r="E222" s="356">
        <v>4892</v>
      </c>
      <c r="F222" s="356">
        <v>4936</v>
      </c>
      <c r="G222" s="356">
        <v>4936</v>
      </c>
      <c r="H222" s="718">
        <f t="shared" si="7"/>
        <v>100</v>
      </c>
    </row>
    <row r="223" spans="1:9" ht="14.25" x14ac:dyDescent="0.2">
      <c r="A223" s="712"/>
      <c r="B223" s="729"/>
      <c r="C223" s="1120" t="s">
        <v>22</v>
      </c>
      <c r="D223" s="91" t="s">
        <v>1263</v>
      </c>
      <c r="E223" s="356"/>
      <c r="F223" s="356">
        <v>150</v>
      </c>
      <c r="G223" s="356">
        <v>150</v>
      </c>
      <c r="H223" s="718">
        <f t="shared" si="7"/>
        <v>100</v>
      </c>
    </row>
    <row r="224" spans="1:9" ht="15" thickBot="1" x14ac:dyDescent="0.25">
      <c r="A224" s="712"/>
      <c r="B224" s="729"/>
      <c r="C224" s="554" t="s">
        <v>703</v>
      </c>
      <c r="D224" s="571" t="s">
        <v>746</v>
      </c>
      <c r="E224" s="356">
        <v>6702</v>
      </c>
      <c r="F224" s="356">
        <v>6658</v>
      </c>
      <c r="G224" s="356">
        <v>6658</v>
      </c>
      <c r="H224" s="718">
        <f t="shared" si="7"/>
        <v>100</v>
      </c>
    </row>
    <row r="225" spans="1:9" s="368" customFormat="1" ht="20.25" customHeight="1" thickTop="1" thickBot="1" x14ac:dyDescent="0.3">
      <c r="A225" s="720" t="s">
        <v>1162</v>
      </c>
      <c r="B225" s="721"/>
      <c r="C225" s="722"/>
      <c r="D225" s="723"/>
      <c r="E225" s="724">
        <f>SUM(E219)</f>
        <v>12659</v>
      </c>
      <c r="F225" s="724">
        <f>SUM(F219)</f>
        <v>13643</v>
      </c>
      <c r="G225" s="724">
        <f>SUM(G219)</f>
        <v>13643</v>
      </c>
      <c r="H225" s="736">
        <f t="shared" si="7"/>
        <v>100</v>
      </c>
    </row>
    <row r="226" spans="1:9" ht="15.75" thickTop="1" x14ac:dyDescent="0.25">
      <c r="A226" s="726">
        <v>3315</v>
      </c>
      <c r="B226" s="1523">
        <v>6351</v>
      </c>
      <c r="C226" s="714"/>
      <c r="D226" s="626" t="s">
        <v>1234</v>
      </c>
      <c r="E226" s="728">
        <f>E227</f>
        <v>3500</v>
      </c>
      <c r="F226" s="728">
        <f>F227</f>
        <v>2790</v>
      </c>
      <c r="G226" s="728">
        <f>G227</f>
        <v>2790</v>
      </c>
      <c r="H226" s="715">
        <f t="shared" si="7"/>
        <v>100</v>
      </c>
    </row>
    <row r="227" spans="1:9" ht="15" thickBot="1" x14ac:dyDescent="0.25">
      <c r="A227" s="716"/>
      <c r="B227" s="1910"/>
      <c r="C227" s="1120" t="s">
        <v>197</v>
      </c>
      <c r="D227" s="117" t="s">
        <v>931</v>
      </c>
      <c r="E227" s="747">
        <v>3500</v>
      </c>
      <c r="F227" s="747">
        <v>2790</v>
      </c>
      <c r="G227" s="747">
        <v>2790</v>
      </c>
      <c r="H227" s="1911">
        <f t="shared" si="7"/>
        <v>100</v>
      </c>
      <c r="I227" s="382"/>
    </row>
    <row r="228" spans="1:9" ht="20.25" customHeight="1" thickTop="1" thickBot="1" x14ac:dyDescent="0.3">
      <c r="A228" s="720" t="s">
        <v>1163</v>
      </c>
      <c r="B228" s="721"/>
      <c r="C228" s="722"/>
      <c r="D228" s="723"/>
      <c r="E228" s="735">
        <f>E226</f>
        <v>3500</v>
      </c>
      <c r="F228" s="735">
        <f>SUM(F226)</f>
        <v>2790</v>
      </c>
      <c r="G228" s="735">
        <f>SUM(G226)</f>
        <v>2790</v>
      </c>
      <c r="H228" s="736">
        <f t="shared" si="7"/>
        <v>100</v>
      </c>
    </row>
    <row r="229" spans="1:9" ht="14.25" customHeight="1" thickTop="1" x14ac:dyDescent="0.25">
      <c r="A229" s="362"/>
      <c r="B229" s="363"/>
      <c r="C229" s="364"/>
      <c r="D229" s="365"/>
      <c r="E229" s="738"/>
      <c r="F229" s="738"/>
      <c r="G229" s="738"/>
      <c r="H229" s="799"/>
    </row>
    <row r="230" spans="1:9" s="368" customFormat="1" ht="27.75" customHeight="1" thickBot="1" x14ac:dyDescent="0.3">
      <c r="A230" s="792" t="s">
        <v>950</v>
      </c>
      <c r="B230" s="740"/>
      <c r="C230" s="741"/>
      <c r="D230" s="742"/>
      <c r="E230" s="743">
        <f>E225+E228</f>
        <v>16159</v>
      </c>
      <c r="F230" s="743">
        <f>F225+F228</f>
        <v>16433</v>
      </c>
      <c r="G230" s="743">
        <f>G225+G228</f>
        <v>16433</v>
      </c>
      <c r="H230" s="793">
        <f>(G230/F230)*100</f>
        <v>100</v>
      </c>
    </row>
    <row r="231" spans="1:9" s="368" customFormat="1" ht="16.5" customHeight="1" thickTop="1" x14ac:dyDescent="0.25">
      <c r="A231" s="362"/>
      <c r="B231" s="363"/>
      <c r="C231" s="364"/>
      <c r="D231" s="365"/>
      <c r="E231" s="738"/>
      <c r="F231" s="738"/>
      <c r="G231" s="738"/>
      <c r="H231" s="799"/>
    </row>
    <row r="232" spans="1:9" s="368" customFormat="1" ht="16.5" customHeight="1" x14ac:dyDescent="0.25">
      <c r="A232" s="362"/>
      <c r="B232" s="363"/>
      <c r="C232" s="364"/>
      <c r="D232" s="365"/>
      <c r="E232" s="738"/>
      <c r="F232" s="738"/>
      <c r="G232" s="738"/>
      <c r="H232" s="799"/>
    </row>
    <row r="233" spans="1:9" s="368" customFormat="1" ht="16.5" customHeight="1" x14ac:dyDescent="0.25">
      <c r="A233" s="362"/>
      <c r="B233" s="363"/>
      <c r="C233" s="364"/>
      <c r="D233" s="365"/>
      <c r="E233" s="738"/>
      <c r="F233" s="738"/>
      <c r="G233" s="738"/>
      <c r="H233" s="799"/>
    </row>
    <row r="234" spans="1:9" s="503" customFormat="1" ht="15.75" x14ac:dyDescent="0.25">
      <c r="A234" s="703" t="s">
        <v>951</v>
      </c>
      <c r="B234" s="754"/>
      <c r="C234" s="755"/>
      <c r="E234" s="585" t="s">
        <v>881</v>
      </c>
      <c r="F234" s="585"/>
      <c r="G234" s="585"/>
      <c r="H234" s="744"/>
    </row>
    <row r="235" spans="1:9" ht="13.5" thickBot="1" x14ac:dyDescent="0.25">
      <c r="A235" s="787"/>
      <c r="B235" s="666"/>
      <c r="H235" s="668" t="s">
        <v>173</v>
      </c>
    </row>
    <row r="236" spans="1:9" s="711" customFormat="1" ht="20.25" customHeight="1" thickTop="1" thickBot="1" x14ac:dyDescent="0.25">
      <c r="A236" s="788" t="s">
        <v>174</v>
      </c>
      <c r="B236" s="706" t="s">
        <v>175</v>
      </c>
      <c r="C236" s="707" t="s">
        <v>744</v>
      </c>
      <c r="D236" s="708" t="s">
        <v>176</v>
      </c>
      <c r="E236" s="709" t="s">
        <v>177</v>
      </c>
      <c r="F236" s="709" t="s">
        <v>922</v>
      </c>
      <c r="G236" s="709" t="s">
        <v>923</v>
      </c>
      <c r="H236" s="710" t="s">
        <v>924</v>
      </c>
    </row>
    <row r="237" spans="1:9" s="384" customFormat="1" ht="13.5" thickTop="1" thickBot="1" x14ac:dyDescent="0.25">
      <c r="A237" s="568">
        <v>1</v>
      </c>
      <c r="B237" s="569">
        <v>2</v>
      </c>
      <c r="C237" s="569">
        <v>3</v>
      </c>
      <c r="D237" s="569">
        <v>4</v>
      </c>
      <c r="E237" s="569">
        <v>5</v>
      </c>
      <c r="F237" s="543">
        <v>6</v>
      </c>
      <c r="G237" s="543">
        <v>7</v>
      </c>
      <c r="H237" s="638" t="s">
        <v>61</v>
      </c>
      <c r="I237" s="107"/>
    </row>
    <row r="238" spans="1:9" ht="15.75" thickTop="1" x14ac:dyDescent="0.25">
      <c r="A238" s="1912">
        <v>3315</v>
      </c>
      <c r="B238" s="713">
        <v>5331</v>
      </c>
      <c r="C238" s="714"/>
      <c r="D238" s="626" t="s">
        <v>249</v>
      </c>
      <c r="E238" s="389">
        <f>E239+E241+E242</f>
        <v>17916</v>
      </c>
      <c r="F238" s="389">
        <f>F239+F241+F242+F240</f>
        <v>18315</v>
      </c>
      <c r="G238" s="389">
        <f>G239+G241+G242+G240</f>
        <v>18315</v>
      </c>
      <c r="H238" s="715">
        <f t="shared" ref="H238:H243" si="8">G238/F238*100</f>
        <v>100</v>
      </c>
    </row>
    <row r="239" spans="1:9" ht="14.25" x14ac:dyDescent="0.2">
      <c r="A239" s="712"/>
      <c r="B239" s="729"/>
      <c r="C239" s="719" t="s">
        <v>611</v>
      </c>
      <c r="D239" s="756" t="s">
        <v>1322</v>
      </c>
      <c r="E239" s="356">
        <v>915</v>
      </c>
      <c r="F239" s="356">
        <v>918</v>
      </c>
      <c r="G239" s="356">
        <v>918</v>
      </c>
      <c r="H239" s="718">
        <f t="shared" si="8"/>
        <v>100</v>
      </c>
    </row>
    <row r="240" spans="1:9" ht="14.25" x14ac:dyDescent="0.2">
      <c r="A240" s="712"/>
      <c r="B240" s="729"/>
      <c r="C240" s="1120" t="s">
        <v>197</v>
      </c>
      <c r="D240" s="117" t="s">
        <v>931</v>
      </c>
      <c r="E240" s="356"/>
      <c r="F240" s="356">
        <v>382</v>
      </c>
      <c r="G240" s="356">
        <v>382</v>
      </c>
      <c r="H240" s="718">
        <f t="shared" si="8"/>
        <v>100</v>
      </c>
    </row>
    <row r="241" spans="1:9" ht="14.25" x14ac:dyDescent="0.2">
      <c r="A241" s="712"/>
      <c r="B241" s="729"/>
      <c r="C241" s="554" t="s">
        <v>606</v>
      </c>
      <c r="D241" s="550" t="s">
        <v>72</v>
      </c>
      <c r="E241" s="356">
        <v>6807</v>
      </c>
      <c r="F241" s="356">
        <v>6821</v>
      </c>
      <c r="G241" s="356">
        <v>6821</v>
      </c>
      <c r="H241" s="718">
        <f t="shared" si="8"/>
        <v>100</v>
      </c>
    </row>
    <row r="242" spans="1:9" ht="15" thickBot="1" x14ac:dyDescent="0.25">
      <c r="A242" s="712"/>
      <c r="B242" s="729"/>
      <c r="C242" s="554" t="s">
        <v>703</v>
      </c>
      <c r="D242" s="571" t="s">
        <v>746</v>
      </c>
      <c r="E242" s="356">
        <v>10194</v>
      </c>
      <c r="F242" s="356">
        <v>10194</v>
      </c>
      <c r="G242" s="356">
        <v>10194</v>
      </c>
      <c r="H242" s="718">
        <f t="shared" si="8"/>
        <v>100</v>
      </c>
    </row>
    <row r="243" spans="1:9" s="368" customFormat="1" ht="20.25" customHeight="1" thickTop="1" thickBot="1" x14ac:dyDescent="0.3">
      <c r="A243" s="720" t="s">
        <v>1162</v>
      </c>
      <c r="B243" s="721"/>
      <c r="C243" s="722"/>
      <c r="D243" s="723"/>
      <c r="E243" s="724">
        <f>SUM(E238)</f>
        <v>17916</v>
      </c>
      <c r="F243" s="724">
        <f>SUM(F238)</f>
        <v>18315</v>
      </c>
      <c r="G243" s="724">
        <f>SUM(G238)</f>
        <v>18315</v>
      </c>
      <c r="H243" s="736">
        <f t="shared" si="8"/>
        <v>100</v>
      </c>
    </row>
    <row r="244" spans="1:9" ht="15" thickTop="1" x14ac:dyDescent="0.2">
      <c r="A244" s="798"/>
      <c r="H244" s="800"/>
    </row>
    <row r="245" spans="1:9" s="368" customFormat="1" ht="27.75" customHeight="1" thickBot="1" x14ac:dyDescent="0.3">
      <c r="A245" s="792" t="s">
        <v>568</v>
      </c>
      <c r="B245" s="740"/>
      <c r="C245" s="741"/>
      <c r="D245" s="742"/>
      <c r="E245" s="743">
        <f>E243</f>
        <v>17916</v>
      </c>
      <c r="F245" s="743">
        <f>F243</f>
        <v>18315</v>
      </c>
      <c r="G245" s="743">
        <f>G243</f>
        <v>18315</v>
      </c>
      <c r="H245" s="801">
        <f>G245/F245*100</f>
        <v>100</v>
      </c>
    </row>
    <row r="246" spans="1:9" ht="13.5" thickTop="1" x14ac:dyDescent="0.2">
      <c r="A246" s="666"/>
      <c r="B246" s="666"/>
    </row>
    <row r="247" spans="1:9" x14ac:dyDescent="0.2">
      <c r="A247" s="666"/>
      <c r="B247" s="666"/>
    </row>
    <row r="248" spans="1:9" x14ac:dyDescent="0.2">
      <c r="A248" s="666"/>
      <c r="B248" s="666"/>
    </row>
    <row r="249" spans="1:9" s="503" customFormat="1" ht="15.75" x14ac:dyDescent="0.25">
      <c r="A249" s="703" t="s">
        <v>952</v>
      </c>
      <c r="B249" s="754"/>
      <c r="C249" s="755"/>
      <c r="E249" s="585" t="s">
        <v>882</v>
      </c>
      <c r="F249" s="585"/>
      <c r="G249" s="585"/>
      <c r="H249" s="744"/>
    </row>
    <row r="250" spans="1:9" ht="13.5" thickBot="1" x14ac:dyDescent="0.25">
      <c r="A250" s="787"/>
      <c r="B250" s="666"/>
      <c r="H250" s="668" t="s">
        <v>173</v>
      </c>
    </row>
    <row r="251" spans="1:9" s="711" customFormat="1" ht="20.25" customHeight="1" thickTop="1" thickBot="1" x14ac:dyDescent="0.25">
      <c r="A251" s="788" t="s">
        <v>174</v>
      </c>
      <c r="B251" s="706" t="s">
        <v>175</v>
      </c>
      <c r="C251" s="707" t="s">
        <v>744</v>
      </c>
      <c r="D251" s="708" t="s">
        <v>176</v>
      </c>
      <c r="E251" s="709" t="s">
        <v>177</v>
      </c>
      <c r="F251" s="709" t="s">
        <v>922</v>
      </c>
      <c r="G251" s="709" t="s">
        <v>923</v>
      </c>
      <c r="H251" s="710" t="s">
        <v>924</v>
      </c>
    </row>
    <row r="252" spans="1:9" s="384" customFormat="1" ht="13.5" thickTop="1" thickBot="1" x14ac:dyDescent="0.25">
      <c r="A252" s="568">
        <v>1</v>
      </c>
      <c r="B252" s="569">
        <v>2</v>
      </c>
      <c r="C252" s="569">
        <v>3</v>
      </c>
      <c r="D252" s="569">
        <v>4</v>
      </c>
      <c r="E252" s="569">
        <v>5</v>
      </c>
      <c r="F252" s="543">
        <v>6</v>
      </c>
      <c r="G252" s="543">
        <v>7</v>
      </c>
      <c r="H252" s="638" t="s">
        <v>61</v>
      </c>
      <c r="I252" s="107"/>
    </row>
    <row r="253" spans="1:9" ht="15.75" thickTop="1" x14ac:dyDescent="0.25">
      <c r="A253" s="1912">
        <v>3315</v>
      </c>
      <c r="B253" s="713">
        <v>5331</v>
      </c>
      <c r="C253" s="714"/>
      <c r="D253" s="626" t="s">
        <v>249</v>
      </c>
      <c r="E253" s="389">
        <f>E254+E255+E257</f>
        <v>21043</v>
      </c>
      <c r="F253" s="389">
        <f>F254+F255+F257+F256+F258</f>
        <v>21156</v>
      </c>
      <c r="G253" s="389">
        <f>G254+G255+G257+G256+G258</f>
        <v>21156</v>
      </c>
      <c r="H253" s="715">
        <f t="shared" ref="H253:H258" si="9">G253/F253*100</f>
        <v>100</v>
      </c>
    </row>
    <row r="254" spans="1:9" ht="14.25" x14ac:dyDescent="0.2">
      <c r="A254" s="712"/>
      <c r="B254" s="729"/>
      <c r="C254" s="719" t="s">
        <v>611</v>
      </c>
      <c r="D254" s="756" t="s">
        <v>1322</v>
      </c>
      <c r="E254" s="356">
        <v>1097</v>
      </c>
      <c r="F254" s="356">
        <v>1080</v>
      </c>
      <c r="G254" s="356">
        <v>1080</v>
      </c>
      <c r="H254" s="718">
        <f t="shared" si="9"/>
        <v>100</v>
      </c>
    </row>
    <row r="255" spans="1:9" ht="12.75" customHeight="1" x14ac:dyDescent="0.2">
      <c r="A255" s="712"/>
      <c r="B255" s="729"/>
      <c r="C255" s="554" t="s">
        <v>606</v>
      </c>
      <c r="D255" s="550" t="s">
        <v>155</v>
      </c>
      <c r="E255" s="316">
        <v>9280</v>
      </c>
      <c r="F255" s="316">
        <v>9280</v>
      </c>
      <c r="G255" s="316">
        <v>9280</v>
      </c>
      <c r="H255" s="718">
        <f t="shared" si="9"/>
        <v>100</v>
      </c>
    </row>
    <row r="256" spans="1:9" ht="12.75" customHeight="1" x14ac:dyDescent="0.2">
      <c r="A256" s="712"/>
      <c r="B256" s="729"/>
      <c r="C256" s="1120" t="s">
        <v>22</v>
      </c>
      <c r="D256" s="91" t="s">
        <v>1263</v>
      </c>
      <c r="E256" s="316"/>
      <c r="F256" s="316">
        <v>100</v>
      </c>
      <c r="G256" s="316">
        <v>100</v>
      </c>
      <c r="H256" s="718">
        <f t="shared" si="9"/>
        <v>100</v>
      </c>
    </row>
    <row r="257" spans="1:9" ht="12.75" customHeight="1" x14ac:dyDescent="0.2">
      <c r="A257" s="712"/>
      <c r="B257" s="729"/>
      <c r="C257" s="554" t="s">
        <v>703</v>
      </c>
      <c r="D257" s="571" t="s">
        <v>746</v>
      </c>
      <c r="E257" s="316">
        <v>10666</v>
      </c>
      <c r="F257" s="316">
        <v>10666</v>
      </c>
      <c r="G257" s="316">
        <v>10666</v>
      </c>
      <c r="H257" s="718">
        <f t="shared" si="9"/>
        <v>100</v>
      </c>
    </row>
    <row r="258" spans="1:9" ht="12.75" customHeight="1" thickBot="1" x14ac:dyDescent="0.25">
      <c r="A258" s="712"/>
      <c r="B258" s="729"/>
      <c r="C258" s="1119" t="s">
        <v>1506</v>
      </c>
      <c r="D258" s="1114" t="s">
        <v>1796</v>
      </c>
      <c r="E258" s="316"/>
      <c r="F258" s="316">
        <v>30</v>
      </c>
      <c r="G258" s="316">
        <v>30</v>
      </c>
      <c r="H258" s="718">
        <f t="shared" si="9"/>
        <v>100</v>
      </c>
    </row>
    <row r="259" spans="1:9" s="368" customFormat="1" ht="20.25" customHeight="1" thickTop="1" thickBot="1" x14ac:dyDescent="0.3">
      <c r="A259" s="720" t="s">
        <v>1162</v>
      </c>
      <c r="B259" s="721"/>
      <c r="C259" s="722"/>
      <c r="D259" s="723"/>
      <c r="E259" s="724">
        <f>SUM(E253)</f>
        <v>21043</v>
      </c>
      <c r="F259" s="724">
        <f>SUM(F253)</f>
        <v>21156</v>
      </c>
      <c r="G259" s="724">
        <f>SUM(G253)</f>
        <v>21156</v>
      </c>
      <c r="H259" s="802">
        <f>(G259/F259)*100</f>
        <v>100</v>
      </c>
    </row>
    <row r="260" spans="1:9" ht="15" thickTop="1" x14ac:dyDescent="0.2">
      <c r="A260" s="798"/>
      <c r="H260" s="800"/>
    </row>
    <row r="261" spans="1:9" s="368" customFormat="1" ht="27.75" customHeight="1" thickBot="1" x14ac:dyDescent="0.3">
      <c r="A261" s="792" t="s">
        <v>953</v>
      </c>
      <c r="B261" s="740"/>
      <c r="C261" s="741"/>
      <c r="D261" s="742"/>
      <c r="E261" s="743">
        <f>SUM(E259)</f>
        <v>21043</v>
      </c>
      <c r="F261" s="743">
        <f>SUM(F259)</f>
        <v>21156</v>
      </c>
      <c r="G261" s="743">
        <f>SUM(G259)</f>
        <v>21156</v>
      </c>
      <c r="H261" s="793">
        <f>(G261/F261)*100</f>
        <v>100</v>
      </c>
    </row>
    <row r="262" spans="1:9" s="368" customFormat="1" ht="22.5" customHeight="1" thickTop="1" x14ac:dyDescent="0.25">
      <c r="A262" s="362"/>
      <c r="B262" s="363"/>
      <c r="C262" s="364"/>
      <c r="D262" s="365"/>
      <c r="E262" s="738"/>
      <c r="F262" s="738"/>
      <c r="G262" s="738"/>
      <c r="H262" s="799"/>
    </row>
    <row r="263" spans="1:9" s="503" customFormat="1" ht="15.75" customHeight="1" x14ac:dyDescent="0.25">
      <c r="A263" s="703" t="s">
        <v>905</v>
      </c>
      <c r="B263" s="754"/>
      <c r="C263" s="755"/>
      <c r="E263" s="585" t="s">
        <v>883</v>
      </c>
      <c r="F263" s="585"/>
      <c r="G263" s="585"/>
      <c r="H263" s="744"/>
    </row>
    <row r="264" spans="1:9" ht="13.5" thickBot="1" x14ac:dyDescent="0.25">
      <c r="A264" s="787"/>
      <c r="B264" s="666"/>
      <c r="H264" s="668" t="s">
        <v>173</v>
      </c>
    </row>
    <row r="265" spans="1:9" s="711" customFormat="1" ht="20.25" customHeight="1" thickTop="1" thickBot="1" x14ac:dyDescent="0.25">
      <c r="A265" s="788" t="s">
        <v>174</v>
      </c>
      <c r="B265" s="706" t="s">
        <v>175</v>
      </c>
      <c r="C265" s="707" t="s">
        <v>744</v>
      </c>
      <c r="D265" s="708" t="s">
        <v>176</v>
      </c>
      <c r="E265" s="709" t="s">
        <v>177</v>
      </c>
      <c r="F265" s="709" t="s">
        <v>922</v>
      </c>
      <c r="G265" s="709" t="s">
        <v>923</v>
      </c>
      <c r="H265" s="710" t="s">
        <v>924</v>
      </c>
    </row>
    <row r="266" spans="1:9" s="384" customFormat="1" ht="13.5" thickTop="1" thickBot="1" x14ac:dyDescent="0.25">
      <c r="A266" s="568">
        <v>1</v>
      </c>
      <c r="B266" s="569">
        <v>2</v>
      </c>
      <c r="C266" s="569">
        <v>3</v>
      </c>
      <c r="D266" s="569">
        <v>4</v>
      </c>
      <c r="E266" s="569">
        <v>5</v>
      </c>
      <c r="F266" s="543">
        <v>6</v>
      </c>
      <c r="G266" s="543">
        <v>7</v>
      </c>
      <c r="H266" s="638" t="s">
        <v>61</v>
      </c>
      <c r="I266" s="107"/>
    </row>
    <row r="267" spans="1:9" ht="15.75" thickTop="1" x14ac:dyDescent="0.25">
      <c r="A267" s="1912">
        <v>3315</v>
      </c>
      <c r="B267" s="713">
        <v>5331</v>
      </c>
      <c r="C267" s="714"/>
      <c r="D267" s="626" t="s">
        <v>249</v>
      </c>
      <c r="E267" s="389">
        <f>E268+E269+E270+E271</f>
        <v>2880</v>
      </c>
      <c r="F267" s="389">
        <f>F268+F269+F270+F271</f>
        <v>3054</v>
      </c>
      <c r="G267" s="389">
        <f>G268+G269+G270+G271</f>
        <v>3054</v>
      </c>
      <c r="H267" s="715">
        <f>G267/F267*100</f>
        <v>100</v>
      </c>
    </row>
    <row r="268" spans="1:9" ht="14.25" x14ac:dyDescent="0.2">
      <c r="A268" s="712"/>
      <c r="B268" s="729"/>
      <c r="C268" s="719" t="s">
        <v>611</v>
      </c>
      <c r="D268" s="756" t="s">
        <v>1322</v>
      </c>
      <c r="E268" s="436">
        <v>1354</v>
      </c>
      <c r="F268" s="436">
        <v>1377</v>
      </c>
      <c r="G268" s="436">
        <v>1377</v>
      </c>
      <c r="H268" s="718">
        <f>G268/F268*100</f>
        <v>100</v>
      </c>
    </row>
    <row r="269" spans="1:9" ht="14.25" x14ac:dyDescent="0.2">
      <c r="A269" s="712"/>
      <c r="B269" s="729"/>
      <c r="C269" s="1120" t="s">
        <v>197</v>
      </c>
      <c r="D269" s="117" t="s">
        <v>931</v>
      </c>
      <c r="E269" s="436">
        <v>300</v>
      </c>
      <c r="F269" s="436">
        <v>300</v>
      </c>
      <c r="G269" s="436">
        <v>300</v>
      </c>
      <c r="H269" s="718">
        <f>G269/F269*100</f>
        <v>100</v>
      </c>
    </row>
    <row r="270" spans="1:9" ht="14.25" x14ac:dyDescent="0.2">
      <c r="A270" s="712"/>
      <c r="B270" s="729"/>
      <c r="C270" s="554" t="s">
        <v>606</v>
      </c>
      <c r="D270" s="550" t="s">
        <v>155</v>
      </c>
      <c r="E270" s="356">
        <v>1226</v>
      </c>
      <c r="F270" s="356">
        <v>1236</v>
      </c>
      <c r="G270" s="356">
        <v>1236</v>
      </c>
      <c r="H270" s="718">
        <f>G270/F270*100</f>
        <v>100</v>
      </c>
    </row>
    <row r="271" spans="1:9" ht="15" thickBot="1" x14ac:dyDescent="0.25">
      <c r="A271" s="712"/>
      <c r="B271" s="729"/>
      <c r="C271" s="1241" t="s">
        <v>1506</v>
      </c>
      <c r="D271" s="1349" t="s">
        <v>1505</v>
      </c>
      <c r="E271" s="356"/>
      <c r="F271" s="356">
        <v>141</v>
      </c>
      <c r="G271" s="356">
        <v>141</v>
      </c>
      <c r="H271" s="718">
        <f>G271/F271*100</f>
        <v>100</v>
      </c>
    </row>
    <row r="272" spans="1:9" s="368" customFormat="1" ht="20.25" customHeight="1" thickTop="1" thickBot="1" x14ac:dyDescent="0.3">
      <c r="A272" s="720" t="s">
        <v>1162</v>
      </c>
      <c r="B272" s="721"/>
      <c r="C272" s="722"/>
      <c r="D272" s="723"/>
      <c r="E272" s="724">
        <f>SUM(E267)</f>
        <v>2880</v>
      </c>
      <c r="F272" s="724">
        <f>F267</f>
        <v>3054</v>
      </c>
      <c r="G272" s="724">
        <f>G267</f>
        <v>3054</v>
      </c>
      <c r="H272" s="802">
        <f>(G272/F272)*100</f>
        <v>100</v>
      </c>
    </row>
    <row r="273" spans="1:19" ht="15" thickTop="1" x14ac:dyDescent="0.2">
      <c r="H273" s="800"/>
    </row>
    <row r="274" spans="1:19" s="368" customFormat="1" ht="27.75" customHeight="1" thickBot="1" x14ac:dyDescent="0.3">
      <c r="A274" s="792" t="s">
        <v>503</v>
      </c>
      <c r="B274" s="740"/>
      <c r="C274" s="741"/>
      <c r="D274" s="742"/>
      <c r="E274" s="743">
        <f>SUM(E272)</f>
        <v>2880</v>
      </c>
      <c r="F274" s="743">
        <f>SUM(F272)</f>
        <v>3054</v>
      </c>
      <c r="G274" s="743">
        <f>SUM(G272)</f>
        <v>3054</v>
      </c>
      <c r="H274" s="793">
        <f>(G274/F274)*100</f>
        <v>100</v>
      </c>
    </row>
    <row r="275" spans="1:19" ht="13.5" thickTop="1" x14ac:dyDescent="0.2">
      <c r="A275" s="666"/>
      <c r="B275" s="666"/>
    </row>
    <row r="278" spans="1:19" s="503" customFormat="1" ht="15.75" x14ac:dyDescent="0.25">
      <c r="A278" s="842" t="s">
        <v>1142</v>
      </c>
      <c r="B278" s="843"/>
      <c r="C278" s="843"/>
      <c r="D278" s="843"/>
      <c r="E278" s="489"/>
      <c r="F278" s="489"/>
      <c r="G278" s="489"/>
      <c r="H278" s="825"/>
    </row>
    <row r="279" spans="1:19" s="669" customFormat="1" ht="15" thickBot="1" x14ac:dyDescent="0.25">
      <c r="A279" s="666"/>
      <c r="B279" s="666"/>
      <c r="C279" s="667"/>
      <c r="D279" s="534"/>
      <c r="E279" s="826"/>
      <c r="F279" s="826"/>
      <c r="G279" s="826"/>
      <c r="H279" s="676" t="s">
        <v>173</v>
      </c>
    </row>
    <row r="280" spans="1:19" s="669" customFormat="1" ht="14.25" thickTop="1" thickBot="1" x14ac:dyDescent="0.25">
      <c r="A280" s="633" t="s">
        <v>174</v>
      </c>
      <c r="B280" s="634" t="s">
        <v>175</v>
      </c>
      <c r="C280" s="678" t="s">
        <v>744</v>
      </c>
      <c r="D280" s="636" t="s">
        <v>176</v>
      </c>
      <c r="E280" s="636" t="s">
        <v>177</v>
      </c>
      <c r="F280" s="636" t="s">
        <v>922</v>
      </c>
      <c r="G280" s="636" t="s">
        <v>923</v>
      </c>
      <c r="H280" s="637" t="s">
        <v>924</v>
      </c>
    </row>
    <row r="281" spans="1:19" s="669" customFormat="1" ht="14.25" thickTop="1" thickBot="1" x14ac:dyDescent="0.25">
      <c r="A281" s="568">
        <v>1</v>
      </c>
      <c r="B281" s="569">
        <v>2</v>
      </c>
      <c r="C281" s="569">
        <v>3</v>
      </c>
      <c r="D281" s="569">
        <v>4</v>
      </c>
      <c r="E281" s="569">
        <v>5</v>
      </c>
      <c r="F281" s="543">
        <v>6</v>
      </c>
      <c r="G281" s="543">
        <v>7</v>
      </c>
      <c r="H281" s="638" t="s">
        <v>61</v>
      </c>
    </row>
    <row r="282" spans="1:19" s="1107" customFormat="1" ht="15.75" thickTop="1" x14ac:dyDescent="0.25">
      <c r="A282" s="34">
        <v>3319</v>
      </c>
      <c r="B282" s="1139">
        <v>5331</v>
      </c>
      <c r="C282" s="122"/>
      <c r="D282" s="1131" t="s">
        <v>876</v>
      </c>
      <c r="E282" s="48">
        <f>E283+E284</f>
        <v>600</v>
      </c>
      <c r="F282" s="1352">
        <v>0</v>
      </c>
      <c r="G282" s="315">
        <v>0</v>
      </c>
      <c r="H282" s="212">
        <v>0</v>
      </c>
    </row>
    <row r="283" spans="1:19" s="669" customFormat="1" ht="15" x14ac:dyDescent="0.25">
      <c r="A283" s="1416"/>
      <c r="B283" s="1131"/>
      <c r="C283" s="1120" t="s">
        <v>606</v>
      </c>
      <c r="D283" s="85" t="s">
        <v>1507</v>
      </c>
      <c r="E283" s="55">
        <v>300</v>
      </c>
      <c r="F283" s="314">
        <v>0</v>
      </c>
      <c r="G283" s="316">
        <v>0</v>
      </c>
      <c r="H283" s="1125">
        <v>0</v>
      </c>
    </row>
    <row r="284" spans="1:19" s="669" customFormat="1" ht="15.75" thickBot="1" x14ac:dyDescent="0.3">
      <c r="A284" s="1416"/>
      <c r="B284" s="1131"/>
      <c r="C284" s="1120" t="s">
        <v>1506</v>
      </c>
      <c r="D284" s="85" t="s">
        <v>1505</v>
      </c>
      <c r="E284" s="55">
        <v>300</v>
      </c>
      <c r="F284" s="314">
        <v>0</v>
      </c>
      <c r="G284" s="316">
        <v>0</v>
      </c>
      <c r="H284" s="1125">
        <v>0</v>
      </c>
    </row>
    <row r="285" spans="1:19" s="832" customFormat="1" ht="20.25" customHeight="1" thickTop="1" thickBot="1" x14ac:dyDescent="0.3">
      <c r="A285" s="720" t="s">
        <v>1143</v>
      </c>
      <c r="B285" s="721"/>
      <c r="C285" s="722"/>
      <c r="D285" s="723"/>
      <c r="E285" s="735">
        <f>E282</f>
        <v>600</v>
      </c>
      <c r="F285" s="735">
        <f>SUM(F282)</f>
        <v>0</v>
      </c>
      <c r="G285" s="735">
        <f>SUM(G282)</f>
        <v>0</v>
      </c>
      <c r="H285" s="831">
        <f>SUM(H282)</f>
        <v>0</v>
      </c>
      <c r="J285" s="526"/>
      <c r="K285" s="526"/>
      <c r="L285" s="526"/>
      <c r="M285" s="525"/>
      <c r="S285" s="832">
        <v>0</v>
      </c>
    </row>
    <row r="286" spans="1:19" ht="13.5" thickTop="1" x14ac:dyDescent="0.2"/>
    <row r="288" spans="1:19" s="669" customFormat="1" ht="16.5" x14ac:dyDescent="0.25">
      <c r="A288" s="362" t="s">
        <v>368</v>
      </c>
      <c r="B288" s="363"/>
      <c r="C288" s="364"/>
      <c r="D288" s="365"/>
      <c r="E288" s="585">
        <f>E289+E290+E291+E292</f>
        <v>59705</v>
      </c>
      <c r="F288" s="585">
        <f>F289+F290+F291+F292</f>
        <v>71280</v>
      </c>
      <c r="G288" s="585">
        <f>G289+G290+G291+G292</f>
        <v>71274</v>
      </c>
      <c r="H288" s="804">
        <f>H289</f>
        <v>99.991456642460491</v>
      </c>
    </row>
    <row r="289" spans="1:13" ht="15" x14ac:dyDescent="0.2">
      <c r="A289" s="557" t="s">
        <v>277</v>
      </c>
      <c r="B289" s="587"/>
      <c r="C289" s="588"/>
      <c r="D289" s="589"/>
      <c r="E289" s="590">
        <f>E136</f>
        <v>59705</v>
      </c>
      <c r="F289" s="590">
        <f>F136</f>
        <v>70230</v>
      </c>
      <c r="G289" s="590">
        <f>G136</f>
        <v>70224</v>
      </c>
      <c r="H289" s="607">
        <f>G289/F289*100</f>
        <v>99.991456642460491</v>
      </c>
    </row>
    <row r="290" spans="1:13" s="669" customFormat="1" ht="15" x14ac:dyDescent="0.2">
      <c r="A290" s="557" t="s">
        <v>278</v>
      </c>
      <c r="B290" s="592"/>
      <c r="C290" s="588"/>
      <c r="D290" s="593"/>
      <c r="E290" s="590">
        <f>E147</f>
        <v>0</v>
      </c>
      <c r="F290" s="590">
        <f>F147</f>
        <v>1050</v>
      </c>
      <c r="G290" s="590">
        <f>G147</f>
        <v>1050</v>
      </c>
      <c r="H290" s="607">
        <f>G290/F290*100</f>
        <v>100</v>
      </c>
    </row>
    <row r="291" spans="1:13" s="669" customFormat="1" ht="15" x14ac:dyDescent="0.2">
      <c r="A291" s="557" t="s">
        <v>221</v>
      </c>
      <c r="B291" s="592"/>
      <c r="C291" s="588"/>
      <c r="D291" s="593"/>
      <c r="E291" s="590">
        <v>0</v>
      </c>
      <c r="F291" s="590">
        <v>0</v>
      </c>
      <c r="G291" s="590">
        <v>0</v>
      </c>
      <c r="H291" s="805">
        <v>0</v>
      </c>
    </row>
    <row r="292" spans="1:13" s="669" customFormat="1" ht="15" x14ac:dyDescent="0.2">
      <c r="A292" s="557" t="s">
        <v>1206</v>
      </c>
      <c r="B292" s="592"/>
      <c r="C292" s="588"/>
      <c r="D292" s="593"/>
      <c r="E292" s="590">
        <v>0</v>
      </c>
      <c r="F292" s="590">
        <v>0</v>
      </c>
      <c r="G292" s="590">
        <v>0</v>
      </c>
      <c r="H292" s="805">
        <v>0</v>
      </c>
    </row>
    <row r="293" spans="1:13" s="669" customFormat="1" ht="15" x14ac:dyDescent="0.2">
      <c r="A293" s="557"/>
      <c r="B293" s="592"/>
      <c r="C293" s="588"/>
      <c r="D293" s="593"/>
      <c r="E293" s="675"/>
      <c r="F293" s="675"/>
      <c r="G293" s="675"/>
      <c r="H293" s="676"/>
    </row>
    <row r="294" spans="1:13" ht="16.5" x14ac:dyDescent="0.25">
      <c r="A294" s="773" t="s">
        <v>279</v>
      </c>
      <c r="B294" s="592"/>
      <c r="C294" s="588"/>
      <c r="D294" s="593"/>
      <c r="E294" s="585">
        <f>E295+E296+E297+E298</f>
        <v>130179</v>
      </c>
      <c r="F294" s="585">
        <f>F295+F296+F297+F298</f>
        <v>134973</v>
      </c>
      <c r="G294" s="585">
        <f>G295+G296+G297+G298</f>
        <v>134973</v>
      </c>
      <c r="H294" s="627">
        <f>G294/F294*100</f>
        <v>100</v>
      </c>
    </row>
    <row r="295" spans="1:13" ht="15" x14ac:dyDescent="0.2">
      <c r="A295" s="557" t="s">
        <v>1207</v>
      </c>
      <c r="B295" s="592"/>
      <c r="C295" s="588"/>
      <c r="D295" s="593"/>
      <c r="E295" s="590">
        <f>E167+E187+E207+E225+E243+E259+E272-E297+E285</f>
        <v>126079</v>
      </c>
      <c r="F295" s="590">
        <f>F167+F187+F207+F225+F243+F259+F272-F297+F285</f>
        <v>131129</v>
      </c>
      <c r="G295" s="590">
        <f>G167+G187+G207+G225+G243+G259+G272-G297+G285</f>
        <v>131129</v>
      </c>
      <c r="H295" s="607">
        <f>G295/F295*100</f>
        <v>100</v>
      </c>
      <c r="J295" s="495"/>
      <c r="K295" s="495"/>
      <c r="L295" s="495"/>
    </row>
    <row r="296" spans="1:13" ht="15" x14ac:dyDescent="0.2">
      <c r="A296" s="557" t="s">
        <v>1208</v>
      </c>
      <c r="B296" s="592"/>
      <c r="C296" s="588"/>
      <c r="D296" s="593"/>
      <c r="E296" s="590">
        <f>E228+E191</f>
        <v>4100</v>
      </c>
      <c r="F296" s="590">
        <f>F228+F191</f>
        <v>3467</v>
      </c>
      <c r="G296" s="590">
        <f>G228+G191</f>
        <v>3467</v>
      </c>
      <c r="H296" s="607">
        <f>G296/F296*100</f>
        <v>100</v>
      </c>
    </row>
    <row r="297" spans="1:13" ht="15" x14ac:dyDescent="0.2">
      <c r="A297" s="557" t="s">
        <v>221</v>
      </c>
      <c r="B297" s="774"/>
      <c r="E297" s="590">
        <v>0</v>
      </c>
      <c r="F297" s="590">
        <f>F165+F166+F186</f>
        <v>377</v>
      </c>
      <c r="G297" s="590">
        <f>G165+G166+G186</f>
        <v>377</v>
      </c>
      <c r="H297" s="607">
        <f>G297/F297*100</f>
        <v>100</v>
      </c>
      <c r="K297" s="495">
        <f>F297+F298</f>
        <v>377</v>
      </c>
      <c r="L297" s="495">
        <f>G297+G298</f>
        <v>377</v>
      </c>
      <c r="M297" s="534" t="s">
        <v>625</v>
      </c>
    </row>
    <row r="298" spans="1:13" ht="15" x14ac:dyDescent="0.2">
      <c r="A298" s="557" t="s">
        <v>1206</v>
      </c>
      <c r="B298" s="774"/>
      <c r="E298" s="590">
        <v>0</v>
      </c>
      <c r="F298" s="590">
        <v>0</v>
      </c>
      <c r="G298" s="590">
        <v>0</v>
      </c>
      <c r="H298" s="607">
        <v>0</v>
      </c>
      <c r="K298" s="495"/>
    </row>
    <row r="299" spans="1:13" x14ac:dyDescent="0.2">
      <c r="K299" s="495"/>
    </row>
    <row r="302" spans="1:13" s="58" customFormat="1" ht="47.25" customHeight="1" thickBot="1" x14ac:dyDescent="0.4">
      <c r="A302" s="2720" t="s">
        <v>1213</v>
      </c>
      <c r="B302" s="2721"/>
      <c r="C302" s="2721"/>
      <c r="D302" s="2721"/>
      <c r="E302" s="661">
        <f>E288+E294</f>
        <v>189884</v>
      </c>
      <c r="F302" s="661">
        <f>F288+F294</f>
        <v>206253</v>
      </c>
      <c r="G302" s="661">
        <f>G288+G294</f>
        <v>206247</v>
      </c>
      <c r="H302" s="662">
        <f>(G302/F302)*100</f>
        <v>99.997090951404346</v>
      </c>
    </row>
    <row r="303" spans="1:13" ht="13.5" thickTop="1" x14ac:dyDescent="0.2">
      <c r="A303" s="666"/>
      <c r="B303" s="666"/>
    </row>
  </sheetData>
  <mergeCells count="1">
    <mergeCell ref="A302:D302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104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 enableFormatConditionsCalculation="0">
    <tabColor rgb="FF00B0F0"/>
  </sheetPr>
  <dimension ref="A1:U174"/>
  <sheetViews>
    <sheetView showGridLines="0" view="pageBreakPreview" zoomScaleNormal="100" zoomScaleSheetLayoutView="100" workbookViewId="0">
      <selection activeCell="I186" sqref="I186"/>
    </sheetView>
  </sheetViews>
  <sheetFormatPr defaultRowHeight="14.25" x14ac:dyDescent="0.2"/>
  <cols>
    <col min="1" max="2" width="4.7109375" style="666" customWidth="1"/>
    <col min="3" max="3" width="9" style="667" customWidth="1"/>
    <col min="4" max="4" width="45.85546875" style="534" customWidth="1"/>
    <col min="5" max="6" width="14.5703125" style="495" customWidth="1"/>
    <col min="7" max="7" width="14.85546875" style="495" customWidth="1"/>
    <col min="8" max="8" width="8.42578125" style="1344" customWidth="1"/>
    <col min="9" max="9" width="9.140625" style="534"/>
    <col min="10" max="10" width="10.85546875" style="504" bestFit="1" customWidth="1"/>
    <col min="11" max="11" width="11" style="504" customWidth="1"/>
    <col min="12" max="12" width="11.5703125" style="504" customWidth="1"/>
    <col min="13" max="15" width="9.140625" style="504"/>
    <col min="16" max="16384" width="9.140625" style="669"/>
  </cols>
  <sheetData>
    <row r="1" spans="1:15" s="664" customFormat="1" ht="18.75" thickBot="1" x14ac:dyDescent="0.3">
      <c r="A1" s="479" t="s">
        <v>1245</v>
      </c>
      <c r="B1" s="480"/>
      <c r="C1" s="481"/>
      <c r="D1" s="482"/>
      <c r="E1" s="483"/>
      <c r="F1" s="483" t="s">
        <v>90</v>
      </c>
      <c r="G1" s="484"/>
      <c r="H1" s="1547"/>
      <c r="J1" s="525"/>
      <c r="K1" s="525"/>
      <c r="L1" s="525"/>
      <c r="M1" s="525"/>
      <c r="N1" s="525"/>
      <c r="O1" s="525"/>
    </row>
    <row r="2" spans="1:15" x14ac:dyDescent="0.2">
      <c r="A2" s="665"/>
    </row>
    <row r="3" spans="1:15" s="504" customFormat="1" x14ac:dyDescent="0.2">
      <c r="A3" s="670" t="s">
        <v>387</v>
      </c>
      <c r="B3" s="671"/>
      <c r="C3" s="2725" t="s">
        <v>1797</v>
      </c>
      <c r="D3" s="2726"/>
      <c r="E3" s="493"/>
      <c r="F3" s="493"/>
      <c r="G3" s="493"/>
      <c r="H3" s="1548"/>
    </row>
    <row r="4" spans="1:15" x14ac:dyDescent="0.2">
      <c r="A4" s="665"/>
      <c r="C4" s="1851" t="s">
        <v>1798</v>
      </c>
      <c r="D4" s="671"/>
      <c r="E4" s="674"/>
      <c r="F4" s="669"/>
      <c r="G4" s="675"/>
      <c r="H4" s="1549"/>
      <c r="I4" s="669"/>
    </row>
    <row r="5" spans="1:15" ht="12.75" customHeight="1" x14ac:dyDescent="0.2">
      <c r="A5" s="665"/>
      <c r="C5" s="674"/>
      <c r="D5" s="669"/>
      <c r="E5" s="675"/>
      <c r="F5" s="675"/>
      <c r="G5" s="675"/>
      <c r="H5" s="1549"/>
      <c r="I5" s="669"/>
    </row>
    <row r="6" spans="1:15" ht="15.75" x14ac:dyDescent="0.25">
      <c r="A6" s="677" t="s">
        <v>925</v>
      </c>
    </row>
    <row r="7" spans="1:15" ht="15" thickBot="1" x14ac:dyDescent="0.25">
      <c r="H7" s="1344" t="s">
        <v>173</v>
      </c>
    </row>
    <row r="8" spans="1:15" s="107" customFormat="1" ht="20.25" customHeight="1" thickTop="1" thickBot="1" x14ac:dyDescent="0.25">
      <c r="A8" s="633" t="s">
        <v>174</v>
      </c>
      <c r="B8" s="634" t="s">
        <v>175</v>
      </c>
      <c r="C8" s="678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1550" t="s">
        <v>924</v>
      </c>
      <c r="J8" s="679"/>
      <c r="K8" s="679"/>
      <c r="L8" s="679"/>
      <c r="M8" s="679"/>
      <c r="N8" s="679"/>
      <c r="O8" s="679"/>
    </row>
    <row r="9" spans="1:15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1551" t="s">
        <v>61</v>
      </c>
      <c r="I9" s="107"/>
    </row>
    <row r="10" spans="1:15" s="1107" customFormat="1" ht="15.75" thickTop="1" x14ac:dyDescent="0.25">
      <c r="A10" s="222">
        <v>3513</v>
      </c>
      <c r="B10" s="241">
        <v>5169</v>
      </c>
      <c r="C10" s="1245"/>
      <c r="D10" s="1243" t="s">
        <v>892</v>
      </c>
      <c r="E10" s="88">
        <f>E11+E12</f>
        <v>9938</v>
      </c>
      <c r="F10" s="88">
        <f>F11+F12</f>
        <v>9938</v>
      </c>
      <c r="G10" s="88">
        <f>G11+G12</f>
        <v>9906</v>
      </c>
      <c r="H10" s="240">
        <f>G10/F10*100</f>
        <v>99.678003622459244</v>
      </c>
    </row>
    <row r="11" spans="1:15" s="1107" customFormat="1" x14ac:dyDescent="0.2">
      <c r="A11" s="50"/>
      <c r="B11" s="31"/>
      <c r="C11" s="1135" t="s">
        <v>156</v>
      </c>
      <c r="D11" s="1114" t="s">
        <v>157</v>
      </c>
      <c r="E11" s="55">
        <v>9597</v>
      </c>
      <c r="F11" s="314">
        <v>9597</v>
      </c>
      <c r="G11" s="316">
        <v>9596</v>
      </c>
      <c r="H11" s="1125">
        <f t="shared" ref="H11:H28" si="0">(G11/F11)*100</f>
        <v>99.989580077107433</v>
      </c>
    </row>
    <row r="12" spans="1:15" s="1107" customFormat="1" x14ac:dyDescent="0.2">
      <c r="A12" s="50"/>
      <c r="B12" s="31"/>
      <c r="C12" s="1135" t="s">
        <v>158</v>
      </c>
      <c r="D12" s="1114" t="s">
        <v>159</v>
      </c>
      <c r="E12" s="55">
        <v>341</v>
      </c>
      <c r="F12" s="314">
        <v>341</v>
      </c>
      <c r="G12" s="316">
        <v>310</v>
      </c>
      <c r="H12" s="1125">
        <f t="shared" si="0"/>
        <v>90.909090909090907</v>
      </c>
    </row>
    <row r="13" spans="1:15" s="1107" customFormat="1" ht="15" x14ac:dyDescent="0.25">
      <c r="A13" s="50">
        <v>3522</v>
      </c>
      <c r="B13" s="31">
        <v>5169</v>
      </c>
      <c r="C13" s="1167"/>
      <c r="D13" s="87" t="s">
        <v>892</v>
      </c>
      <c r="E13" s="71">
        <v>6099</v>
      </c>
      <c r="F13" s="315">
        <f>F14</f>
        <v>6099</v>
      </c>
      <c r="G13" s="315">
        <f>G14</f>
        <v>6099</v>
      </c>
      <c r="H13" s="212">
        <f t="shared" si="0"/>
        <v>100</v>
      </c>
    </row>
    <row r="14" spans="1:15" s="1107" customFormat="1" x14ac:dyDescent="0.2">
      <c r="A14" s="50"/>
      <c r="B14" s="31"/>
      <c r="C14" s="1135" t="s">
        <v>160</v>
      </c>
      <c r="D14" s="1114" t="s">
        <v>161</v>
      </c>
      <c r="E14" s="55">
        <v>6099</v>
      </c>
      <c r="F14" s="314">
        <v>6099</v>
      </c>
      <c r="G14" s="316">
        <v>6099</v>
      </c>
      <c r="H14" s="1125">
        <f t="shared" si="0"/>
        <v>100</v>
      </c>
    </row>
    <row r="15" spans="1:15" s="1107" customFormat="1" ht="15" x14ac:dyDescent="0.25">
      <c r="A15" s="50">
        <v>3522</v>
      </c>
      <c r="B15" s="31">
        <v>5171</v>
      </c>
      <c r="C15" s="1135"/>
      <c r="D15" s="87" t="s">
        <v>938</v>
      </c>
      <c r="E15" s="55"/>
      <c r="F15" s="313">
        <v>2301</v>
      </c>
      <c r="G15" s="315">
        <v>2301</v>
      </c>
      <c r="H15" s="212">
        <f t="shared" si="0"/>
        <v>100</v>
      </c>
    </row>
    <row r="16" spans="1:15" s="1107" customFormat="1" x14ac:dyDescent="0.2">
      <c r="A16" s="50"/>
      <c r="B16" s="31"/>
      <c r="C16" s="1120" t="s">
        <v>852</v>
      </c>
      <c r="D16" s="1115" t="s">
        <v>853</v>
      </c>
      <c r="E16" s="55"/>
      <c r="F16" s="314">
        <v>2301</v>
      </c>
      <c r="G16" s="316">
        <v>2301</v>
      </c>
      <c r="H16" s="1125">
        <f t="shared" si="0"/>
        <v>100</v>
      </c>
    </row>
    <row r="17" spans="1:8" s="1107" customFormat="1" ht="15" x14ac:dyDescent="0.25">
      <c r="A17" s="50">
        <v>3532</v>
      </c>
      <c r="B17" s="31">
        <v>5169</v>
      </c>
      <c r="C17" s="1135"/>
      <c r="D17" s="87" t="s">
        <v>892</v>
      </c>
      <c r="E17" s="71">
        <v>14</v>
      </c>
      <c r="F17" s="313">
        <v>14</v>
      </c>
      <c r="G17" s="315">
        <v>14</v>
      </c>
      <c r="H17" s="212">
        <f t="shared" si="0"/>
        <v>100</v>
      </c>
    </row>
    <row r="18" spans="1:8" s="1107" customFormat="1" ht="15" x14ac:dyDescent="0.25">
      <c r="A18" s="50">
        <v>3541</v>
      </c>
      <c r="B18" s="31">
        <v>5221</v>
      </c>
      <c r="C18" s="1135"/>
      <c r="D18" s="1195" t="s">
        <v>1257</v>
      </c>
      <c r="E18" s="71">
        <v>250</v>
      </c>
      <c r="F18" s="313">
        <v>250</v>
      </c>
      <c r="G18" s="315">
        <v>250</v>
      </c>
      <c r="H18" s="212">
        <f t="shared" si="0"/>
        <v>100</v>
      </c>
    </row>
    <row r="19" spans="1:8" s="1107" customFormat="1" x14ac:dyDescent="0.2">
      <c r="A19" s="50"/>
      <c r="B19" s="31"/>
      <c r="C19" s="1135" t="s">
        <v>162</v>
      </c>
      <c r="D19" s="1114" t="s">
        <v>163</v>
      </c>
      <c r="E19" s="55">
        <v>250</v>
      </c>
      <c r="F19" s="314">
        <v>250</v>
      </c>
      <c r="G19" s="316">
        <v>250</v>
      </c>
      <c r="H19" s="1125">
        <f t="shared" si="0"/>
        <v>100</v>
      </c>
    </row>
    <row r="20" spans="1:8" s="1107" customFormat="1" ht="15.75" customHeight="1" x14ac:dyDescent="0.25">
      <c r="A20" s="50">
        <v>3541</v>
      </c>
      <c r="B20" s="31">
        <v>5222</v>
      </c>
      <c r="C20" s="1135"/>
      <c r="D20" s="87" t="s">
        <v>647</v>
      </c>
      <c r="E20" s="71">
        <v>2250</v>
      </c>
      <c r="F20" s="313">
        <v>2250</v>
      </c>
      <c r="G20" s="315">
        <v>2250</v>
      </c>
      <c r="H20" s="212">
        <f t="shared" si="0"/>
        <v>100</v>
      </c>
    </row>
    <row r="21" spans="1:8" s="1107" customFormat="1" ht="15.75" customHeight="1" x14ac:dyDescent="0.2">
      <c r="A21" s="50"/>
      <c r="B21" s="31"/>
      <c r="C21" s="1135" t="s">
        <v>162</v>
      </c>
      <c r="D21" s="1114" t="s">
        <v>163</v>
      </c>
      <c r="E21" s="55">
        <v>2250</v>
      </c>
      <c r="F21" s="314">
        <v>2250</v>
      </c>
      <c r="G21" s="316">
        <v>2250</v>
      </c>
      <c r="H21" s="1125">
        <f t="shared" si="0"/>
        <v>100</v>
      </c>
    </row>
    <row r="22" spans="1:8" s="1107" customFormat="1" ht="15.75" customHeight="1" x14ac:dyDescent="0.25">
      <c r="A22" s="50">
        <v>3543</v>
      </c>
      <c r="B22" s="31">
        <v>5213</v>
      </c>
      <c r="C22" s="1135"/>
      <c r="D22" s="2734" t="s">
        <v>236</v>
      </c>
      <c r="E22" s="55"/>
      <c r="F22" s="313">
        <v>10</v>
      </c>
      <c r="G22" s="315">
        <v>10</v>
      </c>
      <c r="H22" s="212">
        <f t="shared" si="0"/>
        <v>100</v>
      </c>
    </row>
    <row r="23" spans="1:8" s="1107" customFormat="1" ht="15.75" customHeight="1" x14ac:dyDescent="0.2">
      <c r="A23" s="50"/>
      <c r="B23" s="31"/>
      <c r="C23" s="1135"/>
      <c r="D23" s="2734"/>
      <c r="E23" s="55"/>
      <c r="F23" s="314">
        <v>10</v>
      </c>
      <c r="G23" s="316">
        <v>10</v>
      </c>
      <c r="H23" s="1125">
        <f t="shared" si="0"/>
        <v>100</v>
      </c>
    </row>
    <row r="24" spans="1:8" s="1107" customFormat="1" ht="15.75" customHeight="1" x14ac:dyDescent="0.2">
      <c r="A24" s="50"/>
      <c r="B24" s="31"/>
      <c r="C24" s="1135" t="s">
        <v>1262</v>
      </c>
      <c r="D24" s="1114" t="s">
        <v>1757</v>
      </c>
      <c r="E24" s="55"/>
      <c r="F24" s="314"/>
      <c r="G24" s="316"/>
      <c r="H24" s="1125"/>
    </row>
    <row r="25" spans="1:8" s="1107" customFormat="1" ht="15.75" customHeight="1" x14ac:dyDescent="0.25">
      <c r="A25" s="50">
        <v>3543</v>
      </c>
      <c r="B25" s="31">
        <v>5222</v>
      </c>
      <c r="C25" s="1135"/>
      <c r="D25" s="87" t="s">
        <v>647</v>
      </c>
      <c r="E25" s="55"/>
      <c r="F25" s="313">
        <v>96</v>
      </c>
      <c r="G25" s="315">
        <v>96</v>
      </c>
      <c r="H25" s="212">
        <f t="shared" si="0"/>
        <v>100</v>
      </c>
    </row>
    <row r="26" spans="1:8" s="1107" customFormat="1" ht="15.75" customHeight="1" x14ac:dyDescent="0.2">
      <c r="A26" s="50"/>
      <c r="B26" s="31"/>
      <c r="C26" s="1135" t="s">
        <v>1262</v>
      </c>
      <c r="D26" s="1114" t="s">
        <v>1757</v>
      </c>
      <c r="E26" s="55"/>
      <c r="F26" s="314">
        <v>96</v>
      </c>
      <c r="G26" s="316">
        <v>96</v>
      </c>
      <c r="H26" s="1125">
        <f t="shared" si="0"/>
        <v>100</v>
      </c>
    </row>
    <row r="27" spans="1:8" s="1107" customFormat="1" ht="15.75" customHeight="1" x14ac:dyDescent="0.25">
      <c r="A27" s="50">
        <v>3544</v>
      </c>
      <c r="B27" s="31">
        <v>5139</v>
      </c>
      <c r="C27" s="1135"/>
      <c r="D27" s="87" t="s">
        <v>662</v>
      </c>
      <c r="E27" s="55"/>
      <c r="F27" s="313">
        <v>86</v>
      </c>
      <c r="G27" s="315">
        <v>69</v>
      </c>
      <c r="H27" s="212">
        <f t="shared" si="0"/>
        <v>80.232558139534888</v>
      </c>
    </row>
    <row r="28" spans="1:8" s="1107" customFormat="1" ht="15.75" customHeight="1" x14ac:dyDescent="0.2">
      <c r="A28" s="50"/>
      <c r="B28" s="31"/>
      <c r="C28" s="1135" t="s">
        <v>164</v>
      </c>
      <c r="D28" s="312" t="s">
        <v>165</v>
      </c>
      <c r="E28" s="55"/>
      <c r="F28" s="314">
        <v>86</v>
      </c>
      <c r="G28" s="316">
        <v>69</v>
      </c>
      <c r="H28" s="1125">
        <f t="shared" si="0"/>
        <v>80.232558139534888</v>
      </c>
    </row>
    <row r="29" spans="1:8" s="1107" customFormat="1" ht="15" x14ac:dyDescent="0.25">
      <c r="A29" s="50">
        <v>3544</v>
      </c>
      <c r="B29" s="31">
        <v>5169</v>
      </c>
      <c r="C29" s="122"/>
      <c r="D29" s="87" t="s">
        <v>892</v>
      </c>
      <c r="E29" s="71">
        <v>100</v>
      </c>
      <c r="F29" s="313">
        <v>0</v>
      </c>
      <c r="G29" s="315">
        <v>0</v>
      </c>
      <c r="H29" s="212">
        <v>0</v>
      </c>
    </row>
    <row r="30" spans="1:8" s="1107" customFormat="1" x14ac:dyDescent="0.2">
      <c r="A30" s="50"/>
      <c r="B30" s="31"/>
      <c r="C30" s="1135" t="s">
        <v>164</v>
      </c>
      <c r="D30" s="312" t="s">
        <v>165</v>
      </c>
      <c r="E30" s="55">
        <v>100</v>
      </c>
      <c r="F30" s="314">
        <v>0</v>
      </c>
      <c r="G30" s="316">
        <v>0</v>
      </c>
      <c r="H30" s="1125">
        <v>0</v>
      </c>
    </row>
    <row r="31" spans="1:8" s="1107" customFormat="1" ht="15" x14ac:dyDescent="0.25">
      <c r="A31" s="50">
        <v>3544</v>
      </c>
      <c r="B31" s="31">
        <v>5194</v>
      </c>
      <c r="C31" s="1135"/>
      <c r="D31" s="1108" t="s">
        <v>636</v>
      </c>
      <c r="E31" s="55"/>
      <c r="F31" s="313">
        <v>15</v>
      </c>
      <c r="G31" s="315">
        <v>15</v>
      </c>
      <c r="H31" s="212">
        <f t="shared" ref="H31:H36" si="1">(G31/F31)*100</f>
        <v>100</v>
      </c>
    </row>
    <row r="32" spans="1:8" s="1107" customFormat="1" x14ac:dyDescent="0.2">
      <c r="A32" s="50"/>
      <c r="B32" s="31"/>
      <c r="C32" s="1135" t="s">
        <v>164</v>
      </c>
      <c r="D32" s="312" t="s">
        <v>165</v>
      </c>
      <c r="E32" s="55"/>
      <c r="F32" s="314">
        <v>15</v>
      </c>
      <c r="G32" s="316">
        <v>15</v>
      </c>
      <c r="H32" s="1125">
        <f t="shared" si="1"/>
        <v>100</v>
      </c>
    </row>
    <row r="33" spans="1:21" s="1107" customFormat="1" ht="15" x14ac:dyDescent="0.25">
      <c r="A33" s="50">
        <v>3549</v>
      </c>
      <c r="B33" s="31">
        <v>5221</v>
      </c>
      <c r="C33" s="1135"/>
      <c r="D33" s="1195" t="s">
        <v>1257</v>
      </c>
      <c r="E33" s="55"/>
      <c r="F33" s="313">
        <v>300</v>
      </c>
      <c r="G33" s="315">
        <v>300</v>
      </c>
      <c r="H33" s="212">
        <f t="shared" si="1"/>
        <v>100</v>
      </c>
    </row>
    <row r="34" spans="1:21" s="1107" customFormat="1" x14ac:dyDescent="0.2">
      <c r="A34" s="50"/>
      <c r="B34" s="31"/>
      <c r="C34" s="1135" t="s">
        <v>262</v>
      </c>
      <c r="D34" s="1114" t="s">
        <v>333</v>
      </c>
      <c r="E34" s="55"/>
      <c r="F34" s="314">
        <v>300</v>
      </c>
      <c r="G34" s="316">
        <v>300</v>
      </c>
      <c r="H34" s="1125">
        <f t="shared" si="1"/>
        <v>100</v>
      </c>
    </row>
    <row r="35" spans="1:21" s="1107" customFormat="1" ht="15" x14ac:dyDescent="0.25">
      <c r="A35" s="50">
        <v>3592</v>
      </c>
      <c r="B35" s="31">
        <v>5212</v>
      </c>
      <c r="C35" s="1135"/>
      <c r="D35" s="380" t="s">
        <v>712</v>
      </c>
      <c r="E35" s="71">
        <v>400</v>
      </c>
      <c r="F35" s="313">
        <v>160</v>
      </c>
      <c r="G35" s="315">
        <v>160</v>
      </c>
      <c r="H35" s="212">
        <f t="shared" si="1"/>
        <v>100</v>
      </c>
    </row>
    <row r="36" spans="1:21" s="1107" customFormat="1" x14ac:dyDescent="0.2">
      <c r="A36" s="50"/>
      <c r="B36" s="31"/>
      <c r="C36" s="1135" t="s">
        <v>1509</v>
      </c>
      <c r="D36" s="312" t="s">
        <v>1508</v>
      </c>
      <c r="E36" s="55">
        <v>400</v>
      </c>
      <c r="F36" s="314">
        <v>160</v>
      </c>
      <c r="G36" s="316">
        <v>160</v>
      </c>
      <c r="H36" s="1125">
        <f t="shared" si="1"/>
        <v>100</v>
      </c>
    </row>
    <row r="37" spans="1:21" s="1107" customFormat="1" ht="15" customHeight="1" x14ac:dyDescent="0.25">
      <c r="A37" s="50">
        <v>3592</v>
      </c>
      <c r="B37" s="31">
        <v>5213</v>
      </c>
      <c r="C37" s="1135"/>
      <c r="D37" s="2734" t="s">
        <v>236</v>
      </c>
      <c r="E37" s="55"/>
      <c r="F37" s="313"/>
      <c r="G37" s="315"/>
      <c r="H37" s="212"/>
    </row>
    <row r="38" spans="1:21" s="1107" customFormat="1" ht="15" x14ac:dyDescent="0.25">
      <c r="A38" s="50"/>
      <c r="B38" s="31"/>
      <c r="C38" s="1135"/>
      <c r="D38" s="2734"/>
      <c r="E38" s="71">
        <v>1100</v>
      </c>
      <c r="F38" s="313">
        <v>240</v>
      </c>
      <c r="G38" s="315">
        <v>240</v>
      </c>
      <c r="H38" s="212">
        <f>(G38/F38)*100</f>
        <v>100</v>
      </c>
    </row>
    <row r="39" spans="1:21" s="1107" customFormat="1" x14ac:dyDescent="0.2">
      <c r="A39" s="50"/>
      <c r="B39" s="31"/>
      <c r="C39" s="1135" t="s">
        <v>1509</v>
      </c>
      <c r="D39" s="312" t="s">
        <v>1508</v>
      </c>
      <c r="E39" s="55">
        <v>1100</v>
      </c>
      <c r="F39" s="314">
        <v>240</v>
      </c>
      <c r="G39" s="316">
        <v>240</v>
      </c>
      <c r="H39" s="1125">
        <f>(G39/F39)*100</f>
        <v>100</v>
      </c>
    </row>
    <row r="40" spans="1:21" s="1107" customFormat="1" ht="15" x14ac:dyDescent="0.25">
      <c r="A40" s="223">
        <v>3599</v>
      </c>
      <c r="B40" s="96">
        <v>5166</v>
      </c>
      <c r="C40" s="1153"/>
      <c r="D40" s="128" t="s">
        <v>646</v>
      </c>
      <c r="E40" s="60">
        <v>40</v>
      </c>
      <c r="F40" s="313">
        <v>40</v>
      </c>
      <c r="G40" s="315">
        <v>25</v>
      </c>
      <c r="H40" s="212">
        <f t="shared" ref="H40:H54" si="2">(G40/F40)*100</f>
        <v>62.5</v>
      </c>
      <c r="I40" s="1159"/>
      <c r="J40" s="1159"/>
      <c r="K40" s="1159"/>
      <c r="L40" s="1159"/>
      <c r="M40" s="1159"/>
      <c r="N40" s="1159"/>
      <c r="O40" s="1159"/>
      <c r="P40" s="1159"/>
      <c r="Q40" s="1159"/>
      <c r="R40" s="1159"/>
      <c r="S40" s="1159"/>
      <c r="T40" s="1159"/>
      <c r="U40" s="1159"/>
    </row>
    <row r="41" spans="1:21" s="1107" customFormat="1" ht="15" x14ac:dyDescent="0.25">
      <c r="A41" s="50">
        <v>3599</v>
      </c>
      <c r="B41" s="19">
        <v>5169</v>
      </c>
      <c r="C41" s="1167"/>
      <c r="D41" s="87" t="s">
        <v>892</v>
      </c>
      <c r="E41" s="71">
        <f>E43+E44</f>
        <v>600</v>
      </c>
      <c r="F41" s="71">
        <f>F43+F44+F42</f>
        <v>2380</v>
      </c>
      <c r="G41" s="71">
        <f>G43+G44</f>
        <v>2292</v>
      </c>
      <c r="H41" s="212">
        <f t="shared" si="2"/>
        <v>96.30252100840336</v>
      </c>
    </row>
    <row r="42" spans="1:21" s="1107" customFormat="1" ht="15" x14ac:dyDescent="0.25">
      <c r="A42" s="50"/>
      <c r="B42" s="19"/>
      <c r="C42" s="1119" t="s">
        <v>792</v>
      </c>
      <c r="D42" s="312" t="s">
        <v>1321</v>
      </c>
      <c r="E42" s="71"/>
      <c r="F42" s="1337">
        <v>88</v>
      </c>
      <c r="G42" s="55">
        <v>0</v>
      </c>
      <c r="H42" s="1125">
        <v>0</v>
      </c>
    </row>
    <row r="43" spans="1:21" s="1107" customFormat="1" x14ac:dyDescent="0.2">
      <c r="A43" s="50"/>
      <c r="B43" s="19"/>
      <c r="C43" s="1120" t="s">
        <v>1064</v>
      </c>
      <c r="D43" s="1142" t="s">
        <v>166</v>
      </c>
      <c r="E43" s="55">
        <v>100</v>
      </c>
      <c r="F43" s="314">
        <v>406</v>
      </c>
      <c r="G43" s="316">
        <v>406</v>
      </c>
      <c r="H43" s="1125">
        <f t="shared" si="2"/>
        <v>100</v>
      </c>
    </row>
    <row r="44" spans="1:21" s="1107" customFormat="1" x14ac:dyDescent="0.2">
      <c r="A44" s="50"/>
      <c r="B44" s="19"/>
      <c r="C44" s="1120" t="s">
        <v>1065</v>
      </c>
      <c r="D44" s="1244" t="s">
        <v>556</v>
      </c>
      <c r="E44" s="55">
        <v>500</v>
      </c>
      <c r="F44" s="314">
        <v>1886</v>
      </c>
      <c r="G44" s="316">
        <v>1886</v>
      </c>
      <c r="H44" s="1125">
        <f t="shared" si="2"/>
        <v>100</v>
      </c>
    </row>
    <row r="45" spans="1:21" s="1107" customFormat="1" ht="15" x14ac:dyDescent="0.25">
      <c r="A45" s="50">
        <v>3599</v>
      </c>
      <c r="B45" s="19">
        <v>5212</v>
      </c>
      <c r="C45" s="1120"/>
      <c r="D45" s="380" t="s">
        <v>712</v>
      </c>
      <c r="E45" s="55"/>
      <c r="F45" s="313">
        <v>15</v>
      </c>
      <c r="G45" s="315">
        <v>15</v>
      </c>
      <c r="H45" s="212">
        <f t="shared" si="2"/>
        <v>100</v>
      </c>
    </row>
    <row r="46" spans="1:21" s="1107" customFormat="1" x14ac:dyDescent="0.2">
      <c r="A46" s="50"/>
      <c r="B46" s="19"/>
      <c r="C46" s="1135" t="s">
        <v>1262</v>
      </c>
      <c r="D46" s="1114" t="s">
        <v>1757</v>
      </c>
      <c r="E46" s="55"/>
      <c r="F46" s="314">
        <v>15</v>
      </c>
      <c r="G46" s="316">
        <v>15</v>
      </c>
      <c r="H46" s="1125">
        <f t="shared" si="2"/>
        <v>100</v>
      </c>
    </row>
    <row r="47" spans="1:21" s="1107" customFormat="1" ht="15" x14ac:dyDescent="0.25">
      <c r="A47" s="50">
        <v>3599</v>
      </c>
      <c r="B47" s="19">
        <v>5213</v>
      </c>
      <c r="C47" s="1120"/>
      <c r="D47" s="2734" t="s">
        <v>236</v>
      </c>
      <c r="E47" s="55"/>
      <c r="F47" s="313">
        <v>20</v>
      </c>
      <c r="G47" s="315">
        <v>20</v>
      </c>
      <c r="H47" s="212">
        <f t="shared" si="2"/>
        <v>100</v>
      </c>
    </row>
    <row r="48" spans="1:21" s="1107" customFormat="1" x14ac:dyDescent="0.2">
      <c r="A48" s="50"/>
      <c r="B48" s="19"/>
      <c r="C48" s="1120"/>
      <c r="D48" s="2734"/>
      <c r="E48" s="55"/>
      <c r="F48" s="314"/>
      <c r="G48" s="316"/>
      <c r="H48" s="1125"/>
    </row>
    <row r="49" spans="1:15" s="1107" customFormat="1" x14ac:dyDescent="0.2">
      <c r="A49" s="50"/>
      <c r="B49" s="19"/>
      <c r="C49" s="1135" t="s">
        <v>369</v>
      </c>
      <c r="D49" s="85" t="s">
        <v>933</v>
      </c>
      <c r="E49" s="55"/>
      <c r="F49" s="314">
        <v>20</v>
      </c>
      <c r="G49" s="316">
        <v>20</v>
      </c>
      <c r="H49" s="1125">
        <f t="shared" si="2"/>
        <v>100</v>
      </c>
    </row>
    <row r="50" spans="1:15" s="1107" customFormat="1" ht="15" x14ac:dyDescent="0.25">
      <c r="A50" s="50">
        <v>3599</v>
      </c>
      <c r="B50" s="19">
        <v>5221</v>
      </c>
      <c r="C50" s="1120"/>
      <c r="D50" s="1195" t="s">
        <v>1257</v>
      </c>
      <c r="E50" s="55"/>
      <c r="F50" s="313">
        <v>15</v>
      </c>
      <c r="G50" s="315">
        <v>15</v>
      </c>
      <c r="H50" s="212">
        <f t="shared" si="2"/>
        <v>100</v>
      </c>
    </row>
    <row r="51" spans="1:15" s="1107" customFormat="1" x14ac:dyDescent="0.2">
      <c r="A51" s="50"/>
      <c r="B51" s="19"/>
      <c r="C51" s="1135" t="s">
        <v>1262</v>
      </c>
      <c r="D51" s="1114" t="s">
        <v>1757</v>
      </c>
      <c r="E51" s="55"/>
      <c r="F51" s="314">
        <v>15</v>
      </c>
      <c r="G51" s="316">
        <v>15</v>
      </c>
      <c r="H51" s="1125">
        <f t="shared" si="2"/>
        <v>100</v>
      </c>
    </row>
    <row r="52" spans="1:15" s="1107" customFormat="1" ht="15" x14ac:dyDescent="0.25">
      <c r="A52" s="50">
        <v>3599</v>
      </c>
      <c r="B52" s="19">
        <v>5222</v>
      </c>
      <c r="C52" s="1135"/>
      <c r="D52" s="87" t="s">
        <v>647</v>
      </c>
      <c r="E52" s="55"/>
      <c r="F52" s="313">
        <v>185</v>
      </c>
      <c r="G52" s="315">
        <v>185</v>
      </c>
      <c r="H52" s="212">
        <f t="shared" si="2"/>
        <v>100</v>
      </c>
    </row>
    <row r="53" spans="1:15" s="1107" customFormat="1" x14ac:dyDescent="0.2">
      <c r="A53" s="50"/>
      <c r="B53" s="19"/>
      <c r="C53" s="1135" t="s">
        <v>262</v>
      </c>
      <c r="D53" s="1114" t="s">
        <v>333</v>
      </c>
      <c r="E53" s="55"/>
      <c r="F53" s="314">
        <v>100</v>
      </c>
      <c r="G53" s="316">
        <v>100</v>
      </c>
      <c r="H53" s="1125">
        <f t="shared" si="2"/>
        <v>100</v>
      </c>
    </row>
    <row r="54" spans="1:15" s="1107" customFormat="1" x14ac:dyDescent="0.2">
      <c r="A54" s="50"/>
      <c r="B54" s="19"/>
      <c r="C54" s="1135" t="s">
        <v>1262</v>
      </c>
      <c r="D54" s="1114" t="s">
        <v>1757</v>
      </c>
      <c r="E54" s="55"/>
      <c r="F54" s="314">
        <v>85</v>
      </c>
      <c r="G54" s="316">
        <v>85</v>
      </c>
      <c r="H54" s="1125">
        <f t="shared" si="2"/>
        <v>100</v>
      </c>
    </row>
    <row r="55" spans="1:15" s="1107" customFormat="1" ht="15.75" thickBot="1" x14ac:dyDescent="0.3">
      <c r="A55" s="1127">
        <v>6172</v>
      </c>
      <c r="B55" s="1133">
        <v>5169</v>
      </c>
      <c r="C55" s="1168"/>
      <c r="D55" s="1211" t="s">
        <v>892</v>
      </c>
      <c r="E55" s="1175">
        <v>10</v>
      </c>
      <c r="F55" s="445">
        <v>10</v>
      </c>
      <c r="G55" s="443">
        <v>0</v>
      </c>
      <c r="H55" s="267">
        <v>0</v>
      </c>
    </row>
    <row r="56" spans="1:15" s="361" customFormat="1" ht="35.25" customHeight="1" thickTop="1" thickBot="1" x14ac:dyDescent="0.3">
      <c r="A56" s="639" t="s">
        <v>256</v>
      </c>
      <c r="B56" s="642"/>
      <c r="C56" s="683"/>
      <c r="D56" s="642"/>
      <c r="E56" s="643">
        <f>E10+E13+E17+E18+E20+E29+E38+E40+E41+E55+E35</f>
        <v>20801</v>
      </c>
      <c r="F56" s="643">
        <f>F10+F13+F15+F17+F18+F20+F22+F25+F27+F29+F31+F33+F35+F38+F40+F41+F45+F47+F50+F52+F55</f>
        <v>24424</v>
      </c>
      <c r="G56" s="643">
        <f>G10+G13+G15+G17+G18+G20+G22+G25+G27+G29+G31+G33+G35+G38+G40+G41+G45+G47+G50+G52+G55</f>
        <v>24262</v>
      </c>
      <c r="H56" s="1083">
        <f>(G56/F56)*100</f>
        <v>99.336717982312479</v>
      </c>
      <c r="J56" s="679"/>
      <c r="K56" s="679"/>
      <c r="L56" s="679"/>
      <c r="M56" s="679"/>
      <c r="N56" s="679"/>
      <c r="O56" s="679"/>
    </row>
    <row r="57" spans="1:15" s="361" customFormat="1" ht="18" customHeight="1" thickTop="1" x14ac:dyDescent="0.25">
      <c r="A57" s="359"/>
      <c r="B57" s="360"/>
      <c r="C57" s="142"/>
      <c r="D57" s="360"/>
      <c r="E57" s="17"/>
      <c r="F57" s="17"/>
      <c r="G57" s="17"/>
      <c r="H57" s="373"/>
      <c r="J57" s="679"/>
      <c r="K57" s="679"/>
      <c r="L57" s="679"/>
      <c r="M57" s="679"/>
      <c r="N57" s="679"/>
      <c r="O57" s="679"/>
    </row>
    <row r="58" spans="1:15" s="361" customFormat="1" ht="18" customHeight="1" x14ac:dyDescent="0.25">
      <c r="A58" s="359"/>
      <c r="B58" s="360"/>
      <c r="C58" s="142"/>
      <c r="D58" s="360"/>
      <c r="E58" s="17"/>
      <c r="F58" s="17"/>
      <c r="G58" s="17"/>
      <c r="H58" s="373"/>
      <c r="J58" s="679"/>
      <c r="K58" s="679"/>
      <c r="L58" s="679"/>
      <c r="M58" s="679"/>
      <c r="N58" s="679"/>
      <c r="O58" s="679"/>
    </row>
    <row r="59" spans="1:15" s="534" customFormat="1" ht="15.75" x14ac:dyDescent="0.25">
      <c r="A59" s="33" t="s">
        <v>1310</v>
      </c>
      <c r="B59" s="645"/>
      <c r="C59" s="684"/>
      <c r="D59" s="685"/>
      <c r="E59" s="686"/>
      <c r="F59" s="687"/>
      <c r="G59" s="688"/>
      <c r="H59" s="1552"/>
    </row>
    <row r="60" spans="1:15" s="534" customFormat="1" ht="15.75" thickBot="1" x14ac:dyDescent="0.3">
      <c r="A60" s="645"/>
      <c r="B60" s="645"/>
      <c r="C60" s="684"/>
      <c r="D60" s="685"/>
      <c r="E60" s="686"/>
      <c r="F60" s="687"/>
      <c r="G60" s="688"/>
      <c r="H60" s="1344" t="s">
        <v>173</v>
      </c>
    </row>
    <row r="61" spans="1:15" s="107" customFormat="1" ht="20.25" customHeight="1" thickTop="1" thickBot="1" x14ac:dyDescent="0.25">
      <c r="A61" s="690" t="s">
        <v>174</v>
      </c>
      <c r="B61" s="691" t="s">
        <v>175</v>
      </c>
      <c r="C61" s="692" t="s">
        <v>744</v>
      </c>
      <c r="D61" s="693" t="s">
        <v>176</v>
      </c>
      <c r="E61" s="694" t="s">
        <v>177</v>
      </c>
      <c r="F61" s="694" t="s">
        <v>922</v>
      </c>
      <c r="G61" s="694" t="s">
        <v>923</v>
      </c>
      <c r="H61" s="1553" t="s">
        <v>924</v>
      </c>
    </row>
    <row r="62" spans="1:15" s="384" customFormat="1" ht="13.5" thickTop="1" thickBot="1" x14ac:dyDescent="0.25">
      <c r="A62" s="568">
        <v>1</v>
      </c>
      <c r="B62" s="569">
        <v>2</v>
      </c>
      <c r="C62" s="569">
        <v>3</v>
      </c>
      <c r="D62" s="569">
        <v>4</v>
      </c>
      <c r="E62" s="569">
        <v>5</v>
      </c>
      <c r="F62" s="543">
        <v>6</v>
      </c>
      <c r="G62" s="543">
        <v>7</v>
      </c>
      <c r="H62" s="1551" t="s">
        <v>61</v>
      </c>
      <c r="I62" s="107"/>
    </row>
    <row r="63" spans="1:15" s="1107" customFormat="1" ht="15.75" thickTop="1" x14ac:dyDescent="0.25">
      <c r="A63" s="34">
        <v>3543</v>
      </c>
      <c r="B63" s="31">
        <v>6329</v>
      </c>
      <c r="C63" s="1135"/>
      <c r="D63" s="72" t="s">
        <v>1602</v>
      </c>
      <c r="E63" s="1526"/>
      <c r="F63" s="313">
        <v>100</v>
      </c>
      <c r="G63" s="315">
        <v>100</v>
      </c>
      <c r="H63" s="212">
        <f>(G63/F63)*100</f>
        <v>100</v>
      </c>
    </row>
    <row r="64" spans="1:15" s="1107" customFormat="1" ht="15.75" thickBot="1" x14ac:dyDescent="0.3">
      <c r="A64" s="1146"/>
      <c r="B64" s="1138"/>
      <c r="C64" s="1528" t="s">
        <v>262</v>
      </c>
      <c r="D64" s="1915" t="s">
        <v>333</v>
      </c>
      <c r="E64" s="1525"/>
      <c r="F64" s="441">
        <v>100</v>
      </c>
      <c r="G64" s="442">
        <v>100</v>
      </c>
      <c r="H64" s="1147">
        <f>(G64/F64)*100</f>
        <v>100</v>
      </c>
    </row>
    <row r="65" spans="1:19" s="361" customFormat="1" ht="35.25" customHeight="1" thickTop="1" thickBot="1" x14ac:dyDescent="0.3">
      <c r="A65" s="696" t="s">
        <v>257</v>
      </c>
      <c r="B65" s="697"/>
      <c r="C65" s="698"/>
      <c r="D65" s="697"/>
      <c r="E65" s="699">
        <v>0</v>
      </c>
      <c r="F65" s="699">
        <f>F63</f>
        <v>100</v>
      </c>
      <c r="G65" s="699">
        <f>G63</f>
        <v>100</v>
      </c>
      <c r="H65" s="1554">
        <f>(G65/F65)*100</f>
        <v>100</v>
      </c>
      <c r="J65" s="701">
        <f>E56+E65</f>
        <v>20801</v>
      </c>
      <c r="K65" s="701">
        <f>F56+F65</f>
        <v>24524</v>
      </c>
      <c r="L65" s="701">
        <f>G56+G65</f>
        <v>24362</v>
      </c>
      <c r="M65" s="701"/>
      <c r="N65" s="701"/>
      <c r="O65" s="701"/>
      <c r="P65" s="701"/>
      <c r="Q65" s="701"/>
      <c r="R65" s="701"/>
      <c r="S65" s="701"/>
    </row>
    <row r="66" spans="1:19" ht="16.5" thickTop="1" x14ac:dyDescent="0.25">
      <c r="A66" s="677" t="s">
        <v>660</v>
      </c>
    </row>
    <row r="67" spans="1:19" ht="9.75" customHeight="1" x14ac:dyDescent="0.25">
      <c r="A67" s="677"/>
    </row>
    <row r="68" spans="1:19" ht="9.75" customHeight="1" x14ac:dyDescent="0.25">
      <c r="A68" s="677"/>
    </row>
    <row r="69" spans="1:19" ht="15.75" x14ac:dyDescent="0.25">
      <c r="A69" s="703" t="s">
        <v>1306</v>
      </c>
      <c r="E69" s="585" t="s">
        <v>327</v>
      </c>
      <c r="F69" s="675"/>
      <c r="G69" s="675"/>
      <c r="H69" s="1549"/>
      <c r="I69" s="669"/>
    </row>
    <row r="70" spans="1:19" ht="15" thickBot="1" x14ac:dyDescent="0.25">
      <c r="A70" s="704"/>
      <c r="H70" s="1344" t="s">
        <v>173</v>
      </c>
    </row>
    <row r="71" spans="1:19" s="711" customFormat="1" ht="20.25" customHeight="1" thickTop="1" thickBot="1" x14ac:dyDescent="0.25">
      <c r="A71" s="705" t="s">
        <v>174</v>
      </c>
      <c r="B71" s="706" t="s">
        <v>175</v>
      </c>
      <c r="C71" s="707" t="s">
        <v>744</v>
      </c>
      <c r="D71" s="708" t="s">
        <v>176</v>
      </c>
      <c r="E71" s="709" t="s">
        <v>177</v>
      </c>
      <c r="F71" s="709" t="s">
        <v>922</v>
      </c>
      <c r="G71" s="709" t="s">
        <v>923</v>
      </c>
      <c r="H71" s="1555" t="s">
        <v>924</v>
      </c>
      <c r="J71" s="504"/>
      <c r="K71" s="504"/>
      <c r="L71" s="504"/>
      <c r="M71" s="504"/>
      <c r="N71" s="504"/>
      <c r="O71" s="504"/>
    </row>
    <row r="72" spans="1:19" s="384" customFormat="1" ht="13.5" thickTop="1" thickBot="1" x14ac:dyDescent="0.25">
      <c r="A72" s="568">
        <v>1</v>
      </c>
      <c r="B72" s="569">
        <v>2</v>
      </c>
      <c r="C72" s="569">
        <v>3</v>
      </c>
      <c r="D72" s="569">
        <v>4</v>
      </c>
      <c r="E72" s="569">
        <v>5</v>
      </c>
      <c r="F72" s="543">
        <v>6</v>
      </c>
      <c r="G72" s="543">
        <v>7</v>
      </c>
      <c r="H72" s="1551" t="s">
        <v>61</v>
      </c>
      <c r="I72" s="107"/>
    </row>
    <row r="73" spans="1:19" ht="15.75" thickTop="1" x14ac:dyDescent="0.25">
      <c r="A73" s="712">
        <v>3523</v>
      </c>
      <c r="B73" s="713">
        <v>5331</v>
      </c>
      <c r="C73" s="714"/>
      <c r="D73" s="626" t="s">
        <v>249</v>
      </c>
      <c r="E73" s="389">
        <f>E74</f>
        <v>16860</v>
      </c>
      <c r="F73" s="389">
        <f>F74+F75</f>
        <v>28560</v>
      </c>
      <c r="G73" s="389">
        <f>G74+G75</f>
        <v>28560</v>
      </c>
      <c r="H73" s="1556">
        <f t="shared" ref="H73:H80" si="3">G73/F73*100</f>
        <v>100</v>
      </c>
    </row>
    <row r="74" spans="1:19" x14ac:dyDescent="0.2">
      <c r="A74" s="716"/>
      <c r="B74" s="717"/>
      <c r="C74" s="554" t="s">
        <v>606</v>
      </c>
      <c r="D74" s="550" t="s">
        <v>1141</v>
      </c>
      <c r="E74" s="356">
        <v>16860</v>
      </c>
      <c r="F74" s="356">
        <v>16860</v>
      </c>
      <c r="G74" s="356">
        <v>16860</v>
      </c>
      <c r="H74" s="718">
        <f t="shared" si="3"/>
        <v>100</v>
      </c>
    </row>
    <row r="75" spans="1:19" ht="15" thickBot="1" x14ac:dyDescent="0.25">
      <c r="A75" s="716"/>
      <c r="B75" s="717"/>
      <c r="C75" s="1218" t="s">
        <v>22</v>
      </c>
      <c r="D75" s="166" t="s">
        <v>1263</v>
      </c>
      <c r="E75" s="356"/>
      <c r="F75" s="356">
        <v>11700</v>
      </c>
      <c r="G75" s="356">
        <v>11700</v>
      </c>
      <c r="H75" s="718">
        <f t="shared" si="3"/>
        <v>100</v>
      </c>
    </row>
    <row r="76" spans="1:19" s="368" customFormat="1" ht="20.25" customHeight="1" thickTop="1" thickBot="1" x14ac:dyDescent="0.3">
      <c r="A76" s="720" t="s">
        <v>1162</v>
      </c>
      <c r="B76" s="721"/>
      <c r="C76" s="722"/>
      <c r="D76" s="723"/>
      <c r="E76" s="724">
        <f>SUM(E73)</f>
        <v>16860</v>
      </c>
      <c r="F76" s="724">
        <f>SUM(F73)</f>
        <v>28560</v>
      </c>
      <c r="G76" s="724">
        <f>SUM(G73)</f>
        <v>28560</v>
      </c>
      <c r="H76" s="725">
        <f t="shared" si="3"/>
        <v>100</v>
      </c>
      <c r="J76" s="526"/>
      <c r="K76" s="526"/>
      <c r="L76" s="526"/>
      <c r="M76" s="525"/>
      <c r="N76" s="525"/>
      <c r="O76" s="525"/>
    </row>
    <row r="77" spans="1:19" s="534" customFormat="1" ht="15.75" thickTop="1" x14ac:dyDescent="0.25">
      <c r="A77" s="726">
        <v>3523</v>
      </c>
      <c r="B77" s="727">
        <v>6351</v>
      </c>
      <c r="C77" s="714"/>
      <c r="D77" s="626" t="s">
        <v>1234</v>
      </c>
      <c r="E77" s="728">
        <f>E78+E79</f>
        <v>4000</v>
      </c>
      <c r="F77" s="728">
        <f>F78+F79</f>
        <v>4700</v>
      </c>
      <c r="G77" s="728">
        <f>G78+G79</f>
        <v>4700</v>
      </c>
      <c r="H77" s="1556">
        <f t="shared" si="3"/>
        <v>100</v>
      </c>
    </row>
    <row r="78" spans="1:19" s="534" customFormat="1" ht="15" thickBot="1" x14ac:dyDescent="0.25">
      <c r="A78" s="716"/>
      <c r="B78" s="717"/>
      <c r="C78" s="554" t="s">
        <v>1181</v>
      </c>
      <c r="D78" s="571" t="s">
        <v>360</v>
      </c>
      <c r="E78" s="747">
        <v>4000</v>
      </c>
      <c r="F78" s="747">
        <v>4000</v>
      </c>
      <c r="G78" s="747">
        <v>4000</v>
      </c>
      <c r="H78" s="718">
        <f t="shared" si="3"/>
        <v>100</v>
      </c>
    </row>
    <row r="79" spans="1:19" s="534" customFormat="1" ht="15" thickBot="1" x14ac:dyDescent="0.25">
      <c r="A79" s="716"/>
      <c r="B79" s="717"/>
      <c r="C79" s="1120" t="s">
        <v>1419</v>
      </c>
      <c r="D79" s="1913" t="s">
        <v>1420</v>
      </c>
      <c r="E79" s="747"/>
      <c r="F79" s="747">
        <v>700</v>
      </c>
      <c r="G79" s="747">
        <v>700</v>
      </c>
      <c r="H79" s="718">
        <f t="shared" si="3"/>
        <v>100</v>
      </c>
    </row>
    <row r="80" spans="1:19" s="534" customFormat="1" ht="20.25" customHeight="1" thickTop="1" thickBot="1" x14ac:dyDescent="0.3">
      <c r="A80" s="720" t="s">
        <v>1163</v>
      </c>
      <c r="B80" s="721"/>
      <c r="C80" s="722"/>
      <c r="D80" s="723"/>
      <c r="E80" s="735">
        <f>E77</f>
        <v>4000</v>
      </c>
      <c r="F80" s="735">
        <f>SUM(F77)</f>
        <v>4700</v>
      </c>
      <c r="G80" s="735">
        <f>SUM(G77)</f>
        <v>4700</v>
      </c>
      <c r="H80" s="736">
        <f t="shared" si="3"/>
        <v>100</v>
      </c>
    </row>
    <row r="81" spans="1:15" ht="14.25" customHeight="1" thickTop="1" x14ac:dyDescent="0.25">
      <c r="A81" s="737"/>
      <c r="B81" s="363"/>
      <c r="C81" s="364"/>
      <c r="D81" s="365"/>
      <c r="E81" s="738"/>
      <c r="F81" s="738"/>
      <c r="G81" s="738"/>
      <c r="H81" s="1557"/>
      <c r="I81" s="669"/>
    </row>
    <row r="82" spans="1:15" s="368" customFormat="1" ht="27.75" customHeight="1" thickBot="1" x14ac:dyDescent="0.3">
      <c r="A82" s="739" t="s">
        <v>1307</v>
      </c>
      <c r="B82" s="740"/>
      <c r="C82" s="741"/>
      <c r="D82" s="742"/>
      <c r="E82" s="743">
        <f>E76+E80</f>
        <v>20860</v>
      </c>
      <c r="F82" s="743">
        <f>F76+F80</f>
        <v>33260</v>
      </c>
      <c r="G82" s="743">
        <f>G76+G80</f>
        <v>33260</v>
      </c>
      <c r="H82" s="1558">
        <f>(G82/F82)*100</f>
        <v>100</v>
      </c>
      <c r="J82" s="525"/>
      <c r="K82" s="525"/>
      <c r="L82" s="525"/>
      <c r="M82" s="525"/>
      <c r="N82" s="525"/>
      <c r="O82" s="525"/>
    </row>
    <row r="83" spans="1:15" ht="15" thickTop="1" x14ac:dyDescent="0.2">
      <c r="A83" s="665"/>
    </row>
    <row r="84" spans="1:15" x14ac:dyDescent="0.2">
      <c r="A84" s="2732" t="s">
        <v>1212</v>
      </c>
      <c r="B84" s="2733"/>
      <c r="C84" s="2733"/>
      <c r="D84" s="2733"/>
    </row>
    <row r="85" spans="1:15" s="503" customFormat="1" ht="15.75" customHeight="1" x14ac:dyDescent="0.25">
      <c r="A85" s="2733"/>
      <c r="B85" s="2733"/>
      <c r="C85" s="2733"/>
      <c r="D85" s="2733"/>
      <c r="E85" s="585" t="s">
        <v>328</v>
      </c>
      <c r="F85" s="585"/>
      <c r="G85" s="585"/>
      <c r="H85" s="1559"/>
      <c r="J85" s="525"/>
      <c r="K85" s="525"/>
      <c r="L85" s="525"/>
      <c r="M85" s="525"/>
      <c r="N85" s="525"/>
      <c r="O85" s="525"/>
    </row>
    <row r="86" spans="1:15" s="503" customFormat="1" ht="16.5" thickBot="1" x14ac:dyDescent="0.3">
      <c r="A86" s="745"/>
      <c r="B86" s="746"/>
      <c r="C86" s="746"/>
      <c r="D86" s="746"/>
      <c r="E86" s="585"/>
      <c r="F86" s="585"/>
      <c r="G86" s="585"/>
      <c r="H86" s="1344" t="s">
        <v>173</v>
      </c>
      <c r="J86" s="525"/>
      <c r="K86" s="525"/>
      <c r="L86" s="525"/>
      <c r="M86" s="525"/>
      <c r="N86" s="525"/>
      <c r="O86" s="525"/>
    </row>
    <row r="87" spans="1:15" s="711" customFormat="1" ht="20.25" customHeight="1" thickTop="1" thickBot="1" x14ac:dyDescent="0.25">
      <c r="A87" s="705" t="s">
        <v>174</v>
      </c>
      <c r="B87" s="706" t="s">
        <v>175</v>
      </c>
      <c r="C87" s="707" t="s">
        <v>744</v>
      </c>
      <c r="D87" s="708" t="s">
        <v>176</v>
      </c>
      <c r="E87" s="709" t="s">
        <v>177</v>
      </c>
      <c r="F87" s="709" t="s">
        <v>922</v>
      </c>
      <c r="G87" s="709" t="s">
        <v>923</v>
      </c>
      <c r="H87" s="1555" t="s">
        <v>924</v>
      </c>
      <c r="J87" s="504"/>
      <c r="K87" s="504"/>
      <c r="L87" s="504"/>
      <c r="M87" s="504"/>
      <c r="N87" s="504"/>
      <c r="O87" s="504"/>
    </row>
    <row r="88" spans="1:15" s="384" customFormat="1" ht="13.5" thickTop="1" thickBot="1" x14ac:dyDescent="0.25">
      <c r="A88" s="568">
        <v>1</v>
      </c>
      <c r="B88" s="569">
        <v>2</v>
      </c>
      <c r="C88" s="569">
        <v>3</v>
      </c>
      <c r="D88" s="569">
        <v>4</v>
      </c>
      <c r="E88" s="569">
        <v>5</v>
      </c>
      <c r="F88" s="543">
        <v>6</v>
      </c>
      <c r="G88" s="543">
        <v>7</v>
      </c>
      <c r="H88" s="1551" t="s">
        <v>61</v>
      </c>
      <c r="I88" s="107"/>
    </row>
    <row r="89" spans="1:15" ht="15.75" thickTop="1" x14ac:dyDescent="0.25">
      <c r="A89" s="712">
        <v>3523</v>
      </c>
      <c r="B89" s="713">
        <v>5331</v>
      </c>
      <c r="C89" s="714"/>
      <c r="D89" s="626" t="s">
        <v>249</v>
      </c>
      <c r="E89" s="389">
        <f>E90</f>
        <v>9070</v>
      </c>
      <c r="F89" s="389">
        <f>F90+F91</f>
        <v>11070</v>
      </c>
      <c r="G89" s="389">
        <f>G90+G91</f>
        <v>11070</v>
      </c>
      <c r="H89" s="1556">
        <f t="shared" ref="H89:H95" si="4">G89/F89*100</f>
        <v>100</v>
      </c>
    </row>
    <row r="90" spans="1:15" x14ac:dyDescent="0.2">
      <c r="A90" s="716"/>
      <c r="B90" s="717"/>
      <c r="C90" s="554" t="s">
        <v>606</v>
      </c>
      <c r="D90" s="550" t="s">
        <v>1141</v>
      </c>
      <c r="E90" s="356">
        <v>9070</v>
      </c>
      <c r="F90" s="356">
        <v>9070</v>
      </c>
      <c r="G90" s="356">
        <v>9070</v>
      </c>
      <c r="H90" s="718">
        <f t="shared" si="4"/>
        <v>100</v>
      </c>
    </row>
    <row r="91" spans="1:15" ht="15" thickBot="1" x14ac:dyDescent="0.25">
      <c r="A91" s="716"/>
      <c r="B91" s="717"/>
      <c r="C91" s="1218" t="s">
        <v>22</v>
      </c>
      <c r="D91" s="166" t="s">
        <v>1263</v>
      </c>
      <c r="E91" s="356"/>
      <c r="F91" s="356">
        <v>2000</v>
      </c>
      <c r="G91" s="356">
        <v>2000</v>
      </c>
      <c r="H91" s="718">
        <f t="shared" si="4"/>
        <v>100</v>
      </c>
    </row>
    <row r="92" spans="1:15" s="368" customFormat="1" ht="20.25" customHeight="1" thickTop="1" thickBot="1" x14ac:dyDescent="0.3">
      <c r="A92" s="720" t="s">
        <v>1162</v>
      </c>
      <c r="B92" s="721"/>
      <c r="C92" s="722"/>
      <c r="D92" s="723"/>
      <c r="E92" s="724">
        <f>SUM(E89)</f>
        <v>9070</v>
      </c>
      <c r="F92" s="724">
        <f>SUM(F89)</f>
        <v>11070</v>
      </c>
      <c r="G92" s="724">
        <f>SUM(G89)</f>
        <v>11070</v>
      </c>
      <c r="H92" s="725">
        <f t="shared" si="4"/>
        <v>100</v>
      </c>
      <c r="J92" s="526"/>
      <c r="K92" s="526"/>
      <c r="L92" s="526"/>
      <c r="M92" s="525"/>
      <c r="N92" s="525"/>
      <c r="O92" s="525"/>
    </row>
    <row r="93" spans="1:15" s="534" customFormat="1" ht="15.75" thickTop="1" x14ac:dyDescent="0.25">
      <c r="A93" s="726">
        <v>3523</v>
      </c>
      <c r="B93" s="727">
        <v>6351</v>
      </c>
      <c r="C93" s="714"/>
      <c r="D93" s="626" t="s">
        <v>1234</v>
      </c>
      <c r="E93" s="728">
        <f>E94</f>
        <v>1356</v>
      </c>
      <c r="F93" s="728">
        <f>F94</f>
        <v>1356</v>
      </c>
      <c r="G93" s="728">
        <f>G94</f>
        <v>1356</v>
      </c>
      <c r="H93" s="1556">
        <f t="shared" si="4"/>
        <v>100</v>
      </c>
    </row>
    <row r="94" spans="1:15" s="534" customFormat="1" ht="15" thickBot="1" x14ac:dyDescent="0.25">
      <c r="A94" s="712"/>
      <c r="B94" s="729"/>
      <c r="C94" s="554" t="s">
        <v>1181</v>
      </c>
      <c r="D94" s="571" t="s">
        <v>360</v>
      </c>
      <c r="E94" s="731">
        <v>1356</v>
      </c>
      <c r="F94" s="732">
        <v>1356</v>
      </c>
      <c r="G94" s="732">
        <v>1356</v>
      </c>
      <c r="H94" s="718">
        <f t="shared" si="4"/>
        <v>100</v>
      </c>
    </row>
    <row r="95" spans="1:15" s="534" customFormat="1" ht="20.25" customHeight="1" thickTop="1" thickBot="1" x14ac:dyDescent="0.3">
      <c r="A95" s="720" t="s">
        <v>1163</v>
      </c>
      <c r="B95" s="721"/>
      <c r="C95" s="722"/>
      <c r="D95" s="723"/>
      <c r="E95" s="735">
        <f>E93</f>
        <v>1356</v>
      </c>
      <c r="F95" s="735">
        <f>SUM(F93)</f>
        <v>1356</v>
      </c>
      <c r="G95" s="735">
        <f>SUM(G93)</f>
        <v>1356</v>
      </c>
      <c r="H95" s="736">
        <f t="shared" si="4"/>
        <v>100</v>
      </c>
    </row>
    <row r="96" spans="1:15" ht="17.25" thickTop="1" x14ac:dyDescent="0.25">
      <c r="A96" s="748"/>
      <c r="B96" s="749"/>
      <c r="C96" s="750"/>
      <c r="D96" s="751"/>
      <c r="E96" s="752"/>
      <c r="F96" s="752"/>
      <c r="G96" s="752"/>
      <c r="H96" s="1560"/>
      <c r="I96" s="669"/>
    </row>
    <row r="97" spans="1:15" x14ac:dyDescent="0.2">
      <c r="A97" s="2727" t="s">
        <v>500</v>
      </c>
      <c r="B97" s="2728"/>
      <c r="C97" s="2728"/>
      <c r="D97" s="2728"/>
      <c r="E97" s="2730"/>
      <c r="F97" s="2731"/>
      <c r="G97" s="2731"/>
      <c r="H97" s="2731"/>
      <c r="I97" s="669"/>
    </row>
    <row r="98" spans="1:15" s="368" customFormat="1" ht="22.5" customHeight="1" thickBot="1" x14ac:dyDescent="0.3">
      <c r="A98" s="2729"/>
      <c r="B98" s="2729"/>
      <c r="C98" s="2729"/>
      <c r="D98" s="2729"/>
      <c r="E98" s="753">
        <f>E92+E95</f>
        <v>10426</v>
      </c>
      <c r="F98" s="753">
        <f>F92+F95</f>
        <v>12426</v>
      </c>
      <c r="G98" s="753">
        <f>G92+G95</f>
        <v>12426</v>
      </c>
      <c r="H98" s="1561">
        <f>(G98/F98)*100</f>
        <v>100</v>
      </c>
      <c r="J98" s="525"/>
      <c r="K98" s="525"/>
      <c r="L98" s="525"/>
      <c r="M98" s="525"/>
      <c r="N98" s="525"/>
      <c r="O98" s="525"/>
    </row>
    <row r="99" spans="1:15" s="368" customFormat="1" ht="18" customHeight="1" thickTop="1" x14ac:dyDescent="0.25">
      <c r="A99" s="362"/>
      <c r="B99" s="363"/>
      <c r="C99" s="364"/>
      <c r="D99" s="365"/>
      <c r="E99" s="738"/>
      <c r="F99" s="738"/>
      <c r="G99" s="738"/>
      <c r="H99" s="1562"/>
      <c r="J99" s="525"/>
      <c r="K99" s="525"/>
      <c r="L99" s="525"/>
      <c r="M99" s="525"/>
      <c r="N99" s="525"/>
      <c r="O99" s="525"/>
    </row>
    <row r="100" spans="1:15" s="368" customFormat="1" ht="15.75" customHeight="1" x14ac:dyDescent="0.25">
      <c r="A100" s="703" t="s">
        <v>1799</v>
      </c>
      <c r="B100" s="363"/>
      <c r="C100" s="364"/>
      <c r="D100" s="365"/>
      <c r="E100" s="585" t="s">
        <v>329</v>
      </c>
      <c r="F100" s="738"/>
      <c r="G100" s="738"/>
      <c r="H100" s="1562"/>
      <c r="J100" s="525"/>
      <c r="K100" s="525"/>
      <c r="L100" s="525"/>
      <c r="M100" s="525"/>
      <c r="N100" s="525"/>
      <c r="O100" s="525"/>
    </row>
    <row r="101" spans="1:15" s="503" customFormat="1" ht="16.5" thickBot="1" x14ac:dyDescent="0.3">
      <c r="A101" s="745"/>
      <c r="B101" s="754"/>
      <c r="C101" s="755"/>
      <c r="E101" s="585"/>
      <c r="F101" s="585"/>
      <c r="G101" s="585"/>
      <c r="H101" s="1344" t="s">
        <v>173</v>
      </c>
      <c r="J101" s="525"/>
      <c r="K101" s="525"/>
      <c r="L101" s="525"/>
      <c r="M101" s="525"/>
      <c r="N101" s="525"/>
      <c r="O101" s="525"/>
    </row>
    <row r="102" spans="1:15" s="711" customFormat="1" ht="20.25" customHeight="1" thickTop="1" thickBot="1" x14ac:dyDescent="0.25">
      <c r="A102" s="705" t="s">
        <v>174</v>
      </c>
      <c r="B102" s="706" t="s">
        <v>175</v>
      </c>
      <c r="C102" s="707" t="s">
        <v>744</v>
      </c>
      <c r="D102" s="708" t="s">
        <v>176</v>
      </c>
      <c r="E102" s="709" t="s">
        <v>177</v>
      </c>
      <c r="F102" s="709" t="s">
        <v>922</v>
      </c>
      <c r="G102" s="709" t="s">
        <v>923</v>
      </c>
      <c r="H102" s="1555" t="s">
        <v>924</v>
      </c>
      <c r="J102" s="504"/>
      <c r="K102" s="504"/>
      <c r="L102" s="504"/>
      <c r="M102" s="504"/>
      <c r="N102" s="504"/>
      <c r="O102" s="504"/>
    </row>
    <row r="103" spans="1:15" s="384" customFormat="1" ht="13.5" thickTop="1" thickBot="1" x14ac:dyDescent="0.25">
      <c r="A103" s="568">
        <v>1</v>
      </c>
      <c r="B103" s="569">
        <v>2</v>
      </c>
      <c r="C103" s="569">
        <v>3</v>
      </c>
      <c r="D103" s="569">
        <v>4</v>
      </c>
      <c r="E103" s="569">
        <v>5</v>
      </c>
      <c r="F103" s="543">
        <v>6</v>
      </c>
      <c r="G103" s="543">
        <v>7</v>
      </c>
      <c r="H103" s="1551" t="s">
        <v>61</v>
      </c>
      <c r="I103" s="107"/>
    </row>
    <row r="104" spans="1:15" ht="15.75" thickTop="1" x14ac:dyDescent="0.25">
      <c r="A104" s="712">
        <v>3529</v>
      </c>
      <c r="B104" s="713">
        <v>5331</v>
      </c>
      <c r="C104" s="714"/>
      <c r="D104" s="626" t="s">
        <v>249</v>
      </c>
      <c r="E104" s="389">
        <f>E105+E106+E107</f>
        <v>30400</v>
      </c>
      <c r="F104" s="389">
        <f>F105+F106+F107</f>
        <v>30370</v>
      </c>
      <c r="G104" s="389">
        <f>G105+G106+G107</f>
        <v>30370</v>
      </c>
      <c r="H104" s="553">
        <f t="shared" ref="H104:H109" si="5">G104/F104*100</f>
        <v>100</v>
      </c>
    </row>
    <row r="105" spans="1:15" x14ac:dyDescent="0.2">
      <c r="A105" s="716"/>
      <c r="B105" s="717"/>
      <c r="C105" s="719" t="s">
        <v>611</v>
      </c>
      <c r="D105" s="756" t="s">
        <v>1322</v>
      </c>
      <c r="E105" s="356">
        <v>1250</v>
      </c>
      <c r="F105" s="356">
        <v>1220</v>
      </c>
      <c r="G105" s="356">
        <v>1220</v>
      </c>
      <c r="H105" s="718">
        <f t="shared" si="5"/>
        <v>100</v>
      </c>
    </row>
    <row r="106" spans="1:15" x14ac:dyDescent="0.2">
      <c r="A106" s="716"/>
      <c r="B106" s="717"/>
      <c r="C106" s="554" t="s">
        <v>606</v>
      </c>
      <c r="D106" s="550" t="s">
        <v>72</v>
      </c>
      <c r="E106" s="356">
        <v>8150</v>
      </c>
      <c r="F106" s="757">
        <v>8150</v>
      </c>
      <c r="G106" s="356">
        <v>8150</v>
      </c>
      <c r="H106" s="718">
        <f t="shared" si="5"/>
        <v>100</v>
      </c>
    </row>
    <row r="107" spans="1:15" x14ac:dyDescent="0.2">
      <c r="A107" s="716"/>
      <c r="B107" s="717"/>
      <c r="C107" s="554" t="s">
        <v>703</v>
      </c>
      <c r="D107" s="734" t="s">
        <v>1357</v>
      </c>
      <c r="E107" s="356">
        <v>21000</v>
      </c>
      <c r="F107" s="167">
        <v>21000</v>
      </c>
      <c r="G107" s="356">
        <v>21000</v>
      </c>
      <c r="H107" s="718">
        <f t="shared" si="5"/>
        <v>100</v>
      </c>
    </row>
    <row r="108" spans="1:15" ht="15" x14ac:dyDescent="0.25">
      <c r="A108" s="716">
        <v>4324</v>
      </c>
      <c r="B108" s="717">
        <v>5336</v>
      </c>
      <c r="C108" s="554"/>
      <c r="D108" s="1845" t="s">
        <v>1788</v>
      </c>
      <c r="E108" s="356"/>
      <c r="F108" s="2250">
        <v>2401</v>
      </c>
      <c r="G108" s="390">
        <v>2401</v>
      </c>
      <c r="H108" s="1463">
        <f t="shared" si="5"/>
        <v>100</v>
      </c>
    </row>
    <row r="109" spans="1:15" x14ac:dyDescent="0.2">
      <c r="A109" s="716"/>
      <c r="B109" s="717"/>
      <c r="C109" s="554" t="s">
        <v>612</v>
      </c>
      <c r="D109" s="2724" t="s">
        <v>1066</v>
      </c>
      <c r="E109" s="758"/>
      <c r="F109" s="759">
        <v>2401</v>
      </c>
      <c r="G109" s="356">
        <v>2401</v>
      </c>
      <c r="H109" s="718">
        <f t="shared" si="5"/>
        <v>100</v>
      </c>
    </row>
    <row r="110" spans="1:15" ht="15" thickBot="1" x14ac:dyDescent="0.25">
      <c r="A110" s="716"/>
      <c r="B110" s="717"/>
      <c r="C110" s="554"/>
      <c r="D110" s="2724"/>
      <c r="E110" s="758"/>
      <c r="F110" s="759"/>
      <c r="G110" s="356"/>
      <c r="H110" s="718"/>
    </row>
    <row r="111" spans="1:15" s="368" customFormat="1" ht="20.25" customHeight="1" thickTop="1" thickBot="1" x14ac:dyDescent="0.3">
      <c r="A111" s="720" t="s">
        <v>1162</v>
      </c>
      <c r="B111" s="721"/>
      <c r="C111" s="722"/>
      <c r="D111" s="723"/>
      <c r="E111" s="724">
        <f>SUM(E104)</f>
        <v>30400</v>
      </c>
      <c r="F111" s="724">
        <f>SUM(F104,F108)</f>
        <v>32771</v>
      </c>
      <c r="G111" s="724">
        <f>SUM(G104,G108)</f>
        <v>32771</v>
      </c>
      <c r="H111" s="1563">
        <f>(G111/F111)*100</f>
        <v>100</v>
      </c>
      <c r="J111" s="526"/>
      <c r="K111" s="526"/>
      <c r="L111" s="526"/>
      <c r="M111" s="525"/>
      <c r="N111" s="525"/>
      <c r="O111" s="525"/>
    </row>
    <row r="112" spans="1:15" s="368" customFormat="1" ht="27.75" customHeight="1" thickTop="1" thickBot="1" x14ac:dyDescent="0.3">
      <c r="A112" s="739" t="s">
        <v>1800</v>
      </c>
      <c r="B112" s="740"/>
      <c r="C112" s="741"/>
      <c r="D112" s="742"/>
      <c r="E112" s="743">
        <f>E111</f>
        <v>30400</v>
      </c>
      <c r="F112" s="743">
        <f>F111</f>
        <v>32771</v>
      </c>
      <c r="G112" s="743">
        <f>G111</f>
        <v>32771</v>
      </c>
      <c r="H112" s="1558">
        <f>(G112/F112)*100</f>
        <v>100</v>
      </c>
      <c r="J112" s="525"/>
      <c r="K112" s="525"/>
      <c r="L112" s="525"/>
      <c r="M112" s="525"/>
      <c r="N112" s="525"/>
      <c r="O112" s="525"/>
    </row>
    <row r="113" spans="1:15" ht="15" thickTop="1" x14ac:dyDescent="0.2"/>
    <row r="114" spans="1:15" ht="15.75" x14ac:dyDescent="0.25">
      <c r="A114" s="703" t="s">
        <v>569</v>
      </c>
      <c r="E114" s="585" t="s">
        <v>59</v>
      </c>
      <c r="F114" s="675"/>
      <c r="G114" s="675"/>
      <c r="H114" s="1549"/>
      <c r="I114" s="669"/>
    </row>
    <row r="115" spans="1:15" s="503" customFormat="1" ht="16.5" thickBot="1" x14ac:dyDescent="0.3">
      <c r="A115" s="745"/>
      <c r="B115" s="754"/>
      <c r="C115" s="755"/>
      <c r="E115" s="585"/>
      <c r="F115" s="585"/>
      <c r="G115" s="585"/>
      <c r="H115" s="1344" t="s">
        <v>173</v>
      </c>
      <c r="J115" s="525"/>
      <c r="K115" s="525"/>
      <c r="L115" s="525"/>
      <c r="M115" s="525"/>
      <c r="N115" s="525"/>
      <c r="O115" s="525"/>
    </row>
    <row r="116" spans="1:15" s="711" customFormat="1" ht="20.25" customHeight="1" thickTop="1" thickBot="1" x14ac:dyDescent="0.25">
      <c r="A116" s="705" t="s">
        <v>174</v>
      </c>
      <c r="B116" s="706" t="s">
        <v>175</v>
      </c>
      <c r="C116" s="707" t="s">
        <v>744</v>
      </c>
      <c r="D116" s="708" t="s">
        <v>176</v>
      </c>
      <c r="E116" s="709" t="s">
        <v>177</v>
      </c>
      <c r="F116" s="709" t="s">
        <v>922</v>
      </c>
      <c r="G116" s="709" t="s">
        <v>923</v>
      </c>
      <c r="H116" s="1555" t="s">
        <v>924</v>
      </c>
      <c r="J116" s="504"/>
      <c r="K116" s="504"/>
      <c r="L116" s="504"/>
      <c r="M116" s="504"/>
      <c r="N116" s="504"/>
      <c r="O116" s="504"/>
    </row>
    <row r="117" spans="1:15" s="384" customFormat="1" ht="13.5" thickTop="1" thickBot="1" x14ac:dyDescent="0.25">
      <c r="A117" s="568">
        <v>1</v>
      </c>
      <c r="B117" s="569">
        <v>2</v>
      </c>
      <c r="C117" s="569">
        <v>3</v>
      </c>
      <c r="D117" s="569">
        <v>4</v>
      </c>
      <c r="E117" s="569">
        <v>5</v>
      </c>
      <c r="F117" s="543">
        <v>6</v>
      </c>
      <c r="G117" s="543">
        <v>7</v>
      </c>
      <c r="H117" s="1551" t="s">
        <v>61</v>
      </c>
      <c r="I117" s="107"/>
    </row>
    <row r="118" spans="1:15" ht="15.75" thickTop="1" x14ac:dyDescent="0.25">
      <c r="A118" s="712">
        <v>3529</v>
      </c>
      <c r="B118" s="713">
        <v>5331</v>
      </c>
      <c r="C118" s="714"/>
      <c r="D118" s="626" t="s">
        <v>249</v>
      </c>
      <c r="E118" s="389">
        <f>E119+E120+E121</f>
        <v>20139</v>
      </c>
      <c r="F118" s="389">
        <f>F119+F120+F121</f>
        <v>20139</v>
      </c>
      <c r="G118" s="389">
        <f>G119+G120+G121</f>
        <v>20139</v>
      </c>
      <c r="H118" s="1556">
        <f t="shared" ref="H118:H123" si="6">G118/F118*100</f>
        <v>100</v>
      </c>
    </row>
    <row r="119" spans="1:15" x14ac:dyDescent="0.2">
      <c r="A119" s="716"/>
      <c r="B119" s="717"/>
      <c r="C119" s="719" t="s">
        <v>611</v>
      </c>
      <c r="D119" s="756" t="s">
        <v>1322</v>
      </c>
      <c r="E119" s="356">
        <v>309</v>
      </c>
      <c r="F119" s="356">
        <v>309</v>
      </c>
      <c r="G119" s="356">
        <v>309</v>
      </c>
      <c r="H119" s="718">
        <f t="shared" si="6"/>
        <v>100</v>
      </c>
    </row>
    <row r="120" spans="1:15" x14ac:dyDescent="0.2">
      <c r="A120" s="716"/>
      <c r="B120" s="717"/>
      <c r="C120" s="554" t="s">
        <v>606</v>
      </c>
      <c r="D120" s="550" t="s">
        <v>1141</v>
      </c>
      <c r="E120" s="757">
        <v>6630</v>
      </c>
      <c r="F120" s="356">
        <v>6630</v>
      </c>
      <c r="G120" s="356">
        <v>6630</v>
      </c>
      <c r="H120" s="718">
        <f t="shared" si="6"/>
        <v>100</v>
      </c>
    </row>
    <row r="121" spans="1:15" x14ac:dyDescent="0.2">
      <c r="A121" s="716"/>
      <c r="B121" s="717"/>
      <c r="C121" s="554" t="s">
        <v>703</v>
      </c>
      <c r="D121" s="550" t="s">
        <v>1357</v>
      </c>
      <c r="E121" s="757">
        <v>13200</v>
      </c>
      <c r="F121" s="356">
        <v>13200</v>
      </c>
      <c r="G121" s="356">
        <v>13200</v>
      </c>
      <c r="H121" s="718">
        <f t="shared" si="6"/>
        <v>100</v>
      </c>
    </row>
    <row r="122" spans="1:15" ht="15" x14ac:dyDescent="0.25">
      <c r="A122" s="716">
        <v>4324</v>
      </c>
      <c r="B122" s="717">
        <v>5336</v>
      </c>
      <c r="C122" s="554"/>
      <c r="D122" s="1846" t="s">
        <v>1788</v>
      </c>
      <c r="E122" s="757"/>
      <c r="F122" s="390">
        <v>3927</v>
      </c>
      <c r="G122" s="390">
        <v>3927</v>
      </c>
      <c r="H122" s="1463">
        <f t="shared" si="6"/>
        <v>100</v>
      </c>
    </row>
    <row r="123" spans="1:15" s="766" customFormat="1" x14ac:dyDescent="0.2">
      <c r="A123" s="760"/>
      <c r="B123" s="761"/>
      <c r="C123" s="554" t="s">
        <v>612</v>
      </c>
      <c r="D123" s="2724" t="s">
        <v>1066</v>
      </c>
      <c r="E123" s="762"/>
      <c r="F123" s="762">
        <v>3927</v>
      </c>
      <c r="G123" s="762">
        <v>3927</v>
      </c>
      <c r="H123" s="763">
        <f t="shared" si="6"/>
        <v>100</v>
      </c>
      <c r="I123" s="764"/>
      <c r="J123" s="765"/>
      <c r="K123" s="765"/>
      <c r="L123" s="765"/>
      <c r="M123" s="765"/>
      <c r="N123" s="765"/>
      <c r="O123" s="765"/>
    </row>
    <row r="124" spans="1:15" s="766" customFormat="1" ht="15" thickBot="1" x14ac:dyDescent="0.25">
      <c r="A124" s="767"/>
      <c r="B124" s="768"/>
      <c r="C124" s="554"/>
      <c r="D124" s="2724"/>
      <c r="E124" s="762"/>
      <c r="F124" s="762"/>
      <c r="G124" s="762"/>
      <c r="H124" s="763"/>
      <c r="I124" s="764"/>
      <c r="J124" s="765"/>
      <c r="K124" s="765"/>
      <c r="L124" s="765"/>
      <c r="M124" s="765"/>
      <c r="N124" s="765"/>
      <c r="O124" s="765"/>
    </row>
    <row r="125" spans="1:15" s="368" customFormat="1" ht="20.25" customHeight="1" thickTop="1" thickBot="1" x14ac:dyDescent="0.3">
      <c r="A125" s="769" t="s">
        <v>1162</v>
      </c>
      <c r="B125" s="721"/>
      <c r="C125" s="722"/>
      <c r="D125" s="723"/>
      <c r="E125" s="724">
        <f>SUM(E118)</f>
        <v>20139</v>
      </c>
      <c r="F125" s="724">
        <f>SUM(F118,F122)</f>
        <v>24066</v>
      </c>
      <c r="G125" s="724">
        <f>SUM(G118,G122)</f>
        <v>24066</v>
      </c>
      <c r="H125" s="1563">
        <f>(G125/F125)*100</f>
        <v>100</v>
      </c>
      <c r="J125" s="526"/>
      <c r="K125" s="526"/>
      <c r="L125" s="526"/>
      <c r="M125" s="525"/>
      <c r="N125" s="525"/>
      <c r="O125" s="525"/>
    </row>
    <row r="126" spans="1:15" ht="17.25" thickTop="1" x14ac:dyDescent="0.25">
      <c r="A126" s="748"/>
    </row>
    <row r="127" spans="1:15" s="368" customFormat="1" ht="27.75" customHeight="1" thickBot="1" x14ac:dyDescent="0.3">
      <c r="A127" s="739" t="s">
        <v>501</v>
      </c>
      <c r="B127" s="740"/>
      <c r="C127" s="741"/>
      <c r="D127" s="742"/>
      <c r="E127" s="743">
        <f>E125</f>
        <v>20139</v>
      </c>
      <c r="F127" s="743">
        <f>F125</f>
        <v>24066</v>
      </c>
      <c r="G127" s="743">
        <f>G125</f>
        <v>24066</v>
      </c>
      <c r="H127" s="1558">
        <f>(G127/F127)*100</f>
        <v>100</v>
      </c>
      <c r="J127" s="525"/>
      <c r="K127" s="525"/>
      <c r="L127" s="525"/>
      <c r="M127" s="525"/>
      <c r="N127" s="525"/>
      <c r="O127" s="525"/>
    </row>
    <row r="128" spans="1:15" s="368" customFormat="1" ht="15" customHeight="1" thickTop="1" x14ac:dyDescent="0.25">
      <c r="A128" s="362"/>
      <c r="B128" s="363"/>
      <c r="C128" s="364"/>
      <c r="D128" s="365"/>
      <c r="E128" s="738"/>
      <c r="F128" s="738"/>
      <c r="G128" s="738"/>
      <c r="H128" s="1557"/>
      <c r="J128" s="525"/>
      <c r="K128" s="525"/>
      <c r="L128" s="525"/>
      <c r="M128" s="525"/>
      <c r="N128" s="525"/>
      <c r="O128" s="525"/>
    </row>
    <row r="129" spans="1:15" s="368" customFormat="1" ht="15" customHeight="1" x14ac:dyDescent="0.25">
      <c r="A129" s="703" t="s">
        <v>776</v>
      </c>
      <c r="B129" s="363"/>
      <c r="C129" s="364"/>
      <c r="D129" s="365"/>
      <c r="E129" s="585" t="s">
        <v>60</v>
      </c>
      <c r="F129" s="738"/>
      <c r="G129" s="738"/>
      <c r="H129" s="1557"/>
      <c r="J129" s="525"/>
      <c r="K129" s="525"/>
      <c r="L129" s="525"/>
      <c r="M129" s="525"/>
      <c r="N129" s="525"/>
      <c r="O129" s="525"/>
    </row>
    <row r="130" spans="1:15" s="503" customFormat="1" ht="13.5" customHeight="1" thickBot="1" x14ac:dyDescent="0.3">
      <c r="A130" s="745"/>
      <c r="B130" s="754"/>
      <c r="C130" s="755"/>
      <c r="E130" s="585"/>
      <c r="F130" s="585"/>
      <c r="G130" s="585"/>
      <c r="H130" s="1344" t="s">
        <v>173</v>
      </c>
      <c r="J130" s="525"/>
      <c r="K130" s="525"/>
      <c r="L130" s="525"/>
      <c r="M130" s="525"/>
      <c r="N130" s="525"/>
      <c r="O130" s="525"/>
    </row>
    <row r="131" spans="1:15" s="711" customFormat="1" ht="20.25" customHeight="1" thickTop="1" thickBot="1" x14ac:dyDescent="0.25">
      <c r="A131" s="705" t="s">
        <v>174</v>
      </c>
      <c r="B131" s="706" t="s">
        <v>175</v>
      </c>
      <c r="C131" s="707" t="s">
        <v>744</v>
      </c>
      <c r="D131" s="708" t="s">
        <v>176</v>
      </c>
      <c r="E131" s="709" t="s">
        <v>177</v>
      </c>
      <c r="F131" s="709" t="s">
        <v>922</v>
      </c>
      <c r="G131" s="709" t="s">
        <v>923</v>
      </c>
      <c r="H131" s="1555" t="s">
        <v>924</v>
      </c>
      <c r="J131" s="504"/>
      <c r="K131" s="504"/>
      <c r="L131" s="504"/>
      <c r="M131" s="504"/>
      <c r="N131" s="504"/>
      <c r="O131" s="504"/>
    </row>
    <row r="132" spans="1:15" s="384" customFormat="1" ht="13.5" thickTop="1" thickBot="1" x14ac:dyDescent="0.25">
      <c r="A132" s="568">
        <v>1</v>
      </c>
      <c r="B132" s="569">
        <v>2</v>
      </c>
      <c r="C132" s="569">
        <v>3</v>
      </c>
      <c r="D132" s="569">
        <v>4</v>
      </c>
      <c r="E132" s="569">
        <v>5</v>
      </c>
      <c r="F132" s="543">
        <v>6</v>
      </c>
      <c r="G132" s="543">
        <v>7</v>
      </c>
      <c r="H132" s="1551" t="s">
        <v>61</v>
      </c>
      <c r="I132" s="107"/>
    </row>
    <row r="133" spans="1:15" ht="15.75" thickTop="1" x14ac:dyDescent="0.25">
      <c r="A133" s="712">
        <v>3533</v>
      </c>
      <c r="B133" s="713">
        <v>5331</v>
      </c>
      <c r="C133" s="714"/>
      <c r="D133" s="626" t="s">
        <v>249</v>
      </c>
      <c r="E133" s="389">
        <f>E134+E135+E136</f>
        <v>152088</v>
      </c>
      <c r="F133" s="389">
        <f>F134+F135+F136+F137</f>
        <v>161110</v>
      </c>
      <c r="G133" s="389">
        <f>G134+G135+G136+G137</f>
        <v>161110</v>
      </c>
      <c r="H133" s="1556">
        <f t="shared" ref="H133:H139" si="7">G133/F133*100</f>
        <v>100</v>
      </c>
    </row>
    <row r="134" spans="1:15" x14ac:dyDescent="0.2">
      <c r="A134" s="716"/>
      <c r="B134" s="717"/>
      <c r="C134" s="719" t="s">
        <v>611</v>
      </c>
      <c r="D134" s="756" t="s">
        <v>1322</v>
      </c>
      <c r="E134" s="436">
        <v>18100</v>
      </c>
      <c r="F134" s="436">
        <v>18100</v>
      </c>
      <c r="G134" s="436">
        <v>18100</v>
      </c>
      <c r="H134" s="718">
        <f t="shared" si="7"/>
        <v>100</v>
      </c>
    </row>
    <row r="135" spans="1:15" x14ac:dyDescent="0.2">
      <c r="A135" s="716"/>
      <c r="B135" s="717"/>
      <c r="C135" s="554" t="s">
        <v>606</v>
      </c>
      <c r="D135" s="550" t="s">
        <v>1141</v>
      </c>
      <c r="E135" s="356">
        <v>131290</v>
      </c>
      <c r="F135" s="356">
        <v>131290</v>
      </c>
      <c r="G135" s="356">
        <v>131290</v>
      </c>
      <c r="H135" s="718">
        <f t="shared" si="7"/>
        <v>100</v>
      </c>
    </row>
    <row r="136" spans="1:15" x14ac:dyDescent="0.2">
      <c r="A136" s="716"/>
      <c r="B136" s="717"/>
      <c r="C136" s="554" t="s">
        <v>1181</v>
      </c>
      <c r="D136" s="571" t="s">
        <v>360</v>
      </c>
      <c r="E136" s="356">
        <v>2698</v>
      </c>
      <c r="F136" s="356">
        <v>2720</v>
      </c>
      <c r="G136" s="356">
        <v>2720</v>
      </c>
      <c r="H136" s="718">
        <f t="shared" si="7"/>
        <v>100</v>
      </c>
    </row>
    <row r="137" spans="1:15" x14ac:dyDescent="0.2">
      <c r="A137" s="716"/>
      <c r="B137" s="717"/>
      <c r="C137" s="1218" t="s">
        <v>22</v>
      </c>
      <c r="D137" s="166" t="s">
        <v>1263</v>
      </c>
      <c r="E137" s="356"/>
      <c r="F137" s="356">
        <v>9000</v>
      </c>
      <c r="G137" s="356">
        <v>9000</v>
      </c>
      <c r="H137" s="718">
        <f t="shared" si="7"/>
        <v>100</v>
      </c>
    </row>
    <row r="138" spans="1:15" ht="15" x14ac:dyDescent="0.25">
      <c r="A138" s="716">
        <v>3533</v>
      </c>
      <c r="B138" s="717">
        <v>5336</v>
      </c>
      <c r="C138" s="554"/>
      <c r="D138" s="1846" t="s">
        <v>1788</v>
      </c>
      <c r="E138" s="356"/>
      <c r="F138" s="390">
        <v>6376</v>
      </c>
      <c r="G138" s="390">
        <v>6376</v>
      </c>
      <c r="H138" s="1463">
        <f t="shared" si="7"/>
        <v>100</v>
      </c>
    </row>
    <row r="139" spans="1:15" x14ac:dyDescent="0.2">
      <c r="A139" s="716"/>
      <c r="B139" s="717"/>
      <c r="C139" s="554" t="s">
        <v>1802</v>
      </c>
      <c r="D139" s="2722" t="s">
        <v>1801</v>
      </c>
      <c r="E139" s="356"/>
      <c r="F139" s="356">
        <v>6376</v>
      </c>
      <c r="G139" s="356">
        <v>6376</v>
      </c>
      <c r="H139" s="718">
        <f t="shared" si="7"/>
        <v>100</v>
      </c>
    </row>
    <row r="140" spans="1:15" ht="15" thickBot="1" x14ac:dyDescent="0.25">
      <c r="A140" s="716"/>
      <c r="B140" s="717"/>
      <c r="C140" s="554"/>
      <c r="D140" s="2723"/>
      <c r="E140" s="356"/>
      <c r="F140" s="356"/>
      <c r="G140" s="356"/>
      <c r="H140" s="718"/>
    </row>
    <row r="141" spans="1:15" s="368" customFormat="1" ht="20.25" customHeight="1" thickTop="1" thickBot="1" x14ac:dyDescent="0.3">
      <c r="A141" s="720" t="s">
        <v>1162</v>
      </c>
      <c r="B141" s="721"/>
      <c r="C141" s="722"/>
      <c r="D141" s="723"/>
      <c r="E141" s="724">
        <f>SUM(E133)</f>
        <v>152088</v>
      </c>
      <c r="F141" s="724">
        <f>SUM(F133,F138)</f>
        <v>167486</v>
      </c>
      <c r="G141" s="724">
        <f>SUM(G133,G138)</f>
        <v>167486</v>
      </c>
      <c r="H141" s="1563">
        <f>(G141/F141)*100</f>
        <v>100</v>
      </c>
      <c r="J141" s="526"/>
      <c r="K141" s="526"/>
      <c r="L141" s="526"/>
      <c r="M141" s="525"/>
      <c r="N141" s="525"/>
      <c r="O141" s="525"/>
    </row>
    <row r="142" spans="1:15" s="534" customFormat="1" ht="15.75" thickTop="1" x14ac:dyDescent="0.25">
      <c r="A142" s="726">
        <v>3533</v>
      </c>
      <c r="B142" s="1523">
        <v>6351</v>
      </c>
      <c r="C142" s="714"/>
      <c r="D142" s="626" t="s">
        <v>1234</v>
      </c>
      <c r="E142" s="728">
        <f>E143</f>
        <v>0</v>
      </c>
      <c r="F142" s="728">
        <f>F143</f>
        <v>2850</v>
      </c>
      <c r="G142" s="728">
        <f>G143</f>
        <v>2850</v>
      </c>
      <c r="H142" s="1556">
        <f>G142/F142*100</f>
        <v>100</v>
      </c>
    </row>
    <row r="143" spans="1:15" s="534" customFormat="1" ht="15" thickBot="1" x14ac:dyDescent="0.25">
      <c r="A143" s="712"/>
      <c r="B143" s="729"/>
      <c r="C143" s="1120" t="s">
        <v>1419</v>
      </c>
      <c r="D143" s="1913" t="s">
        <v>1420</v>
      </c>
      <c r="E143" s="731"/>
      <c r="F143" s="732">
        <v>2850</v>
      </c>
      <c r="G143" s="732">
        <v>2850</v>
      </c>
      <c r="H143" s="718">
        <f>G143/F143*100</f>
        <v>100</v>
      </c>
    </row>
    <row r="144" spans="1:15" s="534" customFormat="1" ht="20.25" customHeight="1" thickTop="1" thickBot="1" x14ac:dyDescent="0.3">
      <c r="A144" s="720" t="s">
        <v>1163</v>
      </c>
      <c r="B144" s="721"/>
      <c r="C144" s="722"/>
      <c r="D144" s="723"/>
      <c r="E144" s="735">
        <f>E142</f>
        <v>0</v>
      </c>
      <c r="F144" s="735">
        <f>SUM(F142)</f>
        <v>2850</v>
      </c>
      <c r="G144" s="735">
        <f>SUM(G142)</f>
        <v>2850</v>
      </c>
      <c r="H144" s="736">
        <f>G144/F144*100</f>
        <v>100</v>
      </c>
    </row>
    <row r="145" spans="1:19" ht="17.25" thickTop="1" x14ac:dyDescent="0.25">
      <c r="A145" s="748"/>
    </row>
    <row r="146" spans="1:19" s="368" customFormat="1" ht="27.75" customHeight="1" thickBot="1" x14ac:dyDescent="0.3">
      <c r="A146" s="739" t="s">
        <v>502</v>
      </c>
      <c r="B146" s="740"/>
      <c r="C146" s="741"/>
      <c r="D146" s="742"/>
      <c r="E146" s="743">
        <f>E141+E144</f>
        <v>152088</v>
      </c>
      <c r="F146" s="743">
        <f>F141+F144</f>
        <v>170336</v>
      </c>
      <c r="G146" s="743">
        <f>G141+G144</f>
        <v>170336</v>
      </c>
      <c r="H146" s="1558">
        <f>(G146/F146)*100</f>
        <v>100</v>
      </c>
      <c r="J146" s="525"/>
      <c r="K146" s="525"/>
      <c r="L146" s="525"/>
      <c r="M146" s="525"/>
      <c r="N146" s="525"/>
      <c r="O146" s="525"/>
    </row>
    <row r="147" spans="1:19" s="368" customFormat="1" ht="20.25" customHeight="1" thickTop="1" x14ac:dyDescent="0.25">
      <c r="A147" s="362"/>
      <c r="B147" s="363"/>
      <c r="C147" s="364"/>
      <c r="D147" s="365"/>
      <c r="E147" s="738"/>
      <c r="F147" s="738"/>
      <c r="G147" s="738"/>
      <c r="H147" s="1562"/>
      <c r="J147" s="525"/>
      <c r="K147" s="525"/>
      <c r="L147" s="525"/>
      <c r="M147" s="525"/>
      <c r="N147" s="525"/>
      <c r="O147" s="525"/>
    </row>
    <row r="148" spans="1:19" s="368" customFormat="1" ht="20.25" customHeight="1" x14ac:dyDescent="0.25">
      <c r="A148" s="362"/>
      <c r="B148" s="363"/>
      <c r="C148" s="364"/>
      <c r="D148" s="365"/>
      <c r="E148" s="738"/>
      <c r="F148" s="738"/>
      <c r="G148" s="738"/>
      <c r="H148" s="1562"/>
      <c r="J148" s="525"/>
      <c r="K148" s="525"/>
      <c r="L148" s="525"/>
      <c r="M148" s="525"/>
      <c r="N148" s="525"/>
      <c r="O148" s="525"/>
    </row>
    <row r="149" spans="1:19" s="368" customFormat="1" ht="20.25" customHeight="1" x14ac:dyDescent="0.25">
      <c r="A149" s="362"/>
      <c r="B149" s="363"/>
      <c r="C149" s="364"/>
      <c r="D149" s="365"/>
      <c r="E149" s="738"/>
      <c r="F149" s="738"/>
      <c r="G149" s="738"/>
      <c r="H149" s="1562"/>
      <c r="J149" s="525"/>
      <c r="K149" s="525"/>
      <c r="L149" s="525"/>
      <c r="M149" s="525"/>
      <c r="N149" s="525"/>
      <c r="O149" s="525"/>
    </row>
    <row r="150" spans="1:19" s="503" customFormat="1" ht="15.75" x14ac:dyDescent="0.25">
      <c r="A150" s="842" t="s">
        <v>1142</v>
      </c>
      <c r="B150" s="843"/>
      <c r="C150" s="843"/>
      <c r="D150" s="843"/>
      <c r="E150" s="489"/>
      <c r="F150" s="489"/>
      <c r="G150" s="489"/>
      <c r="H150" s="1564"/>
    </row>
    <row r="151" spans="1:19" ht="15" thickBot="1" x14ac:dyDescent="0.25">
      <c r="E151" s="826"/>
      <c r="F151" s="826"/>
      <c r="G151" s="826"/>
      <c r="H151" s="1549" t="s">
        <v>173</v>
      </c>
      <c r="I151" s="669"/>
      <c r="J151" s="669"/>
      <c r="K151" s="669"/>
      <c r="L151" s="669"/>
      <c r="M151" s="669"/>
      <c r="N151" s="669"/>
      <c r="O151" s="669"/>
    </row>
    <row r="152" spans="1:19" thickTop="1" thickBot="1" x14ac:dyDescent="0.25">
      <c r="A152" s="633" t="s">
        <v>174</v>
      </c>
      <c r="B152" s="634" t="s">
        <v>175</v>
      </c>
      <c r="C152" s="678" t="s">
        <v>744</v>
      </c>
      <c r="D152" s="636" t="s">
        <v>176</v>
      </c>
      <c r="E152" s="636" t="s">
        <v>177</v>
      </c>
      <c r="F152" s="636" t="s">
        <v>922</v>
      </c>
      <c r="G152" s="636" t="s">
        <v>923</v>
      </c>
      <c r="H152" s="1550" t="s">
        <v>924</v>
      </c>
      <c r="I152" s="669"/>
      <c r="J152" s="669"/>
      <c r="K152" s="669"/>
      <c r="L152" s="669"/>
      <c r="M152" s="669"/>
      <c r="N152" s="669"/>
      <c r="O152" s="669"/>
    </row>
    <row r="153" spans="1:19" thickTop="1" thickBot="1" x14ac:dyDescent="0.25">
      <c r="A153" s="568">
        <v>1</v>
      </c>
      <c r="B153" s="569">
        <v>2</v>
      </c>
      <c r="C153" s="569">
        <v>3</v>
      </c>
      <c r="D153" s="569">
        <v>4</v>
      </c>
      <c r="E153" s="569">
        <v>5</v>
      </c>
      <c r="F153" s="543">
        <v>6</v>
      </c>
      <c r="G153" s="543">
        <v>7</v>
      </c>
      <c r="H153" s="1551" t="s">
        <v>61</v>
      </c>
      <c r="I153" s="669"/>
      <c r="J153" s="669"/>
      <c r="K153" s="669"/>
      <c r="L153" s="669"/>
      <c r="M153" s="669"/>
      <c r="N153" s="669"/>
      <c r="O153" s="669"/>
    </row>
    <row r="154" spans="1:19" s="1107" customFormat="1" ht="15.75" thickTop="1" x14ac:dyDescent="0.25">
      <c r="A154" s="34">
        <v>3599</v>
      </c>
      <c r="B154" s="1139">
        <v>5331</v>
      </c>
      <c r="C154" s="122"/>
      <c r="D154" s="1131" t="s">
        <v>876</v>
      </c>
      <c r="E154" s="48">
        <f>E155</f>
        <v>1000</v>
      </c>
      <c r="F154" s="48">
        <f>F155+F156</f>
        <v>795</v>
      </c>
      <c r="G154" s="315">
        <v>0</v>
      </c>
      <c r="H154" s="212">
        <v>0</v>
      </c>
    </row>
    <row r="155" spans="1:19" ht="15" x14ac:dyDescent="0.25">
      <c r="A155" s="1416"/>
      <c r="B155" s="1131"/>
      <c r="C155" s="1120" t="s">
        <v>606</v>
      </c>
      <c r="D155" s="85" t="s">
        <v>626</v>
      </c>
      <c r="E155" s="55">
        <v>1000</v>
      </c>
      <c r="F155" s="314">
        <v>225</v>
      </c>
      <c r="G155" s="316">
        <v>0</v>
      </c>
      <c r="H155" s="1125">
        <v>0</v>
      </c>
      <c r="I155" s="669"/>
      <c r="J155" s="314">
        <v>886</v>
      </c>
      <c r="K155" s="675">
        <v>0</v>
      </c>
      <c r="L155" s="675">
        <v>0</v>
      </c>
      <c r="M155" s="675">
        <v>0</v>
      </c>
      <c r="N155" s="669"/>
      <c r="O155" s="669"/>
    </row>
    <row r="156" spans="1:19" ht="15.75" thickBot="1" x14ac:dyDescent="0.3">
      <c r="A156" s="1416"/>
      <c r="B156" s="1131"/>
      <c r="C156" s="1218" t="s">
        <v>22</v>
      </c>
      <c r="D156" s="166" t="s">
        <v>1263</v>
      </c>
      <c r="E156" s="55"/>
      <c r="F156" s="314">
        <v>570</v>
      </c>
      <c r="G156" s="316">
        <v>0</v>
      </c>
      <c r="H156" s="1125">
        <v>0</v>
      </c>
      <c r="I156" s="669"/>
      <c r="J156" s="314"/>
      <c r="K156" s="675"/>
      <c r="L156" s="675"/>
      <c r="M156" s="675"/>
      <c r="N156" s="669"/>
      <c r="O156" s="669"/>
    </row>
    <row r="157" spans="1:19" s="832" customFormat="1" ht="20.25" customHeight="1" thickTop="1" thickBot="1" x14ac:dyDescent="0.3">
      <c r="A157" s="720" t="s">
        <v>1143</v>
      </c>
      <c r="B157" s="721"/>
      <c r="C157" s="722"/>
      <c r="D157" s="723"/>
      <c r="E157" s="735">
        <f>SUM(E154)</f>
        <v>1000</v>
      </c>
      <c r="F157" s="735">
        <f>SUM(F154)</f>
        <v>795</v>
      </c>
      <c r="G157" s="735">
        <f>SUM(G154)</f>
        <v>0</v>
      </c>
      <c r="H157" s="1565">
        <f>SUM(H154)</f>
        <v>0</v>
      </c>
      <c r="J157" s="1623" t="s">
        <v>1600</v>
      </c>
      <c r="K157" s="526">
        <f>E79+E143</f>
        <v>0</v>
      </c>
      <c r="L157" s="526">
        <f>F79+F143</f>
        <v>3550</v>
      </c>
      <c r="M157" s="526">
        <f>G79+G143</f>
        <v>3550</v>
      </c>
      <c r="S157" s="832">
        <v>0</v>
      </c>
    </row>
    <row r="158" spans="1:19" s="368" customFormat="1" ht="20.25" customHeight="1" thickTop="1" x14ac:dyDescent="0.25">
      <c r="A158" s="362"/>
      <c r="B158" s="363"/>
      <c r="C158" s="364"/>
      <c r="D158" s="365"/>
      <c r="E158" s="738"/>
      <c r="F158" s="738"/>
      <c r="G158" s="738"/>
      <c r="H158" s="1562"/>
      <c r="J158" s="525"/>
      <c r="K158" s="525"/>
      <c r="L158" s="525"/>
      <c r="M158" s="525"/>
      <c r="N158" s="525"/>
      <c r="O158" s="525"/>
    </row>
    <row r="159" spans="1:19" s="368" customFormat="1" ht="20.25" customHeight="1" x14ac:dyDescent="0.25">
      <c r="A159" s="362"/>
      <c r="B159" s="363"/>
      <c r="C159" s="364"/>
      <c r="D159" s="365"/>
      <c r="E159" s="738"/>
      <c r="F159" s="738"/>
      <c r="G159" s="738"/>
      <c r="H159" s="1562"/>
      <c r="J159" s="525"/>
      <c r="K159" s="525"/>
      <c r="L159" s="525"/>
      <c r="M159" s="525"/>
      <c r="N159" s="525"/>
      <c r="O159" s="525"/>
    </row>
    <row r="160" spans="1:19" s="368" customFormat="1" ht="18" customHeight="1" x14ac:dyDescent="0.25">
      <c r="A160" s="362" t="s">
        <v>276</v>
      </c>
      <c r="B160" s="363"/>
      <c r="C160" s="364"/>
      <c r="D160" s="365"/>
      <c r="E160" s="738">
        <f>E161+E162+E163+E164</f>
        <v>20801</v>
      </c>
      <c r="F160" s="738">
        <f>F161+F162+F163+F164</f>
        <v>24524</v>
      </c>
      <c r="G160" s="738">
        <f>G161+G162+G163+G164</f>
        <v>24362</v>
      </c>
      <c r="H160" s="1559">
        <f>G160/F160*100</f>
        <v>99.339422606426353</v>
      </c>
      <c r="J160" s="525"/>
      <c r="K160" s="525"/>
      <c r="L160" s="525"/>
      <c r="M160" s="525"/>
      <c r="N160" s="525"/>
      <c r="O160" s="525"/>
    </row>
    <row r="161" spans="1:15" s="368" customFormat="1" ht="18" customHeight="1" x14ac:dyDescent="0.25">
      <c r="A161" s="557" t="s">
        <v>277</v>
      </c>
      <c r="B161" s="363"/>
      <c r="C161" s="364"/>
      <c r="D161" s="365"/>
      <c r="E161" s="771">
        <f>E56-E163</f>
        <v>20201</v>
      </c>
      <c r="F161" s="771">
        <f>F56-F163</f>
        <v>22132</v>
      </c>
      <c r="G161" s="771">
        <f>G56-G163</f>
        <v>21970</v>
      </c>
      <c r="H161" s="1566">
        <f>G161/F161*100</f>
        <v>99.268028194469551</v>
      </c>
      <c r="J161" s="525"/>
      <c r="K161" s="525"/>
      <c r="L161" s="525"/>
      <c r="M161" s="525"/>
      <c r="N161" s="525"/>
      <c r="O161" s="525"/>
    </row>
    <row r="162" spans="1:15" s="503" customFormat="1" ht="15.75" x14ac:dyDescent="0.25">
      <c r="A162" s="557" t="s">
        <v>278</v>
      </c>
      <c r="B162" s="587"/>
      <c r="C162" s="588"/>
      <c r="D162" s="589"/>
      <c r="E162" s="772">
        <f>E65</f>
        <v>0</v>
      </c>
      <c r="F162" s="772">
        <f>F65</f>
        <v>100</v>
      </c>
      <c r="G162" s="772">
        <f>G65</f>
        <v>100</v>
      </c>
      <c r="H162" s="1566">
        <f>G162/F162*100</f>
        <v>100</v>
      </c>
      <c r="J162" s="525"/>
      <c r="K162" s="525"/>
      <c r="L162" s="525"/>
      <c r="M162" s="525"/>
      <c r="N162" s="525"/>
      <c r="O162" s="525"/>
    </row>
    <row r="163" spans="1:15" s="503" customFormat="1" ht="15.75" x14ac:dyDescent="0.25">
      <c r="A163" s="557" t="s">
        <v>221</v>
      </c>
      <c r="B163" s="592"/>
      <c r="C163" s="588"/>
      <c r="D163" s="593"/>
      <c r="E163" s="772">
        <f>E43+E44</f>
        <v>600</v>
      </c>
      <c r="F163" s="772">
        <f>F43+F44</f>
        <v>2292</v>
      </c>
      <c r="G163" s="772">
        <f>G43+G44</f>
        <v>2292</v>
      </c>
      <c r="H163" s="1566">
        <f>G163/F163*100</f>
        <v>100</v>
      </c>
      <c r="J163" s="525"/>
      <c r="K163" s="525"/>
      <c r="L163" s="525"/>
      <c r="M163" s="525"/>
      <c r="N163" s="525"/>
      <c r="O163" s="525"/>
    </row>
    <row r="164" spans="1:15" s="1532" customFormat="1" ht="15.75" x14ac:dyDescent="0.2">
      <c r="A164" s="1519" t="s">
        <v>1206</v>
      </c>
      <c r="B164" s="1524"/>
      <c r="C164" s="1529"/>
      <c r="D164" s="1530"/>
      <c r="E164" s="1531">
        <v>0</v>
      </c>
      <c r="F164" s="1531">
        <v>0</v>
      </c>
      <c r="G164" s="1531">
        <v>0</v>
      </c>
      <c r="H164" s="1567">
        <v>0</v>
      </c>
      <c r="J164" s="1533"/>
      <c r="K164" s="1533"/>
      <c r="L164" s="1533"/>
      <c r="M164" s="1533"/>
      <c r="N164" s="1533"/>
      <c r="O164" s="1533"/>
    </row>
    <row r="165" spans="1:15" s="503" customFormat="1" ht="15.75" x14ac:dyDescent="0.25">
      <c r="A165" s="557"/>
      <c r="B165" s="592"/>
      <c r="C165" s="588"/>
      <c r="D165" s="593"/>
      <c r="E165" s="772"/>
      <c r="F165" s="1534"/>
      <c r="G165" s="772"/>
      <c r="H165" s="1566"/>
      <c r="J165" s="525"/>
      <c r="K165" s="525"/>
      <c r="L165" s="525"/>
      <c r="M165" s="525"/>
      <c r="N165" s="525"/>
      <c r="O165" s="525"/>
    </row>
    <row r="166" spans="1:15" s="503" customFormat="1" ht="16.5" x14ac:dyDescent="0.25">
      <c r="A166" s="773" t="s">
        <v>279</v>
      </c>
      <c r="B166" s="1524"/>
      <c r="C166" s="588"/>
      <c r="D166" s="593"/>
      <c r="E166" s="585">
        <f>E167+E168+E169+E170</f>
        <v>234913</v>
      </c>
      <c r="F166" s="585">
        <f>F167+F168+F169+F170</f>
        <v>273654</v>
      </c>
      <c r="G166" s="585">
        <f>G167+G168+G169+G170</f>
        <v>272859</v>
      </c>
      <c r="H166" s="1559">
        <f>G166/F166*100</f>
        <v>99.709487162621414</v>
      </c>
      <c r="J166" s="525"/>
      <c r="K166" s="525"/>
      <c r="L166" s="525"/>
      <c r="M166" s="525"/>
      <c r="N166" s="525"/>
      <c r="O166" s="525"/>
    </row>
    <row r="167" spans="1:15" s="503" customFormat="1" ht="15.75" x14ac:dyDescent="0.25">
      <c r="A167" s="557" t="s">
        <v>1207</v>
      </c>
      <c r="B167" s="592"/>
      <c r="C167" s="588"/>
      <c r="D167" s="593"/>
      <c r="E167" s="772">
        <f>E141+E125+E111+E92+E76+E157-E169</f>
        <v>229557</v>
      </c>
      <c r="F167" s="772">
        <f>F141+F125+F111+F92+F76+F157-F169</f>
        <v>252044</v>
      </c>
      <c r="G167" s="772">
        <f>G141+G125+G111+G92+G76+G157-G169</f>
        <v>251249</v>
      </c>
      <c r="H167" s="1566">
        <f>G167/F167*100</f>
        <v>99.684578883052168</v>
      </c>
      <c r="J167" s="525"/>
      <c r="K167" s="525"/>
      <c r="L167" s="525"/>
      <c r="M167" s="525"/>
      <c r="N167" s="525"/>
      <c r="O167" s="525"/>
    </row>
    <row r="168" spans="1:15" s="503" customFormat="1" ht="15.75" x14ac:dyDescent="0.25">
      <c r="A168" s="557" t="s">
        <v>1208</v>
      </c>
      <c r="B168" s="592"/>
      <c r="C168" s="588"/>
      <c r="D168" s="593"/>
      <c r="E168" s="772">
        <f>E95+E80+E144</f>
        <v>5356</v>
      </c>
      <c r="F168" s="772">
        <f>F95+F80+F144</f>
        <v>8906</v>
      </c>
      <c r="G168" s="772">
        <f>G95+G80+G144</f>
        <v>8906</v>
      </c>
      <c r="H168" s="1566">
        <f>G168/F168*100</f>
        <v>100</v>
      </c>
      <c r="J168" s="526"/>
      <c r="K168" s="526"/>
      <c r="L168" s="526"/>
      <c r="M168" s="525"/>
      <c r="N168" s="525"/>
      <c r="O168" s="525"/>
    </row>
    <row r="169" spans="1:15" s="503" customFormat="1" ht="15.75" x14ac:dyDescent="0.25">
      <c r="A169" s="557" t="s">
        <v>221</v>
      </c>
      <c r="B169" s="592"/>
      <c r="C169" s="588"/>
      <c r="D169" s="593"/>
      <c r="E169" s="772">
        <f>E109+E123</f>
        <v>0</v>
      </c>
      <c r="F169" s="772">
        <f>F109+F123+F139</f>
        <v>12704</v>
      </c>
      <c r="G169" s="772">
        <f>G109+G123+G139</f>
        <v>12704</v>
      </c>
      <c r="H169" s="1566">
        <f>G169/F169*100</f>
        <v>100</v>
      </c>
      <c r="J169" s="525" t="s">
        <v>625</v>
      </c>
      <c r="K169" s="526">
        <f>F163+F164+F169+F170</f>
        <v>14996</v>
      </c>
      <c r="L169" s="526">
        <f>G163+G164+G169+G170</f>
        <v>14996</v>
      </c>
      <c r="M169" s="526"/>
      <c r="N169" s="525"/>
      <c r="O169" s="525"/>
    </row>
    <row r="170" spans="1:15" ht="15" x14ac:dyDescent="0.2">
      <c r="A170" s="557" t="s">
        <v>1206</v>
      </c>
      <c r="B170" s="774"/>
      <c r="E170" s="772">
        <v>0</v>
      </c>
      <c r="F170" s="772">
        <v>0</v>
      </c>
      <c r="G170" s="772">
        <v>0</v>
      </c>
      <c r="H170" s="1566">
        <v>0</v>
      </c>
      <c r="I170" s="669"/>
      <c r="J170" s="526"/>
      <c r="K170" s="526"/>
      <c r="L170" s="493"/>
    </row>
    <row r="171" spans="1:15" ht="15" x14ac:dyDescent="0.2">
      <c r="A171" s="775"/>
      <c r="E171" s="772"/>
      <c r="F171" s="590"/>
      <c r="G171" s="590"/>
      <c r="H171" s="1566"/>
      <c r="I171" s="669"/>
      <c r="J171" s="526"/>
      <c r="K171" s="526"/>
      <c r="L171" s="493"/>
    </row>
    <row r="172" spans="1:15" x14ac:dyDescent="0.2">
      <c r="A172" s="1460"/>
      <c r="J172" s="526"/>
      <c r="K172" s="526"/>
      <c r="L172" s="493"/>
    </row>
    <row r="173" spans="1:15" s="58" customFormat="1" ht="47.25" customHeight="1" thickBot="1" x14ac:dyDescent="0.4">
      <c r="A173" s="776" t="s">
        <v>1315</v>
      </c>
      <c r="B173" s="777"/>
      <c r="C173" s="777"/>
      <c r="D173" s="777"/>
      <c r="E173" s="595">
        <f>SUM(E160,E166)</f>
        <v>255714</v>
      </c>
      <c r="F173" s="595">
        <f>SUM(F160,F166)</f>
        <v>298178</v>
      </c>
      <c r="G173" s="595">
        <f>SUM(G160,G166)</f>
        <v>297221</v>
      </c>
      <c r="H173" s="596">
        <f>(G173/F173)*100</f>
        <v>99.679050768333013</v>
      </c>
      <c r="J173" s="561"/>
      <c r="K173" s="561"/>
      <c r="L173" s="561"/>
      <c r="M173" s="561"/>
      <c r="N173" s="561"/>
      <c r="O173" s="561"/>
    </row>
    <row r="174" spans="1:15" ht="15" thickTop="1" x14ac:dyDescent="0.2"/>
  </sheetData>
  <mergeCells count="10">
    <mergeCell ref="E97:H97"/>
    <mergeCell ref="A84:D85"/>
    <mergeCell ref="D37:D38"/>
    <mergeCell ref="D47:D48"/>
    <mergeCell ref="D22:D23"/>
    <mergeCell ref="D139:D140"/>
    <mergeCell ref="D109:D110"/>
    <mergeCell ref="D123:D124"/>
    <mergeCell ref="C3:D3"/>
    <mergeCell ref="A97:D98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109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 enableFormatConditionsCalculation="0">
    <tabColor rgb="FF00B0F0"/>
  </sheetPr>
  <dimension ref="A1:I16"/>
  <sheetViews>
    <sheetView showGridLines="0" view="pageBreakPreview" zoomScaleNormal="100" zoomScaleSheetLayoutView="100" workbookViewId="0">
      <selection activeCell="E68" sqref="E68"/>
    </sheetView>
  </sheetViews>
  <sheetFormatPr defaultRowHeight="12.75" x14ac:dyDescent="0.2"/>
  <cols>
    <col min="1" max="1" width="4.7109375" style="349" customWidth="1"/>
    <col min="2" max="2" width="4.85546875" style="349" customWidth="1"/>
    <col min="3" max="3" width="6.140625" style="349" customWidth="1"/>
    <col min="4" max="4" width="46.42578125" style="349" customWidth="1"/>
    <col min="5" max="6" width="13.85546875" style="349" customWidth="1"/>
    <col min="7" max="7" width="14.140625" style="349" customWidth="1"/>
    <col min="8" max="8" width="6.28515625" style="630" customWidth="1"/>
    <col min="9" max="16384" width="9.140625" style="349"/>
  </cols>
  <sheetData>
    <row r="1" spans="1:9" ht="21.75" customHeight="1" thickBot="1" x14ac:dyDescent="0.3">
      <c r="A1" s="465" t="s">
        <v>411</v>
      </c>
      <c r="B1" s="466"/>
      <c r="C1" s="466"/>
      <c r="D1" s="477"/>
      <c r="E1" s="478"/>
      <c r="F1" s="469" t="s">
        <v>412</v>
      </c>
      <c r="G1" s="437"/>
      <c r="I1" s="17"/>
    </row>
    <row r="2" spans="1:9" ht="12.75" customHeight="1" x14ac:dyDescent="0.25">
      <c r="A2" s="6"/>
      <c r="B2" s="28"/>
      <c r="C2" s="28"/>
      <c r="D2" s="10"/>
      <c r="E2" s="15"/>
      <c r="F2" s="15"/>
      <c r="G2" s="16"/>
      <c r="H2" s="194"/>
      <c r="I2" s="17"/>
    </row>
    <row r="3" spans="1:9" ht="12.75" customHeight="1" x14ac:dyDescent="0.25">
      <c r="A3" s="67" t="s">
        <v>387</v>
      </c>
      <c r="B3" s="28"/>
      <c r="C3" s="504" t="s">
        <v>413</v>
      </c>
      <c r="D3" s="629"/>
      <c r="E3" s="15"/>
      <c r="F3" s="16"/>
      <c r="G3" s="17"/>
      <c r="H3" s="194"/>
    </row>
    <row r="4" spans="1:9" ht="12.75" customHeight="1" x14ac:dyDescent="0.25">
      <c r="A4" s="6"/>
      <c r="B4" s="28"/>
      <c r="C4" s="504" t="s">
        <v>414</v>
      </c>
      <c r="D4" s="437"/>
      <c r="E4" s="15"/>
      <c r="F4" s="16"/>
      <c r="G4" s="17"/>
      <c r="H4" s="194"/>
    </row>
    <row r="5" spans="1:9" ht="12.75" customHeight="1" x14ac:dyDescent="0.25">
      <c r="A5" s="6"/>
      <c r="B5" s="28"/>
      <c r="C5" s="28"/>
      <c r="D5" s="10"/>
      <c r="E5" s="15"/>
      <c r="F5" s="15"/>
      <c r="G5" s="16"/>
      <c r="H5" s="194"/>
      <c r="I5" s="17"/>
    </row>
    <row r="6" spans="1:9" ht="18" x14ac:dyDescent="0.25">
      <c r="A6" s="33" t="s">
        <v>925</v>
      </c>
      <c r="B6" s="28"/>
      <c r="C6" s="28"/>
      <c r="D6" s="10"/>
      <c r="E6" s="15"/>
      <c r="F6" s="15"/>
      <c r="G6" s="16"/>
      <c r="H6" s="194"/>
      <c r="I6" s="17"/>
    </row>
    <row r="7" spans="1:9" ht="13.5" thickBot="1" x14ac:dyDescent="0.25">
      <c r="A7" s="631"/>
      <c r="B7" s="631"/>
      <c r="C7" s="631"/>
      <c r="D7" s="632"/>
      <c r="E7" s="437"/>
      <c r="F7" s="437"/>
      <c r="G7" s="424"/>
      <c r="H7" s="630" t="s">
        <v>173</v>
      </c>
    </row>
    <row r="8" spans="1:9" s="107" customFormat="1" ht="20.25" customHeight="1" thickTop="1" thickBot="1" x14ac:dyDescent="0.25">
      <c r="A8" s="633" t="s">
        <v>174</v>
      </c>
      <c r="B8" s="634" t="s">
        <v>175</v>
      </c>
      <c r="C8" s="636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637" t="s">
        <v>924</v>
      </c>
    </row>
    <row r="9" spans="1:9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638" t="s">
        <v>61</v>
      </c>
      <c r="I9" s="107"/>
    </row>
    <row r="10" spans="1:9" s="1107" customFormat="1" ht="16.5" thickTop="1" thickBot="1" x14ac:dyDescent="0.3">
      <c r="A10" s="1127">
        <v>6172</v>
      </c>
      <c r="B10" s="1138">
        <v>5192</v>
      </c>
      <c r="C10" s="1231"/>
      <c r="D10" s="1224" t="s">
        <v>838</v>
      </c>
      <c r="E10" s="1229">
        <v>20</v>
      </c>
      <c r="F10" s="1225">
        <v>5</v>
      </c>
      <c r="G10" s="1228">
        <v>1</v>
      </c>
      <c r="H10" s="1227">
        <f>(G10/F10)*100</f>
        <v>20</v>
      </c>
      <c r="I10" s="1222"/>
    </row>
    <row r="11" spans="1:9" s="361" customFormat="1" ht="35.25" customHeight="1" thickTop="1" thickBot="1" x14ac:dyDescent="0.3">
      <c r="A11" s="639" t="s">
        <v>258</v>
      </c>
      <c r="B11" s="640"/>
      <c r="C11" s="641"/>
      <c r="D11" s="642"/>
      <c r="E11" s="643">
        <f>E10</f>
        <v>20</v>
      </c>
      <c r="F11" s="643">
        <f>F10</f>
        <v>5</v>
      </c>
      <c r="G11" s="643">
        <f>G10</f>
        <v>1</v>
      </c>
      <c r="H11" s="1226">
        <f>(G11/F11)*100</f>
        <v>20</v>
      </c>
    </row>
    <row r="12" spans="1:9" ht="15.75" thickTop="1" x14ac:dyDescent="0.25">
      <c r="A12" s="645"/>
      <c r="B12" s="645"/>
      <c r="C12" s="645"/>
      <c r="D12" s="646"/>
      <c r="E12" s="646"/>
      <c r="F12" s="647"/>
      <c r="G12" s="648"/>
      <c r="H12" s="659"/>
    </row>
    <row r="13" spans="1:9" x14ac:dyDescent="0.2">
      <c r="A13" s="645"/>
      <c r="H13" s="660"/>
    </row>
    <row r="14" spans="1:9" x14ac:dyDescent="0.2">
      <c r="A14" s="645"/>
      <c r="H14" s="660"/>
    </row>
    <row r="15" spans="1:9" s="58" customFormat="1" ht="47.25" customHeight="1" thickBot="1" x14ac:dyDescent="0.4">
      <c r="A15" s="650" t="s">
        <v>415</v>
      </c>
      <c r="B15" s="651"/>
      <c r="C15" s="652"/>
      <c r="D15" s="653"/>
      <c r="E15" s="661">
        <f>SUM(E11)</f>
        <v>20</v>
      </c>
      <c r="F15" s="661">
        <f>SUM(F11)</f>
        <v>5</v>
      </c>
      <c r="G15" s="661">
        <f>SUM(G11)</f>
        <v>1</v>
      </c>
      <c r="H15" s="662">
        <f>(G15/F15)*100</f>
        <v>20</v>
      </c>
      <c r="I15" s="655"/>
    </row>
    <row r="16" spans="1:9" ht="13.5" thickTop="1" x14ac:dyDescent="0.2"/>
  </sheetData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12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 enableFormatConditionsCalculation="0">
    <tabColor rgb="FF00B0F0"/>
  </sheetPr>
  <dimension ref="A1:U16"/>
  <sheetViews>
    <sheetView showGridLines="0" view="pageBreakPreview" zoomScaleNormal="100" zoomScaleSheetLayoutView="100" workbookViewId="0">
      <selection activeCell="G35" sqref="G35"/>
    </sheetView>
  </sheetViews>
  <sheetFormatPr defaultRowHeight="12.75" x14ac:dyDescent="0.2"/>
  <cols>
    <col min="1" max="1" width="4.7109375" style="349" customWidth="1"/>
    <col min="2" max="2" width="4.85546875" style="349" customWidth="1"/>
    <col min="3" max="3" width="6.140625" style="349" customWidth="1"/>
    <col min="4" max="4" width="46.42578125" style="349" customWidth="1"/>
    <col min="5" max="6" width="13.85546875" style="349" customWidth="1"/>
    <col min="7" max="7" width="12.85546875" style="349" customWidth="1"/>
    <col min="8" max="8" width="8" style="630" customWidth="1"/>
    <col min="9" max="16384" width="9.140625" style="349"/>
  </cols>
  <sheetData>
    <row r="1" spans="1:21" ht="21.75" customHeight="1" thickBot="1" x14ac:dyDescent="0.3">
      <c r="A1" s="465" t="s">
        <v>393</v>
      </c>
      <c r="B1" s="466"/>
      <c r="C1" s="466"/>
      <c r="D1" s="477"/>
      <c r="E1" s="478"/>
      <c r="F1" s="469" t="s">
        <v>394</v>
      </c>
      <c r="G1" s="437"/>
      <c r="I1" s="17"/>
    </row>
    <row r="2" spans="1:21" ht="12.75" customHeight="1" x14ac:dyDescent="0.25">
      <c r="A2" s="6"/>
      <c r="B2" s="28"/>
      <c r="C2" s="28"/>
      <c r="D2" s="10"/>
      <c r="E2" s="15"/>
      <c r="F2" s="15"/>
      <c r="G2" s="16"/>
      <c r="H2" s="194"/>
      <c r="I2" s="17"/>
    </row>
    <row r="3" spans="1:21" ht="12.75" customHeight="1" x14ac:dyDescent="0.25">
      <c r="A3" s="67" t="s">
        <v>387</v>
      </c>
      <c r="B3" s="28"/>
      <c r="C3" s="504" t="s">
        <v>1144</v>
      </c>
      <c r="D3" s="629"/>
      <c r="E3" s="15"/>
      <c r="F3" s="16"/>
      <c r="G3" s="17"/>
      <c r="H3" s="194"/>
    </row>
    <row r="4" spans="1:21" ht="16.5" customHeight="1" x14ac:dyDescent="0.25">
      <c r="A4" s="6"/>
      <c r="B4" s="28"/>
      <c r="C4" s="504" t="s">
        <v>1145</v>
      </c>
      <c r="D4" s="437"/>
      <c r="E4" s="15"/>
      <c r="F4" s="16"/>
      <c r="G4" s="17"/>
      <c r="H4" s="194"/>
    </row>
    <row r="5" spans="1:21" ht="12.75" customHeight="1" x14ac:dyDescent="0.25">
      <c r="A5" s="6"/>
      <c r="B5" s="28"/>
      <c r="C5" s="28"/>
      <c r="D5" s="10"/>
      <c r="E5" s="15"/>
      <c r="F5" s="15"/>
      <c r="G5" s="16"/>
      <c r="H5" s="194"/>
      <c r="I5" s="17"/>
    </row>
    <row r="6" spans="1:21" ht="18" x14ac:dyDescent="0.25">
      <c r="A6" s="33" t="s">
        <v>925</v>
      </c>
      <c r="B6" s="28"/>
      <c r="C6" s="28"/>
      <c r="D6" s="10"/>
      <c r="E6" s="15"/>
      <c r="F6" s="15"/>
      <c r="G6" s="16"/>
      <c r="H6" s="194"/>
      <c r="I6" s="17"/>
    </row>
    <row r="7" spans="1:21" ht="13.5" thickBot="1" x14ac:dyDescent="0.25">
      <c r="A7" s="631"/>
      <c r="B7" s="631"/>
      <c r="C7" s="631"/>
      <c r="D7" s="632"/>
      <c r="E7" s="437"/>
      <c r="F7" s="437"/>
      <c r="G7" s="424"/>
      <c r="H7" s="536" t="s">
        <v>173</v>
      </c>
    </row>
    <row r="8" spans="1:21" s="107" customFormat="1" ht="20.25" customHeight="1" thickTop="1" thickBot="1" x14ac:dyDescent="0.25">
      <c r="A8" s="633" t="s">
        <v>174</v>
      </c>
      <c r="B8" s="634" t="s">
        <v>175</v>
      </c>
      <c r="C8" s="635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637" t="s">
        <v>924</v>
      </c>
    </row>
    <row r="9" spans="1:21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638" t="s">
        <v>61</v>
      </c>
      <c r="I9" s="107"/>
    </row>
    <row r="10" spans="1:21" s="1107" customFormat="1" ht="19.5" thickTop="1" thickBot="1" x14ac:dyDescent="0.3">
      <c r="A10" s="1239">
        <v>6172</v>
      </c>
      <c r="B10" s="1232">
        <v>5166</v>
      </c>
      <c r="C10" s="1238"/>
      <c r="D10" s="1233" t="s">
        <v>646</v>
      </c>
      <c r="E10" s="1237">
        <v>20</v>
      </c>
      <c r="F10" s="1234">
        <v>0</v>
      </c>
      <c r="G10" s="1236">
        <v>0</v>
      </c>
      <c r="H10" s="1235">
        <v>0</v>
      </c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</row>
    <row r="11" spans="1:21" s="361" customFormat="1" ht="35.25" customHeight="1" thickTop="1" thickBot="1" x14ac:dyDescent="0.3">
      <c r="A11" s="639" t="s">
        <v>258</v>
      </c>
      <c r="B11" s="640"/>
      <c r="C11" s="641"/>
      <c r="D11" s="642"/>
      <c r="E11" s="643">
        <f>SUM(E10)</f>
        <v>20</v>
      </c>
      <c r="F11" s="643">
        <f>SUM(F10)</f>
        <v>0</v>
      </c>
      <c r="G11" s="643">
        <f>SUM(G10)</f>
        <v>0</v>
      </c>
      <c r="H11" s="644">
        <v>0</v>
      </c>
    </row>
    <row r="12" spans="1:21" ht="15.75" thickTop="1" x14ac:dyDescent="0.25">
      <c r="A12" s="645"/>
      <c r="B12" s="645"/>
      <c r="C12" s="645"/>
      <c r="D12" s="646"/>
      <c r="E12" s="646"/>
      <c r="F12" s="647"/>
      <c r="G12" s="648"/>
      <c r="H12" s="649"/>
    </row>
    <row r="13" spans="1:21" x14ac:dyDescent="0.2">
      <c r="A13" s="645"/>
    </row>
    <row r="14" spans="1:21" x14ac:dyDescent="0.2">
      <c r="A14" s="645"/>
    </row>
    <row r="15" spans="1:21" s="58" customFormat="1" ht="47.25" customHeight="1" thickBot="1" x14ac:dyDescent="0.4">
      <c r="A15" s="650" t="s">
        <v>1396</v>
      </c>
      <c r="B15" s="651"/>
      <c r="C15" s="652"/>
      <c r="D15" s="653"/>
      <c r="E15" s="595">
        <f>SUM(E11)</f>
        <v>20</v>
      </c>
      <c r="F15" s="595">
        <f>SUM(F11)</f>
        <v>0</v>
      </c>
      <c r="G15" s="595">
        <f>SUM(G11)</f>
        <v>0</v>
      </c>
      <c r="H15" s="654">
        <v>0</v>
      </c>
      <c r="I15" s="655"/>
    </row>
    <row r="16" spans="1:21" ht="13.5" thickTop="1" x14ac:dyDescent="0.2"/>
  </sheetData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13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 enableFormatConditionsCalculation="0">
    <tabColor rgb="FF00B0F0"/>
  </sheetPr>
  <dimension ref="A1:U134"/>
  <sheetViews>
    <sheetView showGridLines="0" view="pageBreakPreview" zoomScaleNormal="100" zoomScaleSheetLayoutView="100" workbookViewId="0">
      <selection activeCell="E19" sqref="E19"/>
    </sheetView>
  </sheetViews>
  <sheetFormatPr defaultRowHeight="12.75" x14ac:dyDescent="0.2"/>
  <cols>
    <col min="1" max="1" width="4.7109375" style="645" customWidth="1"/>
    <col min="2" max="2" width="4.7109375" style="534" customWidth="1"/>
    <col min="3" max="3" width="9.140625" style="1035" customWidth="1"/>
    <col min="4" max="4" width="46.140625" style="534" customWidth="1"/>
    <col min="5" max="5" width="13.28515625" style="495" customWidth="1"/>
    <col min="6" max="6" width="15.28515625" style="495" customWidth="1"/>
    <col min="7" max="7" width="14.5703125" style="495" customWidth="1"/>
    <col min="8" max="8" width="8.7109375" style="668" customWidth="1"/>
    <col min="9" max="9" width="9.140625" style="495"/>
    <col min="10" max="10" width="11.42578125" style="495" bestFit="1" customWidth="1"/>
    <col min="11" max="16384" width="9.140625" style="534"/>
  </cols>
  <sheetData>
    <row r="1" spans="1:21" s="669" customFormat="1" ht="18.75" thickBot="1" x14ac:dyDescent="0.3">
      <c r="A1" s="496" t="s">
        <v>676</v>
      </c>
      <c r="B1" s="497"/>
      <c r="C1" s="500"/>
      <c r="D1" s="499"/>
      <c r="E1" s="498"/>
      <c r="F1" s="499"/>
      <c r="G1" s="483" t="s">
        <v>954</v>
      </c>
      <c r="H1" s="676"/>
      <c r="I1" s="675"/>
    </row>
    <row r="2" spans="1:21" s="669" customFormat="1" ht="18" x14ac:dyDescent="0.25">
      <c r="A2" s="1247"/>
      <c r="B2" s="1248"/>
      <c r="C2" s="1249"/>
      <c r="D2" s="138"/>
      <c r="E2" s="1250"/>
      <c r="F2" s="138"/>
      <c r="G2" s="1251"/>
      <c r="H2" s="676"/>
      <c r="I2" s="675"/>
    </row>
    <row r="3" spans="1:21" ht="12.75" customHeight="1" x14ac:dyDescent="0.25">
      <c r="A3" s="67" t="s">
        <v>387</v>
      </c>
      <c r="B3" s="28"/>
      <c r="C3" s="564" t="s">
        <v>363</v>
      </c>
      <c r="D3" s="629"/>
      <c r="E3" s="137"/>
      <c r="F3" s="16"/>
      <c r="G3" s="17"/>
      <c r="H3" s="194"/>
      <c r="I3" s="534"/>
      <c r="J3" s="534"/>
    </row>
    <row r="4" spans="1:21" ht="12.75" customHeight="1" x14ac:dyDescent="0.25">
      <c r="A4" s="6"/>
      <c r="B4" s="28"/>
      <c r="C4" s="564" t="s">
        <v>364</v>
      </c>
      <c r="D4" s="675"/>
      <c r="E4" s="138"/>
      <c r="F4" s="16"/>
      <c r="G4" s="17"/>
      <c r="H4" s="194"/>
      <c r="I4" s="534"/>
      <c r="J4" s="534"/>
    </row>
    <row r="5" spans="1:21" ht="12.75" customHeight="1" x14ac:dyDescent="0.25">
      <c r="A5" s="6"/>
      <c r="B5" s="28"/>
      <c r="C5" s="564"/>
      <c r="D5" s="675"/>
      <c r="E5" s="138"/>
      <c r="F5" s="16"/>
      <c r="G5" s="17"/>
      <c r="H5" s="194"/>
      <c r="I5" s="534"/>
      <c r="J5" s="534"/>
    </row>
    <row r="6" spans="1:21" ht="12.75" customHeight="1" x14ac:dyDescent="0.25">
      <c r="A6" s="6"/>
      <c r="B6" s="28"/>
      <c r="C6" s="564"/>
      <c r="D6" s="675"/>
      <c r="E6" s="138"/>
      <c r="F6" s="16"/>
      <c r="G6" s="17"/>
      <c r="H6" s="194"/>
      <c r="I6" s="534"/>
      <c r="J6" s="534"/>
    </row>
    <row r="7" spans="1:21" ht="16.5" customHeight="1" x14ac:dyDescent="0.25">
      <c r="A7" s="33" t="s">
        <v>925</v>
      </c>
      <c r="B7" s="28"/>
      <c r="C7" s="564"/>
      <c r="D7" s="675"/>
      <c r="E7" s="138"/>
      <c r="F7" s="16"/>
      <c r="G7" s="17"/>
      <c r="H7" s="194"/>
      <c r="I7" s="534"/>
      <c r="J7" s="534"/>
    </row>
    <row r="8" spans="1:21" ht="12.75" customHeight="1" thickBot="1" x14ac:dyDescent="0.3">
      <c r="A8" s="33"/>
      <c r="B8" s="28"/>
      <c r="C8" s="564"/>
      <c r="D8" s="675"/>
      <c r="E8" s="138"/>
      <c r="F8" s="16"/>
      <c r="G8" s="17"/>
      <c r="H8" s="668" t="s">
        <v>173</v>
      </c>
      <c r="I8" s="534"/>
      <c r="J8" s="534"/>
    </row>
    <row r="9" spans="1:21" s="1030" customFormat="1" ht="20.25" customHeight="1" thickTop="1" thickBot="1" x14ac:dyDescent="0.25">
      <c r="A9" s="1024" t="s">
        <v>174</v>
      </c>
      <c r="B9" s="1025" t="s">
        <v>175</v>
      </c>
      <c r="C9" s="1026" t="s">
        <v>744</v>
      </c>
      <c r="D9" s="1026" t="s">
        <v>176</v>
      </c>
      <c r="E9" s="1026" t="s">
        <v>177</v>
      </c>
      <c r="F9" s="1026" t="s">
        <v>922</v>
      </c>
      <c r="G9" s="1027" t="s">
        <v>923</v>
      </c>
      <c r="H9" s="1028" t="s">
        <v>924</v>
      </c>
      <c r="I9" s="1029"/>
      <c r="J9" s="1029"/>
    </row>
    <row r="10" spans="1:21" s="384" customFormat="1" ht="13.5" thickTop="1" thickBot="1" x14ac:dyDescent="0.25">
      <c r="A10" s="568">
        <v>1</v>
      </c>
      <c r="B10" s="569">
        <v>2</v>
      </c>
      <c r="C10" s="569">
        <v>3</v>
      </c>
      <c r="D10" s="569">
        <v>4</v>
      </c>
      <c r="E10" s="569">
        <v>5</v>
      </c>
      <c r="F10" s="543">
        <v>6</v>
      </c>
      <c r="G10" s="543">
        <v>7</v>
      </c>
      <c r="H10" s="638" t="s">
        <v>61</v>
      </c>
      <c r="I10" s="107"/>
    </row>
    <row r="11" spans="1:21" s="1107" customFormat="1" ht="15.75" thickTop="1" x14ac:dyDescent="0.25">
      <c r="A11" s="1220">
        <v>3122</v>
      </c>
      <c r="B11" s="268">
        <v>5137</v>
      </c>
      <c r="C11" s="1120"/>
      <c r="D11" s="128" t="s">
        <v>167</v>
      </c>
      <c r="E11" s="124"/>
      <c r="F11" s="315">
        <f>F12</f>
        <v>12436</v>
      </c>
      <c r="G11" s="315">
        <f>G12</f>
        <v>12342</v>
      </c>
      <c r="H11" s="203">
        <f t="shared" ref="H11:H19" si="0">(G11/F11)*100</f>
        <v>99.24412994532004</v>
      </c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</row>
    <row r="12" spans="1:21" s="1107" customFormat="1" ht="14.25" x14ac:dyDescent="0.2">
      <c r="A12" s="1220"/>
      <c r="B12" s="268"/>
      <c r="C12" s="1120" t="s">
        <v>816</v>
      </c>
      <c r="D12" s="1114" t="s">
        <v>817</v>
      </c>
      <c r="E12" s="124"/>
      <c r="F12" s="314">
        <v>12436</v>
      </c>
      <c r="G12" s="316">
        <v>12342</v>
      </c>
      <c r="H12" s="1116">
        <f t="shared" si="0"/>
        <v>99.24412994532004</v>
      </c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</row>
    <row r="13" spans="1:21" s="1107" customFormat="1" ht="15" x14ac:dyDescent="0.25">
      <c r="A13" s="1220">
        <v>3122</v>
      </c>
      <c r="B13" s="268">
        <v>5162</v>
      </c>
      <c r="C13" s="1120"/>
      <c r="D13" s="87" t="s">
        <v>904</v>
      </c>
      <c r="E13" s="124"/>
      <c r="F13" s="313">
        <v>4</v>
      </c>
      <c r="G13" s="315">
        <v>4</v>
      </c>
      <c r="H13" s="203">
        <f t="shared" si="0"/>
        <v>100</v>
      </c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</row>
    <row r="14" spans="1:21" s="1107" customFormat="1" ht="14.25" x14ac:dyDescent="0.2">
      <c r="A14" s="1220"/>
      <c r="B14" s="268"/>
      <c r="C14" s="1120" t="s">
        <v>816</v>
      </c>
      <c r="D14" s="1114" t="s">
        <v>817</v>
      </c>
      <c r="E14" s="124"/>
      <c r="F14" s="314">
        <v>4</v>
      </c>
      <c r="G14" s="316">
        <v>4</v>
      </c>
      <c r="H14" s="1116">
        <f t="shared" si="0"/>
        <v>100</v>
      </c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</row>
    <row r="15" spans="1:21" s="1107" customFormat="1" ht="15" x14ac:dyDescent="0.25">
      <c r="A15" s="1220">
        <v>3122</v>
      </c>
      <c r="B15" s="268">
        <v>5169</v>
      </c>
      <c r="C15" s="1120"/>
      <c r="D15" s="68" t="s">
        <v>892</v>
      </c>
      <c r="E15" s="124"/>
      <c r="F15" s="313">
        <v>25</v>
      </c>
      <c r="G15" s="315">
        <v>25</v>
      </c>
      <c r="H15" s="203">
        <f t="shared" si="0"/>
        <v>100</v>
      </c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</row>
    <row r="16" spans="1:21" s="1107" customFormat="1" ht="14.25" x14ac:dyDescent="0.2">
      <c r="A16" s="1220"/>
      <c r="B16" s="268"/>
      <c r="C16" s="1120" t="s">
        <v>816</v>
      </c>
      <c r="D16" s="1114" t="s">
        <v>817</v>
      </c>
      <c r="E16" s="124"/>
      <c r="F16" s="314">
        <v>25</v>
      </c>
      <c r="G16" s="316">
        <v>25</v>
      </c>
      <c r="H16" s="1116">
        <f t="shared" si="0"/>
        <v>100</v>
      </c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</row>
    <row r="17" spans="1:21" s="1107" customFormat="1" ht="15" x14ac:dyDescent="0.25">
      <c r="A17" s="1220">
        <v>3122</v>
      </c>
      <c r="B17" s="268">
        <v>5171</v>
      </c>
      <c r="C17" s="1120"/>
      <c r="D17" s="128" t="s">
        <v>938</v>
      </c>
      <c r="E17" s="60">
        <f>E18+E19</f>
        <v>6248</v>
      </c>
      <c r="F17" s="60">
        <f>F18+F19</f>
        <v>11097</v>
      </c>
      <c r="G17" s="60">
        <f>G18+G19</f>
        <v>10892</v>
      </c>
      <c r="H17" s="203">
        <f t="shared" si="0"/>
        <v>98.152653870415435</v>
      </c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</row>
    <row r="18" spans="1:21" s="1107" customFormat="1" ht="14.25" x14ac:dyDescent="0.2">
      <c r="A18" s="1220"/>
      <c r="B18" s="268"/>
      <c r="C18" s="1120" t="s">
        <v>196</v>
      </c>
      <c r="D18" s="1114" t="s">
        <v>751</v>
      </c>
      <c r="E18" s="124"/>
      <c r="F18" s="314">
        <v>565</v>
      </c>
      <c r="G18" s="316">
        <v>389</v>
      </c>
      <c r="H18" s="1116">
        <f t="shared" si="0"/>
        <v>68.849557522123888</v>
      </c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</row>
    <row r="19" spans="1:21" s="1107" customFormat="1" ht="14.25" x14ac:dyDescent="0.2">
      <c r="A19" s="1220"/>
      <c r="B19" s="268"/>
      <c r="C19" s="1120" t="s">
        <v>1419</v>
      </c>
      <c r="D19" s="1130" t="s">
        <v>1420</v>
      </c>
      <c r="E19" s="124">
        <v>6248</v>
      </c>
      <c r="F19" s="314">
        <v>10532</v>
      </c>
      <c r="G19" s="316">
        <v>10503</v>
      </c>
      <c r="H19" s="1116">
        <f t="shared" si="0"/>
        <v>99.724648689707564</v>
      </c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</row>
    <row r="20" spans="1:21" s="1107" customFormat="1" ht="15" x14ac:dyDescent="0.25">
      <c r="A20" s="1220">
        <v>3123</v>
      </c>
      <c r="B20" s="268">
        <v>5171</v>
      </c>
      <c r="C20" s="1120"/>
      <c r="D20" s="128" t="s">
        <v>938</v>
      </c>
      <c r="E20" s="60"/>
      <c r="F20" s="60">
        <v>1599</v>
      </c>
      <c r="G20" s="60">
        <v>1598</v>
      </c>
      <c r="H20" s="203">
        <f t="shared" ref="H20:H25" si="1">(G20/F20)*100</f>
        <v>99.937460913070666</v>
      </c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</row>
    <row r="21" spans="1:21" s="1107" customFormat="1" ht="14.25" x14ac:dyDescent="0.2">
      <c r="A21" s="1220"/>
      <c r="B21" s="268"/>
      <c r="C21" s="1120" t="s">
        <v>1419</v>
      </c>
      <c r="D21" s="1130" t="s">
        <v>1420</v>
      </c>
      <c r="E21" s="124"/>
      <c r="F21" s="314">
        <v>1599</v>
      </c>
      <c r="G21" s="316">
        <v>1598</v>
      </c>
      <c r="H21" s="1116">
        <f>(G21/F21)*100</f>
        <v>99.937460913070666</v>
      </c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</row>
    <row r="22" spans="1:21" s="1107" customFormat="1" ht="15" x14ac:dyDescent="0.25">
      <c r="A22" s="1220">
        <v>3149</v>
      </c>
      <c r="B22" s="268">
        <v>5171</v>
      </c>
      <c r="C22" s="1120"/>
      <c r="D22" s="128" t="s">
        <v>938</v>
      </c>
      <c r="E22" s="60"/>
      <c r="F22" s="313">
        <v>325</v>
      </c>
      <c r="G22" s="315">
        <v>39</v>
      </c>
      <c r="H22" s="203">
        <f t="shared" si="1"/>
        <v>12</v>
      </c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</row>
    <row r="23" spans="1:21" s="1107" customFormat="1" ht="14.25" x14ac:dyDescent="0.2">
      <c r="A23" s="1220"/>
      <c r="B23" s="268"/>
      <c r="C23" s="1120" t="s">
        <v>196</v>
      </c>
      <c r="D23" s="1114" t="s">
        <v>751</v>
      </c>
      <c r="E23" s="124"/>
      <c r="F23" s="314">
        <v>325</v>
      </c>
      <c r="G23" s="316">
        <v>39</v>
      </c>
      <c r="H23" s="1116">
        <f t="shared" si="1"/>
        <v>12</v>
      </c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</row>
    <row r="24" spans="1:21" s="1107" customFormat="1" ht="15" x14ac:dyDescent="0.25">
      <c r="A24" s="1220">
        <v>3299</v>
      </c>
      <c r="B24" s="268">
        <v>5192</v>
      </c>
      <c r="C24" s="1120"/>
      <c r="D24" s="1108" t="s">
        <v>1290</v>
      </c>
      <c r="E24" s="124"/>
      <c r="F24" s="313">
        <v>1</v>
      </c>
      <c r="G24" s="315">
        <v>1</v>
      </c>
      <c r="H24" s="203">
        <f t="shared" si="1"/>
        <v>100</v>
      </c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</row>
    <row r="25" spans="1:21" s="1107" customFormat="1" ht="15" x14ac:dyDescent="0.25">
      <c r="A25" s="1220">
        <v>3299</v>
      </c>
      <c r="B25" s="268">
        <v>5363</v>
      </c>
      <c r="C25" s="1120"/>
      <c r="D25" s="87" t="s">
        <v>1652</v>
      </c>
      <c r="E25" s="124"/>
      <c r="F25" s="313">
        <v>2</v>
      </c>
      <c r="G25" s="315">
        <v>2</v>
      </c>
      <c r="H25" s="203">
        <f t="shared" si="1"/>
        <v>100</v>
      </c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</row>
    <row r="26" spans="1:21" s="1107" customFormat="1" ht="15" x14ac:dyDescent="0.25">
      <c r="A26" s="1220">
        <v>3315</v>
      </c>
      <c r="B26" s="268">
        <v>5137</v>
      </c>
      <c r="C26" s="1120"/>
      <c r="D26" s="128" t="s">
        <v>167</v>
      </c>
      <c r="E26" s="124"/>
      <c r="F26" s="315">
        <v>709</v>
      </c>
      <c r="G26" s="315">
        <v>362</v>
      </c>
      <c r="H26" s="203">
        <f t="shared" ref="H26:H34" si="2">(G26/F26)*100</f>
        <v>51.057827926657261</v>
      </c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</row>
    <row r="27" spans="1:21" s="1107" customFormat="1" ht="14.25" x14ac:dyDescent="0.2">
      <c r="A27" s="1220"/>
      <c r="B27" s="268"/>
      <c r="C27" s="1120" t="s">
        <v>1419</v>
      </c>
      <c r="D27" s="1130" t="s">
        <v>1420</v>
      </c>
      <c r="E27" s="124"/>
      <c r="F27" s="314">
        <v>709</v>
      </c>
      <c r="G27" s="316">
        <v>362</v>
      </c>
      <c r="H27" s="1116">
        <f t="shared" si="2"/>
        <v>51.057827926657261</v>
      </c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</row>
    <row r="28" spans="1:21" s="1107" customFormat="1" ht="15" x14ac:dyDescent="0.25">
      <c r="A28" s="1220">
        <v>3315</v>
      </c>
      <c r="B28" s="268">
        <v>5169</v>
      </c>
      <c r="C28" s="1120"/>
      <c r="D28" s="68" t="s">
        <v>892</v>
      </c>
      <c r="E28" s="124"/>
      <c r="F28" s="313">
        <v>1706</v>
      </c>
      <c r="G28" s="315">
        <v>1325</v>
      </c>
      <c r="H28" s="203">
        <f t="shared" si="2"/>
        <v>77.667057444314182</v>
      </c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</row>
    <row r="29" spans="1:21" s="1107" customFormat="1" ht="14.25" x14ac:dyDescent="0.2">
      <c r="A29" s="1220"/>
      <c r="B29" s="268"/>
      <c r="C29" s="1120" t="s">
        <v>1419</v>
      </c>
      <c r="D29" s="2300" t="s">
        <v>1420</v>
      </c>
      <c r="E29" s="124"/>
      <c r="F29" s="314">
        <v>1706</v>
      </c>
      <c r="G29" s="316">
        <v>1325</v>
      </c>
      <c r="H29" s="1116">
        <f t="shared" si="2"/>
        <v>77.667057444314182</v>
      </c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</row>
    <row r="30" spans="1:21" s="1107" customFormat="1" ht="15" x14ac:dyDescent="0.25">
      <c r="A30" s="1220">
        <v>3315</v>
      </c>
      <c r="B30" s="268">
        <v>5901</v>
      </c>
      <c r="C30" s="1120"/>
      <c r="D30" s="128" t="s">
        <v>639</v>
      </c>
      <c r="E30" s="60">
        <v>650</v>
      </c>
      <c r="F30" s="313">
        <v>650</v>
      </c>
      <c r="G30" s="315">
        <v>0</v>
      </c>
      <c r="H30" s="1427">
        <f t="shared" si="2"/>
        <v>0</v>
      </c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</row>
    <row r="31" spans="1:21" s="1107" customFormat="1" ht="15" x14ac:dyDescent="0.25">
      <c r="A31" s="1220">
        <v>4322</v>
      </c>
      <c r="B31" s="268">
        <v>5171</v>
      </c>
      <c r="C31" s="1120"/>
      <c r="D31" s="128" t="s">
        <v>938</v>
      </c>
      <c r="E31" s="60">
        <v>573</v>
      </c>
      <c r="F31" s="60">
        <v>1727</v>
      </c>
      <c r="G31" s="60">
        <v>1667</v>
      </c>
      <c r="H31" s="203">
        <f t="shared" si="2"/>
        <v>96.52576722640417</v>
      </c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</row>
    <row r="32" spans="1:21" s="1107" customFormat="1" ht="14.25" x14ac:dyDescent="0.2">
      <c r="A32" s="1220"/>
      <c r="B32" s="268"/>
      <c r="C32" s="1120" t="s">
        <v>1419</v>
      </c>
      <c r="D32" s="1832" t="s">
        <v>1420</v>
      </c>
      <c r="E32" s="124">
        <v>573</v>
      </c>
      <c r="F32" s="314">
        <v>1727</v>
      </c>
      <c r="G32" s="316">
        <v>1667</v>
      </c>
      <c r="H32" s="1116">
        <f t="shared" si="2"/>
        <v>96.52576722640417</v>
      </c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</row>
    <row r="33" spans="1:21" s="1107" customFormat="1" ht="15" x14ac:dyDescent="0.25">
      <c r="A33" s="1220">
        <v>4354</v>
      </c>
      <c r="B33" s="268">
        <v>5171</v>
      </c>
      <c r="C33" s="1120"/>
      <c r="D33" s="128" t="s">
        <v>938</v>
      </c>
      <c r="E33" s="60">
        <v>3100</v>
      </c>
      <c r="F33" s="313">
        <v>2601</v>
      </c>
      <c r="G33" s="315">
        <v>2601</v>
      </c>
      <c r="H33" s="203">
        <f t="shared" si="2"/>
        <v>100</v>
      </c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</row>
    <row r="34" spans="1:21" s="1159" customFormat="1" ht="14.25" x14ac:dyDescent="0.2">
      <c r="A34" s="1220"/>
      <c r="B34" s="268"/>
      <c r="C34" s="1120" t="s">
        <v>1419</v>
      </c>
      <c r="D34" s="1832" t="s">
        <v>1420</v>
      </c>
      <c r="E34" s="124">
        <v>3100</v>
      </c>
      <c r="F34" s="123">
        <v>2601</v>
      </c>
      <c r="G34" s="124">
        <v>2601</v>
      </c>
      <c r="H34" s="1425">
        <f t="shared" si="2"/>
        <v>100</v>
      </c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</row>
    <row r="35" spans="1:21" s="1107" customFormat="1" ht="15" x14ac:dyDescent="0.25">
      <c r="A35" s="223">
        <v>4357</v>
      </c>
      <c r="B35" s="96">
        <v>5137</v>
      </c>
      <c r="C35" s="1120"/>
      <c r="D35" s="72" t="s">
        <v>167</v>
      </c>
      <c r="E35" s="124"/>
      <c r="F35" s="315">
        <f>F36+F37</f>
        <v>12925</v>
      </c>
      <c r="G35" s="315">
        <f>G36+G37</f>
        <v>12925</v>
      </c>
      <c r="H35" s="1427">
        <f t="shared" ref="H35:H50" si="3">(G35/F35)*100</f>
        <v>100</v>
      </c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</row>
    <row r="36" spans="1:21" s="1107" customFormat="1" ht="14.25" x14ac:dyDescent="0.2">
      <c r="A36" s="223"/>
      <c r="B36" s="96"/>
      <c r="C36" s="1120" t="s">
        <v>816</v>
      </c>
      <c r="D36" s="117" t="s">
        <v>817</v>
      </c>
      <c r="E36" s="124"/>
      <c r="F36" s="316">
        <v>11993</v>
      </c>
      <c r="G36" s="316">
        <v>11993</v>
      </c>
      <c r="H36" s="1425">
        <f t="shared" si="3"/>
        <v>100</v>
      </c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</row>
    <row r="37" spans="1:21" s="1107" customFormat="1" ht="14.25" x14ac:dyDescent="0.2">
      <c r="A37" s="223"/>
      <c r="B37" s="96"/>
      <c r="C37" s="1120" t="s">
        <v>1419</v>
      </c>
      <c r="D37" s="2300" t="s">
        <v>1420</v>
      </c>
      <c r="E37" s="124"/>
      <c r="F37" s="316">
        <v>932</v>
      </c>
      <c r="G37" s="316">
        <v>932</v>
      </c>
      <c r="H37" s="1425">
        <f t="shared" si="3"/>
        <v>100</v>
      </c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</row>
    <row r="38" spans="1:21" s="1107" customFormat="1" ht="15" x14ac:dyDescent="0.25">
      <c r="A38" s="223">
        <v>4357</v>
      </c>
      <c r="B38" s="96">
        <v>5169</v>
      </c>
      <c r="C38" s="1120"/>
      <c r="D38" s="68" t="s">
        <v>892</v>
      </c>
      <c r="E38" s="60"/>
      <c r="F38" s="60">
        <v>9</v>
      </c>
      <c r="G38" s="60">
        <v>9</v>
      </c>
      <c r="H38" s="1427">
        <f t="shared" si="3"/>
        <v>100</v>
      </c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</row>
    <row r="39" spans="1:21" s="1107" customFormat="1" ht="14.25" x14ac:dyDescent="0.2">
      <c r="A39" s="223"/>
      <c r="B39" s="96"/>
      <c r="C39" s="1120" t="s">
        <v>1419</v>
      </c>
      <c r="D39" s="1130" t="s">
        <v>1420</v>
      </c>
      <c r="E39" s="124"/>
      <c r="F39" s="316">
        <v>9</v>
      </c>
      <c r="G39" s="316">
        <v>9</v>
      </c>
      <c r="H39" s="1425">
        <f t="shared" si="3"/>
        <v>100</v>
      </c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</row>
    <row r="40" spans="1:21" s="1107" customFormat="1" ht="15" x14ac:dyDescent="0.25">
      <c r="A40" s="223">
        <v>4357</v>
      </c>
      <c r="B40" s="96">
        <v>5171</v>
      </c>
      <c r="C40" s="1120"/>
      <c r="D40" s="128" t="s">
        <v>938</v>
      </c>
      <c r="E40" s="60">
        <f>E41+E42</f>
        <v>2283</v>
      </c>
      <c r="F40" s="60">
        <f>F41+F42</f>
        <v>5676</v>
      </c>
      <c r="G40" s="60">
        <f>G41+G42</f>
        <v>4984</v>
      </c>
      <c r="H40" s="1427">
        <f t="shared" si="3"/>
        <v>87.808315715292466</v>
      </c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</row>
    <row r="41" spans="1:21" s="1107" customFormat="1" ht="14.25" x14ac:dyDescent="0.2">
      <c r="A41" s="223"/>
      <c r="B41" s="96"/>
      <c r="C41" s="1120" t="s">
        <v>793</v>
      </c>
      <c r="D41" s="1114" t="s">
        <v>751</v>
      </c>
      <c r="E41" s="124"/>
      <c r="F41" s="316">
        <v>550</v>
      </c>
      <c r="G41" s="316">
        <v>0</v>
      </c>
      <c r="H41" s="1425">
        <v>0</v>
      </c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</row>
    <row r="42" spans="1:21" s="1107" customFormat="1" ht="14.25" x14ac:dyDescent="0.2">
      <c r="A42" s="223"/>
      <c r="B42" s="96"/>
      <c r="C42" s="1120" t="s">
        <v>1419</v>
      </c>
      <c r="D42" s="2300" t="s">
        <v>1420</v>
      </c>
      <c r="E42" s="124">
        <v>2283</v>
      </c>
      <c r="F42" s="316">
        <v>5126</v>
      </c>
      <c r="G42" s="316">
        <v>4984</v>
      </c>
      <c r="H42" s="1425">
        <f t="shared" si="3"/>
        <v>97.22980881779165</v>
      </c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</row>
    <row r="43" spans="1:21" s="1107" customFormat="1" ht="15" x14ac:dyDescent="0.25">
      <c r="A43" s="223">
        <v>4357</v>
      </c>
      <c r="B43" s="96">
        <v>5172</v>
      </c>
      <c r="C43" s="1120"/>
      <c r="D43" s="1833" t="s">
        <v>939</v>
      </c>
      <c r="E43" s="124"/>
      <c r="F43" s="315">
        <v>34</v>
      </c>
      <c r="G43" s="315">
        <v>34</v>
      </c>
      <c r="H43" s="1427">
        <f t="shared" si="3"/>
        <v>100</v>
      </c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</row>
    <row r="44" spans="1:21" s="1107" customFormat="1" ht="14.25" x14ac:dyDescent="0.2">
      <c r="A44" s="223"/>
      <c r="B44" s="96"/>
      <c r="C44" s="1120" t="s">
        <v>1419</v>
      </c>
      <c r="D44" s="2300" t="s">
        <v>1420</v>
      </c>
      <c r="E44" s="124"/>
      <c r="F44" s="316">
        <v>34</v>
      </c>
      <c r="G44" s="316">
        <v>34</v>
      </c>
      <c r="H44" s="1425">
        <f t="shared" si="3"/>
        <v>100</v>
      </c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</row>
    <row r="45" spans="1:21" s="1107" customFormat="1" ht="15" x14ac:dyDescent="0.25">
      <c r="A45" s="223">
        <v>4372</v>
      </c>
      <c r="B45" s="96">
        <v>5171</v>
      </c>
      <c r="C45" s="1120"/>
      <c r="D45" s="128" t="s">
        <v>938</v>
      </c>
      <c r="E45" s="124"/>
      <c r="F45" s="315">
        <v>458</v>
      </c>
      <c r="G45" s="315">
        <v>458</v>
      </c>
      <c r="H45" s="1427">
        <f t="shared" si="3"/>
        <v>100</v>
      </c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</row>
    <row r="46" spans="1:21" s="1107" customFormat="1" ht="14.25" x14ac:dyDescent="0.2">
      <c r="A46" s="223"/>
      <c r="B46" s="96"/>
      <c r="C46" s="1120" t="s">
        <v>1419</v>
      </c>
      <c r="D46" s="2300" t="s">
        <v>1420</v>
      </c>
      <c r="E46" s="124"/>
      <c r="F46" s="316">
        <v>458</v>
      </c>
      <c r="G46" s="316">
        <v>458</v>
      </c>
      <c r="H46" s="1425">
        <f t="shared" si="3"/>
        <v>100</v>
      </c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</row>
    <row r="47" spans="1:21" s="1107" customFormat="1" ht="15" x14ac:dyDescent="0.25">
      <c r="A47" s="223">
        <v>4399</v>
      </c>
      <c r="B47" s="96">
        <v>5166</v>
      </c>
      <c r="C47" s="1120"/>
      <c r="D47" s="68" t="s">
        <v>709</v>
      </c>
      <c r="E47" s="60">
        <v>200</v>
      </c>
      <c r="F47" s="315">
        <v>229</v>
      </c>
      <c r="G47" s="315">
        <v>229</v>
      </c>
      <c r="H47" s="1427">
        <v>0</v>
      </c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</row>
    <row r="48" spans="1:21" s="1107" customFormat="1" ht="14.25" x14ac:dyDescent="0.2">
      <c r="A48" s="223"/>
      <c r="B48" s="96"/>
      <c r="C48" s="1120" t="s">
        <v>1419</v>
      </c>
      <c r="D48" s="1838" t="s">
        <v>1420</v>
      </c>
      <c r="E48" s="124">
        <v>200</v>
      </c>
      <c r="F48" s="316">
        <v>229</v>
      </c>
      <c r="G48" s="316">
        <v>229</v>
      </c>
      <c r="H48" s="1425">
        <v>0</v>
      </c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</row>
    <row r="49" spans="1:21" s="1107" customFormat="1" ht="15" x14ac:dyDescent="0.25">
      <c r="A49" s="223">
        <v>6172</v>
      </c>
      <c r="B49" s="96">
        <v>5164</v>
      </c>
      <c r="C49" s="1153"/>
      <c r="D49" s="68" t="s">
        <v>182</v>
      </c>
      <c r="E49" s="60">
        <v>500</v>
      </c>
      <c r="F49" s="315">
        <v>386</v>
      </c>
      <c r="G49" s="315">
        <v>272</v>
      </c>
      <c r="H49" s="203">
        <f t="shared" si="3"/>
        <v>70.466321243523311</v>
      </c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</row>
    <row r="50" spans="1:21" s="1107" customFormat="1" ht="15" x14ac:dyDescent="0.25">
      <c r="A50" s="223">
        <v>6172</v>
      </c>
      <c r="B50" s="96">
        <v>5166</v>
      </c>
      <c r="C50" s="1153"/>
      <c r="D50" s="68" t="s">
        <v>709</v>
      </c>
      <c r="E50" s="60">
        <v>200</v>
      </c>
      <c r="F50" s="315">
        <v>287</v>
      </c>
      <c r="G50" s="315">
        <v>105</v>
      </c>
      <c r="H50" s="203">
        <f t="shared" si="3"/>
        <v>36.585365853658537</v>
      </c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</row>
    <row r="51" spans="1:21" s="1107" customFormat="1" ht="15" x14ac:dyDescent="0.25">
      <c r="A51" s="223">
        <v>6172</v>
      </c>
      <c r="B51" s="96">
        <v>5169</v>
      </c>
      <c r="C51" s="1153"/>
      <c r="D51" s="68" t="s">
        <v>892</v>
      </c>
      <c r="E51" s="60">
        <v>250</v>
      </c>
      <c r="F51" s="315">
        <v>250</v>
      </c>
      <c r="G51" s="315">
        <v>169</v>
      </c>
      <c r="H51" s="203">
        <f>(G51/F51)*100</f>
        <v>67.600000000000009</v>
      </c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</row>
    <row r="52" spans="1:21" s="1107" customFormat="1" ht="15.75" thickBot="1" x14ac:dyDescent="0.3">
      <c r="A52" s="223">
        <v>6172</v>
      </c>
      <c r="B52" s="96">
        <v>5362</v>
      </c>
      <c r="C52" s="1153"/>
      <c r="D52" s="68" t="s">
        <v>796</v>
      </c>
      <c r="E52" s="60">
        <v>50</v>
      </c>
      <c r="F52" s="315">
        <v>50</v>
      </c>
      <c r="G52" s="315">
        <v>0</v>
      </c>
      <c r="H52" s="1427">
        <v>0</v>
      </c>
      <c r="I52" s="166"/>
      <c r="J52" s="166" t="s">
        <v>566</v>
      </c>
      <c r="K52" s="166"/>
      <c r="L52" s="166">
        <v>0</v>
      </c>
      <c r="M52" s="1424">
        <f>F12+F14+F16+F36</f>
        <v>24458</v>
      </c>
      <c r="N52" s="1424">
        <f>G12+G14+G16+G36</f>
        <v>24364</v>
      </c>
      <c r="O52" s="166"/>
      <c r="P52" s="166"/>
      <c r="Q52" s="166"/>
      <c r="R52" s="166"/>
      <c r="S52" s="166"/>
      <c r="T52" s="166"/>
      <c r="U52" s="166"/>
    </row>
    <row r="53" spans="1:21" s="361" customFormat="1" ht="35.85" customHeight="1" thickTop="1" thickBot="1" x14ac:dyDescent="0.35">
      <c r="A53" s="1031" t="s">
        <v>258</v>
      </c>
      <c r="B53" s="1032"/>
      <c r="C53" s="1033"/>
      <c r="D53" s="1034"/>
      <c r="E53" s="643">
        <f>E17+E30+E31+E33+E40+E47+E49+E50+E51+E52</f>
        <v>14054</v>
      </c>
      <c r="F53" s="643">
        <f>F11+F13+F15+F17+F20+F22+F24+F25+F26+F28+F30+F31+F33+F35+F38+F40+F43+F45+F47+F49+F50+F51+F52</f>
        <v>53186</v>
      </c>
      <c r="G53" s="643">
        <f>G11+G13+G15+G17+G20+G22+G24+G25+G26+G28+G30+G31+G33+G35+G38+G40+G43+G45+G47+G49+G50+G51+G52</f>
        <v>50043</v>
      </c>
      <c r="H53" s="644">
        <f>G53/F53*100</f>
        <v>94.090550144774937</v>
      </c>
      <c r="J53" s="679" t="s">
        <v>1421</v>
      </c>
      <c r="K53" s="679"/>
      <c r="L53" s="954">
        <f>E19+E32+E34+E42+E48</f>
        <v>12404</v>
      </c>
      <c r="M53" s="954">
        <f>F19+F21+F27+F29+F32+F34+F37+F39+F42+F44+F46+F48</f>
        <v>25662</v>
      </c>
      <c r="N53" s="954">
        <f>G19+G21+G27+G29+G32+G34+G37+G39+G42+G44+G46+G48</f>
        <v>24702</v>
      </c>
    </row>
    <row r="54" spans="1:21" ht="13.5" thickTop="1" x14ac:dyDescent="0.2">
      <c r="E54" s="1831"/>
      <c r="F54" s="1831"/>
      <c r="G54" s="1831"/>
    </row>
    <row r="71" spans="1:21" ht="18" x14ac:dyDescent="0.25">
      <c r="A71" s="33" t="s">
        <v>1310</v>
      </c>
      <c r="B71" s="28"/>
      <c r="C71" s="132"/>
      <c r="D71" s="139"/>
      <c r="E71" s="137"/>
      <c r="F71" s="16"/>
      <c r="G71" s="17"/>
      <c r="H71" s="194"/>
      <c r="I71" s="534"/>
      <c r="J71" s="534"/>
    </row>
    <row r="72" spans="1:21" ht="13.5" thickBot="1" x14ac:dyDescent="0.25">
      <c r="A72" s="631"/>
      <c r="B72" s="631"/>
      <c r="C72" s="632"/>
      <c r="F72" s="980"/>
      <c r="H72" s="668" t="s">
        <v>173</v>
      </c>
      <c r="I72" s="534"/>
      <c r="J72" s="534"/>
    </row>
    <row r="73" spans="1:21" s="1030" customFormat="1" ht="20.25" customHeight="1" thickTop="1" thickBot="1" x14ac:dyDescent="0.25">
      <c r="A73" s="1024" t="s">
        <v>174</v>
      </c>
      <c r="B73" s="1025" t="s">
        <v>175</v>
      </c>
      <c r="C73" s="1026" t="s">
        <v>744</v>
      </c>
      <c r="D73" s="1026" t="s">
        <v>176</v>
      </c>
      <c r="E73" s="1026" t="s">
        <v>177</v>
      </c>
      <c r="F73" s="1026" t="s">
        <v>922</v>
      </c>
      <c r="G73" s="1027" t="s">
        <v>923</v>
      </c>
      <c r="H73" s="1028" t="s">
        <v>924</v>
      </c>
      <c r="I73" s="1029"/>
      <c r="J73" s="1029"/>
    </row>
    <row r="74" spans="1:21" s="384" customFormat="1" ht="13.5" thickTop="1" thickBot="1" x14ac:dyDescent="0.25">
      <c r="A74" s="568">
        <v>1</v>
      </c>
      <c r="B74" s="569">
        <v>2</v>
      </c>
      <c r="C74" s="569">
        <v>3</v>
      </c>
      <c r="D74" s="569">
        <v>4</v>
      </c>
      <c r="E74" s="569">
        <v>5</v>
      </c>
      <c r="F74" s="543">
        <v>6</v>
      </c>
      <c r="G74" s="543">
        <v>7</v>
      </c>
      <c r="H74" s="638" t="s">
        <v>61</v>
      </c>
      <c r="I74" s="107"/>
    </row>
    <row r="75" spans="1:21" s="1107" customFormat="1" ht="15.75" thickTop="1" x14ac:dyDescent="0.25">
      <c r="A75" s="235">
        <v>2212</v>
      </c>
      <c r="B75" s="219">
        <v>6121</v>
      </c>
      <c r="C75" s="1152"/>
      <c r="D75" s="1165" t="s">
        <v>640</v>
      </c>
      <c r="E75" s="148">
        <f>E76+E77+E78</f>
        <v>111479</v>
      </c>
      <c r="F75" s="148">
        <f>F76+F77+F78</f>
        <v>44435</v>
      </c>
      <c r="G75" s="148">
        <f>G76+G77+G78</f>
        <v>41387</v>
      </c>
      <c r="H75" s="1399">
        <f t="shared" ref="H75:H90" si="4">(G75/F75)*100</f>
        <v>93.140542365252628</v>
      </c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</row>
    <row r="76" spans="1:21" s="1107" customFormat="1" ht="14.25" x14ac:dyDescent="0.2">
      <c r="A76" s="223"/>
      <c r="B76" s="96"/>
      <c r="C76" s="1120" t="s">
        <v>195</v>
      </c>
      <c r="D76" s="1114" t="s">
        <v>815</v>
      </c>
      <c r="E76" s="124">
        <v>46947</v>
      </c>
      <c r="F76" s="314">
        <v>33226</v>
      </c>
      <c r="G76" s="316">
        <v>31256</v>
      </c>
      <c r="H76" s="1116">
        <f t="shared" si="4"/>
        <v>94.070908324805885</v>
      </c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</row>
    <row r="77" spans="1:21" s="1107" customFormat="1" ht="14.25" x14ac:dyDescent="0.2">
      <c r="A77" s="223"/>
      <c r="B77" s="96"/>
      <c r="C77" s="1120" t="s">
        <v>816</v>
      </c>
      <c r="D77" s="1114" t="s">
        <v>817</v>
      </c>
      <c r="E77" s="124">
        <v>54167</v>
      </c>
      <c r="F77" s="314">
        <v>0</v>
      </c>
      <c r="G77" s="316">
        <v>0</v>
      </c>
      <c r="H77" s="1116">
        <v>0</v>
      </c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</row>
    <row r="78" spans="1:21" s="1107" customFormat="1" ht="14.25" x14ac:dyDescent="0.2">
      <c r="A78" s="223"/>
      <c r="B78" s="96"/>
      <c r="C78" s="1120" t="s">
        <v>1419</v>
      </c>
      <c r="D78" s="1130" t="s">
        <v>1420</v>
      </c>
      <c r="E78" s="124">
        <v>10365</v>
      </c>
      <c r="F78" s="314">
        <v>11209</v>
      </c>
      <c r="G78" s="316">
        <v>10131</v>
      </c>
      <c r="H78" s="1116">
        <f t="shared" si="4"/>
        <v>90.382728164867515</v>
      </c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</row>
    <row r="79" spans="1:21" s="1107" customFormat="1" ht="15" x14ac:dyDescent="0.25">
      <c r="A79" s="223">
        <v>2212</v>
      </c>
      <c r="B79" s="96">
        <v>6130</v>
      </c>
      <c r="C79" s="1120"/>
      <c r="D79" s="87" t="s">
        <v>896</v>
      </c>
      <c r="E79" s="60">
        <v>4000</v>
      </c>
      <c r="F79" s="315">
        <v>223</v>
      </c>
      <c r="G79" s="315">
        <v>223</v>
      </c>
      <c r="H79" s="203">
        <f t="shared" si="4"/>
        <v>100</v>
      </c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</row>
    <row r="80" spans="1:21" s="1107" customFormat="1" ht="14.25" x14ac:dyDescent="0.2">
      <c r="A80" s="223"/>
      <c r="B80" s="96"/>
      <c r="C80" s="1120" t="s">
        <v>195</v>
      </c>
      <c r="D80" s="1114" t="s">
        <v>815</v>
      </c>
      <c r="E80" s="124">
        <v>4000</v>
      </c>
      <c r="F80" s="314">
        <v>223</v>
      </c>
      <c r="G80" s="316">
        <v>223</v>
      </c>
      <c r="H80" s="1116">
        <f t="shared" si="4"/>
        <v>100</v>
      </c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</row>
    <row r="81" spans="1:21" s="1107" customFormat="1" ht="15" x14ac:dyDescent="0.25">
      <c r="A81" s="223">
        <v>3122</v>
      </c>
      <c r="B81" s="96">
        <v>6111</v>
      </c>
      <c r="C81" s="1120"/>
      <c r="D81" s="1833" t="s">
        <v>939</v>
      </c>
      <c r="E81" s="124"/>
      <c r="F81" s="313">
        <v>678</v>
      </c>
      <c r="G81" s="315">
        <v>121</v>
      </c>
      <c r="H81" s="203">
        <f t="shared" si="4"/>
        <v>17.846607669616517</v>
      </c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</row>
    <row r="82" spans="1:21" s="1107" customFormat="1" ht="14.25" x14ac:dyDescent="0.2">
      <c r="A82" s="223"/>
      <c r="B82" s="96"/>
      <c r="C82" s="1120" t="s">
        <v>816</v>
      </c>
      <c r="D82" s="1114" t="s">
        <v>817</v>
      </c>
      <c r="E82" s="124"/>
      <c r="F82" s="314">
        <v>678</v>
      </c>
      <c r="G82" s="316">
        <v>121</v>
      </c>
      <c r="H82" s="1116">
        <f t="shared" si="4"/>
        <v>17.846607669616517</v>
      </c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</row>
    <row r="83" spans="1:21" s="1107" customFormat="1" ht="15" x14ac:dyDescent="0.25">
      <c r="A83" s="223">
        <v>3122</v>
      </c>
      <c r="B83" s="96">
        <v>6121</v>
      </c>
      <c r="C83" s="1120"/>
      <c r="D83" s="128" t="s">
        <v>640</v>
      </c>
      <c r="E83" s="60">
        <f>E84+E85+E86</f>
        <v>116687</v>
      </c>
      <c r="F83" s="60">
        <f>F84+F85+F86</f>
        <v>96386</v>
      </c>
      <c r="G83" s="60">
        <f>G84+G85+G86</f>
        <v>95823</v>
      </c>
      <c r="H83" s="203">
        <f t="shared" si="4"/>
        <v>99.415890274521203</v>
      </c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</row>
    <row r="84" spans="1:21" s="1107" customFormat="1" ht="14.25" x14ac:dyDescent="0.2">
      <c r="A84" s="223"/>
      <c r="B84" s="96"/>
      <c r="C84" s="1120" t="s">
        <v>196</v>
      </c>
      <c r="D84" s="1114" t="s">
        <v>751</v>
      </c>
      <c r="E84" s="124">
        <v>19775</v>
      </c>
      <c r="F84" s="314">
        <v>20005</v>
      </c>
      <c r="G84" s="316">
        <v>19505</v>
      </c>
      <c r="H84" s="1116">
        <f t="shared" si="4"/>
        <v>97.500624843789055</v>
      </c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</row>
    <row r="85" spans="1:21" s="1107" customFormat="1" ht="14.25" x14ac:dyDescent="0.2">
      <c r="A85" s="223"/>
      <c r="B85" s="96"/>
      <c r="C85" s="1120" t="s">
        <v>816</v>
      </c>
      <c r="D85" s="1114" t="s">
        <v>817</v>
      </c>
      <c r="E85" s="124">
        <v>94167</v>
      </c>
      <c r="F85" s="314">
        <v>74114</v>
      </c>
      <c r="G85" s="316">
        <v>74078</v>
      </c>
      <c r="H85" s="1116">
        <f t="shared" si="4"/>
        <v>99.951426181288284</v>
      </c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</row>
    <row r="86" spans="1:21" s="1107" customFormat="1" ht="14.25" x14ac:dyDescent="0.2">
      <c r="A86" s="223"/>
      <c r="B86" s="96"/>
      <c r="C86" s="1120" t="s">
        <v>1419</v>
      </c>
      <c r="D86" s="1832" t="s">
        <v>1420</v>
      </c>
      <c r="E86" s="124">
        <v>2745</v>
      </c>
      <c r="F86" s="314">
        <v>2267</v>
      </c>
      <c r="G86" s="316">
        <v>2240</v>
      </c>
      <c r="H86" s="1116">
        <f t="shared" si="4"/>
        <v>98.808998676665198</v>
      </c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</row>
    <row r="87" spans="1:21" s="1107" customFormat="1" ht="15" x14ac:dyDescent="0.25">
      <c r="A87" s="223">
        <v>3122</v>
      </c>
      <c r="B87" s="96">
        <v>6122</v>
      </c>
      <c r="C87" s="1120"/>
      <c r="D87" s="128" t="s">
        <v>641</v>
      </c>
      <c r="E87" s="124"/>
      <c r="F87" s="315">
        <f>F88+F90+F89</f>
        <v>12639</v>
      </c>
      <c r="G87" s="1568">
        <f>G88+G90+G89</f>
        <v>12399</v>
      </c>
      <c r="H87" s="203">
        <f t="shared" si="4"/>
        <v>98.10111559458818</v>
      </c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</row>
    <row r="88" spans="1:21" s="1107" customFormat="1" ht="14.25" x14ac:dyDescent="0.2">
      <c r="A88" s="223"/>
      <c r="B88" s="96"/>
      <c r="C88" s="1120" t="s">
        <v>196</v>
      </c>
      <c r="D88" s="1114" t="s">
        <v>751</v>
      </c>
      <c r="E88" s="124"/>
      <c r="F88" s="314">
        <v>1358</v>
      </c>
      <c r="G88" s="316">
        <v>1118</v>
      </c>
      <c r="H88" s="1116">
        <f t="shared" si="4"/>
        <v>82.326951399116339</v>
      </c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</row>
    <row r="89" spans="1:21" s="1107" customFormat="1" ht="14.25" x14ac:dyDescent="0.2">
      <c r="A89" s="223"/>
      <c r="B89" s="96"/>
      <c r="C89" s="1120" t="s">
        <v>816</v>
      </c>
      <c r="D89" s="1114" t="s">
        <v>817</v>
      </c>
      <c r="E89" s="124"/>
      <c r="F89" s="314">
        <v>11233</v>
      </c>
      <c r="G89" s="316">
        <v>11233</v>
      </c>
      <c r="H89" s="1116">
        <f t="shared" si="4"/>
        <v>100</v>
      </c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</row>
    <row r="90" spans="1:21" s="1107" customFormat="1" ht="14.25" x14ac:dyDescent="0.2">
      <c r="A90" s="223"/>
      <c r="B90" s="96"/>
      <c r="C90" s="1120" t="s">
        <v>1419</v>
      </c>
      <c r="D90" s="2300" t="s">
        <v>1420</v>
      </c>
      <c r="E90" s="124"/>
      <c r="F90" s="314">
        <v>48</v>
      </c>
      <c r="G90" s="316">
        <v>48</v>
      </c>
      <c r="H90" s="1116">
        <f t="shared" si="4"/>
        <v>100</v>
      </c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</row>
    <row r="91" spans="1:21" s="1107" customFormat="1" ht="15" x14ac:dyDescent="0.25">
      <c r="A91" s="223">
        <v>3123</v>
      </c>
      <c r="B91" s="96">
        <v>6121</v>
      </c>
      <c r="C91" s="1153"/>
      <c r="D91" s="128" t="s">
        <v>640</v>
      </c>
      <c r="E91" s="60">
        <v>4783</v>
      </c>
      <c r="F91" s="60">
        <v>6036</v>
      </c>
      <c r="G91" s="60">
        <v>6036</v>
      </c>
      <c r="H91" s="203">
        <f>(G91/F91)*100</f>
        <v>100</v>
      </c>
      <c r="I91" s="166"/>
      <c r="J91" s="1424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</row>
    <row r="92" spans="1:21" s="1107" customFormat="1" ht="14.25" x14ac:dyDescent="0.2">
      <c r="A92" s="223"/>
      <c r="B92" s="96"/>
      <c r="C92" s="1120" t="s">
        <v>1419</v>
      </c>
      <c r="D92" s="1130" t="s">
        <v>1420</v>
      </c>
      <c r="E92" s="124">
        <v>4783</v>
      </c>
      <c r="F92" s="314">
        <v>6036</v>
      </c>
      <c r="G92" s="316">
        <v>6036</v>
      </c>
      <c r="H92" s="1116">
        <f>(G92/F92)*100</f>
        <v>100</v>
      </c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</row>
    <row r="93" spans="1:21" s="1107" customFormat="1" ht="15" x14ac:dyDescent="0.25">
      <c r="A93" s="223">
        <v>3124</v>
      </c>
      <c r="B93" s="96">
        <v>6121</v>
      </c>
      <c r="C93" s="1120"/>
      <c r="D93" s="128" t="s">
        <v>640</v>
      </c>
      <c r="E93" s="60">
        <v>1433</v>
      </c>
      <c r="F93" s="60">
        <v>928</v>
      </c>
      <c r="G93" s="60">
        <v>928</v>
      </c>
      <c r="H93" s="203">
        <f>(G93/F93)*100</f>
        <v>100</v>
      </c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</row>
    <row r="94" spans="1:21" s="1107" customFormat="1" ht="14.25" x14ac:dyDescent="0.2">
      <c r="A94" s="223"/>
      <c r="B94" s="96"/>
      <c r="C94" s="1120" t="s">
        <v>1419</v>
      </c>
      <c r="D94" s="1832" t="s">
        <v>1420</v>
      </c>
      <c r="E94" s="124">
        <v>1433</v>
      </c>
      <c r="F94" s="314">
        <v>928</v>
      </c>
      <c r="G94" s="316">
        <v>928</v>
      </c>
      <c r="H94" s="1116">
        <f t="shared" ref="H94:H99" si="5">(G94/F94)*100</f>
        <v>100</v>
      </c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</row>
    <row r="95" spans="1:21" s="1107" customFormat="1" ht="15" x14ac:dyDescent="0.25">
      <c r="A95" s="223">
        <v>3142</v>
      </c>
      <c r="B95" s="96">
        <v>6121</v>
      </c>
      <c r="C95" s="1120"/>
      <c r="D95" s="128" t="s">
        <v>640</v>
      </c>
      <c r="E95" s="60"/>
      <c r="F95" s="313">
        <v>112</v>
      </c>
      <c r="G95" s="315">
        <v>112</v>
      </c>
      <c r="H95" s="203">
        <f t="shared" si="5"/>
        <v>100</v>
      </c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</row>
    <row r="96" spans="1:21" s="1107" customFormat="1" ht="14.25" x14ac:dyDescent="0.2">
      <c r="A96" s="223"/>
      <c r="B96" s="96"/>
      <c r="C96" s="1120" t="s">
        <v>1419</v>
      </c>
      <c r="D96" s="1832" t="s">
        <v>1420</v>
      </c>
      <c r="E96" s="124"/>
      <c r="F96" s="314">
        <v>112</v>
      </c>
      <c r="G96" s="316">
        <v>112</v>
      </c>
      <c r="H96" s="1116">
        <f t="shared" si="5"/>
        <v>100</v>
      </c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</row>
    <row r="97" spans="1:21" s="1107" customFormat="1" ht="15" x14ac:dyDescent="0.25">
      <c r="A97" s="223">
        <v>3315</v>
      </c>
      <c r="B97" s="96">
        <v>6121</v>
      </c>
      <c r="C97" s="1120"/>
      <c r="D97" s="128" t="s">
        <v>640</v>
      </c>
      <c r="E97" s="60">
        <f>E98+E99</f>
        <v>11770</v>
      </c>
      <c r="F97" s="60">
        <f>F98+F99</f>
        <v>10547</v>
      </c>
      <c r="G97" s="60">
        <f>G98+G99</f>
        <v>9967</v>
      </c>
      <c r="H97" s="203">
        <f t="shared" si="5"/>
        <v>94.500805916374318</v>
      </c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</row>
    <row r="98" spans="1:21" s="1107" customFormat="1" ht="14.25" x14ac:dyDescent="0.2">
      <c r="A98" s="223"/>
      <c r="B98" s="96"/>
      <c r="C98" s="1120" t="s">
        <v>197</v>
      </c>
      <c r="D98" s="1114" t="s">
        <v>931</v>
      </c>
      <c r="E98" s="124">
        <v>3520</v>
      </c>
      <c r="F98" s="314">
        <v>1283</v>
      </c>
      <c r="G98" s="316">
        <v>807</v>
      </c>
      <c r="H98" s="1116">
        <f t="shared" si="5"/>
        <v>62.899454403741231</v>
      </c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</row>
    <row r="99" spans="1:21" s="1107" customFormat="1" ht="14.25" x14ac:dyDescent="0.2">
      <c r="A99" s="223"/>
      <c r="B99" s="96"/>
      <c r="C99" s="1120" t="s">
        <v>1419</v>
      </c>
      <c r="D99" s="2300" t="s">
        <v>1420</v>
      </c>
      <c r="E99" s="124">
        <v>8250</v>
      </c>
      <c r="F99" s="314">
        <v>9264</v>
      </c>
      <c r="G99" s="316">
        <v>9160</v>
      </c>
      <c r="H99" s="1116">
        <f t="shared" si="5"/>
        <v>98.877374784110543</v>
      </c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</row>
    <row r="100" spans="1:21" s="1107" customFormat="1" ht="15" x14ac:dyDescent="0.25">
      <c r="A100" s="223">
        <v>3315</v>
      </c>
      <c r="B100" s="96">
        <v>6122</v>
      </c>
      <c r="C100" s="1120"/>
      <c r="D100" s="128" t="s">
        <v>641</v>
      </c>
      <c r="E100" s="124"/>
      <c r="F100" s="315">
        <v>1509</v>
      </c>
      <c r="G100" s="315">
        <v>1174</v>
      </c>
      <c r="H100" s="203">
        <f>(G100/F100)*100</f>
        <v>77.799867461895303</v>
      </c>
      <c r="I100" s="166"/>
      <c r="J100" s="166"/>
      <c r="K100" s="1424"/>
      <c r="L100" s="1424"/>
      <c r="M100" s="166"/>
      <c r="N100" s="166"/>
      <c r="O100" s="166"/>
      <c r="P100" s="166"/>
      <c r="Q100" s="166"/>
      <c r="R100" s="166"/>
      <c r="S100" s="166"/>
      <c r="T100" s="166"/>
      <c r="U100" s="166"/>
    </row>
    <row r="101" spans="1:21" s="1107" customFormat="1" ht="14.25" x14ac:dyDescent="0.2">
      <c r="A101" s="223"/>
      <c r="B101" s="96"/>
      <c r="C101" s="1120" t="s">
        <v>1419</v>
      </c>
      <c r="D101" s="1832" t="s">
        <v>1420</v>
      </c>
      <c r="E101" s="124"/>
      <c r="F101" s="314">
        <v>1509</v>
      </c>
      <c r="G101" s="316">
        <v>1174</v>
      </c>
      <c r="H101" s="1116">
        <f>(G101/F101)*100</f>
        <v>77.799867461895303</v>
      </c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</row>
    <row r="102" spans="1:21" s="1107" customFormat="1" ht="15" x14ac:dyDescent="0.25">
      <c r="A102" s="223">
        <v>3522</v>
      </c>
      <c r="B102" s="96">
        <v>6121</v>
      </c>
      <c r="C102" s="1153"/>
      <c r="D102" s="128" t="s">
        <v>640</v>
      </c>
      <c r="E102" s="60">
        <v>27879</v>
      </c>
      <c r="F102" s="60">
        <v>38707</v>
      </c>
      <c r="G102" s="60">
        <v>8778</v>
      </c>
      <c r="H102" s="203">
        <f>(G102/F102)*100</f>
        <v>22.678068566409177</v>
      </c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</row>
    <row r="103" spans="1:21" s="1107" customFormat="1" ht="14.25" x14ac:dyDescent="0.2">
      <c r="A103" s="223"/>
      <c r="B103" s="96"/>
      <c r="C103" s="1120" t="s">
        <v>468</v>
      </c>
      <c r="D103" s="1114" t="s">
        <v>795</v>
      </c>
      <c r="E103" s="124">
        <v>27879</v>
      </c>
      <c r="F103" s="314">
        <v>38707</v>
      </c>
      <c r="G103" s="316">
        <v>8778</v>
      </c>
      <c r="H103" s="1116">
        <f t="shared" ref="H103:H112" si="6">(G103/F103)*100</f>
        <v>22.678068566409177</v>
      </c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</row>
    <row r="104" spans="1:21" s="1107" customFormat="1" ht="15" x14ac:dyDescent="0.25">
      <c r="A104" s="223">
        <v>3523</v>
      </c>
      <c r="B104" s="96">
        <v>6121</v>
      </c>
      <c r="C104" s="1120"/>
      <c r="D104" s="128" t="s">
        <v>640</v>
      </c>
      <c r="E104" s="60"/>
      <c r="F104" s="60">
        <v>1185</v>
      </c>
      <c r="G104" s="60">
        <v>1178</v>
      </c>
      <c r="H104" s="203">
        <f t="shared" si="6"/>
        <v>99.40928270042194</v>
      </c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</row>
    <row r="105" spans="1:21" s="1107" customFormat="1" ht="14.25" x14ac:dyDescent="0.2">
      <c r="A105" s="223"/>
      <c r="B105" s="96"/>
      <c r="C105" s="1120" t="s">
        <v>1419</v>
      </c>
      <c r="D105" s="1130" t="s">
        <v>1420</v>
      </c>
      <c r="E105" s="124"/>
      <c r="F105" s="314">
        <v>1185</v>
      </c>
      <c r="G105" s="316">
        <v>1178</v>
      </c>
      <c r="H105" s="1116">
        <f t="shared" si="6"/>
        <v>99.40928270042194</v>
      </c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</row>
    <row r="106" spans="1:21" s="1107" customFormat="1" ht="15" x14ac:dyDescent="0.25">
      <c r="A106" s="223">
        <v>3533</v>
      </c>
      <c r="B106" s="96">
        <v>6121</v>
      </c>
      <c r="C106" s="1120"/>
      <c r="D106" s="128" t="s">
        <v>640</v>
      </c>
      <c r="E106" s="60">
        <f>E107+E108</f>
        <v>8000</v>
      </c>
      <c r="F106" s="60">
        <f>F107+F108</f>
        <v>9171</v>
      </c>
      <c r="G106" s="60">
        <f>G107+G108</f>
        <v>9113</v>
      </c>
      <c r="H106" s="1427">
        <f t="shared" si="6"/>
        <v>99.367571693381308</v>
      </c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</row>
    <row r="107" spans="1:21" s="1107" customFormat="1" ht="14.25" x14ac:dyDescent="0.2">
      <c r="A107" s="223"/>
      <c r="B107" s="96"/>
      <c r="C107" s="1120" t="s">
        <v>794</v>
      </c>
      <c r="D107" s="1114" t="s">
        <v>819</v>
      </c>
      <c r="E107" s="124"/>
      <c r="F107" s="314">
        <v>493</v>
      </c>
      <c r="G107" s="316">
        <v>482</v>
      </c>
      <c r="H107" s="1116">
        <f t="shared" si="6"/>
        <v>97.768762677484787</v>
      </c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</row>
    <row r="108" spans="1:21" s="1107" customFormat="1" ht="14.25" x14ac:dyDescent="0.2">
      <c r="A108" s="223"/>
      <c r="B108" s="96"/>
      <c r="C108" s="1120" t="s">
        <v>1419</v>
      </c>
      <c r="D108" s="1832" t="s">
        <v>1420</v>
      </c>
      <c r="E108" s="124">
        <v>8000</v>
      </c>
      <c r="F108" s="314">
        <v>8678</v>
      </c>
      <c r="G108" s="316">
        <v>8631</v>
      </c>
      <c r="H108" s="1116">
        <f t="shared" si="6"/>
        <v>99.458400553122843</v>
      </c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</row>
    <row r="109" spans="1:21" s="1107" customFormat="1" ht="15" x14ac:dyDescent="0.25">
      <c r="A109" s="223">
        <v>4357</v>
      </c>
      <c r="B109" s="96">
        <v>6111</v>
      </c>
      <c r="C109" s="1120"/>
      <c r="D109" s="1833" t="s">
        <v>939</v>
      </c>
      <c r="E109" s="124"/>
      <c r="F109" s="313">
        <v>214</v>
      </c>
      <c r="G109" s="315">
        <v>214</v>
      </c>
      <c r="H109" s="203">
        <f t="shared" si="6"/>
        <v>100</v>
      </c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</row>
    <row r="110" spans="1:21" s="1107" customFormat="1" ht="14.25" x14ac:dyDescent="0.2">
      <c r="A110" s="223"/>
      <c r="B110" s="96"/>
      <c r="C110" s="1120" t="s">
        <v>816</v>
      </c>
      <c r="D110" s="1114" t="s">
        <v>817</v>
      </c>
      <c r="E110" s="124"/>
      <c r="F110" s="314">
        <v>214</v>
      </c>
      <c r="G110" s="316">
        <v>214</v>
      </c>
      <c r="H110" s="1116">
        <f t="shared" si="6"/>
        <v>100</v>
      </c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</row>
    <row r="111" spans="1:21" s="1107" customFormat="1" ht="15" x14ac:dyDescent="0.25">
      <c r="A111" s="223">
        <v>4357</v>
      </c>
      <c r="B111" s="96">
        <v>6121</v>
      </c>
      <c r="C111" s="1120"/>
      <c r="D111" s="128" t="s">
        <v>640</v>
      </c>
      <c r="E111" s="60">
        <f>E112+E113+E114</f>
        <v>239316</v>
      </c>
      <c r="F111" s="60">
        <f>F112+F113+F114</f>
        <v>215916</v>
      </c>
      <c r="G111" s="60">
        <f>G112+G113+G114</f>
        <v>196821</v>
      </c>
      <c r="H111" s="203">
        <f t="shared" ref="H111:H119" si="7">(G111/F111)*100</f>
        <v>91.156282998944036</v>
      </c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</row>
    <row r="112" spans="1:21" s="1107" customFormat="1" ht="14.25" x14ac:dyDescent="0.2">
      <c r="A112" s="223"/>
      <c r="B112" s="96"/>
      <c r="C112" s="1120" t="s">
        <v>793</v>
      </c>
      <c r="D112" s="1114" t="s">
        <v>751</v>
      </c>
      <c r="E112" s="124">
        <v>26753</v>
      </c>
      <c r="F112" s="123">
        <v>27781</v>
      </c>
      <c r="G112" s="124">
        <v>27276</v>
      </c>
      <c r="H112" s="1116">
        <f t="shared" si="6"/>
        <v>98.182210863539837</v>
      </c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</row>
    <row r="113" spans="1:21" s="1107" customFormat="1" ht="14.25" x14ac:dyDescent="0.2">
      <c r="A113" s="223"/>
      <c r="B113" s="96"/>
      <c r="C113" s="1120" t="s">
        <v>816</v>
      </c>
      <c r="D113" s="1114" t="s">
        <v>817</v>
      </c>
      <c r="E113" s="124">
        <v>175175</v>
      </c>
      <c r="F113" s="314">
        <v>154256</v>
      </c>
      <c r="G113" s="316">
        <v>135704</v>
      </c>
      <c r="H113" s="1116">
        <f t="shared" si="7"/>
        <v>87.973239290530032</v>
      </c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</row>
    <row r="114" spans="1:21" s="1107" customFormat="1" ht="14.25" x14ac:dyDescent="0.2">
      <c r="A114" s="223"/>
      <c r="B114" s="96"/>
      <c r="C114" s="1120" t="s">
        <v>1419</v>
      </c>
      <c r="D114" s="2300" t="s">
        <v>1420</v>
      </c>
      <c r="E114" s="124">
        <v>37388</v>
      </c>
      <c r="F114" s="314">
        <v>33879</v>
      </c>
      <c r="G114" s="316">
        <v>33841</v>
      </c>
      <c r="H114" s="1116">
        <f t="shared" si="7"/>
        <v>99.887836122671857</v>
      </c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</row>
    <row r="115" spans="1:21" s="1107" customFormat="1" ht="15" x14ac:dyDescent="0.25">
      <c r="A115" s="223">
        <v>4357</v>
      </c>
      <c r="B115" s="96">
        <v>6121</v>
      </c>
      <c r="C115" s="1120"/>
      <c r="D115" s="128" t="s">
        <v>641</v>
      </c>
      <c r="E115" s="124"/>
      <c r="F115" s="315">
        <f>F116+F117</f>
        <v>9383</v>
      </c>
      <c r="G115" s="315">
        <f>G116+G117</f>
        <v>9383</v>
      </c>
      <c r="H115" s="203">
        <f t="shared" si="7"/>
        <v>100</v>
      </c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</row>
    <row r="116" spans="1:21" s="1107" customFormat="1" ht="14.25" x14ac:dyDescent="0.2">
      <c r="A116" s="223"/>
      <c r="B116" s="96"/>
      <c r="C116" s="1120" t="s">
        <v>816</v>
      </c>
      <c r="D116" s="1114" t="s">
        <v>817</v>
      </c>
      <c r="E116" s="124"/>
      <c r="F116" s="314">
        <v>8713</v>
      </c>
      <c r="G116" s="316">
        <v>8713</v>
      </c>
      <c r="H116" s="1116">
        <f t="shared" si="7"/>
        <v>100</v>
      </c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</row>
    <row r="117" spans="1:21" s="1107" customFormat="1" ht="14.25" x14ac:dyDescent="0.2">
      <c r="A117" s="223"/>
      <c r="B117" s="96"/>
      <c r="C117" s="1120" t="s">
        <v>1419</v>
      </c>
      <c r="D117" s="1130" t="s">
        <v>1420</v>
      </c>
      <c r="E117" s="124"/>
      <c r="F117" s="314">
        <v>670</v>
      </c>
      <c r="G117" s="316">
        <v>670</v>
      </c>
      <c r="H117" s="1116">
        <f t="shared" si="7"/>
        <v>100</v>
      </c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</row>
    <row r="118" spans="1:21" s="1107" customFormat="1" ht="15" x14ac:dyDescent="0.25">
      <c r="A118" s="223">
        <v>6172</v>
      </c>
      <c r="B118" s="96">
        <v>6121</v>
      </c>
      <c r="C118" s="1120"/>
      <c r="D118" s="128" t="s">
        <v>938</v>
      </c>
      <c r="E118" s="60"/>
      <c r="F118" s="315">
        <f>F119+F120</f>
        <v>2897</v>
      </c>
      <c r="G118" s="315">
        <f>G119+G120</f>
        <v>2896</v>
      </c>
      <c r="H118" s="203">
        <f t="shared" si="7"/>
        <v>99.965481532619947</v>
      </c>
      <c r="I118" s="166"/>
      <c r="J118" s="166" t="s">
        <v>566</v>
      </c>
      <c r="K118" s="1424">
        <f>E77+E82+E85+E89+E113+E116</f>
        <v>323509</v>
      </c>
      <c r="L118" s="1424">
        <f>F77+F82+F85+F89+F113+F116+F110</f>
        <v>249208</v>
      </c>
      <c r="M118" s="1424">
        <f>G77+G82+G85+G89+G113+G116+G110</f>
        <v>230063</v>
      </c>
      <c r="N118" s="166"/>
      <c r="O118" s="166"/>
      <c r="P118" s="166"/>
      <c r="Q118" s="166"/>
      <c r="R118" s="166"/>
      <c r="S118" s="166"/>
      <c r="T118" s="166"/>
      <c r="U118" s="166"/>
    </row>
    <row r="119" spans="1:21" s="1107" customFormat="1" ht="15" x14ac:dyDescent="0.25">
      <c r="A119" s="223"/>
      <c r="B119" s="96"/>
      <c r="C119" s="1120" t="s">
        <v>1589</v>
      </c>
      <c r="D119" s="166" t="s">
        <v>1590</v>
      </c>
      <c r="E119" s="60"/>
      <c r="F119" s="314">
        <v>1</v>
      </c>
      <c r="G119" s="316">
        <v>0</v>
      </c>
      <c r="H119" s="1116">
        <f t="shared" si="7"/>
        <v>0</v>
      </c>
      <c r="I119" s="166"/>
      <c r="J119" s="166"/>
      <c r="K119" s="1424"/>
      <c r="L119" s="1424"/>
      <c r="M119" s="1424"/>
      <c r="N119" s="166"/>
      <c r="O119" s="166"/>
      <c r="P119" s="166"/>
      <c r="Q119" s="166"/>
      <c r="R119" s="166"/>
      <c r="S119" s="166"/>
      <c r="T119" s="166"/>
      <c r="U119" s="166"/>
    </row>
    <row r="120" spans="1:21" s="1107" customFormat="1" ht="15" thickBot="1" x14ac:dyDescent="0.25">
      <c r="A120" s="223"/>
      <c r="B120" s="96"/>
      <c r="C120" s="1120" t="s">
        <v>1419</v>
      </c>
      <c r="D120" s="1832" t="s">
        <v>1420</v>
      </c>
      <c r="E120" s="124"/>
      <c r="F120" s="314">
        <v>2896</v>
      </c>
      <c r="G120" s="316">
        <v>2896</v>
      </c>
      <c r="H120" s="1116">
        <v>0</v>
      </c>
      <c r="I120" s="166"/>
      <c r="J120" s="166" t="s">
        <v>1421</v>
      </c>
      <c r="K120" s="1424">
        <f>E78+E86+E90+E92+E94+E96+E99+E101+E105+E108+E114+E117+E120</f>
        <v>72964</v>
      </c>
      <c r="L120" s="1424">
        <f>F78+F86+F90+F92+F94+F96+F99+F101+F105+F108+F114+F117+F120</f>
        <v>78681</v>
      </c>
      <c r="M120" s="1424">
        <f>G78+G86+G90+G92+G94+G96+G99+G101+G105+G108+G114+G117+G120</f>
        <v>77045</v>
      </c>
      <c r="N120" s="166"/>
      <c r="O120" s="166"/>
      <c r="P120" s="166"/>
      <c r="Q120" s="166"/>
      <c r="R120" s="166"/>
      <c r="S120" s="166"/>
      <c r="T120" s="166"/>
      <c r="U120" s="166"/>
    </row>
    <row r="121" spans="1:21" s="361" customFormat="1" ht="23.25" customHeight="1" thickTop="1" thickBot="1" x14ac:dyDescent="0.35">
      <c r="A121" s="639" t="s">
        <v>257</v>
      </c>
      <c r="B121" s="1032"/>
      <c r="C121" s="1036"/>
      <c r="D121" s="1034"/>
      <c r="E121" s="643">
        <f>E75+E79+E83+E91+E93+E97+E102+E106+E111</f>
        <v>525347</v>
      </c>
      <c r="F121" s="643">
        <f>F75+F79+F81+F83+F87+F91+F93+F95+F97+F100+F102+F104+F106+F111+F115+F118+F109</f>
        <v>450966</v>
      </c>
      <c r="G121" s="643">
        <f>G75+G79+G81+G83+G87+G91+G93+G95+G97+G100+G102+G104+G106+G111+G115+G118+G109</f>
        <v>396553</v>
      </c>
      <c r="H121" s="644">
        <f>G121/F121*100</f>
        <v>87.934123636815187</v>
      </c>
      <c r="J121" s="954" t="s">
        <v>1422</v>
      </c>
      <c r="K121" s="954">
        <f>K118</f>
        <v>323509</v>
      </c>
      <c r="L121" s="1843">
        <f>L118+M52</f>
        <v>273666</v>
      </c>
      <c r="M121" s="1843">
        <f>M118+N52</f>
        <v>254427</v>
      </c>
      <c r="N121" s="1842"/>
    </row>
    <row r="122" spans="1:21" ht="15.75" thickTop="1" x14ac:dyDescent="0.25">
      <c r="A122" s="779"/>
      <c r="B122" s="779"/>
      <c r="C122" s="1037"/>
      <c r="D122" s="119"/>
      <c r="E122" s="1840"/>
      <c r="F122" s="1841"/>
      <c r="G122" s="1841"/>
      <c r="H122" s="1039"/>
      <c r="J122" s="1001" t="s">
        <v>1423</v>
      </c>
      <c r="K122" s="383">
        <f>K120+L53</f>
        <v>85368</v>
      </c>
      <c r="L122" s="383">
        <f>L120+M53</f>
        <v>104343</v>
      </c>
      <c r="M122" s="383">
        <f>M120+N53</f>
        <v>101747</v>
      </c>
    </row>
    <row r="123" spans="1:21" s="669" customFormat="1" ht="15" customHeight="1" x14ac:dyDescent="0.25">
      <c r="A123" s="2739" t="s">
        <v>629</v>
      </c>
      <c r="B123" s="2740"/>
      <c r="C123" s="2740"/>
      <c r="D123" s="2740"/>
      <c r="E123" s="974">
        <f>E125+E126+E127+E128</f>
        <v>539401</v>
      </c>
      <c r="F123" s="974">
        <f>F125+F126+F127+F128</f>
        <v>504152</v>
      </c>
      <c r="G123" s="974">
        <f>G125+G126+G127+G128</f>
        <v>446596</v>
      </c>
      <c r="H123" s="305">
        <f>G123/F123*100</f>
        <v>88.583601770894489</v>
      </c>
    </row>
    <row r="124" spans="1:21" s="669" customFormat="1" ht="15" customHeight="1" x14ac:dyDescent="0.25">
      <c r="A124" s="2740"/>
      <c r="B124" s="2740"/>
      <c r="C124" s="2740"/>
      <c r="D124" s="2740"/>
      <c r="E124" s="974"/>
      <c r="F124" s="974"/>
      <c r="G124" s="974"/>
      <c r="H124" s="305"/>
    </row>
    <row r="125" spans="1:21" s="1325" customFormat="1" ht="15" x14ac:dyDescent="0.2">
      <c r="A125" s="557" t="s">
        <v>277</v>
      </c>
      <c r="B125" s="587"/>
      <c r="C125" s="588"/>
      <c r="D125" s="588"/>
      <c r="E125" s="975">
        <f>E53</f>
        <v>14054</v>
      </c>
      <c r="F125" s="975">
        <f>F53-F127</f>
        <v>53186</v>
      </c>
      <c r="G125" s="975">
        <f>G53-G127</f>
        <v>50043</v>
      </c>
      <c r="H125" s="306">
        <f>G125/F125*100</f>
        <v>94.090550144774937</v>
      </c>
    </row>
    <row r="126" spans="1:21" s="1325" customFormat="1" ht="15" x14ac:dyDescent="0.2">
      <c r="A126" s="557" t="s">
        <v>278</v>
      </c>
      <c r="B126" s="592"/>
      <c r="C126" s="588"/>
      <c r="D126" s="588"/>
      <c r="E126" s="976">
        <f>E121</f>
        <v>525347</v>
      </c>
      <c r="F126" s="976">
        <f>F121-F128</f>
        <v>450966</v>
      </c>
      <c r="G126" s="976">
        <f>G121-G128</f>
        <v>396553</v>
      </c>
      <c r="H126" s="306">
        <f>G126/F126*100</f>
        <v>87.934123636815187</v>
      </c>
    </row>
    <row r="127" spans="1:21" s="1325" customFormat="1" ht="15" x14ac:dyDescent="0.2">
      <c r="A127" s="557" t="s">
        <v>221</v>
      </c>
      <c r="B127" s="592"/>
      <c r="C127" s="588"/>
      <c r="D127" s="588"/>
      <c r="E127" s="975">
        <v>0</v>
      </c>
      <c r="F127" s="590">
        <v>0</v>
      </c>
      <c r="G127" s="590">
        <v>0</v>
      </c>
      <c r="H127" s="306">
        <v>0</v>
      </c>
      <c r="J127" s="1326"/>
      <c r="K127" s="1326"/>
    </row>
    <row r="128" spans="1:21" s="1325" customFormat="1" ht="15" x14ac:dyDescent="0.2">
      <c r="A128" s="557" t="s">
        <v>1206</v>
      </c>
      <c r="B128" s="592"/>
      <c r="C128" s="588"/>
      <c r="D128" s="588"/>
      <c r="E128" s="975">
        <v>0</v>
      </c>
      <c r="F128" s="594">
        <v>0</v>
      </c>
      <c r="G128" s="594">
        <v>0</v>
      </c>
      <c r="H128" s="306">
        <v>0</v>
      </c>
    </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9" s="1039"/>
    </row>
    <row r="130" spans="1:10" ht="18" x14ac:dyDescent="0.25">
      <c r="A130" s="1040"/>
      <c r="B130" s="1040"/>
      <c r="C130" s="1041"/>
      <c r="D130" s="228"/>
      <c r="E130" s="1042"/>
      <c r="F130" s="1043"/>
      <c r="G130" s="1044"/>
      <c r="H130" s="1045"/>
    </row>
    <row r="131" spans="1:10" s="1021" customFormat="1" ht="46.5" customHeight="1" thickBot="1" x14ac:dyDescent="0.4">
      <c r="A131" s="2737" t="s">
        <v>743</v>
      </c>
      <c r="B131" s="2738"/>
      <c r="C131" s="2738"/>
      <c r="D131" s="2738"/>
      <c r="E131" s="1046">
        <f>E53+E121</f>
        <v>539401</v>
      </c>
      <c r="F131" s="1046">
        <f>F53+F121</f>
        <v>504152</v>
      </c>
      <c r="G131" s="1046">
        <f>G53+G121</f>
        <v>446596</v>
      </c>
      <c r="H131" s="2310">
        <f>(G131/F131)*100</f>
        <v>88.583601770894489</v>
      </c>
      <c r="I131" s="1047"/>
    </row>
    <row r="132" spans="1:10" ht="13.5" thickTop="1" x14ac:dyDescent="0.2"/>
    <row r="133" spans="1:10" s="669" customFormat="1" x14ac:dyDescent="0.2">
      <c r="A133" s="2735"/>
      <c r="B133" s="2736"/>
      <c r="C133" s="2736"/>
      <c r="D133" s="2736"/>
      <c r="E133" s="2736"/>
      <c r="F133" s="2736"/>
      <c r="G133" s="2736"/>
      <c r="H133" s="2736"/>
      <c r="I133" s="1428"/>
      <c r="J133" s="675"/>
    </row>
    <row r="134" spans="1:10" s="669" customFormat="1" x14ac:dyDescent="0.2">
      <c r="A134" s="2736"/>
      <c r="B134" s="2736"/>
      <c r="C134" s="2736"/>
      <c r="D134" s="2736"/>
      <c r="E134" s="2736"/>
      <c r="F134" s="2736"/>
      <c r="G134" s="2736"/>
      <c r="H134" s="2736"/>
      <c r="I134" s="1428"/>
      <c r="J134" s="675"/>
    </row>
  </sheetData>
  <mergeCells count="3">
    <mergeCell ref="A133:H134"/>
    <mergeCell ref="A131:D131"/>
    <mergeCell ref="A123:D124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14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colBreaks count="1" manualBreakCount="1">
    <brk id="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indexed="13"/>
  </sheetPr>
  <dimension ref="A1:O1234"/>
  <sheetViews>
    <sheetView showGridLines="0" topLeftCell="A88" zoomScaleNormal="100" zoomScaleSheetLayoutView="75" workbookViewId="0">
      <selection activeCell="D128" sqref="A128:E133"/>
    </sheetView>
  </sheetViews>
  <sheetFormatPr defaultRowHeight="12.75" x14ac:dyDescent="0.2"/>
  <cols>
    <col min="1" max="1" width="11.7109375" style="995" customWidth="1"/>
    <col min="2" max="2" width="5.140625" style="996" customWidth="1"/>
    <col min="3" max="3" width="5.28515625" style="669" customWidth="1"/>
    <col min="4" max="4" width="8.85546875" style="675" customWidth="1"/>
    <col min="5" max="5" width="41.28515625" style="669" customWidth="1"/>
    <col min="6" max="6" width="11.7109375" style="675" customWidth="1"/>
    <col min="7" max="7" width="13.85546875" style="675" customWidth="1"/>
    <col min="8" max="8" width="11.85546875" style="675" customWidth="1"/>
    <col min="9" max="9" width="7" style="994" customWidth="1"/>
    <col min="10" max="10" width="9.140625" style="669"/>
    <col min="11" max="11" width="12.140625" style="669" customWidth="1"/>
    <col min="12" max="12" width="11.42578125" style="669" bestFit="1" customWidth="1"/>
    <col min="13" max="16384" width="9.140625" style="669"/>
  </cols>
  <sheetData>
    <row r="1" spans="1:10" ht="18.75" thickBot="1" x14ac:dyDescent="0.3">
      <c r="A1" s="496" t="s">
        <v>676</v>
      </c>
      <c r="B1" s="497"/>
      <c r="C1" s="500"/>
      <c r="D1" s="499"/>
      <c r="E1" s="498"/>
      <c r="F1" s="499"/>
      <c r="G1" s="483" t="s">
        <v>954</v>
      </c>
      <c r="H1" s="676"/>
      <c r="I1" s="675"/>
    </row>
    <row r="2" spans="1:10" ht="18" x14ac:dyDescent="0.25">
      <c r="A2" s="1247"/>
      <c r="B2" s="1248"/>
      <c r="C2" s="1249"/>
      <c r="D2" s="138"/>
      <c r="E2" s="1250"/>
      <c r="F2" s="138"/>
      <c r="G2" s="1251"/>
      <c r="H2" s="676"/>
      <c r="I2" s="675"/>
    </row>
    <row r="3" spans="1:10" s="534" customFormat="1" ht="12.75" customHeight="1" x14ac:dyDescent="0.25">
      <c r="A3" s="6"/>
      <c r="B3" s="28"/>
      <c r="C3" s="131"/>
      <c r="D3" s="10"/>
      <c r="E3" s="137"/>
      <c r="F3" s="137"/>
      <c r="G3" s="16"/>
      <c r="H3" s="194"/>
      <c r="I3" s="17"/>
      <c r="J3" s="495"/>
    </row>
    <row r="4" spans="1:10" s="534" customFormat="1" ht="12.75" customHeight="1" x14ac:dyDescent="0.25">
      <c r="A4" s="67" t="s">
        <v>387</v>
      </c>
      <c r="B4" s="28"/>
      <c r="C4" s="564" t="s">
        <v>363</v>
      </c>
      <c r="D4" s="629"/>
      <c r="E4" s="137"/>
      <c r="F4" s="16"/>
      <c r="G4" s="17"/>
      <c r="H4" s="194"/>
    </row>
    <row r="5" spans="1:10" s="534" customFormat="1" ht="12.75" customHeight="1" x14ac:dyDescent="0.25">
      <c r="A5" s="6"/>
      <c r="B5" s="28"/>
      <c r="C5" s="564" t="s">
        <v>364</v>
      </c>
      <c r="D5" s="675"/>
      <c r="E5" s="138"/>
      <c r="F5" s="16"/>
      <c r="G5" s="17"/>
      <c r="H5" s="194"/>
    </row>
    <row r="7" spans="1:10" s="534" customFormat="1" ht="18" x14ac:dyDescent="0.25">
      <c r="A7" s="33" t="s">
        <v>635</v>
      </c>
      <c r="B7" s="33"/>
      <c r="C7" s="28"/>
      <c r="D7" s="63"/>
      <c r="E7" s="10"/>
      <c r="F7" s="137"/>
      <c r="G7" s="137"/>
      <c r="H7" s="16"/>
      <c r="I7" s="989"/>
      <c r="J7" s="17"/>
    </row>
    <row r="8" spans="1:10" s="534" customFormat="1" x14ac:dyDescent="0.2">
      <c r="B8" s="645"/>
      <c r="D8" s="852"/>
      <c r="F8" s="495"/>
      <c r="G8" s="495"/>
      <c r="H8" s="495"/>
      <c r="I8" s="989"/>
    </row>
    <row r="9" spans="1:10" s="534" customFormat="1" x14ac:dyDescent="0.2">
      <c r="B9" s="645"/>
      <c r="D9" s="852"/>
      <c r="F9" s="495"/>
      <c r="G9" s="495"/>
      <c r="H9" s="495"/>
      <c r="I9" s="989"/>
    </row>
    <row r="10" spans="1:10" s="534" customFormat="1" ht="13.5" thickBot="1" x14ac:dyDescent="0.25">
      <c r="A10" s="433" t="s">
        <v>1364</v>
      </c>
      <c r="B10" s="645"/>
      <c r="D10" s="852"/>
      <c r="F10" s="495"/>
      <c r="G10" s="495"/>
      <c r="H10" s="495"/>
      <c r="I10" s="989" t="s">
        <v>173</v>
      </c>
    </row>
    <row r="11" spans="1:10" s="107" customFormat="1" ht="20.25" customHeight="1" thickTop="1" thickBot="1" x14ac:dyDescent="0.25">
      <c r="A11" s="690" t="s">
        <v>661</v>
      </c>
      <c r="B11" s="693" t="s">
        <v>174</v>
      </c>
      <c r="C11" s="691" t="s">
        <v>175</v>
      </c>
      <c r="D11" s="636" t="s">
        <v>744</v>
      </c>
      <c r="E11" s="694" t="s">
        <v>176</v>
      </c>
      <c r="F11" s="694" t="s">
        <v>177</v>
      </c>
      <c r="G11" s="694" t="s">
        <v>922</v>
      </c>
      <c r="H11" s="694" t="s">
        <v>923</v>
      </c>
      <c r="I11" s="856" t="s">
        <v>924</v>
      </c>
    </row>
    <row r="12" spans="1:10" s="384" customFormat="1" ht="13.5" thickTop="1" thickBot="1" x14ac:dyDescent="0.25">
      <c r="A12" s="568">
        <v>1</v>
      </c>
      <c r="B12" s="569">
        <v>2</v>
      </c>
      <c r="C12" s="569">
        <v>3</v>
      </c>
      <c r="D12" s="569">
        <v>4</v>
      </c>
      <c r="E12" s="569">
        <v>5</v>
      </c>
      <c r="F12" s="543">
        <v>6</v>
      </c>
      <c r="G12" s="543">
        <v>7</v>
      </c>
      <c r="H12" s="544">
        <v>8</v>
      </c>
      <c r="I12" s="638" t="s">
        <v>801</v>
      </c>
    </row>
    <row r="13" spans="1:10" s="534" customFormat="1" ht="16.5" thickTop="1" thickBot="1" x14ac:dyDescent="0.3">
      <c r="A13" s="999">
        <v>60001100026</v>
      </c>
      <c r="B13" s="811">
        <v>3122</v>
      </c>
      <c r="C13" s="811">
        <v>6121</v>
      </c>
      <c r="D13" s="998">
        <v>10</v>
      </c>
      <c r="E13" s="827" t="s">
        <v>640</v>
      </c>
      <c r="F13" s="1000"/>
      <c r="G13" s="1000">
        <v>751</v>
      </c>
      <c r="H13" s="1000">
        <v>640</v>
      </c>
      <c r="I13" s="891">
        <v>0</v>
      </c>
    </row>
    <row r="14" spans="1:10" s="534" customFormat="1" ht="18" customHeight="1" thickTop="1" thickBot="1" x14ac:dyDescent="0.3">
      <c r="A14" s="2685" t="s">
        <v>257</v>
      </c>
      <c r="B14" s="2686"/>
      <c r="C14" s="2686"/>
      <c r="D14" s="2686"/>
      <c r="E14" s="2686"/>
      <c r="F14" s="862">
        <v>0</v>
      </c>
      <c r="G14" s="862">
        <f>SUM(G13)</f>
        <v>751</v>
      </c>
      <c r="H14" s="862">
        <f>SUM(H13)</f>
        <v>640</v>
      </c>
      <c r="I14" s="863">
        <v>0</v>
      </c>
    </row>
    <row r="15" spans="1:10" s="534" customFormat="1" ht="13.5" thickTop="1" x14ac:dyDescent="0.2">
      <c r="B15" s="645"/>
      <c r="D15" s="852"/>
      <c r="F15" s="495"/>
      <c r="G15" s="495"/>
      <c r="H15" s="495"/>
      <c r="I15" s="989"/>
    </row>
    <row r="16" spans="1:10" s="534" customFormat="1" x14ac:dyDescent="0.2">
      <c r="B16" s="645"/>
      <c r="D16" s="852"/>
      <c r="F16" s="495"/>
      <c r="G16" s="495"/>
      <c r="H16" s="495"/>
      <c r="I16" s="989"/>
    </row>
    <row r="17" spans="1:9" s="534" customFormat="1" ht="13.5" thickBot="1" x14ac:dyDescent="0.25">
      <c r="A17" s="433" t="s">
        <v>1365</v>
      </c>
      <c r="B17" s="645"/>
      <c r="D17" s="852"/>
      <c r="F17" s="495"/>
      <c r="G17" s="495"/>
      <c r="H17" s="495"/>
      <c r="I17" s="989" t="s">
        <v>173</v>
      </c>
    </row>
    <row r="18" spans="1:9" s="107" customFormat="1" ht="20.25" customHeight="1" thickTop="1" thickBot="1" x14ac:dyDescent="0.25">
      <c r="A18" s="690" t="s">
        <v>661</v>
      </c>
      <c r="B18" s="693" t="s">
        <v>174</v>
      </c>
      <c r="C18" s="691" t="s">
        <v>175</v>
      </c>
      <c r="D18" s="636" t="s">
        <v>744</v>
      </c>
      <c r="E18" s="694" t="s">
        <v>176</v>
      </c>
      <c r="F18" s="694" t="s">
        <v>177</v>
      </c>
      <c r="G18" s="694" t="s">
        <v>922</v>
      </c>
      <c r="H18" s="694" t="s">
        <v>923</v>
      </c>
      <c r="I18" s="856" t="s">
        <v>924</v>
      </c>
    </row>
    <row r="19" spans="1:9" s="384" customFormat="1" ht="13.5" thickTop="1" thickBot="1" x14ac:dyDescent="0.25">
      <c r="A19" s="568">
        <v>1</v>
      </c>
      <c r="B19" s="569">
        <v>2</v>
      </c>
      <c r="C19" s="569">
        <v>3</v>
      </c>
      <c r="D19" s="569">
        <v>4</v>
      </c>
      <c r="E19" s="569">
        <v>5</v>
      </c>
      <c r="F19" s="543">
        <v>6</v>
      </c>
      <c r="G19" s="543">
        <v>7</v>
      </c>
      <c r="H19" s="544">
        <v>8</v>
      </c>
      <c r="I19" s="638" t="s">
        <v>801</v>
      </c>
    </row>
    <row r="20" spans="1:9" s="534" customFormat="1" ht="16.5" thickTop="1" thickBot="1" x14ac:dyDescent="0.3">
      <c r="A20" s="999">
        <v>60001100028</v>
      </c>
      <c r="B20" s="811">
        <v>3121</v>
      </c>
      <c r="C20" s="811">
        <v>6121</v>
      </c>
      <c r="D20" s="998">
        <v>10</v>
      </c>
      <c r="E20" s="827" t="s">
        <v>640</v>
      </c>
      <c r="F20" s="1000">
        <v>2100</v>
      </c>
      <c r="G20" s="1000">
        <v>1897</v>
      </c>
      <c r="H20" s="1000">
        <v>1897</v>
      </c>
      <c r="I20" s="891">
        <f>(H20/G20)*100</f>
        <v>100</v>
      </c>
    </row>
    <row r="21" spans="1:9" s="534" customFormat="1" ht="18" customHeight="1" thickTop="1" thickBot="1" x14ac:dyDescent="0.3">
      <c r="A21" s="2685" t="s">
        <v>257</v>
      </c>
      <c r="B21" s="2686"/>
      <c r="C21" s="2686"/>
      <c r="D21" s="2686"/>
      <c r="E21" s="2686"/>
      <c r="F21" s="862">
        <v>2100</v>
      </c>
      <c r="G21" s="862">
        <f>SUM(G20)</f>
        <v>1897</v>
      </c>
      <c r="H21" s="862">
        <f>SUM(H20)</f>
        <v>1897</v>
      </c>
      <c r="I21" s="863">
        <f>(H21/G21)*100</f>
        <v>100</v>
      </c>
    </row>
    <row r="22" spans="1:9" s="534" customFormat="1" ht="13.5" thickTop="1" x14ac:dyDescent="0.2">
      <c r="B22" s="645"/>
      <c r="D22" s="852"/>
      <c r="F22" s="495"/>
      <c r="G22" s="495"/>
      <c r="H22" s="495"/>
      <c r="I22" s="989"/>
    </row>
    <row r="23" spans="1:9" s="534" customFormat="1" x14ac:dyDescent="0.2">
      <c r="B23" s="645"/>
      <c r="D23" s="852"/>
      <c r="F23" s="495"/>
      <c r="G23" s="495"/>
      <c r="H23" s="495"/>
      <c r="I23" s="989"/>
    </row>
    <row r="24" spans="1:9" s="534" customFormat="1" ht="13.5" thickBot="1" x14ac:dyDescent="0.25">
      <c r="A24" s="433" t="s">
        <v>1137</v>
      </c>
      <c r="B24" s="645"/>
      <c r="D24" s="852"/>
      <c r="F24" s="495"/>
      <c r="G24" s="495"/>
      <c r="H24" s="495"/>
      <c r="I24" s="989" t="s">
        <v>173</v>
      </c>
    </row>
    <row r="25" spans="1:9" s="107" customFormat="1" ht="20.25" customHeight="1" thickTop="1" thickBot="1" x14ac:dyDescent="0.25">
      <c r="A25" s="690" t="s">
        <v>661</v>
      </c>
      <c r="B25" s="693" t="s">
        <v>174</v>
      </c>
      <c r="C25" s="691" t="s">
        <v>175</v>
      </c>
      <c r="D25" s="636" t="s">
        <v>744</v>
      </c>
      <c r="E25" s="694" t="s">
        <v>176</v>
      </c>
      <c r="F25" s="694" t="s">
        <v>177</v>
      </c>
      <c r="G25" s="694" t="s">
        <v>922</v>
      </c>
      <c r="H25" s="694" t="s">
        <v>923</v>
      </c>
      <c r="I25" s="856" t="s">
        <v>924</v>
      </c>
    </row>
    <row r="26" spans="1:9" s="384" customFormat="1" ht="13.5" thickTop="1" thickBot="1" x14ac:dyDescent="0.25">
      <c r="A26" s="1254">
        <v>1</v>
      </c>
      <c r="B26" s="1255">
        <v>2</v>
      </c>
      <c r="C26" s="1255">
        <v>3</v>
      </c>
      <c r="D26" s="1255">
        <v>4</v>
      </c>
      <c r="E26" s="1255">
        <v>5</v>
      </c>
      <c r="F26" s="1256">
        <v>6</v>
      </c>
      <c r="G26" s="1256">
        <v>7</v>
      </c>
      <c r="H26" s="1257">
        <v>8</v>
      </c>
      <c r="I26" s="1258" t="s">
        <v>801</v>
      </c>
    </row>
    <row r="27" spans="1:9" s="384" customFormat="1" ht="15.75" thickTop="1" x14ac:dyDescent="0.25">
      <c r="A27" s="1309">
        <v>60001100030</v>
      </c>
      <c r="B27" s="1310">
        <v>3142</v>
      </c>
      <c r="C27" s="1311">
        <v>5137</v>
      </c>
      <c r="D27" s="1013">
        <v>870</v>
      </c>
      <c r="E27" s="1260" t="s">
        <v>167</v>
      </c>
      <c r="F27" s="413"/>
      <c r="G27" s="1262">
        <v>5979</v>
      </c>
      <c r="H27" s="413">
        <v>5957</v>
      </c>
      <c r="I27" s="1002">
        <f t="shared" ref="I27:I33" si="0">(H27/G27)*100</f>
        <v>99.632045492557282</v>
      </c>
    </row>
    <row r="28" spans="1:9" s="384" customFormat="1" ht="15.75" thickBot="1" x14ac:dyDescent="0.3">
      <c r="A28" s="1312">
        <v>60001100030</v>
      </c>
      <c r="B28" s="1313">
        <v>3142</v>
      </c>
      <c r="C28" s="1314">
        <v>5172</v>
      </c>
      <c r="D28" s="998">
        <v>870</v>
      </c>
      <c r="E28" s="1259" t="s">
        <v>939</v>
      </c>
      <c r="F28" s="414"/>
      <c r="G28" s="1263">
        <v>106</v>
      </c>
      <c r="H28" s="414">
        <v>101</v>
      </c>
      <c r="I28" s="874">
        <f t="shared" si="0"/>
        <v>95.283018867924525</v>
      </c>
    </row>
    <row r="29" spans="1:9" s="534" customFormat="1" ht="18" customHeight="1" thickTop="1" thickBot="1" x14ac:dyDescent="0.3">
      <c r="A29" s="2685" t="s">
        <v>258</v>
      </c>
      <c r="B29" s="2686"/>
      <c r="C29" s="2686"/>
      <c r="D29" s="2686"/>
      <c r="E29" s="2686"/>
      <c r="F29" s="862">
        <v>0</v>
      </c>
      <c r="G29" s="862">
        <f>G27+G28</f>
        <v>6085</v>
      </c>
      <c r="H29" s="862">
        <f>H27+H28</f>
        <v>6058</v>
      </c>
      <c r="I29" s="863">
        <f t="shared" si="0"/>
        <v>99.556285949055052</v>
      </c>
    </row>
    <row r="30" spans="1:9" s="534" customFormat="1" ht="18" customHeight="1" thickTop="1" x14ac:dyDescent="0.25">
      <c r="A30" s="1297">
        <v>60001100030</v>
      </c>
      <c r="B30" s="1298">
        <v>3142</v>
      </c>
      <c r="C30" s="1299">
        <v>6121</v>
      </c>
      <c r="D30" s="998">
        <v>10</v>
      </c>
      <c r="E30" s="1259" t="s">
        <v>640</v>
      </c>
      <c r="F30" s="858">
        <v>50100</v>
      </c>
      <c r="G30" s="181">
        <v>0</v>
      </c>
      <c r="H30" s="858">
        <v>0</v>
      </c>
      <c r="I30" s="874">
        <v>0</v>
      </c>
    </row>
    <row r="31" spans="1:9" s="384" customFormat="1" ht="15" x14ac:dyDescent="0.25">
      <c r="A31" s="1312">
        <v>60001100030</v>
      </c>
      <c r="B31" s="1313">
        <v>3142</v>
      </c>
      <c r="C31" s="1314">
        <v>6121</v>
      </c>
      <c r="D31" s="998">
        <v>870</v>
      </c>
      <c r="E31" s="1259" t="s">
        <v>640</v>
      </c>
      <c r="F31" s="414"/>
      <c r="G31" s="1263">
        <v>85669</v>
      </c>
      <c r="H31" s="414">
        <v>85083</v>
      </c>
      <c r="I31" s="874">
        <f t="shared" si="0"/>
        <v>99.315971938507502</v>
      </c>
    </row>
    <row r="32" spans="1:9" s="534" customFormat="1" ht="15.75" thickBot="1" x14ac:dyDescent="0.3">
      <c r="A32" s="1003">
        <v>60001100030</v>
      </c>
      <c r="B32" s="930">
        <v>3142</v>
      </c>
      <c r="C32" s="782">
        <v>6122</v>
      </c>
      <c r="D32" s="1004">
        <v>870</v>
      </c>
      <c r="E32" s="1261" t="s">
        <v>641</v>
      </c>
      <c r="F32" s="922"/>
      <c r="G32" s="1005">
        <v>24343</v>
      </c>
      <c r="H32" s="922">
        <v>24343</v>
      </c>
      <c r="I32" s="1012">
        <f t="shared" si="0"/>
        <v>100</v>
      </c>
    </row>
    <row r="33" spans="1:9" s="534" customFormat="1" ht="18" customHeight="1" thickTop="1" thickBot="1" x14ac:dyDescent="0.3">
      <c r="A33" s="2699" t="s">
        <v>257</v>
      </c>
      <c r="B33" s="2698"/>
      <c r="C33" s="2698"/>
      <c r="D33" s="2698"/>
      <c r="E33" s="2698"/>
      <c r="F33" s="911">
        <f>F30</f>
        <v>50100</v>
      </c>
      <c r="G33" s="911">
        <f>G30+G31+G32</f>
        <v>110012</v>
      </c>
      <c r="H33" s="911">
        <f>H30+H31+H32</f>
        <v>109426</v>
      </c>
      <c r="I33" s="863">
        <f t="shared" si="0"/>
        <v>99.467330836636009</v>
      </c>
    </row>
    <row r="34" spans="1:9" s="534" customFormat="1" ht="13.5" thickTop="1" x14ac:dyDescent="0.2">
      <c r="B34" s="645"/>
      <c r="D34" s="852"/>
      <c r="F34" s="495"/>
      <c r="G34" s="495"/>
      <c r="H34" s="495"/>
      <c r="I34" s="989"/>
    </row>
    <row r="35" spans="1:9" s="534" customFormat="1" x14ac:dyDescent="0.2">
      <c r="B35" s="645"/>
      <c r="D35" s="852"/>
      <c r="F35" s="495"/>
      <c r="G35" s="495"/>
      <c r="H35" s="495"/>
      <c r="I35" s="989"/>
    </row>
    <row r="36" spans="1:9" s="534" customFormat="1" ht="13.5" thickBot="1" x14ac:dyDescent="0.25">
      <c r="A36" s="433" t="s">
        <v>1138</v>
      </c>
      <c r="B36" s="645"/>
      <c r="D36" s="852"/>
      <c r="F36" s="495"/>
      <c r="G36" s="495"/>
      <c r="H36" s="495"/>
      <c r="I36" s="989" t="s">
        <v>173</v>
      </c>
    </row>
    <row r="37" spans="1:9" s="107" customFormat="1" ht="20.25" customHeight="1" thickTop="1" thickBot="1" x14ac:dyDescent="0.25">
      <c r="A37" s="690" t="s">
        <v>661</v>
      </c>
      <c r="B37" s="693" t="s">
        <v>174</v>
      </c>
      <c r="C37" s="691" t="s">
        <v>175</v>
      </c>
      <c r="D37" s="636" t="s">
        <v>744</v>
      </c>
      <c r="E37" s="694" t="s">
        <v>176</v>
      </c>
      <c r="F37" s="694" t="s">
        <v>177</v>
      </c>
      <c r="G37" s="694" t="s">
        <v>922</v>
      </c>
      <c r="H37" s="694" t="s">
        <v>923</v>
      </c>
      <c r="I37" s="856" t="s">
        <v>924</v>
      </c>
    </row>
    <row r="38" spans="1:9" s="384" customFormat="1" ht="13.5" thickTop="1" thickBot="1" x14ac:dyDescent="0.25">
      <c r="A38" s="1254">
        <v>1</v>
      </c>
      <c r="B38" s="1255">
        <v>2</v>
      </c>
      <c r="C38" s="1255">
        <v>3</v>
      </c>
      <c r="D38" s="1255">
        <v>4</v>
      </c>
      <c r="E38" s="1255">
        <v>5</v>
      </c>
      <c r="F38" s="1256">
        <v>6</v>
      </c>
      <c r="G38" s="1256">
        <v>7</v>
      </c>
      <c r="H38" s="1257">
        <v>8</v>
      </c>
      <c r="I38" s="1258" t="s">
        <v>801</v>
      </c>
    </row>
    <row r="39" spans="1:9" s="384" customFormat="1" ht="15.75" thickTop="1" x14ac:dyDescent="0.25">
      <c r="A39" s="1309">
        <v>60001100031</v>
      </c>
      <c r="B39" s="1310">
        <v>3121</v>
      </c>
      <c r="C39" s="1310">
        <v>6121</v>
      </c>
      <c r="D39" s="1282">
        <v>10</v>
      </c>
      <c r="E39" s="1281" t="s">
        <v>640</v>
      </c>
      <c r="F39" s="1300">
        <v>3900</v>
      </c>
      <c r="G39" s="1300">
        <v>0</v>
      </c>
      <c r="H39" s="1300">
        <v>0</v>
      </c>
      <c r="I39" s="1265">
        <v>0</v>
      </c>
    </row>
    <row r="40" spans="1:9" s="534" customFormat="1" ht="15.75" thickBot="1" x14ac:dyDescent="0.3">
      <c r="A40" s="1287">
        <v>60001100031</v>
      </c>
      <c r="B40" s="681">
        <v>3121</v>
      </c>
      <c r="C40" s="681">
        <v>6121</v>
      </c>
      <c r="D40" s="998">
        <v>870</v>
      </c>
      <c r="E40" s="381" t="s">
        <v>640</v>
      </c>
      <c r="F40" s="889"/>
      <c r="G40" s="889">
        <v>3900</v>
      </c>
      <c r="H40" s="889">
        <v>3683</v>
      </c>
      <c r="I40" s="891">
        <f>(H40/G40)*100</f>
        <v>94.435897435897431</v>
      </c>
    </row>
    <row r="41" spans="1:9" s="534" customFormat="1" ht="18" customHeight="1" thickTop="1" thickBot="1" x14ac:dyDescent="0.3">
      <c r="A41" s="2685" t="s">
        <v>257</v>
      </c>
      <c r="B41" s="2686"/>
      <c r="C41" s="2686"/>
      <c r="D41" s="2686"/>
      <c r="E41" s="2686"/>
      <c r="F41" s="862">
        <f>F39</f>
        <v>3900</v>
      </c>
      <c r="G41" s="862">
        <f>SUM(G40)</f>
        <v>3900</v>
      </c>
      <c r="H41" s="862">
        <f>SUM(H40)</f>
        <v>3683</v>
      </c>
      <c r="I41" s="863">
        <f>(H41/G41)*100</f>
        <v>94.435897435897431</v>
      </c>
    </row>
    <row r="42" spans="1:9" s="534" customFormat="1" ht="13.5" thickTop="1" x14ac:dyDescent="0.2">
      <c r="B42" s="645"/>
      <c r="D42" s="852"/>
      <c r="F42" s="495"/>
      <c r="G42" s="495"/>
      <c r="H42" s="495"/>
      <c r="I42" s="989"/>
    </row>
    <row r="43" spans="1:9" s="534" customFormat="1" x14ac:dyDescent="0.2">
      <c r="B43" s="645"/>
      <c r="D43" s="852"/>
      <c r="F43" s="495"/>
      <c r="G43" s="495"/>
      <c r="H43" s="495"/>
      <c r="I43" s="989"/>
    </row>
    <row r="44" spans="1:9" s="534" customFormat="1" ht="13.5" thickBot="1" x14ac:dyDescent="0.25">
      <c r="A44" s="433" t="s">
        <v>1139</v>
      </c>
      <c r="B44" s="645"/>
      <c r="D44" s="852"/>
      <c r="F44" s="495"/>
      <c r="G44" s="495"/>
      <c r="H44" s="495"/>
      <c r="I44" s="989" t="s">
        <v>173</v>
      </c>
    </row>
    <row r="45" spans="1:9" s="107" customFormat="1" ht="20.25" customHeight="1" thickTop="1" thickBot="1" x14ac:dyDescent="0.25">
      <c r="A45" s="690" t="s">
        <v>661</v>
      </c>
      <c r="B45" s="693" t="s">
        <v>174</v>
      </c>
      <c r="C45" s="691" t="s">
        <v>175</v>
      </c>
      <c r="D45" s="636" t="s">
        <v>744</v>
      </c>
      <c r="E45" s="694" t="s">
        <v>176</v>
      </c>
      <c r="F45" s="694" t="s">
        <v>177</v>
      </c>
      <c r="G45" s="694" t="s">
        <v>922</v>
      </c>
      <c r="H45" s="694" t="s">
        <v>923</v>
      </c>
      <c r="I45" s="856" t="s">
        <v>924</v>
      </c>
    </row>
    <row r="46" spans="1:9" s="384" customFormat="1" ht="13.5" thickTop="1" thickBot="1" x14ac:dyDescent="0.25">
      <c r="A46" s="568">
        <v>1</v>
      </c>
      <c r="B46" s="569">
        <v>2</v>
      </c>
      <c r="C46" s="569">
        <v>3</v>
      </c>
      <c r="D46" s="569">
        <v>4</v>
      </c>
      <c r="E46" s="569">
        <v>5</v>
      </c>
      <c r="F46" s="543">
        <v>6</v>
      </c>
      <c r="G46" s="543">
        <v>7</v>
      </c>
      <c r="H46" s="544">
        <v>8</v>
      </c>
      <c r="I46" s="638" t="s">
        <v>801</v>
      </c>
    </row>
    <row r="47" spans="1:9" s="534" customFormat="1" ht="16.5" thickTop="1" thickBot="1" x14ac:dyDescent="0.3">
      <c r="A47" s="1006">
        <v>60001100039</v>
      </c>
      <c r="B47" s="1007">
        <v>3145</v>
      </c>
      <c r="C47" s="1007">
        <v>6121</v>
      </c>
      <c r="D47" s="1008">
        <v>10</v>
      </c>
      <c r="E47" s="1009" t="s">
        <v>640</v>
      </c>
      <c r="F47" s="928">
        <v>1900</v>
      </c>
      <c r="G47" s="928">
        <v>1937</v>
      </c>
      <c r="H47" s="928">
        <v>851</v>
      </c>
      <c r="I47" s="929">
        <f>(H47/G47)*100</f>
        <v>43.933918430562727</v>
      </c>
    </row>
    <row r="48" spans="1:9" s="534" customFormat="1" ht="18" customHeight="1" thickTop="1" thickBot="1" x14ac:dyDescent="0.3">
      <c r="A48" s="2699" t="s">
        <v>257</v>
      </c>
      <c r="B48" s="2698"/>
      <c r="C48" s="2698"/>
      <c r="D48" s="2698"/>
      <c r="E48" s="2698"/>
      <c r="F48" s="911">
        <f>F47</f>
        <v>1900</v>
      </c>
      <c r="G48" s="911">
        <f>G47</f>
        <v>1937</v>
      </c>
      <c r="H48" s="911">
        <f>H47</f>
        <v>851</v>
      </c>
      <c r="I48" s="894">
        <f>(H48/G48)*100</f>
        <v>43.933918430562727</v>
      </c>
    </row>
    <row r="49" spans="1:9" s="534" customFormat="1" ht="13.5" thickTop="1" x14ac:dyDescent="0.2">
      <c r="B49" s="645"/>
      <c r="D49" s="852"/>
      <c r="F49" s="495"/>
      <c r="G49" s="495"/>
      <c r="H49" s="495"/>
      <c r="I49" s="989"/>
    </row>
    <row r="50" spans="1:9" s="534" customFormat="1" x14ac:dyDescent="0.2">
      <c r="B50" s="645"/>
      <c r="D50" s="852"/>
      <c r="F50" s="495"/>
      <c r="G50" s="495"/>
      <c r="H50" s="495"/>
      <c r="I50" s="989"/>
    </row>
    <row r="51" spans="1:9" s="534" customFormat="1" ht="13.5" thickBot="1" x14ac:dyDescent="0.25">
      <c r="A51" s="433" t="s">
        <v>1140</v>
      </c>
      <c r="B51" s="645"/>
      <c r="D51" s="852"/>
      <c r="F51" s="495"/>
      <c r="G51" s="495"/>
      <c r="H51" s="495"/>
      <c r="I51" s="989" t="s">
        <v>173</v>
      </c>
    </row>
    <row r="52" spans="1:9" s="107" customFormat="1" ht="20.25" customHeight="1" thickTop="1" thickBot="1" x14ac:dyDescent="0.25">
      <c r="A52" s="690" t="s">
        <v>661</v>
      </c>
      <c r="B52" s="693" t="s">
        <v>174</v>
      </c>
      <c r="C52" s="691" t="s">
        <v>175</v>
      </c>
      <c r="D52" s="636" t="s">
        <v>744</v>
      </c>
      <c r="E52" s="694" t="s">
        <v>176</v>
      </c>
      <c r="F52" s="694" t="s">
        <v>177</v>
      </c>
      <c r="G52" s="694" t="s">
        <v>922</v>
      </c>
      <c r="H52" s="694" t="s">
        <v>923</v>
      </c>
      <c r="I52" s="856" t="s">
        <v>924</v>
      </c>
    </row>
    <row r="53" spans="1:9" s="384" customFormat="1" ht="13.5" thickTop="1" thickBot="1" x14ac:dyDescent="0.25">
      <c r="A53" s="1254">
        <v>1</v>
      </c>
      <c r="B53" s="1255">
        <v>2</v>
      </c>
      <c r="C53" s="1255">
        <v>3</v>
      </c>
      <c r="D53" s="1255">
        <v>4</v>
      </c>
      <c r="E53" s="1255">
        <v>5</v>
      </c>
      <c r="F53" s="1256">
        <v>6</v>
      </c>
      <c r="G53" s="1256">
        <v>7</v>
      </c>
      <c r="H53" s="1257">
        <v>8</v>
      </c>
      <c r="I53" s="1258" t="s">
        <v>801</v>
      </c>
    </row>
    <row r="54" spans="1:9" s="534" customFormat="1" ht="15.75" thickTop="1" x14ac:dyDescent="0.25">
      <c r="A54" s="997">
        <v>60001100042</v>
      </c>
      <c r="B54" s="811">
        <v>3123</v>
      </c>
      <c r="C54" s="656">
        <v>6121</v>
      </c>
      <c r="D54" s="1013">
        <v>10</v>
      </c>
      <c r="E54" s="1242" t="s">
        <v>640</v>
      </c>
      <c r="F54" s="1000">
        <v>4847</v>
      </c>
      <c r="G54" s="1264">
        <v>4324</v>
      </c>
      <c r="H54" s="1000">
        <v>4350</v>
      </c>
      <c r="I54" s="1265">
        <f>(H54/G54)*100</f>
        <v>100.60129509713229</v>
      </c>
    </row>
    <row r="55" spans="1:9" s="534" customFormat="1" ht="15.75" thickBot="1" x14ac:dyDescent="0.3">
      <c r="A55" s="1011">
        <v>60001100042</v>
      </c>
      <c r="B55" s="682">
        <v>3123</v>
      </c>
      <c r="C55" s="782">
        <v>6123</v>
      </c>
      <c r="D55" s="1004">
        <v>10</v>
      </c>
      <c r="E55" s="1261" t="s">
        <v>1294</v>
      </c>
      <c r="F55" s="922"/>
      <c r="G55" s="1005">
        <v>175</v>
      </c>
      <c r="H55" s="922">
        <v>175</v>
      </c>
      <c r="I55" s="1014">
        <f>(H55/G55)*100</f>
        <v>100</v>
      </c>
    </row>
    <row r="56" spans="1:9" s="534" customFormat="1" ht="18" customHeight="1" thickTop="1" thickBot="1" x14ac:dyDescent="0.3">
      <c r="A56" s="2699" t="s">
        <v>257</v>
      </c>
      <c r="B56" s="2698"/>
      <c r="C56" s="2698"/>
      <c r="D56" s="2698"/>
      <c r="E56" s="2698"/>
      <c r="F56" s="911">
        <f>F54</f>
        <v>4847</v>
      </c>
      <c r="G56" s="911">
        <f>G54+G55</f>
        <v>4499</v>
      </c>
      <c r="H56" s="911">
        <f>H54+H55</f>
        <v>4525</v>
      </c>
      <c r="I56" s="894">
        <f>(H56/G56)*100</f>
        <v>100.57790620137807</v>
      </c>
    </row>
    <row r="57" spans="1:9" s="534" customFormat="1" ht="13.5" thickTop="1" x14ac:dyDescent="0.2">
      <c r="B57" s="645"/>
      <c r="D57" s="852"/>
      <c r="F57" s="495"/>
      <c r="G57" s="495"/>
      <c r="H57" s="495"/>
      <c r="I57" s="989"/>
    </row>
    <row r="58" spans="1:9" s="534" customFormat="1" x14ac:dyDescent="0.2">
      <c r="B58" s="645"/>
      <c r="D58" s="852"/>
      <c r="F58" s="495"/>
      <c r="G58" s="495"/>
      <c r="H58" s="495"/>
      <c r="I58" s="989"/>
    </row>
    <row r="59" spans="1:9" s="534" customFormat="1" ht="13.5" thickBot="1" x14ac:dyDescent="0.25">
      <c r="A59" s="433" t="s">
        <v>721</v>
      </c>
      <c r="B59" s="645"/>
      <c r="D59" s="852"/>
      <c r="F59" s="495"/>
      <c r="G59" s="495"/>
      <c r="H59" s="495"/>
      <c r="I59" s="989" t="s">
        <v>173</v>
      </c>
    </row>
    <row r="60" spans="1:9" s="107" customFormat="1" ht="20.25" customHeight="1" thickTop="1" thickBot="1" x14ac:dyDescent="0.25">
      <c r="A60" s="690" t="s">
        <v>661</v>
      </c>
      <c r="B60" s="693" t="s">
        <v>174</v>
      </c>
      <c r="C60" s="691" t="s">
        <v>175</v>
      </c>
      <c r="D60" s="636" t="s">
        <v>744</v>
      </c>
      <c r="E60" s="694" t="s">
        <v>176</v>
      </c>
      <c r="F60" s="694" t="s">
        <v>177</v>
      </c>
      <c r="G60" s="694" t="s">
        <v>922</v>
      </c>
      <c r="H60" s="694" t="s">
        <v>923</v>
      </c>
      <c r="I60" s="856" t="s">
        <v>924</v>
      </c>
    </row>
    <row r="61" spans="1:9" s="384" customFormat="1" ht="13.5" thickTop="1" thickBot="1" x14ac:dyDescent="0.25">
      <c r="A61" s="1254">
        <v>1</v>
      </c>
      <c r="B61" s="1255">
        <v>2</v>
      </c>
      <c r="C61" s="1255">
        <v>3</v>
      </c>
      <c r="D61" s="1255">
        <v>4</v>
      </c>
      <c r="E61" s="1255">
        <v>5</v>
      </c>
      <c r="F61" s="1256">
        <v>6</v>
      </c>
      <c r="G61" s="1256">
        <v>7</v>
      </c>
      <c r="H61" s="1257">
        <v>8</v>
      </c>
      <c r="I61" s="1258" t="s">
        <v>801</v>
      </c>
    </row>
    <row r="62" spans="1:9" s="534" customFormat="1" ht="16.5" thickTop="1" thickBot="1" x14ac:dyDescent="0.3">
      <c r="A62" s="1266">
        <v>60001100188</v>
      </c>
      <c r="B62" s="1007">
        <v>3114</v>
      </c>
      <c r="C62" s="1267">
        <v>6121</v>
      </c>
      <c r="D62" s="1008">
        <v>10</v>
      </c>
      <c r="E62" s="1268" t="s">
        <v>640</v>
      </c>
      <c r="F62" s="928"/>
      <c r="G62" s="1269">
        <v>1</v>
      </c>
      <c r="H62" s="928">
        <v>1</v>
      </c>
      <c r="I62" s="1270">
        <f>(H62/G62)*100</f>
        <v>100</v>
      </c>
    </row>
    <row r="63" spans="1:9" s="534" customFormat="1" ht="18" customHeight="1" thickTop="1" thickBot="1" x14ac:dyDescent="0.3">
      <c r="A63" s="2699" t="s">
        <v>257</v>
      </c>
      <c r="B63" s="2698"/>
      <c r="C63" s="2698"/>
      <c r="D63" s="2698"/>
      <c r="E63" s="2698"/>
      <c r="F63" s="911">
        <f>F62</f>
        <v>0</v>
      </c>
      <c r="G63" s="911">
        <f>G62</f>
        <v>1</v>
      </c>
      <c r="H63" s="911">
        <f>H62</f>
        <v>1</v>
      </c>
      <c r="I63" s="894">
        <f>(H63/G63)*100</f>
        <v>100</v>
      </c>
    </row>
    <row r="64" spans="1:9" s="534" customFormat="1" ht="13.5" thickTop="1" x14ac:dyDescent="0.2">
      <c r="B64" s="645"/>
      <c r="D64" s="852"/>
      <c r="F64" s="495"/>
      <c r="G64" s="495"/>
      <c r="H64" s="495"/>
      <c r="I64" s="989"/>
    </row>
    <row r="65" spans="1:9" s="534" customFormat="1" x14ac:dyDescent="0.2">
      <c r="B65" s="645"/>
      <c r="D65" s="852"/>
      <c r="F65" s="495"/>
      <c r="G65" s="495"/>
      <c r="H65" s="495"/>
      <c r="I65" s="989"/>
    </row>
    <row r="66" spans="1:9" s="534" customFormat="1" x14ac:dyDescent="0.2">
      <c r="B66" s="645"/>
      <c r="D66" s="852"/>
      <c r="F66" s="495"/>
      <c r="G66" s="495"/>
      <c r="H66" s="495"/>
      <c r="I66" s="989"/>
    </row>
    <row r="67" spans="1:9" s="534" customFormat="1" x14ac:dyDescent="0.2">
      <c r="B67" s="645"/>
      <c r="D67" s="852"/>
      <c r="F67" s="495"/>
      <c r="G67" s="495"/>
      <c r="H67" s="495"/>
      <c r="I67" s="989"/>
    </row>
    <row r="68" spans="1:9" s="534" customFormat="1" ht="13.5" thickBot="1" x14ac:dyDescent="0.25">
      <c r="A68" s="433" t="s">
        <v>722</v>
      </c>
      <c r="B68" s="645"/>
      <c r="D68" s="852"/>
      <c r="F68" s="495"/>
      <c r="G68" s="495"/>
      <c r="H68" s="495"/>
      <c r="I68" s="989" t="s">
        <v>173</v>
      </c>
    </row>
    <row r="69" spans="1:9" s="107" customFormat="1" ht="20.25" customHeight="1" thickTop="1" thickBot="1" x14ac:dyDescent="0.25">
      <c r="A69" s="690" t="s">
        <v>661</v>
      </c>
      <c r="B69" s="693" t="s">
        <v>174</v>
      </c>
      <c r="C69" s="691" t="s">
        <v>175</v>
      </c>
      <c r="D69" s="636" t="s">
        <v>744</v>
      </c>
      <c r="E69" s="694" t="s">
        <v>176</v>
      </c>
      <c r="F69" s="694" t="s">
        <v>177</v>
      </c>
      <c r="G69" s="694" t="s">
        <v>922</v>
      </c>
      <c r="H69" s="694" t="s">
        <v>923</v>
      </c>
      <c r="I69" s="856" t="s">
        <v>924</v>
      </c>
    </row>
    <row r="70" spans="1:9" s="384" customFormat="1" ht="13.5" thickTop="1" thickBot="1" x14ac:dyDescent="0.25">
      <c r="A70" s="1254">
        <v>1</v>
      </c>
      <c r="B70" s="1255">
        <v>2</v>
      </c>
      <c r="C70" s="1255">
        <v>3</v>
      </c>
      <c r="D70" s="1255">
        <v>4</v>
      </c>
      <c r="E70" s="1255">
        <v>5</v>
      </c>
      <c r="F70" s="1256">
        <v>6</v>
      </c>
      <c r="G70" s="1256">
        <v>7</v>
      </c>
      <c r="H70" s="1257">
        <v>8</v>
      </c>
      <c r="I70" s="1258" t="s">
        <v>801</v>
      </c>
    </row>
    <row r="71" spans="1:9" s="534" customFormat="1" ht="16.5" thickTop="1" thickBot="1" x14ac:dyDescent="0.3">
      <c r="A71" s="1266">
        <v>60001100191</v>
      </c>
      <c r="B71" s="1007">
        <v>4322</v>
      </c>
      <c r="C71" s="1267">
        <v>6121</v>
      </c>
      <c r="D71" s="1008">
        <v>870</v>
      </c>
      <c r="E71" s="1268" t="s">
        <v>640</v>
      </c>
      <c r="F71" s="928"/>
      <c r="G71" s="1269">
        <v>11692</v>
      </c>
      <c r="H71" s="928">
        <v>1207</v>
      </c>
      <c r="I71" s="1270">
        <f>(H71/G71)*100</f>
        <v>10.32329798152583</v>
      </c>
    </row>
    <row r="72" spans="1:9" s="534" customFormat="1" ht="18" customHeight="1" thickTop="1" thickBot="1" x14ac:dyDescent="0.3">
      <c r="A72" s="2699" t="s">
        <v>257</v>
      </c>
      <c r="B72" s="2698"/>
      <c r="C72" s="2698"/>
      <c r="D72" s="2698"/>
      <c r="E72" s="2698"/>
      <c r="F72" s="911">
        <f>F71</f>
        <v>0</v>
      </c>
      <c r="G72" s="911">
        <f>G71</f>
        <v>11692</v>
      </c>
      <c r="H72" s="911">
        <f>H71</f>
        <v>1207</v>
      </c>
      <c r="I72" s="894">
        <f>(H72/G72)*100</f>
        <v>10.32329798152583</v>
      </c>
    </row>
    <row r="73" spans="1:9" s="534" customFormat="1" ht="13.5" thickTop="1" x14ac:dyDescent="0.2">
      <c r="B73" s="645"/>
      <c r="D73" s="852"/>
      <c r="F73" s="495"/>
      <c r="G73" s="495"/>
      <c r="H73" s="495"/>
      <c r="I73" s="989"/>
    </row>
    <row r="74" spans="1:9" s="534" customFormat="1" x14ac:dyDescent="0.2">
      <c r="B74" s="645"/>
      <c r="D74" s="852"/>
      <c r="F74" s="495"/>
      <c r="G74" s="495"/>
      <c r="H74" s="495"/>
      <c r="I74" s="989"/>
    </row>
    <row r="75" spans="1:9" s="534" customFormat="1" ht="13.5" thickBot="1" x14ac:dyDescent="0.25">
      <c r="A75" s="433" t="s">
        <v>723</v>
      </c>
      <c r="B75" s="645"/>
      <c r="D75" s="852"/>
      <c r="F75" s="495"/>
      <c r="G75" s="495"/>
      <c r="H75" s="495"/>
      <c r="I75" s="989" t="s">
        <v>173</v>
      </c>
    </row>
    <row r="76" spans="1:9" s="107" customFormat="1" ht="20.25" customHeight="1" thickTop="1" thickBot="1" x14ac:dyDescent="0.25">
      <c r="A76" s="690" t="s">
        <v>661</v>
      </c>
      <c r="B76" s="693" t="s">
        <v>174</v>
      </c>
      <c r="C76" s="691" t="s">
        <v>175</v>
      </c>
      <c r="D76" s="636" t="s">
        <v>744</v>
      </c>
      <c r="E76" s="694" t="s">
        <v>176</v>
      </c>
      <c r="F76" s="694" t="s">
        <v>177</v>
      </c>
      <c r="G76" s="694" t="s">
        <v>922</v>
      </c>
      <c r="H76" s="694" t="s">
        <v>923</v>
      </c>
      <c r="I76" s="856" t="s">
        <v>924</v>
      </c>
    </row>
    <row r="77" spans="1:9" s="384" customFormat="1" ht="13.5" thickTop="1" thickBot="1" x14ac:dyDescent="0.25">
      <c r="A77" s="1254">
        <v>1</v>
      </c>
      <c r="B77" s="1255">
        <v>2</v>
      </c>
      <c r="C77" s="1255">
        <v>3</v>
      </c>
      <c r="D77" s="1255">
        <v>4</v>
      </c>
      <c r="E77" s="1255">
        <v>5</v>
      </c>
      <c r="F77" s="1256">
        <v>6</v>
      </c>
      <c r="G77" s="1256">
        <v>7</v>
      </c>
      <c r="H77" s="1257">
        <v>8</v>
      </c>
      <c r="I77" s="1258" t="s">
        <v>801</v>
      </c>
    </row>
    <row r="78" spans="1:9" s="534" customFormat="1" ht="16.5" thickTop="1" thickBot="1" x14ac:dyDescent="0.3">
      <c r="A78" s="1266">
        <v>60001100192</v>
      </c>
      <c r="B78" s="1007">
        <v>3122</v>
      </c>
      <c r="C78" s="1267">
        <v>6121</v>
      </c>
      <c r="D78" s="1008">
        <v>10</v>
      </c>
      <c r="E78" s="1268" t="s">
        <v>640</v>
      </c>
      <c r="F78" s="928"/>
      <c r="G78" s="1269">
        <v>1</v>
      </c>
      <c r="H78" s="928">
        <v>0</v>
      </c>
      <c r="I78" s="1270">
        <f>(H78/G78)*100</f>
        <v>0</v>
      </c>
    </row>
    <row r="79" spans="1:9" s="534" customFormat="1" ht="18" customHeight="1" thickTop="1" thickBot="1" x14ac:dyDescent="0.3">
      <c r="A79" s="2699" t="s">
        <v>257</v>
      </c>
      <c r="B79" s="2698"/>
      <c r="C79" s="2698"/>
      <c r="D79" s="2698"/>
      <c r="E79" s="2698"/>
      <c r="F79" s="911">
        <f>F78</f>
        <v>0</v>
      </c>
      <c r="G79" s="911">
        <f>G78</f>
        <v>1</v>
      </c>
      <c r="H79" s="911">
        <f>H78</f>
        <v>0</v>
      </c>
      <c r="I79" s="894">
        <f>(H79/G79)*100</f>
        <v>0</v>
      </c>
    </row>
    <row r="80" spans="1:9" s="534" customFormat="1" ht="13.5" thickTop="1" x14ac:dyDescent="0.2">
      <c r="B80" s="645"/>
      <c r="D80" s="852"/>
      <c r="F80" s="495"/>
      <c r="G80" s="495"/>
      <c r="H80" s="495"/>
      <c r="I80" s="989"/>
    </row>
    <row r="81" spans="1:9" s="534" customFormat="1" x14ac:dyDescent="0.2">
      <c r="B81" s="645"/>
      <c r="D81" s="852"/>
      <c r="F81" s="495"/>
      <c r="G81" s="495"/>
      <c r="H81" s="495"/>
      <c r="I81" s="989"/>
    </row>
    <row r="82" spans="1:9" s="534" customFormat="1" ht="13.5" thickBot="1" x14ac:dyDescent="0.25">
      <c r="A82" s="433" t="s">
        <v>724</v>
      </c>
      <c r="B82" s="645"/>
      <c r="D82" s="852"/>
      <c r="F82" s="495"/>
      <c r="G82" s="495"/>
      <c r="H82" s="495"/>
      <c r="I82" s="989" t="s">
        <v>173</v>
      </c>
    </row>
    <row r="83" spans="1:9" s="107" customFormat="1" ht="20.25" customHeight="1" thickTop="1" thickBot="1" x14ac:dyDescent="0.25">
      <c r="A83" s="690" t="s">
        <v>661</v>
      </c>
      <c r="B83" s="693" t="s">
        <v>174</v>
      </c>
      <c r="C83" s="691" t="s">
        <v>175</v>
      </c>
      <c r="D83" s="636" t="s">
        <v>744</v>
      </c>
      <c r="E83" s="694" t="s">
        <v>176</v>
      </c>
      <c r="F83" s="694" t="s">
        <v>177</v>
      </c>
      <c r="G83" s="694" t="s">
        <v>922</v>
      </c>
      <c r="H83" s="694" t="s">
        <v>923</v>
      </c>
      <c r="I83" s="856" t="s">
        <v>924</v>
      </c>
    </row>
    <row r="84" spans="1:9" s="384" customFormat="1" ht="13.5" thickTop="1" thickBot="1" x14ac:dyDescent="0.25">
      <c r="A84" s="1254">
        <v>1</v>
      </c>
      <c r="B84" s="1255">
        <v>2</v>
      </c>
      <c r="C84" s="1255">
        <v>3</v>
      </c>
      <c r="D84" s="1255">
        <v>4</v>
      </c>
      <c r="E84" s="1255">
        <v>5</v>
      </c>
      <c r="F84" s="1256">
        <v>6</v>
      </c>
      <c r="G84" s="1256">
        <v>7</v>
      </c>
      <c r="H84" s="1257">
        <v>8</v>
      </c>
      <c r="I84" s="1258" t="s">
        <v>801</v>
      </c>
    </row>
    <row r="85" spans="1:9" s="534" customFormat="1" ht="16.5" thickTop="1" thickBot="1" x14ac:dyDescent="0.3">
      <c r="A85" s="1266">
        <v>60001100201</v>
      </c>
      <c r="B85" s="1007">
        <v>3122</v>
      </c>
      <c r="C85" s="1267">
        <v>6121</v>
      </c>
      <c r="D85" s="1008">
        <v>870</v>
      </c>
      <c r="E85" s="1268" t="s">
        <v>640</v>
      </c>
      <c r="F85" s="928"/>
      <c r="G85" s="1269">
        <v>5965</v>
      </c>
      <c r="H85" s="928">
        <v>5895</v>
      </c>
      <c r="I85" s="1270">
        <f>(H85/G85)*100</f>
        <v>98.826487845766977</v>
      </c>
    </row>
    <row r="86" spans="1:9" s="534" customFormat="1" ht="18" customHeight="1" thickTop="1" thickBot="1" x14ac:dyDescent="0.3">
      <c r="A86" s="2699" t="s">
        <v>257</v>
      </c>
      <c r="B86" s="2698"/>
      <c r="C86" s="2698"/>
      <c r="D86" s="2698"/>
      <c r="E86" s="2698"/>
      <c r="F86" s="911">
        <f>F85</f>
        <v>0</v>
      </c>
      <c r="G86" s="911">
        <f>G85</f>
        <v>5965</v>
      </c>
      <c r="H86" s="911">
        <f>H85</f>
        <v>5895</v>
      </c>
      <c r="I86" s="894">
        <f>(H86/G86)*100</f>
        <v>98.826487845766977</v>
      </c>
    </row>
    <row r="87" spans="1:9" s="534" customFormat="1" ht="13.5" thickTop="1" x14ac:dyDescent="0.2">
      <c r="B87" s="645"/>
      <c r="D87" s="852"/>
      <c r="F87" s="495"/>
      <c r="G87" s="495"/>
      <c r="H87" s="495"/>
      <c r="I87" s="989"/>
    </row>
    <row r="88" spans="1:9" s="534" customFormat="1" x14ac:dyDescent="0.2">
      <c r="B88" s="645"/>
      <c r="D88" s="852"/>
      <c r="F88" s="495"/>
      <c r="G88" s="495"/>
      <c r="H88" s="495"/>
      <c r="I88" s="989"/>
    </row>
    <row r="89" spans="1:9" s="534" customFormat="1" ht="13.5" thickBot="1" x14ac:dyDescent="0.25">
      <c r="A89" s="433" t="s">
        <v>725</v>
      </c>
      <c r="B89" s="645"/>
      <c r="D89" s="852"/>
      <c r="F89" s="495"/>
      <c r="G89" s="495"/>
      <c r="H89" s="495"/>
      <c r="I89" s="989" t="s">
        <v>173</v>
      </c>
    </row>
    <row r="90" spans="1:9" s="107" customFormat="1" ht="20.25" customHeight="1" thickTop="1" thickBot="1" x14ac:dyDescent="0.25">
      <c r="A90" s="690" t="s">
        <v>661</v>
      </c>
      <c r="B90" s="693" t="s">
        <v>174</v>
      </c>
      <c r="C90" s="691" t="s">
        <v>175</v>
      </c>
      <c r="D90" s="636" t="s">
        <v>744</v>
      </c>
      <c r="E90" s="694" t="s">
        <v>176</v>
      </c>
      <c r="F90" s="694" t="s">
        <v>177</v>
      </c>
      <c r="G90" s="694" t="s">
        <v>922</v>
      </c>
      <c r="H90" s="694" t="s">
        <v>923</v>
      </c>
      <c r="I90" s="856" t="s">
        <v>924</v>
      </c>
    </row>
    <row r="91" spans="1:9" s="384" customFormat="1" ht="13.5" thickTop="1" thickBot="1" x14ac:dyDescent="0.25">
      <c r="A91" s="1254">
        <v>1</v>
      </c>
      <c r="B91" s="1255">
        <v>2</v>
      </c>
      <c r="C91" s="1255">
        <v>3</v>
      </c>
      <c r="D91" s="1255">
        <v>4</v>
      </c>
      <c r="E91" s="1255">
        <v>5</v>
      </c>
      <c r="F91" s="1256">
        <v>6</v>
      </c>
      <c r="G91" s="1256">
        <v>7</v>
      </c>
      <c r="H91" s="1257">
        <v>8</v>
      </c>
      <c r="I91" s="1258" t="s">
        <v>801</v>
      </c>
    </row>
    <row r="92" spans="1:9" s="534" customFormat="1" ht="15.75" thickTop="1" x14ac:dyDescent="0.25">
      <c r="A92" s="997">
        <v>60001100202</v>
      </c>
      <c r="B92" s="811">
        <v>3114</v>
      </c>
      <c r="C92" s="656">
        <v>6121</v>
      </c>
      <c r="D92" s="1013">
        <v>870</v>
      </c>
      <c r="E92" s="1242" t="s">
        <v>640</v>
      </c>
      <c r="F92" s="1000"/>
      <c r="G92" s="1264">
        <v>6130</v>
      </c>
      <c r="H92" s="1000">
        <v>6086</v>
      </c>
      <c r="I92" s="1265">
        <f>(H92/G92)*100</f>
        <v>99.282218597063618</v>
      </c>
    </row>
    <row r="93" spans="1:9" s="534" customFormat="1" ht="15.75" thickBot="1" x14ac:dyDescent="0.3">
      <c r="A93" s="1011">
        <v>60001100202</v>
      </c>
      <c r="B93" s="682">
        <v>3114</v>
      </c>
      <c r="C93" s="782">
        <v>6122</v>
      </c>
      <c r="D93" s="1004">
        <v>870</v>
      </c>
      <c r="E93" s="1261" t="s">
        <v>641</v>
      </c>
      <c r="F93" s="922"/>
      <c r="G93" s="1005">
        <v>1720</v>
      </c>
      <c r="H93" s="922">
        <v>1720</v>
      </c>
      <c r="I93" s="1014">
        <f>(H93/G93)*100</f>
        <v>100</v>
      </c>
    </row>
    <row r="94" spans="1:9" s="534" customFormat="1" ht="18" customHeight="1" thickTop="1" thickBot="1" x14ac:dyDescent="0.3">
      <c r="A94" s="2699" t="s">
        <v>257</v>
      </c>
      <c r="B94" s="2698"/>
      <c r="C94" s="2698"/>
      <c r="D94" s="2698"/>
      <c r="E94" s="2698"/>
      <c r="F94" s="911">
        <f>F92</f>
        <v>0</v>
      </c>
      <c r="G94" s="911">
        <f>G92+G93</f>
        <v>7850</v>
      </c>
      <c r="H94" s="911">
        <f>H92+H93</f>
        <v>7806</v>
      </c>
      <c r="I94" s="894">
        <f>(H94/G94)*100</f>
        <v>99.439490445859875</v>
      </c>
    </row>
    <row r="95" spans="1:9" s="534" customFormat="1" ht="13.5" thickTop="1" x14ac:dyDescent="0.2">
      <c r="B95" s="645"/>
      <c r="D95" s="852"/>
      <c r="F95" s="495"/>
      <c r="G95" s="495"/>
      <c r="H95" s="495"/>
      <c r="I95" s="989"/>
    </row>
    <row r="96" spans="1:9" s="534" customFormat="1" x14ac:dyDescent="0.2">
      <c r="B96" s="645"/>
      <c r="D96" s="852"/>
      <c r="F96" s="495"/>
      <c r="G96" s="495"/>
      <c r="H96" s="495"/>
      <c r="I96" s="989"/>
    </row>
    <row r="97" spans="1:9" s="534" customFormat="1" ht="13.5" thickBot="1" x14ac:dyDescent="0.25">
      <c r="A97" s="433" t="s">
        <v>726</v>
      </c>
      <c r="B97" s="645"/>
      <c r="D97" s="852"/>
      <c r="F97" s="495"/>
      <c r="G97" s="495"/>
      <c r="H97" s="495"/>
      <c r="I97" s="989" t="s">
        <v>173</v>
      </c>
    </row>
    <row r="98" spans="1:9" s="107" customFormat="1" ht="20.25" customHeight="1" thickTop="1" thickBot="1" x14ac:dyDescent="0.25">
      <c r="A98" s="690" t="s">
        <v>661</v>
      </c>
      <c r="B98" s="693" t="s">
        <v>174</v>
      </c>
      <c r="C98" s="691" t="s">
        <v>175</v>
      </c>
      <c r="D98" s="636" t="s">
        <v>744</v>
      </c>
      <c r="E98" s="694" t="s">
        <v>176</v>
      </c>
      <c r="F98" s="694" t="s">
        <v>177</v>
      </c>
      <c r="G98" s="694" t="s">
        <v>922</v>
      </c>
      <c r="H98" s="694" t="s">
        <v>923</v>
      </c>
      <c r="I98" s="856" t="s">
        <v>924</v>
      </c>
    </row>
    <row r="99" spans="1:9" s="384" customFormat="1" ht="13.5" thickTop="1" thickBot="1" x14ac:dyDescent="0.25">
      <c r="A99" s="1254">
        <v>1</v>
      </c>
      <c r="B99" s="1255">
        <v>2</v>
      </c>
      <c r="C99" s="1255">
        <v>3</v>
      </c>
      <c r="D99" s="1255">
        <v>4</v>
      </c>
      <c r="E99" s="1255">
        <v>5</v>
      </c>
      <c r="F99" s="1256">
        <v>6</v>
      </c>
      <c r="G99" s="1256">
        <v>7</v>
      </c>
      <c r="H99" s="1257">
        <v>8</v>
      </c>
      <c r="I99" s="1258" t="s">
        <v>801</v>
      </c>
    </row>
    <row r="100" spans="1:9" s="534" customFormat="1" ht="16.5" thickTop="1" thickBot="1" x14ac:dyDescent="0.3">
      <c r="A100" s="1266">
        <v>60001100204</v>
      </c>
      <c r="B100" s="1007">
        <v>3122</v>
      </c>
      <c r="C100" s="1267">
        <v>6121</v>
      </c>
      <c r="D100" s="1008">
        <v>10</v>
      </c>
      <c r="E100" s="1268" t="s">
        <v>640</v>
      </c>
      <c r="F100" s="928"/>
      <c r="G100" s="1269">
        <v>597</v>
      </c>
      <c r="H100" s="928">
        <v>597</v>
      </c>
      <c r="I100" s="1270">
        <f>(H100/G100)*100</f>
        <v>100</v>
      </c>
    </row>
    <row r="101" spans="1:9" s="534" customFormat="1" ht="18" customHeight="1" thickTop="1" thickBot="1" x14ac:dyDescent="0.3">
      <c r="A101" s="2699" t="s">
        <v>257</v>
      </c>
      <c r="B101" s="2698"/>
      <c r="C101" s="2698"/>
      <c r="D101" s="2698"/>
      <c r="E101" s="2698"/>
      <c r="F101" s="911">
        <f>F100</f>
        <v>0</v>
      </c>
      <c r="G101" s="911">
        <f>G100</f>
        <v>597</v>
      </c>
      <c r="H101" s="911">
        <f>H100</f>
        <v>597</v>
      </c>
      <c r="I101" s="894">
        <f>(H101/G101)*100</f>
        <v>100</v>
      </c>
    </row>
    <row r="102" spans="1:9" s="534" customFormat="1" ht="13.5" thickTop="1" x14ac:dyDescent="0.2">
      <c r="B102" s="645"/>
      <c r="D102" s="852"/>
      <c r="F102" s="495"/>
      <c r="G102" s="495"/>
      <c r="H102" s="495"/>
      <c r="I102" s="989"/>
    </row>
    <row r="103" spans="1:9" s="534" customFormat="1" x14ac:dyDescent="0.2">
      <c r="B103" s="645"/>
      <c r="D103" s="852"/>
      <c r="F103" s="495"/>
      <c r="G103" s="495"/>
      <c r="H103" s="495"/>
      <c r="I103" s="989"/>
    </row>
    <row r="104" spans="1:9" s="534" customFormat="1" ht="13.5" thickBot="1" x14ac:dyDescent="0.25">
      <c r="A104" s="433" t="s">
        <v>727</v>
      </c>
      <c r="B104" s="645"/>
      <c r="D104" s="852"/>
      <c r="F104" s="495"/>
      <c r="G104" s="495"/>
      <c r="H104" s="495"/>
      <c r="I104" s="989" t="s">
        <v>173</v>
      </c>
    </row>
    <row r="105" spans="1:9" s="107" customFormat="1" ht="20.25" customHeight="1" thickTop="1" thickBot="1" x14ac:dyDescent="0.25">
      <c r="A105" s="690" t="s">
        <v>661</v>
      </c>
      <c r="B105" s="693" t="s">
        <v>174</v>
      </c>
      <c r="C105" s="691" t="s">
        <v>175</v>
      </c>
      <c r="D105" s="636" t="s">
        <v>744</v>
      </c>
      <c r="E105" s="694" t="s">
        <v>176</v>
      </c>
      <c r="F105" s="694" t="s">
        <v>177</v>
      </c>
      <c r="G105" s="694" t="s">
        <v>922</v>
      </c>
      <c r="H105" s="694" t="s">
        <v>923</v>
      </c>
      <c r="I105" s="856" t="s">
        <v>924</v>
      </c>
    </row>
    <row r="106" spans="1:9" s="384" customFormat="1" ht="13.5" thickTop="1" thickBot="1" x14ac:dyDescent="0.25">
      <c r="A106" s="1254">
        <v>1</v>
      </c>
      <c r="B106" s="1255">
        <v>2</v>
      </c>
      <c r="C106" s="1255">
        <v>3</v>
      </c>
      <c r="D106" s="1255">
        <v>4</v>
      </c>
      <c r="E106" s="1255">
        <v>5</v>
      </c>
      <c r="F106" s="1256">
        <v>6</v>
      </c>
      <c r="G106" s="1256">
        <v>7</v>
      </c>
      <c r="H106" s="1257">
        <v>8</v>
      </c>
      <c r="I106" s="1258" t="s">
        <v>801</v>
      </c>
    </row>
    <row r="107" spans="1:9" s="534" customFormat="1" ht="16.5" thickTop="1" thickBot="1" x14ac:dyDescent="0.3">
      <c r="A107" s="1266">
        <v>60001100210</v>
      </c>
      <c r="B107" s="1007">
        <v>3122</v>
      </c>
      <c r="C107" s="1267">
        <v>6121</v>
      </c>
      <c r="D107" s="1008">
        <v>10</v>
      </c>
      <c r="E107" s="1268" t="s">
        <v>640</v>
      </c>
      <c r="F107" s="928"/>
      <c r="G107" s="1269">
        <v>400</v>
      </c>
      <c r="H107" s="928">
        <v>0</v>
      </c>
      <c r="I107" s="1270">
        <f>(H107/G107)*100</f>
        <v>0</v>
      </c>
    </row>
    <row r="108" spans="1:9" s="534" customFormat="1" ht="18" customHeight="1" thickTop="1" thickBot="1" x14ac:dyDescent="0.3">
      <c r="A108" s="2699" t="s">
        <v>257</v>
      </c>
      <c r="B108" s="2698"/>
      <c r="C108" s="2698"/>
      <c r="D108" s="2698"/>
      <c r="E108" s="2698"/>
      <c r="F108" s="911">
        <f>F107</f>
        <v>0</v>
      </c>
      <c r="G108" s="911">
        <f>G107</f>
        <v>400</v>
      </c>
      <c r="H108" s="911">
        <f>H107</f>
        <v>0</v>
      </c>
      <c r="I108" s="894">
        <f>(H108/G108)*100</f>
        <v>0</v>
      </c>
    </row>
    <row r="109" spans="1:9" s="534" customFormat="1" ht="13.5" thickTop="1" x14ac:dyDescent="0.2">
      <c r="B109" s="645"/>
      <c r="D109" s="852"/>
      <c r="F109" s="495"/>
      <c r="G109" s="495"/>
      <c r="H109" s="495"/>
      <c r="I109" s="989"/>
    </row>
    <row r="110" spans="1:9" s="534" customFormat="1" x14ac:dyDescent="0.2">
      <c r="B110" s="645"/>
      <c r="D110" s="852"/>
      <c r="F110" s="495"/>
      <c r="G110" s="495"/>
      <c r="H110" s="495"/>
      <c r="I110" s="989"/>
    </row>
    <row r="111" spans="1:9" s="534" customFormat="1" ht="13.5" thickBot="1" x14ac:dyDescent="0.25">
      <c r="A111" s="433" t="s">
        <v>117</v>
      </c>
      <c r="B111" s="645"/>
      <c r="D111" s="852"/>
      <c r="F111" s="495"/>
      <c r="G111" s="495"/>
      <c r="H111" s="495"/>
      <c r="I111" s="989" t="s">
        <v>173</v>
      </c>
    </row>
    <row r="112" spans="1:9" s="107" customFormat="1" ht="20.25" customHeight="1" thickTop="1" thickBot="1" x14ac:dyDescent="0.25">
      <c r="A112" s="690" t="s">
        <v>661</v>
      </c>
      <c r="B112" s="693" t="s">
        <v>174</v>
      </c>
      <c r="C112" s="691" t="s">
        <v>175</v>
      </c>
      <c r="D112" s="636" t="s">
        <v>744</v>
      </c>
      <c r="E112" s="694" t="s">
        <v>176</v>
      </c>
      <c r="F112" s="694" t="s">
        <v>177</v>
      </c>
      <c r="G112" s="694" t="s">
        <v>922</v>
      </c>
      <c r="H112" s="694" t="s">
        <v>923</v>
      </c>
      <c r="I112" s="856" t="s">
        <v>924</v>
      </c>
    </row>
    <row r="113" spans="1:13" s="384" customFormat="1" ht="13.5" thickTop="1" thickBot="1" x14ac:dyDescent="0.25">
      <c r="A113" s="1254">
        <v>1</v>
      </c>
      <c r="B113" s="1255">
        <v>2</v>
      </c>
      <c r="C113" s="1255">
        <v>3</v>
      </c>
      <c r="D113" s="1255">
        <v>4</v>
      </c>
      <c r="E113" s="1255">
        <v>5</v>
      </c>
      <c r="F113" s="1256">
        <v>6</v>
      </c>
      <c r="G113" s="1256">
        <v>7</v>
      </c>
      <c r="H113" s="1257">
        <v>8</v>
      </c>
      <c r="I113" s="1258" t="s">
        <v>801</v>
      </c>
    </row>
    <row r="114" spans="1:13" s="534" customFormat="1" ht="16.5" thickTop="1" thickBot="1" x14ac:dyDescent="0.3">
      <c r="A114" s="1266">
        <v>60001100211</v>
      </c>
      <c r="B114" s="1007">
        <v>4322</v>
      </c>
      <c r="C114" s="1267">
        <v>6121</v>
      </c>
      <c r="D114" s="1008">
        <v>10</v>
      </c>
      <c r="E114" s="1268" t="s">
        <v>640</v>
      </c>
      <c r="F114" s="928"/>
      <c r="G114" s="1269">
        <v>150</v>
      </c>
      <c r="H114" s="928">
        <v>115</v>
      </c>
      <c r="I114" s="1270">
        <f>(H114/G114)*100</f>
        <v>76.666666666666671</v>
      </c>
    </row>
    <row r="115" spans="1:13" s="534" customFormat="1" ht="18" customHeight="1" thickTop="1" thickBot="1" x14ac:dyDescent="0.3">
      <c r="A115" s="2699" t="s">
        <v>257</v>
      </c>
      <c r="B115" s="2698"/>
      <c r="C115" s="2698"/>
      <c r="D115" s="2698"/>
      <c r="E115" s="2698"/>
      <c r="F115" s="911">
        <f>F114</f>
        <v>0</v>
      </c>
      <c r="G115" s="911">
        <f>G114</f>
        <v>150</v>
      </c>
      <c r="H115" s="911">
        <f>H114</f>
        <v>115</v>
      </c>
      <c r="I115" s="894">
        <f>(H115/G115)*100</f>
        <v>76.666666666666671</v>
      </c>
    </row>
    <row r="116" spans="1:13" s="534" customFormat="1" ht="13.5" thickTop="1" x14ac:dyDescent="0.2">
      <c r="B116" s="645"/>
      <c r="D116" s="852"/>
      <c r="F116" s="495"/>
      <c r="G116" s="495"/>
      <c r="H116" s="495"/>
      <c r="I116" s="989"/>
    </row>
    <row r="117" spans="1:13" s="534" customFormat="1" x14ac:dyDescent="0.2">
      <c r="B117" s="645"/>
      <c r="D117" s="852"/>
      <c r="F117" s="495"/>
      <c r="G117" s="495"/>
      <c r="H117" s="495"/>
      <c r="I117" s="989"/>
    </row>
    <row r="118" spans="1:13" s="534" customFormat="1" ht="13.5" thickBot="1" x14ac:dyDescent="0.25">
      <c r="A118" s="433" t="s">
        <v>118</v>
      </c>
      <c r="B118" s="645"/>
      <c r="D118" s="852"/>
      <c r="F118" s="495"/>
      <c r="G118" s="495"/>
      <c r="H118" s="495"/>
      <c r="I118" s="989" t="s">
        <v>173</v>
      </c>
    </row>
    <row r="119" spans="1:13" s="107" customFormat="1" ht="20.25" customHeight="1" thickTop="1" thickBot="1" x14ac:dyDescent="0.25">
      <c r="A119" s="690" t="s">
        <v>661</v>
      </c>
      <c r="B119" s="693" t="s">
        <v>174</v>
      </c>
      <c r="C119" s="691" t="s">
        <v>175</v>
      </c>
      <c r="D119" s="636" t="s">
        <v>744</v>
      </c>
      <c r="E119" s="694" t="s">
        <v>176</v>
      </c>
      <c r="F119" s="694" t="s">
        <v>177</v>
      </c>
      <c r="G119" s="694" t="s">
        <v>922</v>
      </c>
      <c r="H119" s="694" t="s">
        <v>923</v>
      </c>
      <c r="I119" s="856" t="s">
        <v>924</v>
      </c>
    </row>
    <row r="120" spans="1:13" s="384" customFormat="1" ht="13.5" thickTop="1" thickBot="1" x14ac:dyDescent="0.25">
      <c r="A120" s="1254">
        <v>1</v>
      </c>
      <c r="B120" s="1255">
        <v>2</v>
      </c>
      <c r="C120" s="1255">
        <v>3</v>
      </c>
      <c r="D120" s="1255">
        <v>4</v>
      </c>
      <c r="E120" s="1255">
        <v>5</v>
      </c>
      <c r="F120" s="1256">
        <v>6</v>
      </c>
      <c r="G120" s="1256">
        <v>7</v>
      </c>
      <c r="H120" s="1257">
        <v>8</v>
      </c>
      <c r="I120" s="1258" t="s">
        <v>801</v>
      </c>
    </row>
    <row r="121" spans="1:13" s="534" customFormat="1" ht="16.5" thickTop="1" thickBot="1" x14ac:dyDescent="0.3">
      <c r="A121" s="1266">
        <v>60001100212</v>
      </c>
      <c r="B121" s="1007">
        <v>3123</v>
      </c>
      <c r="C121" s="1267">
        <v>6121</v>
      </c>
      <c r="D121" s="1008">
        <v>10</v>
      </c>
      <c r="E121" s="1268" t="s">
        <v>640</v>
      </c>
      <c r="F121" s="928"/>
      <c r="G121" s="1269">
        <v>400</v>
      </c>
      <c r="H121" s="928">
        <v>397</v>
      </c>
      <c r="I121" s="1270">
        <f>(H121/G121)*100</f>
        <v>99.25</v>
      </c>
    </row>
    <row r="122" spans="1:13" s="534" customFormat="1" ht="18" customHeight="1" thickTop="1" thickBot="1" x14ac:dyDescent="0.3">
      <c r="A122" s="2699" t="s">
        <v>257</v>
      </c>
      <c r="B122" s="2698"/>
      <c r="C122" s="2698"/>
      <c r="D122" s="2698"/>
      <c r="E122" s="2698"/>
      <c r="F122" s="911">
        <f>F121</f>
        <v>0</v>
      </c>
      <c r="G122" s="911">
        <f>G121</f>
        <v>400</v>
      </c>
      <c r="H122" s="911">
        <f>H121</f>
        <v>397</v>
      </c>
      <c r="I122" s="894">
        <f>(H122/G122)*100</f>
        <v>99.25</v>
      </c>
      <c r="L122" s="495">
        <f>G14+G21+G29+G33+G41+G48+G56+G63+G72+G79+G86+G94+G101+G108+G115+G122</f>
        <v>156137</v>
      </c>
      <c r="M122" s="495">
        <f>H14+H21+H29+H33+H41+H48+H56+H63+H72+H79+H86+H94+H101+H108+H115+H122</f>
        <v>143098</v>
      </c>
    </row>
    <row r="123" spans="1:13" s="534" customFormat="1" ht="13.5" thickTop="1" x14ac:dyDescent="0.2">
      <c r="B123" s="645"/>
      <c r="D123" s="852"/>
      <c r="F123" s="495"/>
      <c r="G123" s="495"/>
      <c r="H123" s="495"/>
      <c r="I123" s="989"/>
    </row>
    <row r="124" spans="1:13" s="534" customFormat="1" x14ac:dyDescent="0.2">
      <c r="B124" s="645"/>
      <c r="D124" s="852"/>
      <c r="F124" s="495"/>
      <c r="G124" s="495"/>
      <c r="H124" s="495"/>
      <c r="I124" s="989"/>
    </row>
    <row r="125" spans="1:13" s="534" customFormat="1" ht="13.5" thickBot="1" x14ac:dyDescent="0.25">
      <c r="A125" s="433" t="s">
        <v>119</v>
      </c>
      <c r="B125" s="645"/>
      <c r="D125" s="852"/>
      <c r="F125" s="495"/>
      <c r="G125" s="495"/>
      <c r="H125" s="495"/>
      <c r="I125" s="989" t="s">
        <v>173</v>
      </c>
    </row>
    <row r="126" spans="1:13" s="107" customFormat="1" ht="20.25" customHeight="1" thickTop="1" thickBot="1" x14ac:dyDescent="0.25">
      <c r="A126" s="690" t="s">
        <v>661</v>
      </c>
      <c r="B126" s="693" t="s">
        <v>174</v>
      </c>
      <c r="C126" s="691" t="s">
        <v>175</v>
      </c>
      <c r="D126" s="636" t="s">
        <v>744</v>
      </c>
      <c r="E126" s="694" t="s">
        <v>176</v>
      </c>
      <c r="F126" s="694" t="s">
        <v>177</v>
      </c>
      <c r="G126" s="694" t="s">
        <v>922</v>
      </c>
      <c r="H126" s="694" t="s">
        <v>923</v>
      </c>
      <c r="I126" s="856" t="s">
        <v>924</v>
      </c>
    </row>
    <row r="127" spans="1:13" s="384" customFormat="1" ht="13.5" thickTop="1" thickBot="1" x14ac:dyDescent="0.25">
      <c r="A127" s="1254">
        <v>1</v>
      </c>
      <c r="B127" s="1255">
        <v>2</v>
      </c>
      <c r="C127" s="1255">
        <v>3</v>
      </c>
      <c r="D127" s="1255">
        <v>4</v>
      </c>
      <c r="E127" s="1255">
        <v>5</v>
      </c>
      <c r="F127" s="1256">
        <v>6</v>
      </c>
      <c r="G127" s="1256">
        <v>7</v>
      </c>
      <c r="H127" s="1257">
        <v>8</v>
      </c>
      <c r="I127" s="1258" t="s">
        <v>801</v>
      </c>
    </row>
    <row r="128" spans="1:13" s="534" customFormat="1" ht="16.5" thickTop="1" thickBot="1" x14ac:dyDescent="0.3">
      <c r="A128" s="1266">
        <v>60001100213</v>
      </c>
      <c r="B128" s="1007">
        <v>3122</v>
      </c>
      <c r="C128" s="1267">
        <v>6121</v>
      </c>
      <c r="D128" s="1008">
        <v>10</v>
      </c>
      <c r="E128" s="1268" t="s">
        <v>640</v>
      </c>
      <c r="F128" s="928"/>
      <c r="G128" s="1269">
        <v>300</v>
      </c>
      <c r="H128" s="928">
        <v>0</v>
      </c>
      <c r="I128" s="1270">
        <f>(H128/G128)*100</f>
        <v>0</v>
      </c>
    </row>
    <row r="129" spans="1:9" s="534" customFormat="1" ht="18" customHeight="1" thickTop="1" thickBot="1" x14ac:dyDescent="0.3">
      <c r="A129" s="2699" t="s">
        <v>257</v>
      </c>
      <c r="B129" s="2698"/>
      <c r="C129" s="2698"/>
      <c r="D129" s="2698"/>
      <c r="E129" s="2698"/>
      <c r="F129" s="911">
        <f>F128</f>
        <v>0</v>
      </c>
      <c r="G129" s="911">
        <f>G128</f>
        <v>300</v>
      </c>
      <c r="H129" s="911">
        <f>H128</f>
        <v>0</v>
      </c>
      <c r="I129" s="894">
        <f>(H129/G129)*100</f>
        <v>0</v>
      </c>
    </row>
    <row r="130" spans="1:9" s="534" customFormat="1" ht="13.5" thickTop="1" x14ac:dyDescent="0.2">
      <c r="B130" s="645"/>
      <c r="D130" s="852"/>
      <c r="F130" s="495"/>
      <c r="G130" s="495"/>
      <c r="H130" s="495"/>
      <c r="I130" s="989"/>
    </row>
    <row r="131" spans="1:9" s="534" customFormat="1" x14ac:dyDescent="0.2">
      <c r="B131" s="645"/>
      <c r="D131" s="852"/>
      <c r="F131" s="495"/>
      <c r="G131" s="495"/>
      <c r="H131" s="495"/>
      <c r="I131" s="989"/>
    </row>
    <row r="132" spans="1:9" s="534" customFormat="1" x14ac:dyDescent="0.2">
      <c r="B132" s="645"/>
      <c r="D132" s="852"/>
      <c r="F132" s="495"/>
      <c r="G132" s="495"/>
      <c r="H132" s="495"/>
      <c r="I132" s="989"/>
    </row>
    <row r="133" spans="1:9" s="534" customFormat="1" x14ac:dyDescent="0.2">
      <c r="B133" s="645"/>
      <c r="D133" s="852"/>
      <c r="F133" s="495"/>
      <c r="G133" s="495"/>
      <c r="H133" s="495"/>
      <c r="I133" s="989"/>
    </row>
    <row r="134" spans="1:9" s="534" customFormat="1" x14ac:dyDescent="0.2">
      <c r="B134" s="645"/>
      <c r="D134" s="852"/>
      <c r="F134" s="495"/>
      <c r="G134" s="495"/>
      <c r="H134" s="495"/>
      <c r="I134" s="989"/>
    </row>
    <row r="135" spans="1:9" s="534" customFormat="1" ht="13.5" thickBot="1" x14ac:dyDescent="0.25">
      <c r="A135" s="433" t="s">
        <v>120</v>
      </c>
      <c r="B135" s="645"/>
      <c r="D135" s="852"/>
      <c r="F135" s="495"/>
      <c r="G135" s="495"/>
      <c r="H135" s="495"/>
      <c r="I135" s="989" t="s">
        <v>173</v>
      </c>
    </row>
    <row r="136" spans="1:9" s="107" customFormat="1" ht="20.25" customHeight="1" thickTop="1" thickBot="1" x14ac:dyDescent="0.25">
      <c r="A136" s="690" t="s">
        <v>661</v>
      </c>
      <c r="B136" s="693" t="s">
        <v>174</v>
      </c>
      <c r="C136" s="691" t="s">
        <v>175</v>
      </c>
      <c r="D136" s="636" t="s">
        <v>744</v>
      </c>
      <c r="E136" s="694" t="s">
        <v>176</v>
      </c>
      <c r="F136" s="694" t="s">
        <v>177</v>
      </c>
      <c r="G136" s="694" t="s">
        <v>922</v>
      </c>
      <c r="H136" s="694" t="s">
        <v>923</v>
      </c>
      <c r="I136" s="856" t="s">
        <v>924</v>
      </c>
    </row>
    <row r="137" spans="1:9" s="384" customFormat="1" ht="13.5" thickTop="1" thickBot="1" x14ac:dyDescent="0.25">
      <c r="A137" s="1254">
        <v>1</v>
      </c>
      <c r="B137" s="1255">
        <v>2</v>
      </c>
      <c r="C137" s="1255">
        <v>3</v>
      </c>
      <c r="D137" s="1255">
        <v>4</v>
      </c>
      <c r="E137" s="1255">
        <v>5</v>
      </c>
      <c r="F137" s="1256">
        <v>6</v>
      </c>
      <c r="G137" s="1256">
        <v>7</v>
      </c>
      <c r="H137" s="1257">
        <v>8</v>
      </c>
      <c r="I137" s="1258" t="s">
        <v>801</v>
      </c>
    </row>
    <row r="138" spans="1:9" s="534" customFormat="1" ht="16.5" thickTop="1" thickBot="1" x14ac:dyDescent="0.3">
      <c r="A138" s="1266">
        <v>60001100214</v>
      </c>
      <c r="B138" s="1007">
        <v>3114</v>
      </c>
      <c r="C138" s="1267">
        <v>6121</v>
      </c>
      <c r="D138" s="1008">
        <v>10</v>
      </c>
      <c r="E138" s="1268" t="s">
        <v>640</v>
      </c>
      <c r="F138" s="928"/>
      <c r="G138" s="1269">
        <v>100</v>
      </c>
      <c r="H138" s="928">
        <v>88</v>
      </c>
      <c r="I138" s="1270">
        <f>(H138/G138)*100</f>
        <v>88</v>
      </c>
    </row>
    <row r="139" spans="1:9" s="534" customFormat="1" ht="18" customHeight="1" thickTop="1" thickBot="1" x14ac:dyDescent="0.3">
      <c r="A139" s="2699" t="s">
        <v>257</v>
      </c>
      <c r="B139" s="2698"/>
      <c r="C139" s="2698"/>
      <c r="D139" s="2698"/>
      <c r="E139" s="2698"/>
      <c r="F139" s="911">
        <f>F138</f>
        <v>0</v>
      </c>
      <c r="G139" s="911">
        <f>G138</f>
        <v>100</v>
      </c>
      <c r="H139" s="911">
        <f>H138</f>
        <v>88</v>
      </c>
      <c r="I139" s="894">
        <f>(H139/G139)*100</f>
        <v>88</v>
      </c>
    </row>
    <row r="140" spans="1:9" s="534" customFormat="1" ht="13.5" thickTop="1" x14ac:dyDescent="0.2">
      <c r="B140" s="645"/>
      <c r="D140" s="852"/>
      <c r="F140" s="495"/>
      <c r="G140" s="495"/>
      <c r="H140" s="495"/>
      <c r="I140" s="989"/>
    </row>
    <row r="141" spans="1:9" s="534" customFormat="1" x14ac:dyDescent="0.2">
      <c r="B141" s="645"/>
      <c r="D141" s="852"/>
      <c r="F141" s="495"/>
      <c r="G141" s="495"/>
      <c r="H141" s="495"/>
      <c r="I141" s="989"/>
    </row>
    <row r="142" spans="1:9" s="534" customFormat="1" ht="13.5" thickBot="1" x14ac:dyDescent="0.25">
      <c r="A142" s="433" t="s">
        <v>914</v>
      </c>
      <c r="B142" s="645"/>
      <c r="D142" s="852"/>
      <c r="F142" s="495"/>
      <c r="G142" s="495"/>
      <c r="H142" s="495"/>
      <c r="I142" s="989" t="s">
        <v>173</v>
      </c>
    </row>
    <row r="143" spans="1:9" s="107" customFormat="1" ht="20.25" customHeight="1" thickTop="1" thickBot="1" x14ac:dyDescent="0.25">
      <c r="A143" s="690" t="s">
        <v>661</v>
      </c>
      <c r="B143" s="693" t="s">
        <v>174</v>
      </c>
      <c r="C143" s="691" t="s">
        <v>175</v>
      </c>
      <c r="D143" s="636" t="s">
        <v>744</v>
      </c>
      <c r="E143" s="694" t="s">
        <v>176</v>
      </c>
      <c r="F143" s="694" t="s">
        <v>177</v>
      </c>
      <c r="G143" s="694" t="s">
        <v>922</v>
      </c>
      <c r="H143" s="694" t="s">
        <v>923</v>
      </c>
      <c r="I143" s="856" t="s">
        <v>924</v>
      </c>
    </row>
    <row r="144" spans="1:9" s="384" customFormat="1" ht="13.5" thickTop="1" thickBot="1" x14ac:dyDescent="0.25">
      <c r="A144" s="1254">
        <v>1</v>
      </c>
      <c r="B144" s="1255">
        <v>2</v>
      </c>
      <c r="C144" s="1255">
        <v>3</v>
      </c>
      <c r="D144" s="1255">
        <v>4</v>
      </c>
      <c r="E144" s="1255">
        <v>5</v>
      </c>
      <c r="F144" s="1256">
        <v>6</v>
      </c>
      <c r="G144" s="1256">
        <v>7</v>
      </c>
      <c r="H144" s="1257">
        <v>8</v>
      </c>
      <c r="I144" s="1258" t="s">
        <v>801</v>
      </c>
    </row>
    <row r="145" spans="1:14" s="534" customFormat="1" ht="16.5" thickTop="1" thickBot="1" x14ac:dyDescent="0.3">
      <c r="A145" s="1266">
        <v>60001100215</v>
      </c>
      <c r="B145" s="1007">
        <v>3122</v>
      </c>
      <c r="C145" s="1267">
        <v>6121</v>
      </c>
      <c r="D145" s="1008">
        <v>10</v>
      </c>
      <c r="E145" s="1268" t="s">
        <v>640</v>
      </c>
      <c r="F145" s="928"/>
      <c r="G145" s="1269">
        <v>250</v>
      </c>
      <c r="H145" s="928">
        <v>0</v>
      </c>
      <c r="I145" s="1270">
        <f>(H145/G145)*100</f>
        <v>0</v>
      </c>
    </row>
    <row r="146" spans="1:14" s="534" customFormat="1" ht="18" customHeight="1" thickTop="1" thickBot="1" x14ac:dyDescent="0.3">
      <c r="A146" s="2699" t="s">
        <v>257</v>
      </c>
      <c r="B146" s="2698"/>
      <c r="C146" s="2698"/>
      <c r="D146" s="2698"/>
      <c r="E146" s="2698"/>
      <c r="F146" s="911">
        <f>F145</f>
        <v>0</v>
      </c>
      <c r="G146" s="911">
        <f>G145</f>
        <v>250</v>
      </c>
      <c r="H146" s="911">
        <f>H145</f>
        <v>0</v>
      </c>
      <c r="I146" s="894">
        <f>(H146/G146)*100</f>
        <v>0</v>
      </c>
    </row>
    <row r="147" spans="1:14" ht="13.5" thickTop="1" x14ac:dyDescent="0.2">
      <c r="K147" s="951"/>
      <c r="L147" s="951"/>
      <c r="M147" s="951"/>
      <c r="N147" s="433"/>
    </row>
    <row r="148" spans="1:14" x14ac:dyDescent="0.2">
      <c r="K148" s="951"/>
      <c r="L148" s="951"/>
      <c r="M148" s="951"/>
      <c r="N148" s="433"/>
    </row>
    <row r="149" spans="1:14" s="534" customFormat="1" ht="13.5" thickBot="1" x14ac:dyDescent="0.25">
      <c r="A149" s="433" t="s">
        <v>915</v>
      </c>
      <c r="B149" s="645"/>
      <c r="D149" s="852"/>
      <c r="F149" s="495"/>
      <c r="G149" s="495"/>
      <c r="H149" s="495"/>
      <c r="I149" s="989" t="s">
        <v>173</v>
      </c>
    </row>
    <row r="150" spans="1:14" s="107" customFormat="1" ht="20.25" customHeight="1" thickTop="1" thickBot="1" x14ac:dyDescent="0.25">
      <c r="A150" s="690" t="s">
        <v>661</v>
      </c>
      <c r="B150" s="693" t="s">
        <v>174</v>
      </c>
      <c r="C150" s="691" t="s">
        <v>175</v>
      </c>
      <c r="D150" s="636" t="s">
        <v>744</v>
      </c>
      <c r="E150" s="694" t="s">
        <v>176</v>
      </c>
      <c r="F150" s="694" t="s">
        <v>177</v>
      </c>
      <c r="G150" s="694" t="s">
        <v>922</v>
      </c>
      <c r="H150" s="694" t="s">
        <v>923</v>
      </c>
      <c r="I150" s="856" t="s">
        <v>924</v>
      </c>
    </row>
    <row r="151" spans="1:14" s="384" customFormat="1" ht="13.5" thickTop="1" thickBot="1" x14ac:dyDescent="0.25">
      <c r="A151" s="1254">
        <v>1</v>
      </c>
      <c r="B151" s="1255">
        <v>2</v>
      </c>
      <c r="C151" s="1255">
        <v>3</v>
      </c>
      <c r="D151" s="1255">
        <v>4</v>
      </c>
      <c r="E151" s="1255">
        <v>5</v>
      </c>
      <c r="F151" s="1256">
        <v>6</v>
      </c>
      <c r="G151" s="1256">
        <v>7</v>
      </c>
      <c r="H151" s="1257">
        <v>8</v>
      </c>
      <c r="I151" s="1258" t="s">
        <v>801</v>
      </c>
    </row>
    <row r="152" spans="1:14" s="534" customFormat="1" ht="16.5" thickTop="1" thickBot="1" x14ac:dyDescent="0.3">
      <c r="A152" s="1266">
        <v>60001100216</v>
      </c>
      <c r="B152" s="1007">
        <v>3114</v>
      </c>
      <c r="C152" s="1267">
        <v>6121</v>
      </c>
      <c r="D152" s="1008">
        <v>10</v>
      </c>
      <c r="E152" s="1268" t="s">
        <v>640</v>
      </c>
      <c r="F152" s="928"/>
      <c r="G152" s="1269">
        <v>50</v>
      </c>
      <c r="H152" s="928">
        <v>50</v>
      </c>
      <c r="I152" s="1270">
        <f>(H152/G152)*100</f>
        <v>100</v>
      </c>
    </row>
    <row r="153" spans="1:14" s="534" customFormat="1" ht="18" customHeight="1" thickTop="1" thickBot="1" x14ac:dyDescent="0.3">
      <c r="A153" s="2699" t="s">
        <v>257</v>
      </c>
      <c r="B153" s="2698"/>
      <c r="C153" s="2698"/>
      <c r="D153" s="2698"/>
      <c r="E153" s="2698"/>
      <c r="F153" s="911">
        <f>F152</f>
        <v>0</v>
      </c>
      <c r="G153" s="911">
        <f>G152</f>
        <v>50</v>
      </c>
      <c r="H153" s="911">
        <f>H152</f>
        <v>50</v>
      </c>
      <c r="I153" s="894">
        <f>(H153/G153)*100</f>
        <v>100</v>
      </c>
    </row>
    <row r="154" spans="1:14" ht="13.5" thickTop="1" x14ac:dyDescent="0.2">
      <c r="K154" s="951"/>
      <c r="L154" s="951"/>
      <c r="M154" s="951"/>
      <c r="N154" s="433"/>
    </row>
    <row r="155" spans="1:14" x14ac:dyDescent="0.2">
      <c r="K155" s="951"/>
      <c r="L155" s="951"/>
      <c r="M155" s="951"/>
      <c r="N155" s="433"/>
    </row>
    <row r="156" spans="1:14" s="534" customFormat="1" ht="13.5" thickBot="1" x14ac:dyDescent="0.25">
      <c r="A156" s="433" t="s">
        <v>916</v>
      </c>
      <c r="B156" s="645"/>
      <c r="D156" s="852"/>
      <c r="F156" s="495"/>
      <c r="G156" s="495"/>
      <c r="H156" s="495"/>
      <c r="I156" s="989" t="s">
        <v>173</v>
      </c>
    </row>
    <row r="157" spans="1:14" s="107" customFormat="1" ht="20.25" customHeight="1" thickTop="1" thickBot="1" x14ac:dyDescent="0.25">
      <c r="A157" s="690" t="s">
        <v>661</v>
      </c>
      <c r="B157" s="693" t="s">
        <v>174</v>
      </c>
      <c r="C157" s="691" t="s">
        <v>175</v>
      </c>
      <c r="D157" s="636" t="s">
        <v>744</v>
      </c>
      <c r="E157" s="694" t="s">
        <v>176</v>
      </c>
      <c r="F157" s="694" t="s">
        <v>177</v>
      </c>
      <c r="G157" s="694" t="s">
        <v>922</v>
      </c>
      <c r="H157" s="694" t="s">
        <v>923</v>
      </c>
      <c r="I157" s="856" t="s">
        <v>924</v>
      </c>
    </row>
    <row r="158" spans="1:14" s="384" customFormat="1" ht="13.5" thickTop="1" thickBot="1" x14ac:dyDescent="0.25">
      <c r="A158" s="1254">
        <v>1</v>
      </c>
      <c r="B158" s="1255">
        <v>2</v>
      </c>
      <c r="C158" s="1255">
        <v>3</v>
      </c>
      <c r="D158" s="1255">
        <v>4</v>
      </c>
      <c r="E158" s="1255">
        <v>5</v>
      </c>
      <c r="F158" s="1256">
        <v>6</v>
      </c>
      <c r="G158" s="1256">
        <v>7</v>
      </c>
      <c r="H158" s="1257">
        <v>8</v>
      </c>
      <c r="I158" s="1258" t="s">
        <v>801</v>
      </c>
    </row>
    <row r="159" spans="1:14" s="384" customFormat="1" ht="16.5" thickTop="1" thickBot="1" x14ac:dyDescent="0.3">
      <c r="A159" s="1309">
        <v>60001100220</v>
      </c>
      <c r="B159" s="1310">
        <v>3121</v>
      </c>
      <c r="C159" s="1311">
        <v>5137</v>
      </c>
      <c r="D159" s="1013">
        <v>10</v>
      </c>
      <c r="E159" s="1260" t="s">
        <v>167</v>
      </c>
      <c r="F159" s="413"/>
      <c r="G159" s="1262">
        <v>180</v>
      </c>
      <c r="H159" s="413">
        <v>180</v>
      </c>
      <c r="I159" s="1002">
        <f>(H159/G159)*100</f>
        <v>100</v>
      </c>
    </row>
    <row r="160" spans="1:14" s="534" customFormat="1" ht="18" customHeight="1" thickTop="1" thickBot="1" x14ac:dyDescent="0.3">
      <c r="A160" s="2685" t="s">
        <v>258</v>
      </c>
      <c r="B160" s="2686"/>
      <c r="C160" s="2686"/>
      <c r="D160" s="2686"/>
      <c r="E160" s="2686"/>
      <c r="F160" s="862">
        <v>0</v>
      </c>
      <c r="G160" s="862">
        <f>G159</f>
        <v>180</v>
      </c>
      <c r="H160" s="862">
        <f>H159</f>
        <v>180</v>
      </c>
      <c r="I160" s="863">
        <f>(H160/G160)*100</f>
        <v>100</v>
      </c>
    </row>
    <row r="161" spans="1:14" s="384" customFormat="1" ht="15.75" thickTop="1" x14ac:dyDescent="0.25">
      <c r="A161" s="1312">
        <v>60001100220</v>
      </c>
      <c r="B161" s="1313">
        <v>3121</v>
      </c>
      <c r="C161" s="1314">
        <v>6121</v>
      </c>
      <c r="D161" s="998">
        <v>10</v>
      </c>
      <c r="E161" s="1259" t="s">
        <v>640</v>
      </c>
      <c r="F161" s="414"/>
      <c r="G161" s="1263">
        <v>4265</v>
      </c>
      <c r="H161" s="414">
        <v>3999</v>
      </c>
      <c r="I161" s="874">
        <f>(H161/G161)*100</f>
        <v>93.763188745603756</v>
      </c>
    </row>
    <row r="162" spans="1:14" s="534" customFormat="1" ht="15.75" thickBot="1" x14ac:dyDescent="0.3">
      <c r="A162" s="1003">
        <v>60001100220</v>
      </c>
      <c r="B162" s="930">
        <v>3121</v>
      </c>
      <c r="C162" s="782">
        <v>6122</v>
      </c>
      <c r="D162" s="1004">
        <v>10</v>
      </c>
      <c r="E162" s="1261" t="s">
        <v>641</v>
      </c>
      <c r="F162" s="922"/>
      <c r="G162" s="1005">
        <v>157</v>
      </c>
      <c r="H162" s="922">
        <v>157</v>
      </c>
      <c r="I162" s="1012">
        <f>(H162/G162)*100</f>
        <v>100</v>
      </c>
    </row>
    <row r="163" spans="1:14" s="534" customFormat="1" ht="18" customHeight="1" thickTop="1" thickBot="1" x14ac:dyDescent="0.3">
      <c r="A163" s="2699" t="s">
        <v>257</v>
      </c>
      <c r="B163" s="2698"/>
      <c r="C163" s="2698"/>
      <c r="D163" s="2698"/>
      <c r="E163" s="2698"/>
      <c r="F163" s="911">
        <f>F161</f>
        <v>0</v>
      </c>
      <c r="G163" s="911">
        <f>G161+G162</f>
        <v>4422</v>
      </c>
      <c r="H163" s="911">
        <f>H161+H162</f>
        <v>4156</v>
      </c>
      <c r="I163" s="863">
        <f>(H163/G163)*100</f>
        <v>93.984622342831301</v>
      </c>
    </row>
    <row r="164" spans="1:14" ht="13.5" thickTop="1" x14ac:dyDescent="0.2">
      <c r="K164" s="951"/>
      <c r="L164" s="951"/>
      <c r="M164" s="951"/>
      <c r="N164" s="433"/>
    </row>
    <row r="165" spans="1:14" x14ac:dyDescent="0.2">
      <c r="K165" s="951"/>
      <c r="L165" s="951"/>
      <c r="M165" s="951"/>
      <c r="N165" s="433"/>
    </row>
    <row r="166" spans="1:14" s="534" customFormat="1" ht="13.5" thickBot="1" x14ac:dyDescent="0.25">
      <c r="A166" s="433" t="s">
        <v>247</v>
      </c>
      <c r="B166" s="645"/>
      <c r="D166" s="852"/>
      <c r="F166" s="495"/>
      <c r="G166" s="495"/>
      <c r="H166" s="495"/>
      <c r="I166" s="989" t="s">
        <v>173</v>
      </c>
    </row>
    <row r="167" spans="1:14" s="107" customFormat="1" ht="20.25" customHeight="1" thickTop="1" thickBot="1" x14ac:dyDescent="0.25">
      <c r="A167" s="690" t="s">
        <v>661</v>
      </c>
      <c r="B167" s="693" t="s">
        <v>174</v>
      </c>
      <c r="C167" s="691" t="s">
        <v>175</v>
      </c>
      <c r="D167" s="636" t="s">
        <v>744</v>
      </c>
      <c r="E167" s="694" t="s">
        <v>176</v>
      </c>
      <c r="F167" s="694" t="s">
        <v>177</v>
      </c>
      <c r="G167" s="694" t="s">
        <v>922</v>
      </c>
      <c r="H167" s="694" t="s">
        <v>923</v>
      </c>
      <c r="I167" s="856" t="s">
        <v>924</v>
      </c>
    </row>
    <row r="168" spans="1:14" s="384" customFormat="1" ht="13.5" thickTop="1" thickBot="1" x14ac:dyDescent="0.25">
      <c r="A168" s="1254">
        <v>1</v>
      </c>
      <c r="B168" s="1255">
        <v>2</v>
      </c>
      <c r="C168" s="1255">
        <v>3</v>
      </c>
      <c r="D168" s="1255">
        <v>4</v>
      </c>
      <c r="E168" s="1255">
        <v>5</v>
      </c>
      <c r="F168" s="1256">
        <v>6</v>
      </c>
      <c r="G168" s="1256">
        <v>7</v>
      </c>
      <c r="H168" s="1257">
        <v>8</v>
      </c>
      <c r="I168" s="1258" t="s">
        <v>801</v>
      </c>
    </row>
    <row r="169" spans="1:14" s="534" customFormat="1" ht="16.5" thickTop="1" thickBot="1" x14ac:dyDescent="0.3">
      <c r="A169" s="1266">
        <v>60001100221</v>
      </c>
      <c r="B169" s="1007">
        <v>3122</v>
      </c>
      <c r="C169" s="1267">
        <v>6121</v>
      </c>
      <c r="D169" s="1008">
        <v>10</v>
      </c>
      <c r="E169" s="1268" t="s">
        <v>640</v>
      </c>
      <c r="F169" s="928"/>
      <c r="G169" s="1269">
        <v>812</v>
      </c>
      <c r="H169" s="928">
        <v>521</v>
      </c>
      <c r="I169" s="1270">
        <f>(H169/G169)*100</f>
        <v>64.162561576354676</v>
      </c>
    </row>
    <row r="170" spans="1:14" s="534" customFormat="1" ht="18" customHeight="1" thickTop="1" thickBot="1" x14ac:dyDescent="0.3">
      <c r="A170" s="2699" t="s">
        <v>257</v>
      </c>
      <c r="B170" s="2698"/>
      <c r="C170" s="2698"/>
      <c r="D170" s="2698"/>
      <c r="E170" s="2698"/>
      <c r="F170" s="911">
        <f>F169</f>
        <v>0</v>
      </c>
      <c r="G170" s="911">
        <f>G169</f>
        <v>812</v>
      </c>
      <c r="H170" s="911">
        <f>H169</f>
        <v>521</v>
      </c>
      <c r="I170" s="894">
        <f>(H170/G170)*100</f>
        <v>64.162561576354676</v>
      </c>
    </row>
    <row r="171" spans="1:14" ht="13.5" thickTop="1" x14ac:dyDescent="0.2">
      <c r="K171" s="951"/>
      <c r="L171" s="951"/>
      <c r="M171" s="951"/>
      <c r="N171" s="433"/>
    </row>
    <row r="172" spans="1:14" x14ac:dyDescent="0.2">
      <c r="K172" s="951"/>
      <c r="L172" s="951"/>
      <c r="M172" s="951"/>
      <c r="N172" s="433"/>
    </row>
    <row r="173" spans="1:14" s="534" customFormat="1" ht="13.5" thickBot="1" x14ac:dyDescent="0.25">
      <c r="A173" s="433" t="s">
        <v>1118</v>
      </c>
      <c r="B173" s="645"/>
      <c r="D173" s="852"/>
      <c r="F173" s="495"/>
      <c r="G173" s="495"/>
      <c r="H173" s="495"/>
      <c r="I173" s="989" t="s">
        <v>173</v>
      </c>
    </row>
    <row r="174" spans="1:14" s="107" customFormat="1" ht="20.25" customHeight="1" thickTop="1" thickBot="1" x14ac:dyDescent="0.25">
      <c r="A174" s="690" t="s">
        <v>661</v>
      </c>
      <c r="B174" s="693" t="s">
        <v>174</v>
      </c>
      <c r="C174" s="691" t="s">
        <v>175</v>
      </c>
      <c r="D174" s="636" t="s">
        <v>744</v>
      </c>
      <c r="E174" s="694" t="s">
        <v>176</v>
      </c>
      <c r="F174" s="694" t="s">
        <v>177</v>
      </c>
      <c r="G174" s="694" t="s">
        <v>922</v>
      </c>
      <c r="H174" s="694" t="s">
        <v>923</v>
      </c>
      <c r="I174" s="856" t="s">
        <v>924</v>
      </c>
    </row>
    <row r="175" spans="1:14" s="384" customFormat="1" ht="13.5" thickTop="1" thickBot="1" x14ac:dyDescent="0.25">
      <c r="A175" s="1254">
        <v>1</v>
      </c>
      <c r="B175" s="1255">
        <v>2</v>
      </c>
      <c r="C175" s="1255">
        <v>3</v>
      </c>
      <c r="D175" s="1255">
        <v>4</v>
      </c>
      <c r="E175" s="1255">
        <v>5</v>
      </c>
      <c r="F175" s="1256">
        <v>6</v>
      </c>
      <c r="G175" s="1256">
        <v>7</v>
      </c>
      <c r="H175" s="1257">
        <v>8</v>
      </c>
      <c r="I175" s="1258" t="s">
        <v>801</v>
      </c>
    </row>
    <row r="176" spans="1:14" s="534" customFormat="1" ht="16.5" thickTop="1" thickBot="1" x14ac:dyDescent="0.3">
      <c r="A176" s="1266">
        <v>60001100222</v>
      </c>
      <c r="B176" s="1007">
        <v>3231</v>
      </c>
      <c r="C176" s="1267">
        <v>6121</v>
      </c>
      <c r="D176" s="1008">
        <v>10</v>
      </c>
      <c r="E176" s="1268" t="s">
        <v>640</v>
      </c>
      <c r="F176" s="928"/>
      <c r="G176" s="1269">
        <v>577</v>
      </c>
      <c r="H176" s="928">
        <v>576</v>
      </c>
      <c r="I176" s="1270">
        <f>(H176/G176)*100</f>
        <v>99.826689774696703</v>
      </c>
    </row>
    <row r="177" spans="1:14" s="534" customFormat="1" ht="18" customHeight="1" thickTop="1" thickBot="1" x14ac:dyDescent="0.3">
      <c r="A177" s="2699" t="s">
        <v>257</v>
      </c>
      <c r="B177" s="2698"/>
      <c r="C177" s="2698"/>
      <c r="D177" s="2698"/>
      <c r="E177" s="2698"/>
      <c r="F177" s="911">
        <f>F176</f>
        <v>0</v>
      </c>
      <c r="G177" s="911">
        <f>G176</f>
        <v>577</v>
      </c>
      <c r="H177" s="911">
        <f>H176</f>
        <v>576</v>
      </c>
      <c r="I177" s="894">
        <f>(H177/G177)*100</f>
        <v>99.826689774696703</v>
      </c>
    </row>
    <row r="178" spans="1:14" ht="13.5" thickTop="1" x14ac:dyDescent="0.2">
      <c r="K178" s="951"/>
      <c r="L178" s="951"/>
      <c r="M178" s="951"/>
      <c r="N178" s="433"/>
    </row>
    <row r="179" spans="1:14" x14ac:dyDescent="0.2">
      <c r="K179" s="951"/>
      <c r="L179" s="951"/>
      <c r="M179" s="951"/>
      <c r="N179" s="433"/>
    </row>
    <row r="180" spans="1:14" s="534" customFormat="1" ht="13.5" thickBot="1" x14ac:dyDescent="0.25">
      <c r="A180" s="433" t="s">
        <v>127</v>
      </c>
      <c r="B180" s="645"/>
      <c r="D180" s="852"/>
      <c r="F180" s="495"/>
      <c r="G180" s="495"/>
      <c r="H180" s="495"/>
      <c r="I180" s="989" t="s">
        <v>173</v>
      </c>
    </row>
    <row r="181" spans="1:14" s="107" customFormat="1" ht="20.25" customHeight="1" thickTop="1" thickBot="1" x14ac:dyDescent="0.25">
      <c r="A181" s="690" t="s">
        <v>661</v>
      </c>
      <c r="B181" s="693" t="s">
        <v>174</v>
      </c>
      <c r="C181" s="691" t="s">
        <v>175</v>
      </c>
      <c r="D181" s="636" t="s">
        <v>744</v>
      </c>
      <c r="E181" s="694" t="s">
        <v>176</v>
      </c>
      <c r="F181" s="694" t="s">
        <v>177</v>
      </c>
      <c r="G181" s="694" t="s">
        <v>922</v>
      </c>
      <c r="H181" s="694" t="s">
        <v>923</v>
      </c>
      <c r="I181" s="856" t="s">
        <v>924</v>
      </c>
    </row>
    <row r="182" spans="1:14" s="384" customFormat="1" ht="13.5" thickTop="1" thickBot="1" x14ac:dyDescent="0.25">
      <c r="A182" s="1254">
        <v>1</v>
      </c>
      <c r="B182" s="1255">
        <v>2</v>
      </c>
      <c r="C182" s="1255">
        <v>3</v>
      </c>
      <c r="D182" s="1255">
        <v>4</v>
      </c>
      <c r="E182" s="1255">
        <v>5</v>
      </c>
      <c r="F182" s="1256">
        <v>6</v>
      </c>
      <c r="G182" s="1256">
        <v>7</v>
      </c>
      <c r="H182" s="1257">
        <v>8</v>
      </c>
      <c r="I182" s="1258" t="s">
        <v>801</v>
      </c>
    </row>
    <row r="183" spans="1:14" s="534" customFormat="1" ht="16.5" thickTop="1" thickBot="1" x14ac:dyDescent="0.3">
      <c r="A183" s="1266">
        <v>6000110023</v>
      </c>
      <c r="B183" s="1007">
        <v>3421</v>
      </c>
      <c r="C183" s="1267">
        <v>6121</v>
      </c>
      <c r="D183" s="1008">
        <v>10</v>
      </c>
      <c r="E183" s="1268" t="s">
        <v>640</v>
      </c>
      <c r="F183" s="928"/>
      <c r="G183" s="1269">
        <v>1173</v>
      </c>
      <c r="H183" s="928">
        <v>50</v>
      </c>
      <c r="I183" s="1270">
        <f>(H183/G183)*100</f>
        <v>4.2625745950554137</v>
      </c>
    </row>
    <row r="184" spans="1:14" s="534" customFormat="1" ht="18" customHeight="1" thickTop="1" thickBot="1" x14ac:dyDescent="0.3">
      <c r="A184" s="2699" t="s">
        <v>257</v>
      </c>
      <c r="B184" s="2698"/>
      <c r="C184" s="2698"/>
      <c r="D184" s="2698"/>
      <c r="E184" s="2698"/>
      <c r="F184" s="911">
        <f>F183</f>
        <v>0</v>
      </c>
      <c r="G184" s="911">
        <f>G183</f>
        <v>1173</v>
      </c>
      <c r="H184" s="911">
        <f>H183</f>
        <v>50</v>
      </c>
      <c r="I184" s="894">
        <f>(H184/G184)*100</f>
        <v>4.2625745950554137</v>
      </c>
    </row>
    <row r="185" spans="1:14" ht="13.5" thickTop="1" x14ac:dyDescent="0.2">
      <c r="K185" s="951"/>
      <c r="L185" s="951"/>
      <c r="M185" s="951"/>
      <c r="N185" s="433"/>
    </row>
    <row r="186" spans="1:14" x14ac:dyDescent="0.2">
      <c r="K186" s="951"/>
      <c r="L186" s="951"/>
      <c r="M186" s="951"/>
      <c r="N186" s="433"/>
    </row>
    <row r="187" spans="1:14" s="534" customFormat="1" ht="13.5" thickBot="1" x14ac:dyDescent="0.25">
      <c r="A187" s="433" t="s">
        <v>128</v>
      </c>
      <c r="B187" s="645"/>
      <c r="D187" s="852"/>
      <c r="F187" s="495"/>
      <c r="G187" s="495"/>
      <c r="H187" s="495"/>
      <c r="I187" s="989" t="s">
        <v>173</v>
      </c>
    </row>
    <row r="188" spans="1:14" s="107" customFormat="1" ht="20.25" customHeight="1" thickTop="1" thickBot="1" x14ac:dyDescent="0.25">
      <c r="A188" s="690" t="s">
        <v>661</v>
      </c>
      <c r="B188" s="693" t="s">
        <v>174</v>
      </c>
      <c r="C188" s="691" t="s">
        <v>175</v>
      </c>
      <c r="D188" s="636" t="s">
        <v>744</v>
      </c>
      <c r="E188" s="694" t="s">
        <v>176</v>
      </c>
      <c r="F188" s="694" t="s">
        <v>177</v>
      </c>
      <c r="G188" s="694" t="s">
        <v>922</v>
      </c>
      <c r="H188" s="694" t="s">
        <v>923</v>
      </c>
      <c r="I188" s="856" t="s">
        <v>924</v>
      </c>
    </row>
    <row r="189" spans="1:14" s="384" customFormat="1" ht="13.5" thickTop="1" thickBot="1" x14ac:dyDescent="0.25">
      <c r="A189" s="1254">
        <v>1</v>
      </c>
      <c r="B189" s="1255">
        <v>2</v>
      </c>
      <c r="C189" s="1255">
        <v>3</v>
      </c>
      <c r="D189" s="1255">
        <v>4</v>
      </c>
      <c r="E189" s="1255">
        <v>5</v>
      </c>
      <c r="F189" s="1256">
        <v>6</v>
      </c>
      <c r="G189" s="1256">
        <v>7</v>
      </c>
      <c r="H189" s="1257">
        <v>8</v>
      </c>
      <c r="I189" s="1258" t="s">
        <v>801</v>
      </c>
    </row>
    <row r="190" spans="1:14" s="534" customFormat="1" ht="16.5" thickTop="1" thickBot="1" x14ac:dyDescent="0.3">
      <c r="A190" s="1266">
        <v>60001100224</v>
      </c>
      <c r="B190" s="1007">
        <v>3122</v>
      </c>
      <c r="C190" s="1267">
        <v>6121</v>
      </c>
      <c r="D190" s="1008">
        <v>10</v>
      </c>
      <c r="E190" s="1268" t="s">
        <v>640</v>
      </c>
      <c r="F190" s="928"/>
      <c r="G190" s="1269">
        <v>720</v>
      </c>
      <c r="H190" s="928">
        <v>720</v>
      </c>
      <c r="I190" s="1270">
        <f>(H190/G190)*100</f>
        <v>100</v>
      </c>
    </row>
    <row r="191" spans="1:14" s="534" customFormat="1" ht="18" customHeight="1" thickTop="1" thickBot="1" x14ac:dyDescent="0.3">
      <c r="A191" s="2699" t="s">
        <v>257</v>
      </c>
      <c r="B191" s="2698"/>
      <c r="C191" s="2698"/>
      <c r="D191" s="2698"/>
      <c r="E191" s="2698"/>
      <c r="F191" s="911">
        <f>F190</f>
        <v>0</v>
      </c>
      <c r="G191" s="911">
        <f>G190</f>
        <v>720</v>
      </c>
      <c r="H191" s="911">
        <f>H190</f>
        <v>720</v>
      </c>
      <c r="I191" s="894">
        <f>(H191/G191)*100</f>
        <v>100</v>
      </c>
    </row>
    <row r="192" spans="1:14" ht="13.5" thickTop="1" x14ac:dyDescent="0.2">
      <c r="K192" s="951"/>
      <c r="L192" s="951"/>
      <c r="M192" s="951"/>
      <c r="N192" s="433"/>
    </row>
    <row r="193" spans="1:14" x14ac:dyDescent="0.2">
      <c r="K193" s="951"/>
      <c r="L193" s="951"/>
      <c r="M193" s="951"/>
      <c r="N193" s="433"/>
    </row>
    <row r="194" spans="1:14" s="534" customFormat="1" ht="13.5" thickBot="1" x14ac:dyDescent="0.25">
      <c r="A194" s="433" t="s">
        <v>129</v>
      </c>
      <c r="B194" s="645"/>
      <c r="D194" s="852"/>
      <c r="F194" s="495"/>
      <c r="G194" s="495"/>
      <c r="H194" s="495"/>
      <c r="I194" s="989" t="s">
        <v>173</v>
      </c>
    </row>
    <row r="195" spans="1:14" s="107" customFormat="1" ht="20.25" customHeight="1" thickTop="1" thickBot="1" x14ac:dyDescent="0.25">
      <c r="A195" s="690" t="s">
        <v>661</v>
      </c>
      <c r="B195" s="693" t="s">
        <v>174</v>
      </c>
      <c r="C195" s="691" t="s">
        <v>175</v>
      </c>
      <c r="D195" s="636" t="s">
        <v>744</v>
      </c>
      <c r="E195" s="694" t="s">
        <v>176</v>
      </c>
      <c r="F195" s="694" t="s">
        <v>177</v>
      </c>
      <c r="G195" s="694" t="s">
        <v>922</v>
      </c>
      <c r="H195" s="694" t="s">
        <v>923</v>
      </c>
      <c r="I195" s="856" t="s">
        <v>924</v>
      </c>
    </row>
    <row r="196" spans="1:14" s="384" customFormat="1" ht="13.5" thickTop="1" thickBot="1" x14ac:dyDescent="0.25">
      <c r="A196" s="1254">
        <v>1</v>
      </c>
      <c r="B196" s="1255">
        <v>2</v>
      </c>
      <c r="C196" s="1255">
        <v>3</v>
      </c>
      <c r="D196" s="1255">
        <v>4</v>
      </c>
      <c r="E196" s="1255">
        <v>5</v>
      </c>
      <c r="F196" s="1256">
        <v>6</v>
      </c>
      <c r="G196" s="1256">
        <v>7</v>
      </c>
      <c r="H196" s="1257">
        <v>8</v>
      </c>
      <c r="I196" s="1258" t="s">
        <v>801</v>
      </c>
    </row>
    <row r="197" spans="1:14" s="534" customFormat="1" ht="16.5" thickTop="1" thickBot="1" x14ac:dyDescent="0.3">
      <c r="A197" s="1266">
        <v>60001100225</v>
      </c>
      <c r="B197" s="1007">
        <v>3114</v>
      </c>
      <c r="C197" s="1267">
        <v>6121</v>
      </c>
      <c r="D197" s="1008">
        <v>10</v>
      </c>
      <c r="E197" s="1268" t="s">
        <v>640</v>
      </c>
      <c r="F197" s="928"/>
      <c r="G197" s="1269">
        <v>1839</v>
      </c>
      <c r="H197" s="928">
        <v>1818</v>
      </c>
      <c r="I197" s="1270">
        <f>(H197/G197)*100</f>
        <v>98.858075040783035</v>
      </c>
    </row>
    <row r="198" spans="1:14" s="534" customFormat="1" ht="18" customHeight="1" thickTop="1" thickBot="1" x14ac:dyDescent="0.3">
      <c r="A198" s="2699" t="s">
        <v>257</v>
      </c>
      <c r="B198" s="2698"/>
      <c r="C198" s="2698"/>
      <c r="D198" s="2698"/>
      <c r="E198" s="2698"/>
      <c r="F198" s="911">
        <f>F197</f>
        <v>0</v>
      </c>
      <c r="G198" s="911">
        <f>G197</f>
        <v>1839</v>
      </c>
      <c r="H198" s="911">
        <f>H197</f>
        <v>1818</v>
      </c>
      <c r="I198" s="894">
        <f>(H198/G198)*100</f>
        <v>98.858075040783035</v>
      </c>
    </row>
    <row r="199" spans="1:14" ht="13.5" thickTop="1" x14ac:dyDescent="0.2">
      <c r="K199" s="951"/>
      <c r="L199" s="951"/>
      <c r="M199" s="951"/>
      <c r="N199" s="433"/>
    </row>
    <row r="200" spans="1:14" x14ac:dyDescent="0.2">
      <c r="K200" s="951"/>
      <c r="L200" s="951"/>
      <c r="M200" s="951"/>
      <c r="N200" s="433"/>
    </row>
    <row r="201" spans="1:14" s="534" customFormat="1" ht="13.5" thickBot="1" x14ac:dyDescent="0.25">
      <c r="A201" s="433" t="s">
        <v>1108</v>
      </c>
      <c r="B201" s="645"/>
      <c r="D201" s="852"/>
      <c r="F201" s="495"/>
      <c r="G201" s="495"/>
      <c r="H201" s="495"/>
      <c r="I201" s="989" t="s">
        <v>173</v>
      </c>
    </row>
    <row r="202" spans="1:14" s="107" customFormat="1" ht="20.25" customHeight="1" thickTop="1" thickBot="1" x14ac:dyDescent="0.25">
      <c r="A202" s="690" t="s">
        <v>661</v>
      </c>
      <c r="B202" s="693" t="s">
        <v>174</v>
      </c>
      <c r="C202" s="691" t="s">
        <v>175</v>
      </c>
      <c r="D202" s="636" t="s">
        <v>744</v>
      </c>
      <c r="E202" s="694" t="s">
        <v>176</v>
      </c>
      <c r="F202" s="694" t="s">
        <v>177</v>
      </c>
      <c r="G202" s="694" t="s">
        <v>922</v>
      </c>
      <c r="H202" s="694" t="s">
        <v>923</v>
      </c>
      <c r="I202" s="856" t="s">
        <v>924</v>
      </c>
    </row>
    <row r="203" spans="1:14" s="384" customFormat="1" ht="13.5" thickTop="1" thickBot="1" x14ac:dyDescent="0.25">
      <c r="A203" s="1254">
        <v>1</v>
      </c>
      <c r="B203" s="1255">
        <v>2</v>
      </c>
      <c r="C203" s="1255">
        <v>3</v>
      </c>
      <c r="D203" s="1255">
        <v>4</v>
      </c>
      <c r="E203" s="1255">
        <v>5</v>
      </c>
      <c r="F203" s="1256">
        <v>6</v>
      </c>
      <c r="G203" s="1256">
        <v>7</v>
      </c>
      <c r="H203" s="1257">
        <v>8</v>
      </c>
      <c r="I203" s="1258" t="s">
        <v>801</v>
      </c>
    </row>
    <row r="204" spans="1:14" s="534" customFormat="1" ht="16.5" thickTop="1" thickBot="1" x14ac:dyDescent="0.3">
      <c r="A204" s="1266">
        <v>60001100226</v>
      </c>
      <c r="B204" s="1007">
        <v>3123</v>
      </c>
      <c r="C204" s="1267">
        <v>6121</v>
      </c>
      <c r="D204" s="1008">
        <v>870</v>
      </c>
      <c r="E204" s="1268" t="s">
        <v>640</v>
      </c>
      <c r="F204" s="928"/>
      <c r="G204" s="1269">
        <v>2851</v>
      </c>
      <c r="H204" s="928">
        <v>2778</v>
      </c>
      <c r="I204" s="1270">
        <f>(H204/G204)*100</f>
        <v>97.439494914065236</v>
      </c>
    </row>
    <row r="205" spans="1:14" s="534" customFormat="1" ht="18" customHeight="1" thickTop="1" thickBot="1" x14ac:dyDescent="0.3">
      <c r="A205" s="2699" t="s">
        <v>257</v>
      </c>
      <c r="B205" s="2698"/>
      <c r="C205" s="2698"/>
      <c r="D205" s="2698"/>
      <c r="E205" s="2698"/>
      <c r="F205" s="911">
        <f>F204</f>
        <v>0</v>
      </c>
      <c r="G205" s="911">
        <f>G204</f>
        <v>2851</v>
      </c>
      <c r="H205" s="911">
        <f>H204</f>
        <v>2778</v>
      </c>
      <c r="I205" s="894">
        <f>(H205/G205)*100</f>
        <v>97.439494914065236</v>
      </c>
    </row>
    <row r="206" spans="1:14" ht="13.5" thickTop="1" x14ac:dyDescent="0.2">
      <c r="K206" s="951"/>
      <c r="L206" s="951"/>
      <c r="M206" s="951"/>
      <c r="N206" s="433"/>
    </row>
    <row r="207" spans="1:14" x14ac:dyDescent="0.2">
      <c r="K207" s="951"/>
      <c r="L207" s="951"/>
      <c r="M207" s="951"/>
      <c r="N207" s="433"/>
    </row>
    <row r="208" spans="1:14" s="534" customFormat="1" ht="13.5" thickBot="1" x14ac:dyDescent="0.25">
      <c r="A208" s="433" t="s">
        <v>1109</v>
      </c>
      <c r="B208" s="645"/>
      <c r="D208" s="852"/>
      <c r="F208" s="495"/>
      <c r="G208" s="495"/>
      <c r="H208" s="495"/>
      <c r="I208" s="989" t="s">
        <v>173</v>
      </c>
    </row>
    <row r="209" spans="1:14" s="107" customFormat="1" ht="20.25" customHeight="1" thickTop="1" thickBot="1" x14ac:dyDescent="0.25">
      <c r="A209" s="690" t="s">
        <v>661</v>
      </c>
      <c r="B209" s="693" t="s">
        <v>174</v>
      </c>
      <c r="C209" s="691" t="s">
        <v>175</v>
      </c>
      <c r="D209" s="636" t="s">
        <v>744</v>
      </c>
      <c r="E209" s="694" t="s">
        <v>176</v>
      </c>
      <c r="F209" s="694" t="s">
        <v>177</v>
      </c>
      <c r="G209" s="694" t="s">
        <v>922</v>
      </c>
      <c r="H209" s="694" t="s">
        <v>923</v>
      </c>
      <c r="I209" s="856" t="s">
        <v>924</v>
      </c>
    </row>
    <row r="210" spans="1:14" s="384" customFormat="1" ht="13.5" thickTop="1" thickBot="1" x14ac:dyDescent="0.25">
      <c r="A210" s="1254">
        <v>1</v>
      </c>
      <c r="B210" s="1255">
        <v>2</v>
      </c>
      <c r="C210" s="1255">
        <v>3</v>
      </c>
      <c r="D210" s="1255">
        <v>4</v>
      </c>
      <c r="E210" s="1255">
        <v>5</v>
      </c>
      <c r="F210" s="1256">
        <v>6</v>
      </c>
      <c r="G210" s="1256">
        <v>7</v>
      </c>
      <c r="H210" s="1257">
        <v>8</v>
      </c>
      <c r="I210" s="1258" t="s">
        <v>801</v>
      </c>
    </row>
    <row r="211" spans="1:14" s="534" customFormat="1" ht="16.5" thickTop="1" thickBot="1" x14ac:dyDescent="0.3">
      <c r="A211" s="1266">
        <v>60001100227</v>
      </c>
      <c r="B211" s="1007">
        <v>3122</v>
      </c>
      <c r="C211" s="1267">
        <v>6121</v>
      </c>
      <c r="D211" s="1008">
        <v>10</v>
      </c>
      <c r="E211" s="1268" t="s">
        <v>640</v>
      </c>
      <c r="F211" s="928"/>
      <c r="G211" s="1269">
        <v>3370</v>
      </c>
      <c r="H211" s="928">
        <v>3370</v>
      </c>
      <c r="I211" s="1270">
        <f>(H211/G211)*100</f>
        <v>100</v>
      </c>
    </row>
    <row r="212" spans="1:14" s="534" customFormat="1" ht="18" customHeight="1" thickTop="1" thickBot="1" x14ac:dyDescent="0.3">
      <c r="A212" s="2699" t="s">
        <v>257</v>
      </c>
      <c r="B212" s="2698"/>
      <c r="C212" s="2698"/>
      <c r="D212" s="2698"/>
      <c r="E212" s="2698"/>
      <c r="F212" s="911">
        <f>F211</f>
        <v>0</v>
      </c>
      <c r="G212" s="911">
        <f>G211</f>
        <v>3370</v>
      </c>
      <c r="H212" s="911">
        <f>H211</f>
        <v>3370</v>
      </c>
      <c r="I212" s="894">
        <f>(H212/G212)*100</f>
        <v>100</v>
      </c>
    </row>
    <row r="213" spans="1:14" ht="13.5" thickTop="1" x14ac:dyDescent="0.2">
      <c r="K213" s="951"/>
      <c r="L213" s="951"/>
      <c r="M213" s="951"/>
      <c r="N213" s="433"/>
    </row>
    <row r="214" spans="1:14" x14ac:dyDescent="0.2">
      <c r="K214" s="951"/>
      <c r="L214" s="951"/>
      <c r="M214" s="951"/>
      <c r="N214" s="433"/>
    </row>
    <row r="215" spans="1:14" s="534" customFormat="1" ht="13.5" thickBot="1" x14ac:dyDescent="0.25">
      <c r="A215" s="433" t="s">
        <v>1110</v>
      </c>
      <c r="B215" s="645"/>
      <c r="D215" s="852"/>
      <c r="F215" s="495"/>
      <c r="G215" s="495"/>
      <c r="H215" s="495"/>
      <c r="I215" s="989" t="s">
        <v>173</v>
      </c>
    </row>
    <row r="216" spans="1:14" s="107" customFormat="1" ht="20.25" customHeight="1" thickTop="1" thickBot="1" x14ac:dyDescent="0.25">
      <c r="A216" s="690" t="s">
        <v>661</v>
      </c>
      <c r="B216" s="693" t="s">
        <v>174</v>
      </c>
      <c r="C216" s="691" t="s">
        <v>175</v>
      </c>
      <c r="D216" s="636" t="s">
        <v>744</v>
      </c>
      <c r="E216" s="694" t="s">
        <v>176</v>
      </c>
      <c r="F216" s="694" t="s">
        <v>177</v>
      </c>
      <c r="G216" s="694" t="s">
        <v>922</v>
      </c>
      <c r="H216" s="694" t="s">
        <v>923</v>
      </c>
      <c r="I216" s="856" t="s">
        <v>924</v>
      </c>
    </row>
    <row r="217" spans="1:14" s="384" customFormat="1" ht="13.5" thickTop="1" thickBot="1" x14ac:dyDescent="0.25">
      <c r="A217" s="1254">
        <v>1</v>
      </c>
      <c r="B217" s="1255">
        <v>2</v>
      </c>
      <c r="C217" s="1255">
        <v>3</v>
      </c>
      <c r="D217" s="1255">
        <v>4</v>
      </c>
      <c r="E217" s="1255">
        <v>5</v>
      </c>
      <c r="F217" s="1256">
        <v>6</v>
      </c>
      <c r="G217" s="1256">
        <v>7</v>
      </c>
      <c r="H217" s="1257">
        <v>8</v>
      </c>
      <c r="I217" s="1258" t="s">
        <v>801</v>
      </c>
    </row>
    <row r="218" spans="1:14" s="534" customFormat="1" ht="16.5" thickTop="1" thickBot="1" x14ac:dyDescent="0.3">
      <c r="A218" s="1266">
        <v>60001100228</v>
      </c>
      <c r="B218" s="1007">
        <v>3122</v>
      </c>
      <c r="C218" s="1267">
        <v>6121</v>
      </c>
      <c r="D218" s="1008">
        <v>10</v>
      </c>
      <c r="E218" s="1268" t="s">
        <v>640</v>
      </c>
      <c r="F218" s="928"/>
      <c r="G218" s="1269">
        <v>1762</v>
      </c>
      <c r="H218" s="928">
        <v>1752</v>
      </c>
      <c r="I218" s="1270">
        <f>(H218/G218)*100</f>
        <v>99.432463110102148</v>
      </c>
    </row>
    <row r="219" spans="1:14" s="534" customFormat="1" ht="18" customHeight="1" thickTop="1" thickBot="1" x14ac:dyDescent="0.3">
      <c r="A219" s="2699" t="s">
        <v>257</v>
      </c>
      <c r="B219" s="2698"/>
      <c r="C219" s="2698"/>
      <c r="D219" s="2698"/>
      <c r="E219" s="2698"/>
      <c r="F219" s="911">
        <f>F218</f>
        <v>0</v>
      </c>
      <c r="G219" s="911">
        <f>G218</f>
        <v>1762</v>
      </c>
      <c r="H219" s="911">
        <f>H218</f>
        <v>1752</v>
      </c>
      <c r="I219" s="894">
        <f>(H219/G219)*100</f>
        <v>99.432463110102148</v>
      </c>
    </row>
    <row r="220" spans="1:14" ht="13.5" thickTop="1" x14ac:dyDescent="0.2">
      <c r="K220" s="951"/>
      <c r="L220" s="951"/>
      <c r="M220" s="951"/>
      <c r="N220" s="433"/>
    </row>
    <row r="221" spans="1:14" x14ac:dyDescent="0.2">
      <c r="K221" s="951"/>
      <c r="L221" s="951"/>
      <c r="M221" s="951"/>
      <c r="N221" s="433"/>
    </row>
    <row r="222" spans="1:14" s="534" customFormat="1" ht="13.5" thickBot="1" x14ac:dyDescent="0.25">
      <c r="A222" s="433" t="s">
        <v>1111</v>
      </c>
      <c r="B222" s="645"/>
      <c r="D222" s="852"/>
      <c r="F222" s="495"/>
      <c r="G222" s="495"/>
      <c r="H222" s="495"/>
      <c r="I222" s="989" t="s">
        <v>173</v>
      </c>
    </row>
    <row r="223" spans="1:14" s="107" customFormat="1" ht="20.25" customHeight="1" thickTop="1" thickBot="1" x14ac:dyDescent="0.25">
      <c r="A223" s="690" t="s">
        <v>661</v>
      </c>
      <c r="B223" s="693" t="s">
        <v>174</v>
      </c>
      <c r="C223" s="691" t="s">
        <v>175</v>
      </c>
      <c r="D223" s="636" t="s">
        <v>744</v>
      </c>
      <c r="E223" s="694" t="s">
        <v>176</v>
      </c>
      <c r="F223" s="694" t="s">
        <v>177</v>
      </c>
      <c r="G223" s="694" t="s">
        <v>922</v>
      </c>
      <c r="H223" s="694" t="s">
        <v>923</v>
      </c>
      <c r="I223" s="856" t="s">
        <v>924</v>
      </c>
    </row>
    <row r="224" spans="1:14" s="384" customFormat="1" thickTop="1" x14ac:dyDescent="0.2">
      <c r="A224" s="1254">
        <v>1</v>
      </c>
      <c r="B224" s="1255">
        <v>2</v>
      </c>
      <c r="C224" s="1255">
        <v>3</v>
      </c>
      <c r="D224" s="1255">
        <v>4</v>
      </c>
      <c r="E224" s="1255">
        <v>5</v>
      </c>
      <c r="F224" s="1256">
        <v>6</v>
      </c>
      <c r="G224" s="1256">
        <v>7</v>
      </c>
      <c r="H224" s="1257">
        <v>8</v>
      </c>
      <c r="I224" s="1258" t="s">
        <v>801</v>
      </c>
    </row>
    <row r="225" spans="1:14" s="384" customFormat="1" ht="15" x14ac:dyDescent="0.25">
      <c r="A225" s="1312">
        <v>60001100229</v>
      </c>
      <c r="B225" s="1313">
        <v>3122</v>
      </c>
      <c r="C225" s="1313">
        <v>5137</v>
      </c>
      <c r="D225" s="1276">
        <v>870</v>
      </c>
      <c r="E225" s="1275" t="s">
        <v>167</v>
      </c>
      <c r="F225" s="1274"/>
      <c r="G225" s="1274">
        <v>1609</v>
      </c>
      <c r="H225" s="1274">
        <v>1596</v>
      </c>
      <c r="I225" s="874">
        <f t="shared" ref="I225:I230" si="1">(H225/G225)*100</f>
        <v>99.192044748290868</v>
      </c>
    </row>
    <row r="226" spans="1:14" s="384" customFormat="1" ht="15.75" thickBot="1" x14ac:dyDescent="0.3">
      <c r="A226" s="1315">
        <v>60001100229</v>
      </c>
      <c r="B226" s="1316">
        <v>3122</v>
      </c>
      <c r="C226" s="1317">
        <v>5172</v>
      </c>
      <c r="D226" s="1004">
        <v>870</v>
      </c>
      <c r="E226" s="1271" t="s">
        <v>939</v>
      </c>
      <c r="F226" s="1272"/>
      <c r="G226" s="1273">
        <v>97</v>
      </c>
      <c r="H226" s="1272">
        <v>96</v>
      </c>
      <c r="I226" s="1012">
        <f t="shared" si="1"/>
        <v>98.969072164948457</v>
      </c>
    </row>
    <row r="227" spans="1:14" s="534" customFormat="1" ht="18" customHeight="1" thickTop="1" thickBot="1" x14ac:dyDescent="0.3">
      <c r="A227" s="2685" t="s">
        <v>258</v>
      </c>
      <c r="B227" s="2686"/>
      <c r="C227" s="2686"/>
      <c r="D227" s="2686"/>
      <c r="E227" s="2686"/>
      <c r="F227" s="862">
        <v>0</v>
      </c>
      <c r="G227" s="862">
        <f>G225+G226</f>
        <v>1706</v>
      </c>
      <c r="H227" s="862">
        <f>H225+H226</f>
        <v>1692</v>
      </c>
      <c r="I227" s="863">
        <f t="shared" si="1"/>
        <v>99.179366940211025</v>
      </c>
    </row>
    <row r="228" spans="1:14" s="384" customFormat="1" ht="15.75" thickTop="1" x14ac:dyDescent="0.25">
      <c r="A228" s="1312">
        <v>60001100229</v>
      </c>
      <c r="B228" s="1313">
        <v>3122</v>
      </c>
      <c r="C228" s="1314">
        <v>6121</v>
      </c>
      <c r="D228" s="998">
        <v>870</v>
      </c>
      <c r="E228" s="1259" t="s">
        <v>640</v>
      </c>
      <c r="F228" s="414"/>
      <c r="G228" s="1263">
        <v>14622</v>
      </c>
      <c r="H228" s="414">
        <v>13497</v>
      </c>
      <c r="I228" s="874">
        <f t="shared" si="1"/>
        <v>92.306114074681986</v>
      </c>
    </row>
    <row r="229" spans="1:14" s="534" customFormat="1" ht="15.75" thickBot="1" x14ac:dyDescent="0.3">
      <c r="A229" s="1003">
        <v>60001100229</v>
      </c>
      <c r="B229" s="930">
        <v>3122</v>
      </c>
      <c r="C229" s="782">
        <v>6122</v>
      </c>
      <c r="D229" s="1004">
        <v>870</v>
      </c>
      <c r="E229" s="1261" t="s">
        <v>641</v>
      </c>
      <c r="F229" s="922"/>
      <c r="G229" s="1005">
        <v>7572</v>
      </c>
      <c r="H229" s="922">
        <v>7572</v>
      </c>
      <c r="I229" s="1012">
        <f t="shared" si="1"/>
        <v>100</v>
      </c>
    </row>
    <row r="230" spans="1:14" s="534" customFormat="1" ht="18" customHeight="1" thickTop="1" thickBot="1" x14ac:dyDescent="0.3">
      <c r="A230" s="2699" t="s">
        <v>257</v>
      </c>
      <c r="B230" s="2698"/>
      <c r="C230" s="2698"/>
      <c r="D230" s="2698"/>
      <c r="E230" s="2698"/>
      <c r="F230" s="911">
        <f>F228</f>
        <v>0</v>
      </c>
      <c r="G230" s="911">
        <f>G228+G229</f>
        <v>22194</v>
      </c>
      <c r="H230" s="911">
        <f>H228+H229</f>
        <v>21069</v>
      </c>
      <c r="I230" s="863">
        <f t="shared" si="1"/>
        <v>94.931062449310616</v>
      </c>
    </row>
    <row r="231" spans="1:14" ht="13.5" thickTop="1" x14ac:dyDescent="0.2">
      <c r="K231" s="951"/>
      <c r="L231" s="951"/>
      <c r="M231" s="951"/>
      <c r="N231" s="433"/>
    </row>
    <row r="232" spans="1:14" x14ac:dyDescent="0.2">
      <c r="K232" s="951"/>
      <c r="L232" s="951"/>
      <c r="M232" s="951"/>
      <c r="N232" s="433"/>
    </row>
    <row r="233" spans="1:14" s="534" customFormat="1" ht="13.5" thickBot="1" x14ac:dyDescent="0.25">
      <c r="A233" s="433" t="s">
        <v>34</v>
      </c>
      <c r="B233" s="645"/>
      <c r="D233" s="852"/>
      <c r="F233" s="495"/>
      <c r="G233" s="495"/>
      <c r="H233" s="495"/>
      <c r="I233" s="989" t="s">
        <v>173</v>
      </c>
    </row>
    <row r="234" spans="1:14" s="107" customFormat="1" ht="20.25" customHeight="1" thickTop="1" thickBot="1" x14ac:dyDescent="0.25">
      <c r="A234" s="690" t="s">
        <v>661</v>
      </c>
      <c r="B234" s="693" t="s">
        <v>174</v>
      </c>
      <c r="C234" s="691" t="s">
        <v>175</v>
      </c>
      <c r="D234" s="636" t="s">
        <v>744</v>
      </c>
      <c r="E234" s="694" t="s">
        <v>176</v>
      </c>
      <c r="F234" s="694" t="s">
        <v>177</v>
      </c>
      <c r="G234" s="694" t="s">
        <v>922</v>
      </c>
      <c r="H234" s="694" t="s">
        <v>923</v>
      </c>
      <c r="I234" s="856" t="s">
        <v>924</v>
      </c>
    </row>
    <row r="235" spans="1:14" s="384" customFormat="1" ht="13.5" thickTop="1" thickBot="1" x14ac:dyDescent="0.25">
      <c r="A235" s="1254">
        <v>1</v>
      </c>
      <c r="B235" s="1255">
        <v>2</v>
      </c>
      <c r="C235" s="1255">
        <v>3</v>
      </c>
      <c r="D235" s="1255">
        <v>4</v>
      </c>
      <c r="E235" s="569">
        <v>5</v>
      </c>
      <c r="F235" s="1256">
        <v>6</v>
      </c>
      <c r="G235" s="1256">
        <v>7</v>
      </c>
      <c r="H235" s="1257">
        <v>8</v>
      </c>
      <c r="I235" s="1258" t="s">
        <v>801</v>
      </c>
    </row>
    <row r="236" spans="1:14" s="534" customFormat="1" ht="16.5" thickTop="1" thickBot="1" x14ac:dyDescent="0.3">
      <c r="A236" s="1266">
        <v>60001100230</v>
      </c>
      <c r="B236" s="1007">
        <v>3122</v>
      </c>
      <c r="C236" s="1267">
        <v>6122</v>
      </c>
      <c r="D236" s="1008">
        <v>10</v>
      </c>
      <c r="E236" s="1261" t="s">
        <v>641</v>
      </c>
      <c r="F236" s="928"/>
      <c r="G236" s="1269">
        <v>99</v>
      </c>
      <c r="H236" s="928">
        <v>99</v>
      </c>
      <c r="I236" s="1270">
        <f>(H236/G236)*100</f>
        <v>100</v>
      </c>
    </row>
    <row r="237" spans="1:14" s="534" customFormat="1" ht="18" customHeight="1" thickTop="1" thickBot="1" x14ac:dyDescent="0.3">
      <c r="A237" s="2699" t="s">
        <v>257</v>
      </c>
      <c r="B237" s="2698"/>
      <c r="C237" s="2698"/>
      <c r="D237" s="2698"/>
      <c r="E237" s="2698"/>
      <c r="F237" s="911">
        <f>F236</f>
        <v>0</v>
      </c>
      <c r="G237" s="911">
        <f>G236</f>
        <v>99</v>
      </c>
      <c r="H237" s="911">
        <f>H236</f>
        <v>99</v>
      </c>
      <c r="I237" s="894">
        <f>(H237/G237)*100</f>
        <v>100</v>
      </c>
    </row>
    <row r="238" spans="1:14" ht="13.5" thickTop="1" x14ac:dyDescent="0.2">
      <c r="K238" s="951"/>
      <c r="L238" s="951"/>
      <c r="M238" s="951"/>
      <c r="N238" s="433"/>
    </row>
    <row r="239" spans="1:14" x14ac:dyDescent="0.2">
      <c r="K239" s="951"/>
      <c r="L239" s="951"/>
      <c r="M239" s="951"/>
      <c r="N239" s="433"/>
    </row>
    <row r="240" spans="1:14" s="534" customFormat="1" ht="13.5" thickBot="1" x14ac:dyDescent="0.25">
      <c r="A240" s="433" t="s">
        <v>35</v>
      </c>
      <c r="B240" s="645"/>
      <c r="D240" s="852"/>
      <c r="F240" s="495"/>
      <c r="G240" s="495"/>
      <c r="H240" s="495"/>
      <c r="I240" s="989" t="s">
        <v>173</v>
      </c>
    </row>
    <row r="241" spans="1:14" s="107" customFormat="1" ht="20.25" customHeight="1" thickTop="1" thickBot="1" x14ac:dyDescent="0.25">
      <c r="A241" s="690" t="s">
        <v>661</v>
      </c>
      <c r="B241" s="693" t="s">
        <v>174</v>
      </c>
      <c r="C241" s="691" t="s">
        <v>175</v>
      </c>
      <c r="D241" s="636" t="s">
        <v>744</v>
      </c>
      <c r="E241" s="694" t="s">
        <v>176</v>
      </c>
      <c r="F241" s="694" t="s">
        <v>177</v>
      </c>
      <c r="G241" s="694" t="s">
        <v>922</v>
      </c>
      <c r="H241" s="694" t="s">
        <v>923</v>
      </c>
      <c r="I241" s="856" t="s">
        <v>924</v>
      </c>
    </row>
    <row r="242" spans="1:14" s="384" customFormat="1" ht="13.5" thickTop="1" thickBot="1" x14ac:dyDescent="0.25">
      <c r="A242" s="1254">
        <v>1</v>
      </c>
      <c r="B242" s="1255">
        <v>2</v>
      </c>
      <c r="C242" s="1255">
        <v>3</v>
      </c>
      <c r="D242" s="1255">
        <v>4</v>
      </c>
      <c r="E242" s="569">
        <v>5</v>
      </c>
      <c r="F242" s="1256">
        <v>6</v>
      </c>
      <c r="G242" s="1256">
        <v>7</v>
      </c>
      <c r="H242" s="1257">
        <v>8</v>
      </c>
      <c r="I242" s="1258" t="s">
        <v>801</v>
      </c>
    </row>
    <row r="243" spans="1:14" s="534" customFormat="1" ht="16.5" thickTop="1" thickBot="1" x14ac:dyDescent="0.3">
      <c r="A243" s="1266">
        <v>60001100231</v>
      </c>
      <c r="B243" s="1007">
        <v>3122</v>
      </c>
      <c r="C243" s="1267">
        <v>5171</v>
      </c>
      <c r="D243" s="1008">
        <v>10</v>
      </c>
      <c r="E243" s="1261" t="s">
        <v>938</v>
      </c>
      <c r="F243" s="928"/>
      <c r="G243" s="1269">
        <v>1963</v>
      </c>
      <c r="H243" s="928">
        <v>1961</v>
      </c>
      <c r="I243" s="1270">
        <f>(H243/G243)*100</f>
        <v>99.898115129903204</v>
      </c>
    </row>
    <row r="244" spans="1:14" s="534" customFormat="1" ht="18" customHeight="1" thickTop="1" thickBot="1" x14ac:dyDescent="0.3">
      <c r="A244" s="2685" t="s">
        <v>258</v>
      </c>
      <c r="B244" s="2686"/>
      <c r="C244" s="2686"/>
      <c r="D244" s="2686"/>
      <c r="E244" s="2686"/>
      <c r="F244" s="911">
        <f>F243</f>
        <v>0</v>
      </c>
      <c r="G244" s="911">
        <f>G243</f>
        <v>1963</v>
      </c>
      <c r="H244" s="911">
        <f>H243</f>
        <v>1961</v>
      </c>
      <c r="I244" s="894">
        <f>(H244/G244)*100</f>
        <v>99.898115129903204</v>
      </c>
    </row>
    <row r="245" spans="1:14" ht="13.5" thickTop="1" x14ac:dyDescent="0.2">
      <c r="K245" s="951"/>
      <c r="L245" s="951"/>
      <c r="M245" s="951"/>
      <c r="N245" s="433"/>
    </row>
    <row r="246" spans="1:14" x14ac:dyDescent="0.2">
      <c r="K246" s="951"/>
      <c r="L246" s="951"/>
      <c r="M246" s="951"/>
      <c r="N246" s="433"/>
    </row>
    <row r="247" spans="1:14" s="534" customFormat="1" ht="13.5" thickBot="1" x14ac:dyDescent="0.25">
      <c r="A247" s="433" t="s">
        <v>34</v>
      </c>
      <c r="B247" s="645"/>
      <c r="D247" s="852"/>
      <c r="F247" s="495"/>
      <c r="G247" s="495"/>
      <c r="H247" s="495"/>
      <c r="I247" s="989" t="s">
        <v>173</v>
      </c>
    </row>
    <row r="248" spans="1:14" s="107" customFormat="1" ht="20.25" customHeight="1" thickTop="1" thickBot="1" x14ac:dyDescent="0.25">
      <c r="A248" s="690" t="s">
        <v>661</v>
      </c>
      <c r="B248" s="693" t="s">
        <v>174</v>
      </c>
      <c r="C248" s="691" t="s">
        <v>175</v>
      </c>
      <c r="D248" s="636" t="s">
        <v>744</v>
      </c>
      <c r="E248" s="694" t="s">
        <v>176</v>
      </c>
      <c r="F248" s="694" t="s">
        <v>177</v>
      </c>
      <c r="G248" s="694" t="s">
        <v>922</v>
      </c>
      <c r="H248" s="694" t="s">
        <v>923</v>
      </c>
      <c r="I248" s="856" t="s">
        <v>924</v>
      </c>
    </row>
    <row r="249" spans="1:14" s="384" customFormat="1" ht="13.5" thickTop="1" thickBot="1" x14ac:dyDescent="0.25">
      <c r="A249" s="1254">
        <v>1</v>
      </c>
      <c r="B249" s="1255">
        <v>2</v>
      </c>
      <c r="C249" s="1255">
        <v>3</v>
      </c>
      <c r="D249" s="1255">
        <v>4</v>
      </c>
      <c r="E249" s="569">
        <v>5</v>
      </c>
      <c r="F249" s="1256">
        <v>6</v>
      </c>
      <c r="G249" s="1256">
        <v>7</v>
      </c>
      <c r="H249" s="1257">
        <v>8</v>
      </c>
      <c r="I249" s="1258" t="s">
        <v>801</v>
      </c>
    </row>
    <row r="250" spans="1:14" s="534" customFormat="1" ht="16.5" thickTop="1" thickBot="1" x14ac:dyDescent="0.3">
      <c r="A250" s="1266">
        <v>60001100232</v>
      </c>
      <c r="B250" s="1007">
        <v>3114</v>
      </c>
      <c r="C250" s="1267">
        <v>6121</v>
      </c>
      <c r="D250" s="1008">
        <v>870</v>
      </c>
      <c r="E250" s="1268" t="s">
        <v>640</v>
      </c>
      <c r="F250" s="928"/>
      <c r="G250" s="1269">
        <v>2000</v>
      </c>
      <c r="H250" s="928">
        <v>47</v>
      </c>
      <c r="I250" s="1270">
        <f>(H250/G250)*100</f>
        <v>2.35</v>
      </c>
    </row>
    <row r="251" spans="1:14" s="534" customFormat="1" ht="18" customHeight="1" thickTop="1" thickBot="1" x14ac:dyDescent="0.3">
      <c r="A251" s="2699" t="s">
        <v>257</v>
      </c>
      <c r="B251" s="2698"/>
      <c r="C251" s="2698"/>
      <c r="D251" s="2698"/>
      <c r="E251" s="2698"/>
      <c r="F251" s="911">
        <f>F250</f>
        <v>0</v>
      </c>
      <c r="G251" s="911">
        <f>G250</f>
        <v>2000</v>
      </c>
      <c r="H251" s="911">
        <f>H250</f>
        <v>47</v>
      </c>
      <c r="I251" s="894">
        <f>(H251/G251)*100</f>
        <v>2.35</v>
      </c>
    </row>
    <row r="252" spans="1:14" ht="13.5" thickTop="1" x14ac:dyDescent="0.2">
      <c r="K252" s="951"/>
      <c r="L252" s="951"/>
      <c r="M252" s="951"/>
      <c r="N252" s="433"/>
    </row>
    <row r="253" spans="1:14" x14ac:dyDescent="0.2">
      <c r="K253" s="951"/>
      <c r="L253" s="951"/>
      <c r="M253" s="951"/>
      <c r="N253" s="433"/>
    </row>
    <row r="254" spans="1:14" s="534" customFormat="1" ht="13.5" thickBot="1" x14ac:dyDescent="0.25">
      <c r="A254" s="433" t="s">
        <v>36</v>
      </c>
      <c r="B254" s="645"/>
      <c r="D254" s="852"/>
      <c r="F254" s="495"/>
      <c r="G254" s="495"/>
      <c r="H254" s="495"/>
      <c r="I254" s="989" t="s">
        <v>173</v>
      </c>
    </row>
    <row r="255" spans="1:14" s="107" customFormat="1" ht="20.25" customHeight="1" thickTop="1" thickBot="1" x14ac:dyDescent="0.25">
      <c r="A255" s="690" t="s">
        <v>661</v>
      </c>
      <c r="B255" s="693" t="s">
        <v>174</v>
      </c>
      <c r="C255" s="691" t="s">
        <v>175</v>
      </c>
      <c r="D255" s="636" t="s">
        <v>744</v>
      </c>
      <c r="E255" s="694" t="s">
        <v>176</v>
      </c>
      <c r="F255" s="694" t="s">
        <v>177</v>
      </c>
      <c r="G255" s="694" t="s">
        <v>922</v>
      </c>
      <c r="H255" s="694" t="s">
        <v>923</v>
      </c>
      <c r="I255" s="856" t="s">
        <v>924</v>
      </c>
    </row>
    <row r="256" spans="1:14" s="384" customFormat="1" ht="13.5" thickTop="1" thickBot="1" x14ac:dyDescent="0.25">
      <c r="A256" s="568">
        <v>1</v>
      </c>
      <c r="B256" s="569">
        <v>2</v>
      </c>
      <c r="C256" s="569">
        <v>3</v>
      </c>
      <c r="D256" s="569">
        <v>4</v>
      </c>
      <c r="E256" s="569">
        <v>5</v>
      </c>
      <c r="F256" s="543">
        <v>6</v>
      </c>
      <c r="G256" s="543">
        <v>7</v>
      </c>
      <c r="H256" s="544">
        <v>8</v>
      </c>
      <c r="I256" s="638" t="s">
        <v>801</v>
      </c>
    </row>
    <row r="257" spans="1:14" s="384" customFormat="1" ht="16.5" thickTop="1" thickBot="1" x14ac:dyDescent="0.3">
      <c r="A257" s="1312">
        <v>60001100233</v>
      </c>
      <c r="B257" s="1313">
        <v>3114</v>
      </c>
      <c r="C257" s="1313">
        <v>5137</v>
      </c>
      <c r="D257" s="1276">
        <v>10</v>
      </c>
      <c r="E257" s="1275" t="s">
        <v>167</v>
      </c>
      <c r="F257" s="1274"/>
      <c r="G257" s="1274">
        <v>1040</v>
      </c>
      <c r="H257" s="1274">
        <v>1039</v>
      </c>
      <c r="I257" s="874">
        <f>(H257/G257)*100</f>
        <v>99.90384615384616</v>
      </c>
    </row>
    <row r="258" spans="1:14" s="534" customFormat="1" ht="18" customHeight="1" thickTop="1" thickBot="1" x14ac:dyDescent="0.3">
      <c r="A258" s="2685" t="s">
        <v>258</v>
      </c>
      <c r="B258" s="2686"/>
      <c r="C258" s="2686"/>
      <c r="D258" s="2686"/>
      <c r="E258" s="2686"/>
      <c r="F258" s="862">
        <v>0</v>
      </c>
      <c r="G258" s="862">
        <f>G257</f>
        <v>1040</v>
      </c>
      <c r="H258" s="862">
        <f>H257</f>
        <v>1039</v>
      </c>
      <c r="I258" s="863">
        <f>(H258/G258)*100</f>
        <v>99.90384615384616</v>
      </c>
    </row>
    <row r="259" spans="1:14" s="384" customFormat="1" ht="15.75" thickTop="1" x14ac:dyDescent="0.25">
      <c r="A259" s="1312">
        <v>60001100233</v>
      </c>
      <c r="B259" s="1313">
        <v>3114</v>
      </c>
      <c r="C259" s="1314">
        <v>6121</v>
      </c>
      <c r="D259" s="998">
        <v>10</v>
      </c>
      <c r="E259" s="1259" t="s">
        <v>640</v>
      </c>
      <c r="F259" s="414"/>
      <c r="G259" s="1263">
        <v>3073</v>
      </c>
      <c r="H259" s="414">
        <v>3051</v>
      </c>
      <c r="I259" s="874">
        <f>(H259/G259)*100</f>
        <v>99.284087211194276</v>
      </c>
    </row>
    <row r="260" spans="1:14" s="534" customFormat="1" ht="15.75" thickBot="1" x14ac:dyDescent="0.3">
      <c r="A260" s="1003">
        <v>60001100233</v>
      </c>
      <c r="B260" s="930">
        <v>3114</v>
      </c>
      <c r="C260" s="782">
        <v>6122</v>
      </c>
      <c r="D260" s="1004">
        <v>10</v>
      </c>
      <c r="E260" s="1261" t="s">
        <v>641</v>
      </c>
      <c r="F260" s="922"/>
      <c r="G260" s="1005">
        <v>1913</v>
      </c>
      <c r="H260" s="922">
        <v>1910</v>
      </c>
      <c r="I260" s="1012">
        <f>(H260/G260)*100</f>
        <v>99.843178254051224</v>
      </c>
    </row>
    <row r="261" spans="1:14" s="534" customFormat="1" ht="18" customHeight="1" thickTop="1" thickBot="1" x14ac:dyDescent="0.3">
      <c r="A261" s="2699" t="s">
        <v>257</v>
      </c>
      <c r="B261" s="2698"/>
      <c r="C261" s="2698"/>
      <c r="D261" s="2698"/>
      <c r="E261" s="2698"/>
      <c r="F261" s="911">
        <f>F259</f>
        <v>0</v>
      </c>
      <c r="G261" s="911">
        <f>G259+G260</f>
        <v>4986</v>
      </c>
      <c r="H261" s="911">
        <f>H259+H260</f>
        <v>4961</v>
      </c>
      <c r="I261" s="863">
        <f>(H261/G261)*100</f>
        <v>99.49859606899318</v>
      </c>
      <c r="L261" s="495">
        <f>G129+G139+G146+G153+G160+G163+G170+G177+G184+G191+G198+G205+G212+G219+G227+G230+G237+G244+G251+G258+G261</f>
        <v>52394</v>
      </c>
      <c r="M261" s="495">
        <f>H129+H139+H146+H153+H160+H163+H170+H177+H184+H191+H198+H205+H212+H219+H227+H230+H237+H244+H251+H258+H261</f>
        <v>46927</v>
      </c>
    </row>
    <row r="262" spans="1:14" ht="13.5" thickTop="1" x14ac:dyDescent="0.2">
      <c r="K262" s="951"/>
      <c r="L262" s="951"/>
      <c r="M262" s="951"/>
      <c r="N262" s="433"/>
    </row>
    <row r="263" spans="1:14" x14ac:dyDescent="0.2">
      <c r="K263" s="951"/>
      <c r="L263" s="951"/>
      <c r="M263" s="951"/>
      <c r="N263" s="433"/>
    </row>
    <row r="264" spans="1:14" x14ac:dyDescent="0.2">
      <c r="K264" s="951"/>
      <c r="L264" s="951"/>
      <c r="M264" s="951"/>
      <c r="N264" s="433"/>
    </row>
    <row r="265" spans="1:14" x14ac:dyDescent="0.2">
      <c r="K265" s="951"/>
      <c r="L265" s="951"/>
      <c r="M265" s="951"/>
      <c r="N265" s="433"/>
    </row>
    <row r="266" spans="1:14" x14ac:dyDescent="0.2">
      <c r="K266" s="951"/>
      <c r="L266" s="951"/>
      <c r="M266" s="951"/>
      <c r="N266" s="433"/>
    </row>
    <row r="267" spans="1:14" x14ac:dyDescent="0.2">
      <c r="K267" s="951"/>
      <c r="L267" s="951"/>
      <c r="M267" s="951"/>
      <c r="N267" s="433"/>
    </row>
    <row r="268" spans="1:14" s="534" customFormat="1" ht="13.5" thickBot="1" x14ac:dyDescent="0.25">
      <c r="A268" s="433" t="s">
        <v>37</v>
      </c>
      <c r="B268" s="645"/>
      <c r="D268" s="852"/>
      <c r="F268" s="495"/>
      <c r="G268" s="495"/>
      <c r="H268" s="495"/>
      <c r="I268" s="989" t="s">
        <v>173</v>
      </c>
    </row>
    <row r="269" spans="1:14" s="107" customFormat="1" ht="20.25" customHeight="1" thickTop="1" thickBot="1" x14ac:dyDescent="0.25">
      <c r="A269" s="690" t="s">
        <v>661</v>
      </c>
      <c r="B269" s="693" t="s">
        <v>174</v>
      </c>
      <c r="C269" s="691" t="s">
        <v>175</v>
      </c>
      <c r="D269" s="636" t="s">
        <v>744</v>
      </c>
      <c r="E269" s="694" t="s">
        <v>176</v>
      </c>
      <c r="F269" s="694" t="s">
        <v>177</v>
      </c>
      <c r="G269" s="694" t="s">
        <v>922</v>
      </c>
      <c r="H269" s="694" t="s">
        <v>923</v>
      </c>
      <c r="I269" s="856" t="s">
        <v>924</v>
      </c>
    </row>
    <row r="270" spans="1:14" s="384" customFormat="1" ht="13.5" thickTop="1" thickBot="1" x14ac:dyDescent="0.25">
      <c r="A270" s="1254">
        <v>1</v>
      </c>
      <c r="B270" s="1255">
        <v>2</v>
      </c>
      <c r="C270" s="1255">
        <v>3</v>
      </c>
      <c r="D270" s="1255">
        <v>4</v>
      </c>
      <c r="E270" s="569">
        <v>5</v>
      </c>
      <c r="F270" s="1256">
        <v>6</v>
      </c>
      <c r="G270" s="1256">
        <v>7</v>
      </c>
      <c r="H270" s="1257">
        <v>8</v>
      </c>
      <c r="I270" s="1258" t="s">
        <v>801</v>
      </c>
    </row>
    <row r="271" spans="1:14" s="534" customFormat="1" ht="16.5" thickTop="1" thickBot="1" x14ac:dyDescent="0.3">
      <c r="A271" s="1266">
        <v>60001100234</v>
      </c>
      <c r="B271" s="1007">
        <v>3114</v>
      </c>
      <c r="C271" s="1267">
        <v>5171</v>
      </c>
      <c r="D271" s="1008">
        <v>10</v>
      </c>
      <c r="E271" s="1261" t="s">
        <v>938</v>
      </c>
      <c r="F271" s="928"/>
      <c r="G271" s="1269">
        <v>1345</v>
      </c>
      <c r="H271" s="928">
        <v>1343</v>
      </c>
      <c r="I271" s="1270">
        <f>(H271/G271)*100</f>
        <v>99.851301115241625</v>
      </c>
    </row>
    <row r="272" spans="1:14" s="534" customFormat="1" ht="18" customHeight="1" thickTop="1" thickBot="1" x14ac:dyDescent="0.3">
      <c r="A272" s="2685" t="s">
        <v>258</v>
      </c>
      <c r="B272" s="2686"/>
      <c r="C272" s="2686"/>
      <c r="D272" s="2686"/>
      <c r="E272" s="2686"/>
      <c r="F272" s="911">
        <f>F271</f>
        <v>0</v>
      </c>
      <c r="G272" s="911">
        <f>G271</f>
        <v>1345</v>
      </c>
      <c r="H272" s="911">
        <f>H271</f>
        <v>1343</v>
      </c>
      <c r="I272" s="894">
        <f>(H272/G272)*100</f>
        <v>99.851301115241625</v>
      </c>
    </row>
    <row r="273" spans="1:14" ht="13.5" thickTop="1" x14ac:dyDescent="0.2">
      <c r="K273" s="951"/>
      <c r="L273" s="951"/>
      <c r="M273" s="951"/>
      <c r="N273" s="433"/>
    </row>
    <row r="274" spans="1:14" x14ac:dyDescent="0.2">
      <c r="K274" s="951"/>
      <c r="L274" s="951"/>
      <c r="M274" s="951"/>
      <c r="N274" s="433"/>
    </row>
    <row r="275" spans="1:14" s="534" customFormat="1" ht="13.5" thickBot="1" x14ac:dyDescent="0.25">
      <c r="A275" s="433" t="s">
        <v>458</v>
      </c>
      <c r="B275" s="645"/>
      <c r="D275" s="852"/>
      <c r="F275" s="495"/>
      <c r="G275" s="495"/>
      <c r="H275" s="495"/>
      <c r="I275" s="989" t="s">
        <v>173</v>
      </c>
    </row>
    <row r="276" spans="1:14" s="107" customFormat="1" ht="20.25" customHeight="1" thickTop="1" thickBot="1" x14ac:dyDescent="0.25">
      <c r="A276" s="690" t="s">
        <v>661</v>
      </c>
      <c r="B276" s="693" t="s">
        <v>174</v>
      </c>
      <c r="C276" s="691" t="s">
        <v>175</v>
      </c>
      <c r="D276" s="636" t="s">
        <v>744</v>
      </c>
      <c r="E276" s="694" t="s">
        <v>176</v>
      </c>
      <c r="F276" s="694" t="s">
        <v>177</v>
      </c>
      <c r="G276" s="694" t="s">
        <v>922</v>
      </c>
      <c r="H276" s="694" t="s">
        <v>923</v>
      </c>
      <c r="I276" s="856" t="s">
        <v>924</v>
      </c>
    </row>
    <row r="277" spans="1:14" s="384" customFormat="1" ht="13.5" thickTop="1" thickBot="1" x14ac:dyDescent="0.25">
      <c r="A277" s="1254">
        <v>1</v>
      </c>
      <c r="B277" s="1255">
        <v>2</v>
      </c>
      <c r="C277" s="1255">
        <v>3</v>
      </c>
      <c r="D277" s="1255">
        <v>4</v>
      </c>
      <c r="E277" s="569">
        <v>5</v>
      </c>
      <c r="F277" s="1256">
        <v>6</v>
      </c>
      <c r="G277" s="1256">
        <v>7</v>
      </c>
      <c r="H277" s="1257">
        <v>8</v>
      </c>
      <c r="I277" s="1258" t="s">
        <v>801</v>
      </c>
    </row>
    <row r="278" spans="1:14" s="534" customFormat="1" ht="16.5" thickTop="1" thickBot="1" x14ac:dyDescent="0.3">
      <c r="A278" s="1266">
        <v>60001100235</v>
      </c>
      <c r="B278" s="1007">
        <v>3122</v>
      </c>
      <c r="C278" s="1267">
        <v>5171</v>
      </c>
      <c r="D278" s="1008">
        <v>10</v>
      </c>
      <c r="E278" s="1261" t="s">
        <v>938</v>
      </c>
      <c r="F278" s="928"/>
      <c r="G278" s="1269">
        <v>4928</v>
      </c>
      <c r="H278" s="928">
        <v>4928</v>
      </c>
      <c r="I278" s="1270">
        <f>(H278/G278)*100</f>
        <v>100</v>
      </c>
    </row>
    <row r="279" spans="1:14" s="534" customFormat="1" ht="18" customHeight="1" thickTop="1" thickBot="1" x14ac:dyDescent="0.3">
      <c r="A279" s="2685" t="s">
        <v>258</v>
      </c>
      <c r="B279" s="2686"/>
      <c r="C279" s="2686"/>
      <c r="D279" s="2686"/>
      <c r="E279" s="2686"/>
      <c r="F279" s="911">
        <f>F278</f>
        <v>0</v>
      </c>
      <c r="G279" s="911">
        <f>G278</f>
        <v>4928</v>
      </c>
      <c r="H279" s="911">
        <f>H278</f>
        <v>4928</v>
      </c>
      <c r="I279" s="894">
        <f>(H279/G279)*100</f>
        <v>100</v>
      </c>
    </row>
    <row r="280" spans="1:14" ht="13.5" thickTop="1" x14ac:dyDescent="0.2">
      <c r="K280" s="951"/>
      <c r="L280" s="951"/>
      <c r="M280" s="951"/>
      <c r="N280" s="433"/>
    </row>
    <row r="281" spans="1:14" x14ac:dyDescent="0.2">
      <c r="K281" s="951"/>
      <c r="L281" s="951"/>
      <c r="M281" s="951"/>
      <c r="N281" s="433"/>
    </row>
    <row r="282" spans="1:14" s="534" customFormat="1" ht="13.5" thickBot="1" x14ac:dyDescent="0.25">
      <c r="A282" s="433" t="s">
        <v>859</v>
      </c>
      <c r="B282" s="645"/>
      <c r="D282" s="852"/>
      <c r="F282" s="495"/>
      <c r="G282" s="495"/>
      <c r="H282" s="495"/>
      <c r="I282" s="989" t="s">
        <v>173</v>
      </c>
    </row>
    <row r="283" spans="1:14" s="107" customFormat="1" ht="20.25" customHeight="1" thickTop="1" thickBot="1" x14ac:dyDescent="0.25">
      <c r="A283" s="690" t="s">
        <v>661</v>
      </c>
      <c r="B283" s="693" t="s">
        <v>174</v>
      </c>
      <c r="C283" s="691" t="s">
        <v>175</v>
      </c>
      <c r="D283" s="636" t="s">
        <v>744</v>
      </c>
      <c r="E283" s="694" t="s">
        <v>176</v>
      </c>
      <c r="F283" s="694" t="s">
        <v>177</v>
      </c>
      <c r="G283" s="694" t="s">
        <v>922</v>
      </c>
      <c r="H283" s="694" t="s">
        <v>923</v>
      </c>
      <c r="I283" s="856" t="s">
        <v>924</v>
      </c>
    </row>
    <row r="284" spans="1:14" s="384" customFormat="1" ht="13.5" thickTop="1" thickBot="1" x14ac:dyDescent="0.25">
      <c r="A284" s="1254">
        <v>1</v>
      </c>
      <c r="B284" s="1255">
        <v>2</v>
      </c>
      <c r="C284" s="1255">
        <v>3</v>
      </c>
      <c r="D284" s="1255">
        <v>4</v>
      </c>
      <c r="E284" s="569">
        <v>5</v>
      </c>
      <c r="F284" s="1256">
        <v>6</v>
      </c>
      <c r="G284" s="1256">
        <v>7</v>
      </c>
      <c r="H284" s="1257">
        <v>8</v>
      </c>
      <c r="I284" s="1258" t="s">
        <v>801</v>
      </c>
    </row>
    <row r="285" spans="1:14" s="534" customFormat="1" ht="16.5" thickTop="1" thickBot="1" x14ac:dyDescent="0.3">
      <c r="A285" s="1266">
        <v>60001100236</v>
      </c>
      <c r="B285" s="1007">
        <v>3114</v>
      </c>
      <c r="C285" s="1267">
        <v>5171</v>
      </c>
      <c r="D285" s="1008">
        <v>10</v>
      </c>
      <c r="E285" s="1261" t="s">
        <v>938</v>
      </c>
      <c r="F285" s="928"/>
      <c r="G285" s="1269">
        <v>792</v>
      </c>
      <c r="H285" s="928">
        <v>619</v>
      </c>
      <c r="I285" s="1270">
        <f>(H285/G285)*100</f>
        <v>78.156565656565661</v>
      </c>
    </row>
    <row r="286" spans="1:14" s="534" customFormat="1" ht="18" customHeight="1" thickTop="1" thickBot="1" x14ac:dyDescent="0.3">
      <c r="A286" s="2685" t="s">
        <v>258</v>
      </c>
      <c r="B286" s="2686"/>
      <c r="C286" s="2686"/>
      <c r="D286" s="2686"/>
      <c r="E286" s="2686"/>
      <c r="F286" s="911">
        <f>F285</f>
        <v>0</v>
      </c>
      <c r="G286" s="911">
        <f>G285</f>
        <v>792</v>
      </c>
      <c r="H286" s="911">
        <f>H285</f>
        <v>619</v>
      </c>
      <c r="I286" s="894">
        <f>(H286/G286)*100</f>
        <v>78.156565656565661</v>
      </c>
    </row>
    <row r="287" spans="1:14" ht="13.5" thickTop="1" x14ac:dyDescent="0.2">
      <c r="K287" s="951"/>
      <c r="L287" s="951"/>
      <c r="M287" s="951"/>
      <c r="N287" s="433"/>
    </row>
    <row r="288" spans="1:14" x14ac:dyDescent="0.2">
      <c r="K288" s="951"/>
      <c r="L288" s="951"/>
      <c r="M288" s="951"/>
      <c r="N288" s="433"/>
    </row>
    <row r="289" spans="1:14" x14ac:dyDescent="0.2">
      <c r="K289" s="951"/>
      <c r="L289" s="951"/>
      <c r="M289" s="951"/>
      <c r="N289" s="433"/>
    </row>
    <row r="290" spans="1:14" ht="13.5" thickBot="1" x14ac:dyDescent="0.25">
      <c r="A290" s="1318" t="s">
        <v>860</v>
      </c>
      <c r="B290" s="1319"/>
      <c r="C290" s="1319"/>
      <c r="D290" s="1319"/>
      <c r="E290" s="1319"/>
      <c r="F290" s="1319"/>
      <c r="G290" s="1319"/>
      <c r="H290" s="1319"/>
      <c r="I290" s="994" t="s">
        <v>173</v>
      </c>
    </row>
    <row r="291" spans="1:14" s="107" customFormat="1" ht="20.25" customHeight="1" thickTop="1" thickBot="1" x14ac:dyDescent="0.25">
      <c r="A291" s="690" t="s">
        <v>661</v>
      </c>
      <c r="B291" s="693" t="s">
        <v>174</v>
      </c>
      <c r="C291" s="691" t="s">
        <v>175</v>
      </c>
      <c r="D291" s="636" t="s">
        <v>744</v>
      </c>
      <c r="E291" s="694" t="s">
        <v>176</v>
      </c>
      <c r="F291" s="694" t="s">
        <v>177</v>
      </c>
      <c r="G291" s="694" t="s">
        <v>922</v>
      </c>
      <c r="H291" s="694" t="s">
        <v>923</v>
      </c>
      <c r="I291" s="856" t="s">
        <v>924</v>
      </c>
    </row>
    <row r="292" spans="1:14" s="384" customFormat="1" ht="13.5" thickTop="1" thickBot="1" x14ac:dyDescent="0.25">
      <c r="A292" s="1254">
        <v>1</v>
      </c>
      <c r="B292" s="1255">
        <v>2</v>
      </c>
      <c r="C292" s="1255">
        <v>3</v>
      </c>
      <c r="D292" s="1255">
        <v>4</v>
      </c>
      <c r="E292" s="569">
        <v>5</v>
      </c>
      <c r="F292" s="1256">
        <v>6</v>
      </c>
      <c r="G292" s="1256">
        <v>7</v>
      </c>
      <c r="H292" s="1257">
        <v>8</v>
      </c>
      <c r="I292" s="1258" t="s">
        <v>801</v>
      </c>
    </row>
    <row r="293" spans="1:14" s="534" customFormat="1" ht="16.5" thickTop="1" thickBot="1" x14ac:dyDescent="0.3">
      <c r="A293" s="1266">
        <v>60001100237</v>
      </c>
      <c r="B293" s="1007">
        <v>3122</v>
      </c>
      <c r="C293" s="1267">
        <v>6121</v>
      </c>
      <c r="D293" s="1008">
        <v>10</v>
      </c>
      <c r="E293" s="1268" t="s">
        <v>640</v>
      </c>
      <c r="F293" s="928"/>
      <c r="G293" s="1269">
        <v>1201</v>
      </c>
      <c r="H293" s="928">
        <v>1200</v>
      </c>
      <c r="I293" s="1270">
        <f>(H293/G293)*100</f>
        <v>99.916736053288929</v>
      </c>
    </row>
    <row r="294" spans="1:14" s="534" customFormat="1" ht="18" customHeight="1" thickTop="1" thickBot="1" x14ac:dyDescent="0.3">
      <c r="A294" s="2699" t="s">
        <v>257</v>
      </c>
      <c r="B294" s="2698"/>
      <c r="C294" s="2698"/>
      <c r="D294" s="2698"/>
      <c r="E294" s="2698"/>
      <c r="F294" s="911">
        <f>F293</f>
        <v>0</v>
      </c>
      <c r="G294" s="911">
        <f>G293</f>
        <v>1201</v>
      </c>
      <c r="H294" s="911">
        <f>H293</f>
        <v>1200</v>
      </c>
      <c r="I294" s="894">
        <f>(H294/G294)*100</f>
        <v>99.916736053288929</v>
      </c>
    </row>
    <row r="295" spans="1:14" ht="13.5" thickTop="1" x14ac:dyDescent="0.2">
      <c r="K295" s="951"/>
      <c r="L295" s="951"/>
      <c r="M295" s="951"/>
      <c r="N295" s="433"/>
    </row>
    <row r="296" spans="1:14" x14ac:dyDescent="0.2">
      <c r="K296" s="951"/>
      <c r="L296" s="951"/>
      <c r="M296" s="951"/>
      <c r="N296" s="433"/>
    </row>
    <row r="297" spans="1:14" s="534" customFormat="1" ht="13.5" thickBot="1" x14ac:dyDescent="0.25">
      <c r="A297" s="433" t="s">
        <v>861</v>
      </c>
      <c r="B297" s="645"/>
      <c r="D297" s="852"/>
      <c r="F297" s="495"/>
      <c r="G297" s="495"/>
      <c r="H297" s="495"/>
      <c r="I297" s="989" t="s">
        <v>173</v>
      </c>
    </row>
    <row r="298" spans="1:14" s="107" customFormat="1" ht="20.25" customHeight="1" thickTop="1" thickBot="1" x14ac:dyDescent="0.25">
      <c r="A298" s="690" t="s">
        <v>661</v>
      </c>
      <c r="B298" s="693" t="s">
        <v>174</v>
      </c>
      <c r="C298" s="691" t="s">
        <v>175</v>
      </c>
      <c r="D298" s="636" t="s">
        <v>744</v>
      </c>
      <c r="E298" s="694" t="s">
        <v>176</v>
      </c>
      <c r="F298" s="694" t="s">
        <v>177</v>
      </c>
      <c r="G298" s="694" t="s">
        <v>922</v>
      </c>
      <c r="H298" s="694" t="s">
        <v>923</v>
      </c>
      <c r="I298" s="856" t="s">
        <v>924</v>
      </c>
    </row>
    <row r="299" spans="1:14" s="384" customFormat="1" ht="13.5" thickTop="1" thickBot="1" x14ac:dyDescent="0.25">
      <c r="A299" s="1254">
        <v>1</v>
      </c>
      <c r="B299" s="1255">
        <v>2</v>
      </c>
      <c r="C299" s="1255">
        <v>3</v>
      </c>
      <c r="D299" s="1255">
        <v>4</v>
      </c>
      <c r="E299" s="569">
        <v>5</v>
      </c>
      <c r="F299" s="1256">
        <v>6</v>
      </c>
      <c r="G299" s="1256">
        <v>7</v>
      </c>
      <c r="H299" s="1257">
        <v>8</v>
      </c>
      <c r="I299" s="1258" t="s">
        <v>801</v>
      </c>
    </row>
    <row r="300" spans="1:14" s="534" customFormat="1" ht="16.5" thickTop="1" thickBot="1" x14ac:dyDescent="0.3">
      <c r="A300" s="1266">
        <v>60001100238</v>
      </c>
      <c r="B300" s="1007">
        <v>3122</v>
      </c>
      <c r="C300" s="1267">
        <v>5171</v>
      </c>
      <c r="D300" s="1008">
        <v>10</v>
      </c>
      <c r="E300" s="1261" t="s">
        <v>938</v>
      </c>
      <c r="F300" s="928"/>
      <c r="G300" s="1269">
        <v>665</v>
      </c>
      <c r="H300" s="928">
        <v>665</v>
      </c>
      <c r="I300" s="1270">
        <f>(H300/G300)*100</f>
        <v>100</v>
      </c>
    </row>
    <row r="301" spans="1:14" s="534" customFormat="1" ht="18" customHeight="1" thickTop="1" thickBot="1" x14ac:dyDescent="0.3">
      <c r="A301" s="2685" t="s">
        <v>258</v>
      </c>
      <c r="B301" s="2686"/>
      <c r="C301" s="2686"/>
      <c r="D301" s="2686"/>
      <c r="E301" s="2686"/>
      <c r="F301" s="911">
        <f>F300</f>
        <v>0</v>
      </c>
      <c r="G301" s="911">
        <f>G300</f>
        <v>665</v>
      </c>
      <c r="H301" s="911">
        <f>H300</f>
        <v>665</v>
      </c>
      <c r="I301" s="894">
        <f>(H301/G301)*100</f>
        <v>100</v>
      </c>
    </row>
    <row r="302" spans="1:14" ht="13.5" thickTop="1" x14ac:dyDescent="0.2">
      <c r="K302" s="951"/>
      <c r="L302" s="951"/>
      <c r="M302" s="951"/>
      <c r="N302" s="433"/>
    </row>
    <row r="303" spans="1:14" x14ac:dyDescent="0.2">
      <c r="K303" s="951"/>
      <c r="L303" s="951"/>
      <c r="M303" s="951"/>
      <c r="N303" s="433"/>
    </row>
    <row r="304" spans="1:14" s="534" customFormat="1" ht="13.5" thickBot="1" x14ac:dyDescent="0.25">
      <c r="A304" s="433" t="s">
        <v>862</v>
      </c>
      <c r="B304" s="645"/>
      <c r="D304" s="852"/>
      <c r="F304" s="495"/>
      <c r="G304" s="495"/>
      <c r="H304" s="495"/>
      <c r="I304" s="989" t="s">
        <v>173</v>
      </c>
    </row>
    <row r="305" spans="1:14" s="107" customFormat="1" ht="20.25" customHeight="1" thickTop="1" thickBot="1" x14ac:dyDescent="0.25">
      <c r="A305" s="690" t="s">
        <v>661</v>
      </c>
      <c r="B305" s="693" t="s">
        <v>174</v>
      </c>
      <c r="C305" s="691" t="s">
        <v>175</v>
      </c>
      <c r="D305" s="636" t="s">
        <v>744</v>
      </c>
      <c r="E305" s="694" t="s">
        <v>176</v>
      </c>
      <c r="F305" s="694" t="s">
        <v>177</v>
      </c>
      <c r="G305" s="694" t="s">
        <v>922</v>
      </c>
      <c r="H305" s="694" t="s">
        <v>923</v>
      </c>
      <c r="I305" s="856" t="s">
        <v>924</v>
      </c>
    </row>
    <row r="306" spans="1:14" s="384" customFormat="1" ht="13.5" thickTop="1" thickBot="1" x14ac:dyDescent="0.25">
      <c r="A306" s="1254">
        <v>1</v>
      </c>
      <c r="B306" s="1255">
        <v>2</v>
      </c>
      <c r="C306" s="1255">
        <v>3</v>
      </c>
      <c r="D306" s="1255">
        <v>4</v>
      </c>
      <c r="E306" s="569">
        <v>5</v>
      </c>
      <c r="F306" s="1256">
        <v>6</v>
      </c>
      <c r="G306" s="1256">
        <v>7</v>
      </c>
      <c r="H306" s="1257">
        <v>8</v>
      </c>
      <c r="I306" s="1258" t="s">
        <v>801</v>
      </c>
    </row>
    <row r="307" spans="1:14" s="534" customFormat="1" ht="16.5" thickTop="1" thickBot="1" x14ac:dyDescent="0.3">
      <c r="A307" s="1266">
        <v>60001100239</v>
      </c>
      <c r="B307" s="1007">
        <v>3122</v>
      </c>
      <c r="C307" s="1267">
        <v>5171</v>
      </c>
      <c r="D307" s="1008">
        <v>10</v>
      </c>
      <c r="E307" s="1261" t="s">
        <v>938</v>
      </c>
      <c r="F307" s="928"/>
      <c r="G307" s="1269">
        <v>590</v>
      </c>
      <c r="H307" s="928">
        <v>590</v>
      </c>
      <c r="I307" s="1270">
        <f>(H307/G307)*100</f>
        <v>100</v>
      </c>
    </row>
    <row r="308" spans="1:14" s="534" customFormat="1" ht="18" customHeight="1" thickTop="1" thickBot="1" x14ac:dyDescent="0.3">
      <c r="A308" s="2685" t="s">
        <v>258</v>
      </c>
      <c r="B308" s="2686"/>
      <c r="C308" s="2686"/>
      <c r="D308" s="2686"/>
      <c r="E308" s="2686"/>
      <c r="F308" s="911">
        <f>F307</f>
        <v>0</v>
      </c>
      <c r="G308" s="911">
        <f>G307</f>
        <v>590</v>
      </c>
      <c r="H308" s="911">
        <f>H307</f>
        <v>590</v>
      </c>
      <c r="I308" s="894">
        <f>(H308/G308)*100</f>
        <v>100</v>
      </c>
    </row>
    <row r="309" spans="1:14" ht="13.5" thickTop="1" x14ac:dyDescent="0.2">
      <c r="K309" s="951"/>
      <c r="L309" s="951"/>
      <c r="M309" s="951"/>
      <c r="N309" s="433"/>
    </row>
    <row r="310" spans="1:14" x14ac:dyDescent="0.2">
      <c r="K310" s="951"/>
      <c r="L310" s="951"/>
      <c r="M310" s="951"/>
      <c r="N310" s="433"/>
    </row>
    <row r="311" spans="1:14" s="534" customFormat="1" ht="13.5" thickBot="1" x14ac:dyDescent="0.25">
      <c r="A311" s="433" t="s">
        <v>78</v>
      </c>
      <c r="B311" s="645"/>
      <c r="D311" s="852"/>
      <c r="F311" s="495"/>
      <c r="G311" s="495"/>
      <c r="H311" s="495"/>
      <c r="I311" s="989" t="s">
        <v>173</v>
      </c>
    </row>
    <row r="312" spans="1:14" s="107" customFormat="1" ht="20.25" customHeight="1" thickTop="1" thickBot="1" x14ac:dyDescent="0.25">
      <c r="A312" s="690" t="s">
        <v>661</v>
      </c>
      <c r="B312" s="693" t="s">
        <v>174</v>
      </c>
      <c r="C312" s="691" t="s">
        <v>175</v>
      </c>
      <c r="D312" s="636" t="s">
        <v>744</v>
      </c>
      <c r="E312" s="694" t="s">
        <v>176</v>
      </c>
      <c r="F312" s="694" t="s">
        <v>177</v>
      </c>
      <c r="G312" s="694" t="s">
        <v>922</v>
      </c>
      <c r="H312" s="694" t="s">
        <v>923</v>
      </c>
      <c r="I312" s="856" t="s">
        <v>924</v>
      </c>
    </row>
    <row r="313" spans="1:14" s="384" customFormat="1" ht="13.5" thickTop="1" thickBot="1" x14ac:dyDescent="0.25">
      <c r="A313" s="1254">
        <v>1</v>
      </c>
      <c r="B313" s="1255">
        <v>2</v>
      </c>
      <c r="C313" s="1255">
        <v>3</v>
      </c>
      <c r="D313" s="1255">
        <v>4</v>
      </c>
      <c r="E313" s="569">
        <v>5</v>
      </c>
      <c r="F313" s="1256">
        <v>6</v>
      </c>
      <c r="G313" s="1256">
        <v>7</v>
      </c>
      <c r="H313" s="1257">
        <v>8</v>
      </c>
      <c r="I313" s="1258" t="s">
        <v>801</v>
      </c>
    </row>
    <row r="314" spans="1:14" s="534" customFormat="1" ht="16.5" thickTop="1" thickBot="1" x14ac:dyDescent="0.3">
      <c r="A314" s="1266">
        <v>60001100240</v>
      </c>
      <c r="B314" s="1007">
        <v>3122</v>
      </c>
      <c r="C314" s="1267">
        <v>5171</v>
      </c>
      <c r="D314" s="1008">
        <v>10</v>
      </c>
      <c r="E314" s="1261" t="s">
        <v>938</v>
      </c>
      <c r="F314" s="928"/>
      <c r="G314" s="1269">
        <v>1252</v>
      </c>
      <c r="H314" s="928">
        <v>1252</v>
      </c>
      <c r="I314" s="1270">
        <f>(H314/G314)*100</f>
        <v>100</v>
      </c>
    </row>
    <row r="315" spans="1:14" s="534" customFormat="1" ht="18" customHeight="1" thickTop="1" thickBot="1" x14ac:dyDescent="0.3">
      <c r="A315" s="2685" t="s">
        <v>258</v>
      </c>
      <c r="B315" s="2686"/>
      <c r="C315" s="2686"/>
      <c r="D315" s="2686"/>
      <c r="E315" s="2686"/>
      <c r="F315" s="911">
        <f>F314</f>
        <v>0</v>
      </c>
      <c r="G315" s="911">
        <f>G314</f>
        <v>1252</v>
      </c>
      <c r="H315" s="911">
        <f>H314</f>
        <v>1252</v>
      </c>
      <c r="I315" s="894">
        <f>(H315/G315)*100</f>
        <v>100</v>
      </c>
    </row>
    <row r="316" spans="1:14" ht="13.5" thickTop="1" x14ac:dyDescent="0.2">
      <c r="K316" s="951"/>
      <c r="L316" s="951"/>
      <c r="M316" s="951"/>
      <c r="N316" s="433"/>
    </row>
    <row r="317" spans="1:14" x14ac:dyDescent="0.2">
      <c r="K317" s="951"/>
      <c r="L317" s="951"/>
      <c r="M317" s="951"/>
      <c r="N317" s="433"/>
    </row>
    <row r="318" spans="1:14" s="534" customFormat="1" ht="13.5" thickBot="1" x14ac:dyDescent="0.25">
      <c r="A318" s="433" t="s">
        <v>79</v>
      </c>
      <c r="B318" s="645"/>
      <c r="D318" s="852"/>
      <c r="F318" s="495"/>
      <c r="G318" s="495"/>
      <c r="H318" s="495"/>
      <c r="I318" s="989" t="s">
        <v>173</v>
      </c>
    </row>
    <row r="319" spans="1:14" s="107" customFormat="1" ht="20.25" customHeight="1" thickTop="1" thickBot="1" x14ac:dyDescent="0.25">
      <c r="A319" s="690" t="s">
        <v>661</v>
      </c>
      <c r="B319" s="693" t="s">
        <v>174</v>
      </c>
      <c r="C319" s="691" t="s">
        <v>175</v>
      </c>
      <c r="D319" s="636" t="s">
        <v>744</v>
      </c>
      <c r="E319" s="694" t="s">
        <v>176</v>
      </c>
      <c r="F319" s="694" t="s">
        <v>177</v>
      </c>
      <c r="G319" s="694" t="s">
        <v>922</v>
      </c>
      <c r="H319" s="694" t="s">
        <v>923</v>
      </c>
      <c r="I319" s="856" t="s">
        <v>924</v>
      </c>
    </row>
    <row r="320" spans="1:14" s="384" customFormat="1" ht="13.5" thickTop="1" thickBot="1" x14ac:dyDescent="0.25">
      <c r="A320" s="1254">
        <v>1</v>
      </c>
      <c r="B320" s="1255">
        <v>2</v>
      </c>
      <c r="C320" s="1255">
        <v>3</v>
      </c>
      <c r="D320" s="1255">
        <v>4</v>
      </c>
      <c r="E320" s="569">
        <v>5</v>
      </c>
      <c r="F320" s="1256">
        <v>6</v>
      </c>
      <c r="G320" s="1256">
        <v>7</v>
      </c>
      <c r="H320" s="1257">
        <v>8</v>
      </c>
      <c r="I320" s="1258" t="s">
        <v>801</v>
      </c>
    </row>
    <row r="321" spans="1:14" s="534" customFormat="1" ht="16.5" thickTop="1" thickBot="1" x14ac:dyDescent="0.3">
      <c r="A321" s="1266">
        <v>60001100241</v>
      </c>
      <c r="B321" s="1007">
        <v>3122</v>
      </c>
      <c r="C321" s="1267">
        <v>5171</v>
      </c>
      <c r="D321" s="1008">
        <v>10</v>
      </c>
      <c r="E321" s="1261" t="s">
        <v>938</v>
      </c>
      <c r="F321" s="928"/>
      <c r="G321" s="1269">
        <v>654</v>
      </c>
      <c r="H321" s="928">
        <v>654</v>
      </c>
      <c r="I321" s="1270">
        <f>(H321/G321)*100</f>
        <v>100</v>
      </c>
    </row>
    <row r="322" spans="1:14" s="534" customFormat="1" ht="18" customHeight="1" thickTop="1" thickBot="1" x14ac:dyDescent="0.3">
      <c r="A322" s="2685" t="s">
        <v>258</v>
      </c>
      <c r="B322" s="2686"/>
      <c r="C322" s="2686"/>
      <c r="D322" s="2686"/>
      <c r="E322" s="2686"/>
      <c r="F322" s="911">
        <f>F321</f>
        <v>0</v>
      </c>
      <c r="G322" s="911">
        <f>G321</f>
        <v>654</v>
      </c>
      <c r="H322" s="911">
        <f>H321</f>
        <v>654</v>
      </c>
      <c r="I322" s="894">
        <f>(H322/G322)*100</f>
        <v>100</v>
      </c>
    </row>
    <row r="323" spans="1:14" ht="13.5" thickTop="1" x14ac:dyDescent="0.2">
      <c r="K323" s="951"/>
      <c r="L323" s="951"/>
      <c r="M323" s="951"/>
      <c r="N323" s="433"/>
    </row>
    <row r="324" spans="1:14" x14ac:dyDescent="0.2">
      <c r="K324" s="951"/>
      <c r="L324" s="951"/>
      <c r="M324" s="951"/>
      <c r="N324" s="433"/>
    </row>
    <row r="325" spans="1:14" s="534" customFormat="1" ht="13.5" thickBot="1" x14ac:dyDescent="0.25">
      <c r="A325" s="433" t="s">
        <v>80</v>
      </c>
      <c r="B325" s="645"/>
      <c r="D325" s="852"/>
      <c r="F325" s="495"/>
      <c r="G325" s="495"/>
      <c r="H325" s="495"/>
      <c r="I325" s="989" t="s">
        <v>173</v>
      </c>
    </row>
    <row r="326" spans="1:14" s="107" customFormat="1" ht="20.25" customHeight="1" thickTop="1" thickBot="1" x14ac:dyDescent="0.25">
      <c r="A326" s="690" t="s">
        <v>661</v>
      </c>
      <c r="B326" s="693" t="s">
        <v>174</v>
      </c>
      <c r="C326" s="691" t="s">
        <v>175</v>
      </c>
      <c r="D326" s="636" t="s">
        <v>744</v>
      </c>
      <c r="E326" s="694" t="s">
        <v>176</v>
      </c>
      <c r="F326" s="694" t="s">
        <v>177</v>
      </c>
      <c r="G326" s="694" t="s">
        <v>922</v>
      </c>
      <c r="H326" s="694" t="s">
        <v>923</v>
      </c>
      <c r="I326" s="856" t="s">
        <v>924</v>
      </c>
    </row>
    <row r="327" spans="1:14" s="384" customFormat="1" ht="13.5" thickTop="1" thickBot="1" x14ac:dyDescent="0.25">
      <c r="A327" s="1254">
        <v>1</v>
      </c>
      <c r="B327" s="1255">
        <v>2</v>
      </c>
      <c r="C327" s="1255">
        <v>3</v>
      </c>
      <c r="D327" s="1255">
        <v>4</v>
      </c>
      <c r="E327" s="569">
        <v>5</v>
      </c>
      <c r="F327" s="1256">
        <v>6</v>
      </c>
      <c r="G327" s="1256">
        <v>7</v>
      </c>
      <c r="H327" s="1257">
        <v>8</v>
      </c>
      <c r="I327" s="1258" t="s">
        <v>801</v>
      </c>
    </row>
    <row r="328" spans="1:14" s="534" customFormat="1" ht="16.5" thickTop="1" thickBot="1" x14ac:dyDescent="0.3">
      <c r="A328" s="1266">
        <v>60001100242</v>
      </c>
      <c r="B328" s="1007">
        <v>3122</v>
      </c>
      <c r="C328" s="1267">
        <v>5171</v>
      </c>
      <c r="D328" s="1008">
        <v>10</v>
      </c>
      <c r="E328" s="1261" t="s">
        <v>938</v>
      </c>
      <c r="F328" s="928"/>
      <c r="G328" s="1269">
        <v>1309</v>
      </c>
      <c r="H328" s="928">
        <v>1308</v>
      </c>
      <c r="I328" s="1270">
        <f>(H328/G328)*100</f>
        <v>99.923605805958744</v>
      </c>
    </row>
    <row r="329" spans="1:14" s="534" customFormat="1" ht="18" customHeight="1" thickTop="1" thickBot="1" x14ac:dyDescent="0.3">
      <c r="A329" s="2685" t="s">
        <v>258</v>
      </c>
      <c r="B329" s="2686"/>
      <c r="C329" s="2686"/>
      <c r="D329" s="2686"/>
      <c r="E329" s="2686"/>
      <c r="F329" s="911">
        <f>F328</f>
        <v>0</v>
      </c>
      <c r="G329" s="911">
        <f>G328</f>
        <v>1309</v>
      </c>
      <c r="H329" s="911">
        <f>H328</f>
        <v>1308</v>
      </c>
      <c r="I329" s="894">
        <f>(H329/G329)*100</f>
        <v>99.923605805958744</v>
      </c>
    </row>
    <row r="330" spans="1:14" ht="13.5" thickTop="1" x14ac:dyDescent="0.2">
      <c r="K330" s="951"/>
      <c r="L330" s="951"/>
      <c r="M330" s="951"/>
      <c r="N330" s="433"/>
    </row>
    <row r="331" spans="1:14" x14ac:dyDescent="0.2">
      <c r="K331" s="951"/>
      <c r="L331" s="951"/>
      <c r="M331" s="951"/>
      <c r="N331" s="433"/>
    </row>
    <row r="332" spans="1:14" x14ac:dyDescent="0.2">
      <c r="K332" s="951"/>
      <c r="L332" s="951"/>
      <c r="M332" s="951"/>
      <c r="N332" s="433"/>
    </row>
    <row r="333" spans="1:14" x14ac:dyDescent="0.2">
      <c r="K333" s="951"/>
      <c r="L333" s="951"/>
      <c r="M333" s="951"/>
      <c r="N333" s="433"/>
    </row>
    <row r="334" spans="1:14" x14ac:dyDescent="0.2">
      <c r="K334" s="951"/>
      <c r="L334" s="951"/>
      <c r="M334" s="951"/>
      <c r="N334" s="433"/>
    </row>
    <row r="335" spans="1:14" s="534" customFormat="1" ht="13.5" thickBot="1" x14ac:dyDescent="0.25">
      <c r="A335" s="433" t="s">
        <v>1106</v>
      </c>
      <c r="B335" s="645"/>
      <c r="D335" s="852"/>
      <c r="F335" s="495"/>
      <c r="G335" s="495"/>
      <c r="H335" s="495"/>
      <c r="I335" s="989" t="s">
        <v>173</v>
      </c>
    </row>
    <row r="336" spans="1:14" s="107" customFormat="1" ht="20.25" customHeight="1" thickTop="1" thickBot="1" x14ac:dyDescent="0.25">
      <c r="A336" s="690" t="s">
        <v>661</v>
      </c>
      <c r="B336" s="693" t="s">
        <v>174</v>
      </c>
      <c r="C336" s="691" t="s">
        <v>175</v>
      </c>
      <c r="D336" s="636" t="s">
        <v>744</v>
      </c>
      <c r="E336" s="694" t="s">
        <v>176</v>
      </c>
      <c r="F336" s="694" t="s">
        <v>177</v>
      </c>
      <c r="G336" s="694" t="s">
        <v>922</v>
      </c>
      <c r="H336" s="694" t="s">
        <v>923</v>
      </c>
      <c r="I336" s="856" t="s">
        <v>924</v>
      </c>
    </row>
    <row r="337" spans="1:14" s="384" customFormat="1" ht="13.5" thickTop="1" thickBot="1" x14ac:dyDescent="0.25">
      <c r="A337" s="1254">
        <v>1</v>
      </c>
      <c r="B337" s="1255">
        <v>2</v>
      </c>
      <c r="C337" s="1255">
        <v>3</v>
      </c>
      <c r="D337" s="1255">
        <v>4</v>
      </c>
      <c r="E337" s="569">
        <v>5</v>
      </c>
      <c r="F337" s="1256">
        <v>6</v>
      </c>
      <c r="G337" s="1256">
        <v>7</v>
      </c>
      <c r="H337" s="1257">
        <v>8</v>
      </c>
      <c r="I337" s="1258" t="s">
        <v>801</v>
      </c>
    </row>
    <row r="338" spans="1:14" s="534" customFormat="1" ht="16.5" thickTop="1" thickBot="1" x14ac:dyDescent="0.3">
      <c r="A338" s="1266">
        <v>60001100243</v>
      </c>
      <c r="B338" s="1007">
        <v>3121</v>
      </c>
      <c r="C338" s="1267">
        <v>5171</v>
      </c>
      <c r="D338" s="1008">
        <v>10</v>
      </c>
      <c r="E338" s="1261" t="s">
        <v>938</v>
      </c>
      <c r="F338" s="928"/>
      <c r="G338" s="1269">
        <v>93</v>
      </c>
      <c r="H338" s="928">
        <v>92</v>
      </c>
      <c r="I338" s="1270">
        <f>(H338/G338)*100</f>
        <v>98.924731182795696</v>
      </c>
    </row>
    <row r="339" spans="1:14" s="534" customFormat="1" ht="18" customHeight="1" thickTop="1" thickBot="1" x14ac:dyDescent="0.3">
      <c r="A339" s="2685" t="s">
        <v>258</v>
      </c>
      <c r="B339" s="2686"/>
      <c r="C339" s="2686"/>
      <c r="D339" s="2686"/>
      <c r="E339" s="2686"/>
      <c r="F339" s="911">
        <f>F338</f>
        <v>0</v>
      </c>
      <c r="G339" s="911">
        <f>G338</f>
        <v>93</v>
      </c>
      <c r="H339" s="911">
        <f>H338</f>
        <v>92</v>
      </c>
      <c r="I339" s="894">
        <f>(H339/G339)*100</f>
        <v>98.924731182795696</v>
      </c>
    </row>
    <row r="340" spans="1:14" ht="13.5" thickTop="1" x14ac:dyDescent="0.2">
      <c r="K340" s="951"/>
      <c r="L340" s="951"/>
      <c r="M340" s="951"/>
      <c r="N340" s="433"/>
    </row>
    <row r="341" spans="1:14" x14ac:dyDescent="0.2">
      <c r="K341" s="951"/>
      <c r="L341" s="951"/>
      <c r="M341" s="951"/>
      <c r="N341" s="433"/>
    </row>
    <row r="342" spans="1:14" s="534" customFormat="1" ht="13.5" thickBot="1" x14ac:dyDescent="0.25">
      <c r="A342" s="433" t="s">
        <v>1107</v>
      </c>
      <c r="B342" s="645"/>
      <c r="D342" s="852"/>
      <c r="F342" s="495"/>
      <c r="G342" s="495"/>
      <c r="H342" s="495"/>
      <c r="I342" s="989" t="s">
        <v>173</v>
      </c>
    </row>
    <row r="343" spans="1:14" s="107" customFormat="1" ht="20.25" customHeight="1" thickTop="1" thickBot="1" x14ac:dyDescent="0.25">
      <c r="A343" s="690" t="s">
        <v>661</v>
      </c>
      <c r="B343" s="693" t="s">
        <v>174</v>
      </c>
      <c r="C343" s="691" t="s">
        <v>175</v>
      </c>
      <c r="D343" s="636" t="s">
        <v>744</v>
      </c>
      <c r="E343" s="694" t="s">
        <v>176</v>
      </c>
      <c r="F343" s="694" t="s">
        <v>177</v>
      </c>
      <c r="G343" s="694" t="s">
        <v>922</v>
      </c>
      <c r="H343" s="694" t="s">
        <v>923</v>
      </c>
      <c r="I343" s="856" t="s">
        <v>924</v>
      </c>
    </row>
    <row r="344" spans="1:14" s="384" customFormat="1" ht="13.5" thickTop="1" thickBot="1" x14ac:dyDescent="0.25">
      <c r="A344" s="1254">
        <v>1</v>
      </c>
      <c r="B344" s="1255">
        <v>2</v>
      </c>
      <c r="C344" s="1255">
        <v>3</v>
      </c>
      <c r="D344" s="1255">
        <v>4</v>
      </c>
      <c r="E344" s="569">
        <v>5</v>
      </c>
      <c r="F344" s="1256">
        <v>6</v>
      </c>
      <c r="G344" s="1256">
        <v>7</v>
      </c>
      <c r="H344" s="1257">
        <v>8</v>
      </c>
      <c r="I344" s="1258" t="s">
        <v>801</v>
      </c>
    </row>
    <row r="345" spans="1:14" s="534" customFormat="1" ht="16.5" thickTop="1" thickBot="1" x14ac:dyDescent="0.3">
      <c r="A345" s="1266">
        <v>60001100244</v>
      </c>
      <c r="B345" s="1007">
        <v>3114</v>
      </c>
      <c r="C345" s="1267">
        <v>5171</v>
      </c>
      <c r="D345" s="1008">
        <v>10</v>
      </c>
      <c r="E345" s="1261" t="s">
        <v>938</v>
      </c>
      <c r="F345" s="928"/>
      <c r="G345" s="1269">
        <v>120</v>
      </c>
      <c r="H345" s="928">
        <v>107</v>
      </c>
      <c r="I345" s="1270">
        <f>(H345/G345)*100</f>
        <v>89.166666666666671</v>
      </c>
    </row>
    <row r="346" spans="1:14" s="534" customFormat="1" ht="18" customHeight="1" thickTop="1" thickBot="1" x14ac:dyDescent="0.3">
      <c r="A346" s="2685" t="s">
        <v>258</v>
      </c>
      <c r="B346" s="2686"/>
      <c r="C346" s="2686"/>
      <c r="D346" s="2686"/>
      <c r="E346" s="2686"/>
      <c r="F346" s="911">
        <f>F345</f>
        <v>0</v>
      </c>
      <c r="G346" s="911">
        <f>G345</f>
        <v>120</v>
      </c>
      <c r="H346" s="911">
        <f>H345</f>
        <v>107</v>
      </c>
      <c r="I346" s="894">
        <f>(H346/G346)*100</f>
        <v>89.166666666666671</v>
      </c>
    </row>
    <row r="347" spans="1:14" ht="13.5" thickTop="1" x14ac:dyDescent="0.2">
      <c r="K347" s="951"/>
      <c r="L347" s="951"/>
      <c r="M347" s="951"/>
      <c r="N347" s="433"/>
    </row>
    <row r="348" spans="1:14" x14ac:dyDescent="0.2">
      <c r="K348" s="951"/>
      <c r="L348" s="951"/>
      <c r="M348" s="951"/>
      <c r="N348" s="433"/>
    </row>
    <row r="349" spans="1:14" x14ac:dyDescent="0.2">
      <c r="A349" s="2741" t="s">
        <v>483</v>
      </c>
      <c r="B349" s="2742"/>
      <c r="C349" s="2742"/>
      <c r="D349" s="2742"/>
      <c r="E349" s="2742"/>
      <c r="F349" s="2742"/>
      <c r="G349" s="2742"/>
      <c r="H349" s="2742"/>
      <c r="I349" s="989"/>
      <c r="J349" s="534"/>
      <c r="K349" s="951"/>
      <c r="L349" s="951"/>
      <c r="M349" s="951"/>
      <c r="N349" s="433"/>
    </row>
    <row r="350" spans="1:14" s="534" customFormat="1" ht="13.5" thickBot="1" x14ac:dyDescent="0.25">
      <c r="A350" s="2743"/>
      <c r="B350" s="2743"/>
      <c r="C350" s="2743"/>
      <c r="D350" s="2743"/>
      <c r="E350" s="2743"/>
      <c r="F350" s="2743"/>
      <c r="G350" s="2743"/>
      <c r="H350" s="2743"/>
      <c r="I350" s="989" t="s">
        <v>173</v>
      </c>
    </row>
    <row r="351" spans="1:14" s="107" customFormat="1" ht="20.25" customHeight="1" thickTop="1" thickBot="1" x14ac:dyDescent="0.25">
      <c r="A351" s="690" t="s">
        <v>661</v>
      </c>
      <c r="B351" s="693" t="s">
        <v>174</v>
      </c>
      <c r="C351" s="691" t="s">
        <v>175</v>
      </c>
      <c r="D351" s="636" t="s">
        <v>744</v>
      </c>
      <c r="E351" s="694" t="s">
        <v>176</v>
      </c>
      <c r="F351" s="694" t="s">
        <v>177</v>
      </c>
      <c r="G351" s="694" t="s">
        <v>922</v>
      </c>
      <c r="H351" s="694" t="s">
        <v>923</v>
      </c>
      <c r="I351" s="856" t="s">
        <v>924</v>
      </c>
    </row>
    <row r="352" spans="1:14" s="384" customFormat="1" ht="13.5" thickTop="1" thickBot="1" x14ac:dyDescent="0.25">
      <c r="A352" s="1254">
        <v>1</v>
      </c>
      <c r="B352" s="1255">
        <v>2</v>
      </c>
      <c r="C352" s="1255">
        <v>3</v>
      </c>
      <c r="D352" s="1255">
        <v>4</v>
      </c>
      <c r="E352" s="569">
        <v>5</v>
      </c>
      <c r="F352" s="1256">
        <v>6</v>
      </c>
      <c r="G352" s="1256">
        <v>7</v>
      </c>
      <c r="H352" s="1257">
        <v>8</v>
      </c>
      <c r="I352" s="1258" t="s">
        <v>801</v>
      </c>
    </row>
    <row r="353" spans="1:14" s="534" customFormat="1" ht="16.5" thickTop="1" thickBot="1" x14ac:dyDescent="0.3">
      <c r="A353" s="1266">
        <v>60001100245</v>
      </c>
      <c r="B353" s="1007">
        <v>3122</v>
      </c>
      <c r="C353" s="1267">
        <v>5171</v>
      </c>
      <c r="D353" s="1008">
        <v>10</v>
      </c>
      <c r="E353" s="1261" t="s">
        <v>938</v>
      </c>
      <c r="F353" s="928"/>
      <c r="G353" s="1269">
        <v>247</v>
      </c>
      <c r="H353" s="928">
        <v>246</v>
      </c>
      <c r="I353" s="1270">
        <f>(H353/G353)*100</f>
        <v>99.595141700404852</v>
      </c>
    </row>
    <row r="354" spans="1:14" s="534" customFormat="1" ht="18" customHeight="1" thickTop="1" thickBot="1" x14ac:dyDescent="0.3">
      <c r="A354" s="2685" t="s">
        <v>258</v>
      </c>
      <c r="B354" s="2686"/>
      <c r="C354" s="2686"/>
      <c r="D354" s="2686"/>
      <c r="E354" s="2686"/>
      <c r="F354" s="911">
        <f>F353</f>
        <v>0</v>
      </c>
      <c r="G354" s="911">
        <f>G353</f>
        <v>247</v>
      </c>
      <c r="H354" s="911">
        <f>H353</f>
        <v>246</v>
      </c>
      <c r="I354" s="894">
        <f>(H354/G354)*100</f>
        <v>99.595141700404852</v>
      </c>
    </row>
    <row r="355" spans="1:14" ht="13.5" thickTop="1" x14ac:dyDescent="0.2">
      <c r="K355" s="951"/>
      <c r="L355" s="951"/>
      <c r="M355" s="951"/>
      <c r="N355" s="433"/>
    </row>
    <row r="356" spans="1:14" x14ac:dyDescent="0.2">
      <c r="K356" s="951"/>
      <c r="L356" s="951"/>
      <c r="M356" s="951"/>
      <c r="N356" s="433"/>
    </row>
    <row r="357" spans="1:14" s="534" customFormat="1" ht="13.5" thickBot="1" x14ac:dyDescent="0.25">
      <c r="A357" s="433" t="s">
        <v>484</v>
      </c>
      <c r="B357" s="645"/>
      <c r="D357" s="852"/>
      <c r="F357" s="495"/>
      <c r="G357" s="495"/>
      <c r="H357" s="495"/>
      <c r="I357" s="989" t="s">
        <v>173</v>
      </c>
    </row>
    <row r="358" spans="1:14" s="107" customFormat="1" ht="20.25" customHeight="1" thickTop="1" thickBot="1" x14ac:dyDescent="0.25">
      <c r="A358" s="690" t="s">
        <v>661</v>
      </c>
      <c r="B358" s="693" t="s">
        <v>174</v>
      </c>
      <c r="C358" s="691" t="s">
        <v>175</v>
      </c>
      <c r="D358" s="636" t="s">
        <v>744</v>
      </c>
      <c r="E358" s="694" t="s">
        <v>176</v>
      </c>
      <c r="F358" s="694" t="s">
        <v>177</v>
      </c>
      <c r="G358" s="694" t="s">
        <v>922</v>
      </c>
      <c r="H358" s="694" t="s">
        <v>923</v>
      </c>
      <c r="I358" s="856" t="s">
        <v>924</v>
      </c>
    </row>
    <row r="359" spans="1:14" s="384" customFormat="1" ht="13.5" thickTop="1" thickBot="1" x14ac:dyDescent="0.25">
      <c r="A359" s="1254">
        <v>1</v>
      </c>
      <c r="B359" s="1255">
        <v>2</v>
      </c>
      <c r="C359" s="1255">
        <v>3</v>
      </c>
      <c r="D359" s="1255">
        <v>4</v>
      </c>
      <c r="E359" s="569">
        <v>5</v>
      </c>
      <c r="F359" s="1256">
        <v>6</v>
      </c>
      <c r="G359" s="1256">
        <v>7</v>
      </c>
      <c r="H359" s="1257">
        <v>8</v>
      </c>
      <c r="I359" s="1258" t="s">
        <v>801</v>
      </c>
    </row>
    <row r="360" spans="1:14" s="534" customFormat="1" ht="16.5" thickTop="1" thickBot="1" x14ac:dyDescent="0.3">
      <c r="A360" s="1266">
        <v>60001100246</v>
      </c>
      <c r="B360" s="1007">
        <v>3122</v>
      </c>
      <c r="C360" s="1267">
        <v>5171</v>
      </c>
      <c r="D360" s="1008">
        <v>10</v>
      </c>
      <c r="E360" s="1261" t="s">
        <v>938</v>
      </c>
      <c r="F360" s="928"/>
      <c r="G360" s="1269">
        <v>1484</v>
      </c>
      <c r="H360" s="928">
        <v>1476</v>
      </c>
      <c r="I360" s="1270">
        <f>(H360/G360)*100</f>
        <v>99.460916442048514</v>
      </c>
    </row>
    <row r="361" spans="1:14" s="534" customFormat="1" ht="18" customHeight="1" thickTop="1" thickBot="1" x14ac:dyDescent="0.3">
      <c r="A361" s="2685" t="s">
        <v>258</v>
      </c>
      <c r="B361" s="2686"/>
      <c r="C361" s="2686"/>
      <c r="D361" s="2686"/>
      <c r="E361" s="2686"/>
      <c r="F361" s="911">
        <f>F360</f>
        <v>0</v>
      </c>
      <c r="G361" s="911">
        <f>G360</f>
        <v>1484</v>
      </c>
      <c r="H361" s="911">
        <f>H360</f>
        <v>1476</v>
      </c>
      <c r="I361" s="894">
        <f>(H361/G361)*100</f>
        <v>99.460916442048514</v>
      </c>
    </row>
    <row r="362" spans="1:14" ht="13.5" thickTop="1" x14ac:dyDescent="0.2">
      <c r="K362" s="951"/>
      <c r="L362" s="951"/>
      <c r="M362" s="951"/>
      <c r="N362" s="433"/>
    </row>
    <row r="363" spans="1:14" x14ac:dyDescent="0.2">
      <c r="K363" s="951"/>
      <c r="L363" s="951"/>
      <c r="M363" s="951"/>
      <c r="N363" s="433"/>
    </row>
    <row r="364" spans="1:14" s="534" customFormat="1" ht="13.5" thickBot="1" x14ac:dyDescent="0.25">
      <c r="A364" s="433" t="s">
        <v>477</v>
      </c>
      <c r="B364" s="645"/>
      <c r="D364" s="852"/>
      <c r="F364" s="495"/>
      <c r="G364" s="495"/>
      <c r="H364" s="495"/>
      <c r="I364" s="989" t="s">
        <v>173</v>
      </c>
    </row>
    <row r="365" spans="1:14" s="107" customFormat="1" ht="20.25" customHeight="1" thickTop="1" thickBot="1" x14ac:dyDescent="0.25">
      <c r="A365" s="690" t="s">
        <v>661</v>
      </c>
      <c r="B365" s="693" t="s">
        <v>174</v>
      </c>
      <c r="C365" s="691" t="s">
        <v>175</v>
      </c>
      <c r="D365" s="636" t="s">
        <v>744</v>
      </c>
      <c r="E365" s="694" t="s">
        <v>176</v>
      </c>
      <c r="F365" s="694" t="s">
        <v>177</v>
      </c>
      <c r="G365" s="694" t="s">
        <v>922</v>
      </c>
      <c r="H365" s="694" t="s">
        <v>923</v>
      </c>
      <c r="I365" s="856" t="s">
        <v>924</v>
      </c>
    </row>
    <row r="366" spans="1:14" s="384" customFormat="1" ht="13.5" thickTop="1" thickBot="1" x14ac:dyDescent="0.25">
      <c r="A366" s="568">
        <v>1</v>
      </c>
      <c r="B366" s="569">
        <v>2</v>
      </c>
      <c r="C366" s="569">
        <v>3</v>
      </c>
      <c r="D366" s="569">
        <v>4</v>
      </c>
      <c r="E366" s="569">
        <v>5</v>
      </c>
      <c r="F366" s="543">
        <v>6</v>
      </c>
      <c r="G366" s="543">
        <v>7</v>
      </c>
      <c r="H366" s="544">
        <v>8</v>
      </c>
      <c r="I366" s="638" t="s">
        <v>801</v>
      </c>
    </row>
    <row r="367" spans="1:14" s="384" customFormat="1" ht="15.75" thickTop="1" x14ac:dyDescent="0.25">
      <c r="A367" s="1312">
        <v>60001100247</v>
      </c>
      <c r="B367" s="1313">
        <v>3121</v>
      </c>
      <c r="C367" s="1313">
        <v>5169</v>
      </c>
      <c r="D367" s="1276">
        <v>10</v>
      </c>
      <c r="E367" s="1275" t="s">
        <v>892</v>
      </c>
      <c r="F367" s="1274"/>
      <c r="G367" s="1274">
        <v>18</v>
      </c>
      <c r="H367" s="1274">
        <v>0</v>
      </c>
      <c r="I367" s="874">
        <f>(H367/G367)*100</f>
        <v>0</v>
      </c>
    </row>
    <row r="368" spans="1:14" s="384" customFormat="1" ht="15.75" thickBot="1" x14ac:dyDescent="0.3">
      <c r="A368" s="1315">
        <v>60001100247</v>
      </c>
      <c r="B368" s="1316">
        <v>3121</v>
      </c>
      <c r="C368" s="1317">
        <v>5171</v>
      </c>
      <c r="D368" s="1004">
        <v>10</v>
      </c>
      <c r="E368" s="1271" t="s">
        <v>938</v>
      </c>
      <c r="F368" s="1272"/>
      <c r="G368" s="1273">
        <v>1299</v>
      </c>
      <c r="H368" s="1272">
        <v>926</v>
      </c>
      <c r="I368" s="1012">
        <f>(H368/G368)*100</f>
        <v>71.28560431100847</v>
      </c>
    </row>
    <row r="369" spans="1:14" s="534" customFormat="1" ht="18" customHeight="1" thickTop="1" thickBot="1" x14ac:dyDescent="0.3">
      <c r="A369" s="2685" t="s">
        <v>258</v>
      </c>
      <c r="B369" s="2686"/>
      <c r="C369" s="2686"/>
      <c r="D369" s="2686"/>
      <c r="E369" s="2686"/>
      <c r="F369" s="862">
        <v>0</v>
      </c>
      <c r="G369" s="862">
        <f>G367+G368</f>
        <v>1317</v>
      </c>
      <c r="H369" s="862">
        <f>H367+H368</f>
        <v>926</v>
      </c>
      <c r="I369" s="863">
        <f>(H369/G369)*100</f>
        <v>70.311313591495832</v>
      </c>
    </row>
    <row r="370" spans="1:14" s="384" customFormat="1" ht="16.5" thickTop="1" thickBot="1" x14ac:dyDescent="0.3">
      <c r="A370" s="1320">
        <v>60001100247</v>
      </c>
      <c r="B370" s="1321">
        <v>3121</v>
      </c>
      <c r="C370" s="1322">
        <v>6121</v>
      </c>
      <c r="D370" s="1008">
        <v>10</v>
      </c>
      <c r="E370" s="1277" t="s">
        <v>640</v>
      </c>
      <c r="F370" s="1278"/>
      <c r="G370" s="1279">
        <v>328</v>
      </c>
      <c r="H370" s="1278">
        <v>328</v>
      </c>
      <c r="I370" s="874">
        <f>(H370/G370)*100</f>
        <v>100</v>
      </c>
    </row>
    <row r="371" spans="1:14" s="534" customFormat="1" ht="18" customHeight="1" thickTop="1" thickBot="1" x14ac:dyDescent="0.3">
      <c r="A371" s="2699" t="s">
        <v>257</v>
      </c>
      <c r="B371" s="2698"/>
      <c r="C371" s="2698"/>
      <c r="D371" s="2698"/>
      <c r="E371" s="2698"/>
      <c r="F371" s="911">
        <f>F370</f>
        <v>0</v>
      </c>
      <c r="G371" s="911">
        <f>G370</f>
        <v>328</v>
      </c>
      <c r="H371" s="911">
        <f>H370</f>
        <v>328</v>
      </c>
      <c r="I371" s="863">
        <f>(H371/G371)*100</f>
        <v>100</v>
      </c>
    </row>
    <row r="372" spans="1:14" ht="13.5" thickTop="1" x14ac:dyDescent="0.2">
      <c r="K372" s="951"/>
      <c r="L372" s="951"/>
      <c r="M372" s="951"/>
      <c r="N372" s="433"/>
    </row>
    <row r="373" spans="1:14" x14ac:dyDescent="0.2">
      <c r="K373" s="951"/>
      <c r="L373" s="951"/>
      <c r="M373" s="951"/>
      <c r="N373" s="433"/>
    </row>
    <row r="374" spans="1:14" s="534" customFormat="1" ht="13.5" thickBot="1" x14ac:dyDescent="0.25">
      <c r="A374" s="433" t="s">
        <v>478</v>
      </c>
      <c r="B374" s="645"/>
      <c r="D374" s="852"/>
      <c r="F374" s="495"/>
      <c r="G374" s="495"/>
      <c r="H374" s="495"/>
      <c r="I374" s="989" t="s">
        <v>173</v>
      </c>
    </row>
    <row r="375" spans="1:14" s="107" customFormat="1" ht="20.25" customHeight="1" thickTop="1" thickBot="1" x14ac:dyDescent="0.25">
      <c r="A375" s="690" t="s">
        <v>661</v>
      </c>
      <c r="B375" s="693" t="s">
        <v>174</v>
      </c>
      <c r="C375" s="691" t="s">
        <v>175</v>
      </c>
      <c r="D375" s="636" t="s">
        <v>744</v>
      </c>
      <c r="E375" s="694" t="s">
        <v>176</v>
      </c>
      <c r="F375" s="694" t="s">
        <v>177</v>
      </c>
      <c r="G375" s="694" t="s">
        <v>922</v>
      </c>
      <c r="H375" s="694" t="s">
        <v>923</v>
      </c>
      <c r="I375" s="856" t="s">
        <v>924</v>
      </c>
    </row>
    <row r="376" spans="1:14" s="384" customFormat="1" ht="13.5" thickTop="1" thickBot="1" x14ac:dyDescent="0.25">
      <c r="A376" s="1254">
        <v>1</v>
      </c>
      <c r="B376" s="1255">
        <v>2</v>
      </c>
      <c r="C376" s="1255">
        <v>3</v>
      </c>
      <c r="D376" s="1255">
        <v>4</v>
      </c>
      <c r="E376" s="1255">
        <v>5</v>
      </c>
      <c r="F376" s="1256">
        <v>6</v>
      </c>
      <c r="G376" s="1256">
        <v>7</v>
      </c>
      <c r="H376" s="1257">
        <v>8</v>
      </c>
      <c r="I376" s="1258" t="s">
        <v>801</v>
      </c>
    </row>
    <row r="377" spans="1:14" s="534" customFormat="1" ht="15.75" thickTop="1" x14ac:dyDescent="0.25">
      <c r="A377" s="999">
        <v>60001100248</v>
      </c>
      <c r="B377" s="902">
        <v>3122</v>
      </c>
      <c r="C377" s="902">
        <v>5169</v>
      </c>
      <c r="D377" s="1282">
        <v>10</v>
      </c>
      <c r="E377" s="1281" t="s">
        <v>892</v>
      </c>
      <c r="F377" s="1280"/>
      <c r="G377" s="1280">
        <v>8</v>
      </c>
      <c r="H377" s="1280">
        <v>7</v>
      </c>
      <c r="I377" s="1265">
        <f>(H377/G377)*100</f>
        <v>87.5</v>
      </c>
    </row>
    <row r="378" spans="1:14" s="534" customFormat="1" ht="15.75" thickBot="1" x14ac:dyDescent="0.3">
      <c r="A378" s="1011">
        <v>60001100248</v>
      </c>
      <c r="B378" s="682">
        <v>3122</v>
      </c>
      <c r="C378" s="782">
        <v>5171</v>
      </c>
      <c r="D378" s="1004">
        <v>10</v>
      </c>
      <c r="E378" s="1261" t="s">
        <v>938</v>
      </c>
      <c r="F378" s="922"/>
      <c r="G378" s="1005">
        <v>1192</v>
      </c>
      <c r="H378" s="922">
        <v>1189</v>
      </c>
      <c r="I378" s="1014">
        <f>(H378/G378)*100</f>
        <v>99.74832214765101</v>
      </c>
    </row>
    <row r="379" spans="1:14" s="534" customFormat="1" ht="18" customHeight="1" thickTop="1" thickBot="1" x14ac:dyDescent="0.3">
      <c r="A379" s="2685" t="s">
        <v>258</v>
      </c>
      <c r="B379" s="2686"/>
      <c r="C379" s="2686"/>
      <c r="D379" s="2686"/>
      <c r="E379" s="2686"/>
      <c r="F379" s="911">
        <f>F377</f>
        <v>0</v>
      </c>
      <c r="G379" s="911">
        <f>G377+G378</f>
        <v>1200</v>
      </c>
      <c r="H379" s="911">
        <f>H377+H378</f>
        <v>1196</v>
      </c>
      <c r="I379" s="894">
        <f>(H379/G379)*100</f>
        <v>99.666666666666671</v>
      </c>
    </row>
    <row r="380" spans="1:14" ht="13.5" thickTop="1" x14ac:dyDescent="0.2">
      <c r="K380" s="951"/>
      <c r="L380" s="951"/>
      <c r="M380" s="951"/>
      <c r="N380" s="433"/>
    </row>
    <row r="381" spans="1:14" x14ac:dyDescent="0.2">
      <c r="K381" s="951"/>
      <c r="L381" s="951"/>
      <c r="M381" s="951"/>
      <c r="N381" s="433"/>
    </row>
    <row r="382" spans="1:14" s="534" customFormat="1" ht="13.5" thickBot="1" x14ac:dyDescent="0.25">
      <c r="A382" s="433" t="s">
        <v>479</v>
      </c>
      <c r="B382" s="645"/>
      <c r="D382" s="852"/>
      <c r="F382" s="495"/>
      <c r="G382" s="495"/>
      <c r="H382" s="495"/>
      <c r="I382" s="989" t="s">
        <v>173</v>
      </c>
    </row>
    <row r="383" spans="1:14" s="107" customFormat="1" ht="20.25" customHeight="1" thickTop="1" thickBot="1" x14ac:dyDescent="0.25">
      <c r="A383" s="690" t="s">
        <v>661</v>
      </c>
      <c r="B383" s="693" t="s">
        <v>174</v>
      </c>
      <c r="C383" s="691" t="s">
        <v>175</v>
      </c>
      <c r="D383" s="636" t="s">
        <v>744</v>
      </c>
      <c r="E383" s="694" t="s">
        <v>176</v>
      </c>
      <c r="F383" s="694" t="s">
        <v>177</v>
      </c>
      <c r="G383" s="694" t="s">
        <v>922</v>
      </c>
      <c r="H383" s="694" t="s">
        <v>923</v>
      </c>
      <c r="I383" s="856" t="s">
        <v>924</v>
      </c>
    </row>
    <row r="384" spans="1:14" s="384" customFormat="1" ht="13.5" thickTop="1" thickBot="1" x14ac:dyDescent="0.25">
      <c r="A384" s="1254">
        <v>1</v>
      </c>
      <c r="B384" s="1255">
        <v>2</v>
      </c>
      <c r="C384" s="1255">
        <v>3</v>
      </c>
      <c r="D384" s="1255">
        <v>4</v>
      </c>
      <c r="E384" s="1255">
        <v>5</v>
      </c>
      <c r="F384" s="1256">
        <v>6</v>
      </c>
      <c r="G384" s="1256">
        <v>7</v>
      </c>
      <c r="H384" s="1257">
        <v>8</v>
      </c>
      <c r="I384" s="1258" t="s">
        <v>801</v>
      </c>
    </row>
    <row r="385" spans="1:14" s="534" customFormat="1" ht="15.75" thickTop="1" x14ac:dyDescent="0.25">
      <c r="A385" s="999">
        <v>60001100319</v>
      </c>
      <c r="B385" s="902">
        <v>3121</v>
      </c>
      <c r="C385" s="902">
        <v>6121</v>
      </c>
      <c r="D385" s="1282">
        <v>10</v>
      </c>
      <c r="E385" s="1281" t="s">
        <v>640</v>
      </c>
      <c r="F385" s="1280"/>
      <c r="G385" s="1280">
        <v>112</v>
      </c>
      <c r="H385" s="1280">
        <v>98</v>
      </c>
      <c r="I385" s="1265">
        <f>(H385/G385)*100</f>
        <v>87.5</v>
      </c>
    </row>
    <row r="386" spans="1:14" s="534" customFormat="1" ht="15.75" thickBot="1" x14ac:dyDescent="0.3">
      <c r="A386" s="1011">
        <v>60001100319</v>
      </c>
      <c r="B386" s="682">
        <v>3121</v>
      </c>
      <c r="C386" s="782">
        <v>6121</v>
      </c>
      <c r="D386" s="1004">
        <v>98858</v>
      </c>
      <c r="E386" s="1261" t="s">
        <v>640</v>
      </c>
      <c r="F386" s="922"/>
      <c r="G386" s="1005">
        <v>1000</v>
      </c>
      <c r="H386" s="922">
        <v>1000</v>
      </c>
      <c r="I386" s="1014">
        <f>(H386/G386)*100</f>
        <v>100</v>
      </c>
    </row>
    <row r="387" spans="1:14" s="534" customFormat="1" ht="18" customHeight="1" thickTop="1" thickBot="1" x14ac:dyDescent="0.3">
      <c r="A387" s="2699" t="s">
        <v>257</v>
      </c>
      <c r="B387" s="2698"/>
      <c r="C387" s="2698"/>
      <c r="D387" s="2698"/>
      <c r="E387" s="2698"/>
      <c r="F387" s="911">
        <f>F385</f>
        <v>0</v>
      </c>
      <c r="G387" s="911">
        <f>G385+G386</f>
        <v>1112</v>
      </c>
      <c r="H387" s="911">
        <f>H385+H386</f>
        <v>1098</v>
      </c>
      <c r="I387" s="894">
        <f>(H387/G387)*100</f>
        <v>98.741007194244602</v>
      </c>
    </row>
    <row r="388" spans="1:14" ht="13.5" thickTop="1" x14ac:dyDescent="0.2">
      <c r="K388" s="951"/>
      <c r="L388" s="951"/>
      <c r="M388" s="951"/>
      <c r="N388" s="433"/>
    </row>
    <row r="389" spans="1:14" x14ac:dyDescent="0.2">
      <c r="K389" s="951"/>
      <c r="L389" s="951"/>
      <c r="M389" s="951"/>
      <c r="N389" s="433"/>
    </row>
    <row r="390" spans="1:14" s="534" customFormat="1" ht="13.5" thickBot="1" x14ac:dyDescent="0.25">
      <c r="A390" s="433" t="s">
        <v>480</v>
      </c>
      <c r="B390" s="645"/>
      <c r="D390" s="852"/>
      <c r="F390" s="495"/>
      <c r="G390" s="495"/>
      <c r="H390" s="495"/>
      <c r="I390" s="989" t="s">
        <v>173</v>
      </c>
    </row>
    <row r="391" spans="1:14" s="107" customFormat="1" ht="20.25" customHeight="1" thickTop="1" thickBot="1" x14ac:dyDescent="0.25">
      <c r="A391" s="690" t="s">
        <v>661</v>
      </c>
      <c r="B391" s="693" t="s">
        <v>174</v>
      </c>
      <c r="C391" s="691" t="s">
        <v>175</v>
      </c>
      <c r="D391" s="636" t="s">
        <v>744</v>
      </c>
      <c r="E391" s="694" t="s">
        <v>176</v>
      </c>
      <c r="F391" s="694" t="s">
        <v>177</v>
      </c>
      <c r="G391" s="694" t="s">
        <v>922</v>
      </c>
      <c r="H391" s="694" t="s">
        <v>923</v>
      </c>
      <c r="I391" s="856" t="s">
        <v>924</v>
      </c>
    </row>
    <row r="392" spans="1:14" s="384" customFormat="1" ht="13.5" thickTop="1" thickBot="1" x14ac:dyDescent="0.25">
      <c r="A392" s="1254">
        <v>1</v>
      </c>
      <c r="B392" s="1255">
        <v>2</v>
      </c>
      <c r="C392" s="1255">
        <v>3</v>
      </c>
      <c r="D392" s="1255">
        <v>4</v>
      </c>
      <c r="E392" s="569">
        <v>5</v>
      </c>
      <c r="F392" s="1256">
        <v>6</v>
      </c>
      <c r="G392" s="1256">
        <v>7</v>
      </c>
      <c r="H392" s="1257">
        <v>8</v>
      </c>
      <c r="I392" s="1258" t="s">
        <v>801</v>
      </c>
    </row>
    <row r="393" spans="1:14" s="534" customFormat="1" ht="16.5" thickTop="1" thickBot="1" x14ac:dyDescent="0.3">
      <c r="A393" s="1266">
        <v>60001100323</v>
      </c>
      <c r="B393" s="1007">
        <v>3123</v>
      </c>
      <c r="C393" s="1267">
        <v>5171</v>
      </c>
      <c r="D393" s="1008">
        <v>10</v>
      </c>
      <c r="E393" s="1261" t="s">
        <v>938</v>
      </c>
      <c r="F393" s="928"/>
      <c r="G393" s="1269">
        <v>1922</v>
      </c>
      <c r="H393" s="928">
        <v>1822</v>
      </c>
      <c r="I393" s="1270">
        <f>(H393/G393)*100</f>
        <v>94.797086368366294</v>
      </c>
    </row>
    <row r="394" spans="1:14" s="534" customFormat="1" ht="18" customHeight="1" thickTop="1" thickBot="1" x14ac:dyDescent="0.3">
      <c r="A394" s="2685" t="s">
        <v>258</v>
      </c>
      <c r="B394" s="2686"/>
      <c r="C394" s="2686"/>
      <c r="D394" s="2686"/>
      <c r="E394" s="2686"/>
      <c r="F394" s="911">
        <f>F393</f>
        <v>0</v>
      </c>
      <c r="G394" s="911">
        <f>G393</f>
        <v>1922</v>
      </c>
      <c r="H394" s="911">
        <f>H393</f>
        <v>1822</v>
      </c>
      <c r="I394" s="894">
        <f>(H394/G394)*100</f>
        <v>94.797086368366294</v>
      </c>
    </row>
    <row r="395" spans="1:14" ht="13.5" thickTop="1" x14ac:dyDescent="0.2">
      <c r="K395" s="951"/>
      <c r="L395" s="951"/>
      <c r="M395" s="951"/>
      <c r="N395" s="433"/>
    </row>
    <row r="396" spans="1:14" x14ac:dyDescent="0.2">
      <c r="K396" s="951"/>
      <c r="L396" s="951"/>
      <c r="M396" s="951"/>
      <c r="N396" s="433"/>
    </row>
    <row r="397" spans="1:14" x14ac:dyDescent="0.2">
      <c r="K397" s="951"/>
      <c r="L397" s="951"/>
      <c r="M397" s="951"/>
      <c r="N397" s="433"/>
    </row>
    <row r="398" spans="1:14" x14ac:dyDescent="0.2">
      <c r="K398" s="951"/>
      <c r="L398" s="951"/>
      <c r="M398" s="951"/>
      <c r="N398" s="433"/>
    </row>
    <row r="399" spans="1:14" x14ac:dyDescent="0.2">
      <c r="K399" s="951"/>
      <c r="L399" s="951"/>
      <c r="M399" s="951"/>
      <c r="N399" s="433"/>
    </row>
    <row r="400" spans="1:14" x14ac:dyDescent="0.2">
      <c r="K400" s="951"/>
      <c r="L400" s="951"/>
      <c r="M400" s="951"/>
      <c r="N400" s="433"/>
    </row>
    <row r="401" spans="1:14" x14ac:dyDescent="0.2">
      <c r="K401" s="951"/>
      <c r="L401" s="951"/>
      <c r="M401" s="951"/>
      <c r="N401" s="433"/>
    </row>
    <row r="402" spans="1:14" s="534" customFormat="1" ht="13.5" thickBot="1" x14ac:dyDescent="0.25">
      <c r="A402" s="433" t="s">
        <v>489</v>
      </c>
      <c r="B402" s="645"/>
      <c r="D402" s="852"/>
      <c r="F402" s="495"/>
      <c r="G402" s="495"/>
      <c r="H402" s="495"/>
      <c r="I402" s="989" t="s">
        <v>173</v>
      </c>
    </row>
    <row r="403" spans="1:14" s="107" customFormat="1" ht="20.25" customHeight="1" thickTop="1" thickBot="1" x14ac:dyDescent="0.25">
      <c r="A403" s="690" t="s">
        <v>661</v>
      </c>
      <c r="B403" s="693" t="s">
        <v>174</v>
      </c>
      <c r="C403" s="691" t="s">
        <v>175</v>
      </c>
      <c r="D403" s="636" t="s">
        <v>744</v>
      </c>
      <c r="E403" s="694" t="s">
        <v>176</v>
      </c>
      <c r="F403" s="694" t="s">
        <v>177</v>
      </c>
      <c r="G403" s="694" t="s">
        <v>922</v>
      </c>
      <c r="H403" s="694" t="s">
        <v>923</v>
      </c>
      <c r="I403" s="856" t="s">
        <v>924</v>
      </c>
    </row>
    <row r="404" spans="1:14" s="384" customFormat="1" ht="13.5" thickTop="1" thickBot="1" x14ac:dyDescent="0.25">
      <c r="A404" s="1254">
        <v>1</v>
      </c>
      <c r="B404" s="1255">
        <v>2</v>
      </c>
      <c r="C404" s="1255">
        <v>3</v>
      </c>
      <c r="D404" s="1255">
        <v>4</v>
      </c>
      <c r="E404" s="569">
        <v>5</v>
      </c>
      <c r="F404" s="1256">
        <v>6</v>
      </c>
      <c r="G404" s="1256">
        <v>7</v>
      </c>
      <c r="H404" s="1257">
        <v>8</v>
      </c>
      <c r="I404" s="1258" t="s">
        <v>801</v>
      </c>
    </row>
    <row r="405" spans="1:14" s="534" customFormat="1" ht="16.5" thickTop="1" thickBot="1" x14ac:dyDescent="0.3">
      <c r="A405" s="1266">
        <v>60001100334</v>
      </c>
      <c r="B405" s="1007">
        <v>3142</v>
      </c>
      <c r="C405" s="1267">
        <v>6121</v>
      </c>
      <c r="D405" s="1008">
        <v>10</v>
      </c>
      <c r="E405" s="1261" t="s">
        <v>640</v>
      </c>
      <c r="F405" s="928"/>
      <c r="G405" s="1269">
        <v>566</v>
      </c>
      <c r="H405" s="928">
        <v>565</v>
      </c>
      <c r="I405" s="1270">
        <f>(H405/G405)*100</f>
        <v>99.823321554770317</v>
      </c>
    </row>
    <row r="406" spans="1:14" s="534" customFormat="1" ht="18" customHeight="1" thickTop="1" thickBot="1" x14ac:dyDescent="0.3">
      <c r="A406" s="2699" t="s">
        <v>257</v>
      </c>
      <c r="B406" s="2698"/>
      <c r="C406" s="2698"/>
      <c r="D406" s="2698"/>
      <c r="E406" s="2698"/>
      <c r="F406" s="911">
        <f>F405</f>
        <v>0</v>
      </c>
      <c r="G406" s="911">
        <f>G405</f>
        <v>566</v>
      </c>
      <c r="H406" s="911">
        <f>H405</f>
        <v>565</v>
      </c>
      <c r="I406" s="894">
        <f>(H406/G406)*100</f>
        <v>99.823321554770317</v>
      </c>
    </row>
    <row r="407" spans="1:14" ht="13.5" thickTop="1" x14ac:dyDescent="0.2">
      <c r="K407" s="951"/>
      <c r="L407" s="951"/>
      <c r="M407" s="951"/>
      <c r="N407" s="433"/>
    </row>
    <row r="408" spans="1:14" x14ac:dyDescent="0.2">
      <c r="K408" s="951"/>
      <c r="L408" s="951"/>
      <c r="M408" s="951"/>
      <c r="N408" s="433"/>
    </row>
    <row r="409" spans="1:14" s="534" customFormat="1" ht="13.5" thickBot="1" x14ac:dyDescent="0.25">
      <c r="A409" s="433" t="s">
        <v>490</v>
      </c>
      <c r="B409" s="645"/>
      <c r="D409" s="852"/>
      <c r="F409" s="495"/>
      <c r="G409" s="495"/>
      <c r="H409" s="495"/>
      <c r="I409" s="989" t="s">
        <v>173</v>
      </c>
    </row>
    <row r="410" spans="1:14" s="107" customFormat="1" ht="20.25" customHeight="1" thickTop="1" thickBot="1" x14ac:dyDescent="0.25">
      <c r="A410" s="690" t="s">
        <v>661</v>
      </c>
      <c r="B410" s="693" t="s">
        <v>174</v>
      </c>
      <c r="C410" s="691" t="s">
        <v>175</v>
      </c>
      <c r="D410" s="636" t="s">
        <v>744</v>
      </c>
      <c r="E410" s="694" t="s">
        <v>176</v>
      </c>
      <c r="F410" s="694" t="s">
        <v>177</v>
      </c>
      <c r="G410" s="694" t="s">
        <v>922</v>
      </c>
      <c r="H410" s="694" t="s">
        <v>923</v>
      </c>
      <c r="I410" s="856" t="s">
        <v>924</v>
      </c>
    </row>
    <row r="411" spans="1:14" s="384" customFormat="1" ht="13.5" thickTop="1" thickBot="1" x14ac:dyDescent="0.25">
      <c r="A411" s="1254">
        <v>1</v>
      </c>
      <c r="B411" s="1255">
        <v>2</v>
      </c>
      <c r="C411" s="1255">
        <v>3</v>
      </c>
      <c r="D411" s="1255">
        <v>4</v>
      </c>
      <c r="E411" s="569">
        <v>5</v>
      </c>
      <c r="F411" s="1256">
        <v>6</v>
      </c>
      <c r="G411" s="1256">
        <v>7</v>
      </c>
      <c r="H411" s="1257">
        <v>8</v>
      </c>
      <c r="I411" s="1258" t="s">
        <v>801</v>
      </c>
    </row>
    <row r="412" spans="1:14" s="534" customFormat="1" ht="16.5" thickTop="1" thickBot="1" x14ac:dyDescent="0.3">
      <c r="A412" s="1266">
        <v>60001100335</v>
      </c>
      <c r="B412" s="1007">
        <v>3114</v>
      </c>
      <c r="C412" s="1267">
        <v>5171</v>
      </c>
      <c r="D412" s="1008">
        <v>10</v>
      </c>
      <c r="E412" s="1261" t="s">
        <v>938</v>
      </c>
      <c r="F412" s="928"/>
      <c r="G412" s="1269">
        <v>196</v>
      </c>
      <c r="H412" s="928">
        <v>196</v>
      </c>
      <c r="I412" s="1270">
        <f>(H412/G412)*100</f>
        <v>100</v>
      </c>
      <c r="L412" s="495">
        <f>G272+G279+G286+G294+G301+G308+G315+G322+G329+G339+G346+G354+G361+G369+G371+G379+G387+G394+G406+G413</f>
        <v>21321</v>
      </c>
      <c r="M412" s="495">
        <f>H272+H279+H286+H294+H301+H308+H315+H322+H329+H339+H346+H354+H361+H369+H371+H379+H387+H394+H406+H413</f>
        <v>20611</v>
      </c>
    </row>
    <row r="413" spans="1:14" s="534" customFormat="1" ht="18" customHeight="1" thickTop="1" thickBot="1" x14ac:dyDescent="0.3">
      <c r="A413" s="2685" t="s">
        <v>258</v>
      </c>
      <c r="B413" s="2686"/>
      <c r="C413" s="2686"/>
      <c r="D413" s="2686"/>
      <c r="E413" s="2686"/>
      <c r="F413" s="911">
        <f>F412</f>
        <v>0</v>
      </c>
      <c r="G413" s="911">
        <f>G412</f>
        <v>196</v>
      </c>
      <c r="H413" s="911">
        <f>H412</f>
        <v>196</v>
      </c>
      <c r="I413" s="894">
        <f>(H413/G413)*100</f>
        <v>100</v>
      </c>
      <c r="K413" s="495">
        <f>F14+F21+F29+F33+F41+F48+F56+F63+F72+F79+F86+F94+F101+F108+F115+F122+F129+F139+F146+F153+F160+F163+F170+F177+F184+F191+F198+F205+F212+F219+F227+F230+F237+F244+F251+F258+F261+F272+F279+F286+F294+F301+F308+F315+F322+F329+F339+F346+F354+F361+F369+F371+F379+F387+F394+F406+F413</f>
        <v>62847</v>
      </c>
      <c r="L413" s="495">
        <f>L122+L261+L412</f>
        <v>229852</v>
      </c>
      <c r="M413" s="495">
        <f>M122+M261+M412</f>
        <v>210636</v>
      </c>
      <c r="N413" s="534" t="s">
        <v>1152</v>
      </c>
    </row>
    <row r="414" spans="1:14" ht="13.5" thickTop="1" x14ac:dyDescent="0.2">
      <c r="K414" s="951"/>
      <c r="L414" s="951"/>
      <c r="M414" s="951"/>
      <c r="N414" s="433"/>
    </row>
    <row r="415" spans="1:14" x14ac:dyDescent="0.2">
      <c r="K415" s="951"/>
      <c r="L415" s="951"/>
      <c r="M415" s="951"/>
      <c r="N415" s="433"/>
    </row>
    <row r="416" spans="1:14" s="534" customFormat="1" ht="13.5" thickBot="1" x14ac:dyDescent="0.25">
      <c r="A416" s="433" t="s">
        <v>1112</v>
      </c>
      <c r="B416" s="645"/>
      <c r="D416" s="852"/>
      <c r="F416" s="495"/>
      <c r="G416" s="495"/>
      <c r="H416" s="495"/>
      <c r="I416" s="989" t="s">
        <v>173</v>
      </c>
    </row>
    <row r="417" spans="1:14" s="107" customFormat="1" ht="20.25" customHeight="1" thickTop="1" thickBot="1" x14ac:dyDescent="0.25">
      <c r="A417" s="690" t="s">
        <v>661</v>
      </c>
      <c r="B417" s="693" t="s">
        <v>174</v>
      </c>
      <c r="C417" s="691" t="s">
        <v>175</v>
      </c>
      <c r="D417" s="636" t="s">
        <v>744</v>
      </c>
      <c r="E417" s="694" t="s">
        <v>176</v>
      </c>
      <c r="F417" s="694" t="s">
        <v>177</v>
      </c>
      <c r="G417" s="694" t="s">
        <v>922</v>
      </c>
      <c r="H417" s="694" t="s">
        <v>923</v>
      </c>
      <c r="I417" s="856" t="s">
        <v>924</v>
      </c>
    </row>
    <row r="418" spans="1:14" s="384" customFormat="1" ht="13.5" thickTop="1" thickBot="1" x14ac:dyDescent="0.25">
      <c r="A418" s="1254">
        <v>1</v>
      </c>
      <c r="B418" s="1255">
        <v>2</v>
      </c>
      <c r="C418" s="1255">
        <v>3</v>
      </c>
      <c r="D418" s="1255">
        <v>4</v>
      </c>
      <c r="E418" s="569">
        <v>5</v>
      </c>
      <c r="F418" s="1256">
        <v>6</v>
      </c>
      <c r="G418" s="1256">
        <v>7</v>
      </c>
      <c r="H418" s="1257">
        <v>8</v>
      </c>
      <c r="I418" s="1258" t="s">
        <v>801</v>
      </c>
    </row>
    <row r="419" spans="1:14" s="534" customFormat="1" ht="16.5" thickTop="1" thickBot="1" x14ac:dyDescent="0.3">
      <c r="A419" s="1266">
        <v>60002100051</v>
      </c>
      <c r="B419" s="1007">
        <v>4351</v>
      </c>
      <c r="C419" s="1267">
        <v>5171</v>
      </c>
      <c r="D419" s="1008">
        <v>11</v>
      </c>
      <c r="E419" s="1261" t="s">
        <v>938</v>
      </c>
      <c r="F419" s="928"/>
      <c r="G419" s="1269">
        <v>337</v>
      </c>
      <c r="H419" s="928">
        <v>336</v>
      </c>
      <c r="I419" s="1270">
        <f>(H419/G419)*100</f>
        <v>99.703264094955486</v>
      </c>
    </row>
    <row r="420" spans="1:14" s="534" customFormat="1" ht="18" customHeight="1" thickTop="1" thickBot="1" x14ac:dyDescent="0.3">
      <c r="A420" s="2685" t="s">
        <v>258</v>
      </c>
      <c r="B420" s="2686"/>
      <c r="C420" s="2686"/>
      <c r="D420" s="2686"/>
      <c r="E420" s="2686"/>
      <c r="F420" s="911">
        <f>F419</f>
        <v>0</v>
      </c>
      <c r="G420" s="911">
        <f>G419</f>
        <v>337</v>
      </c>
      <c r="H420" s="911">
        <f>H419</f>
        <v>336</v>
      </c>
      <c r="I420" s="894">
        <f>(H420/G420)*100</f>
        <v>99.703264094955486</v>
      </c>
    </row>
    <row r="421" spans="1:14" ht="13.5" thickTop="1" x14ac:dyDescent="0.2">
      <c r="K421" s="951"/>
      <c r="L421" s="951"/>
      <c r="M421" s="951"/>
      <c r="N421" s="433"/>
    </row>
    <row r="422" spans="1:14" x14ac:dyDescent="0.2">
      <c r="K422" s="951"/>
      <c r="L422" s="951"/>
      <c r="M422" s="951"/>
      <c r="N422" s="433"/>
    </row>
    <row r="423" spans="1:14" s="534" customFormat="1" ht="13.5" thickBot="1" x14ac:dyDescent="0.25">
      <c r="A423" s="433" t="s">
        <v>1113</v>
      </c>
      <c r="B423" s="645"/>
      <c r="D423" s="852"/>
      <c r="F423" s="495"/>
      <c r="G423" s="495"/>
      <c r="H423" s="495"/>
      <c r="I423" s="989" t="s">
        <v>173</v>
      </c>
    </row>
    <row r="424" spans="1:14" s="107" customFormat="1" ht="20.25" customHeight="1" thickTop="1" thickBot="1" x14ac:dyDescent="0.25">
      <c r="A424" s="690" t="s">
        <v>661</v>
      </c>
      <c r="B424" s="693" t="s">
        <v>174</v>
      </c>
      <c r="C424" s="691" t="s">
        <v>175</v>
      </c>
      <c r="D424" s="636" t="s">
        <v>744</v>
      </c>
      <c r="E424" s="694" t="s">
        <v>176</v>
      </c>
      <c r="F424" s="694" t="s">
        <v>177</v>
      </c>
      <c r="G424" s="694" t="s">
        <v>922</v>
      </c>
      <c r="H424" s="694" t="s">
        <v>923</v>
      </c>
      <c r="I424" s="856" t="s">
        <v>924</v>
      </c>
    </row>
    <row r="425" spans="1:14" s="384" customFormat="1" ht="13.5" thickTop="1" thickBot="1" x14ac:dyDescent="0.25">
      <c r="A425" s="1254">
        <v>1</v>
      </c>
      <c r="B425" s="1255">
        <v>2</v>
      </c>
      <c r="C425" s="1255">
        <v>3</v>
      </c>
      <c r="D425" s="1255">
        <v>4</v>
      </c>
      <c r="E425" s="569">
        <v>5</v>
      </c>
      <c r="F425" s="1256">
        <v>6</v>
      </c>
      <c r="G425" s="1256">
        <v>7</v>
      </c>
      <c r="H425" s="1257">
        <v>8</v>
      </c>
      <c r="I425" s="1258" t="s">
        <v>801</v>
      </c>
    </row>
    <row r="426" spans="1:14" s="534" customFormat="1" ht="16.5" thickTop="1" thickBot="1" x14ac:dyDescent="0.3">
      <c r="A426" s="1266">
        <v>60002100054</v>
      </c>
      <c r="B426" s="1007">
        <v>4354</v>
      </c>
      <c r="C426" s="1267">
        <v>6121</v>
      </c>
      <c r="D426" s="1008">
        <v>11</v>
      </c>
      <c r="E426" s="1261" t="s">
        <v>640</v>
      </c>
      <c r="F426" s="928">
        <v>4500</v>
      </c>
      <c r="G426" s="1269">
        <v>4094</v>
      </c>
      <c r="H426" s="928">
        <v>3626</v>
      </c>
      <c r="I426" s="1270">
        <f>(H426/G426)*100</f>
        <v>88.568637029799703</v>
      </c>
    </row>
    <row r="427" spans="1:14" s="534" customFormat="1" ht="18" customHeight="1" thickTop="1" thickBot="1" x14ac:dyDescent="0.3">
      <c r="A427" s="2699" t="s">
        <v>257</v>
      </c>
      <c r="B427" s="2698"/>
      <c r="C427" s="2698"/>
      <c r="D427" s="2698"/>
      <c r="E427" s="2698"/>
      <c r="F427" s="911">
        <f>F426</f>
        <v>4500</v>
      </c>
      <c r="G427" s="911">
        <f>G426</f>
        <v>4094</v>
      </c>
      <c r="H427" s="911">
        <f>H426</f>
        <v>3626</v>
      </c>
      <c r="I427" s="894">
        <f>(H427/G427)*100</f>
        <v>88.568637029799703</v>
      </c>
    </row>
    <row r="428" spans="1:14" ht="13.5" thickTop="1" x14ac:dyDescent="0.2">
      <c r="K428" s="951"/>
      <c r="L428" s="951"/>
      <c r="M428" s="951"/>
      <c r="N428" s="433"/>
    </row>
    <row r="429" spans="1:14" x14ac:dyDescent="0.2">
      <c r="K429" s="951"/>
      <c r="L429" s="951"/>
      <c r="M429" s="951"/>
      <c r="N429" s="433"/>
    </row>
    <row r="430" spans="1:14" s="534" customFormat="1" ht="13.5" thickBot="1" x14ac:dyDescent="0.25">
      <c r="A430" s="433" t="s">
        <v>1114</v>
      </c>
      <c r="B430" s="645"/>
      <c r="D430" s="852"/>
      <c r="F430" s="495"/>
      <c r="G430" s="495"/>
      <c r="H430" s="495"/>
      <c r="I430" s="989" t="s">
        <v>173</v>
      </c>
    </row>
    <row r="431" spans="1:14" s="107" customFormat="1" ht="20.25" customHeight="1" thickTop="1" thickBot="1" x14ac:dyDescent="0.25">
      <c r="A431" s="690" t="s">
        <v>661</v>
      </c>
      <c r="B431" s="693" t="s">
        <v>174</v>
      </c>
      <c r="C431" s="691" t="s">
        <v>175</v>
      </c>
      <c r="D431" s="636" t="s">
        <v>744</v>
      </c>
      <c r="E431" s="694" t="s">
        <v>176</v>
      </c>
      <c r="F431" s="694" t="s">
        <v>177</v>
      </c>
      <c r="G431" s="694" t="s">
        <v>922</v>
      </c>
      <c r="H431" s="694" t="s">
        <v>923</v>
      </c>
      <c r="I431" s="856" t="s">
        <v>924</v>
      </c>
    </row>
    <row r="432" spans="1:14" s="384" customFormat="1" ht="13.5" thickTop="1" thickBot="1" x14ac:dyDescent="0.25">
      <c r="A432" s="1254">
        <v>1</v>
      </c>
      <c r="B432" s="1255">
        <v>2</v>
      </c>
      <c r="C432" s="1255">
        <v>3</v>
      </c>
      <c r="D432" s="1255">
        <v>4</v>
      </c>
      <c r="E432" s="569">
        <v>5</v>
      </c>
      <c r="F432" s="1256">
        <v>6</v>
      </c>
      <c r="G432" s="1256">
        <v>7</v>
      </c>
      <c r="H432" s="1257">
        <v>8</v>
      </c>
      <c r="I432" s="1258" t="s">
        <v>801</v>
      </c>
    </row>
    <row r="433" spans="1:14" s="534" customFormat="1" ht="16.5" thickTop="1" thickBot="1" x14ac:dyDescent="0.3">
      <c r="A433" s="1266">
        <v>60002100056</v>
      </c>
      <c r="B433" s="1007">
        <v>4357</v>
      </c>
      <c r="C433" s="1267">
        <v>5171</v>
      </c>
      <c r="D433" s="1008">
        <v>11</v>
      </c>
      <c r="E433" s="1261" t="s">
        <v>938</v>
      </c>
      <c r="F433" s="928">
        <v>1050</v>
      </c>
      <c r="G433" s="1269">
        <v>1009</v>
      </c>
      <c r="H433" s="928">
        <v>1008</v>
      </c>
      <c r="I433" s="1270">
        <f>(H433/G433)*100</f>
        <v>99.900891972249752</v>
      </c>
    </row>
    <row r="434" spans="1:14" s="534" customFormat="1" ht="18" customHeight="1" thickTop="1" thickBot="1" x14ac:dyDescent="0.3">
      <c r="A434" s="2685" t="s">
        <v>258</v>
      </c>
      <c r="B434" s="2686"/>
      <c r="C434" s="2686"/>
      <c r="D434" s="2686"/>
      <c r="E434" s="2686"/>
      <c r="F434" s="911">
        <f>F433</f>
        <v>1050</v>
      </c>
      <c r="G434" s="911">
        <f>G433</f>
        <v>1009</v>
      </c>
      <c r="H434" s="911">
        <f>H433</f>
        <v>1008</v>
      </c>
      <c r="I434" s="894">
        <f>(H434/G434)*100</f>
        <v>99.900891972249752</v>
      </c>
    </row>
    <row r="435" spans="1:14" ht="13.5" thickTop="1" x14ac:dyDescent="0.2">
      <c r="K435" s="951"/>
      <c r="L435" s="951"/>
      <c r="M435" s="951"/>
      <c r="N435" s="433"/>
    </row>
    <row r="436" spans="1:14" x14ac:dyDescent="0.2">
      <c r="K436" s="951"/>
      <c r="L436" s="951"/>
      <c r="M436" s="951"/>
      <c r="N436" s="433"/>
    </row>
    <row r="437" spans="1:14" s="534" customFormat="1" ht="13.5" thickBot="1" x14ac:dyDescent="0.25">
      <c r="A437" s="433" t="s">
        <v>1115</v>
      </c>
      <c r="B437" s="645"/>
      <c r="D437" s="852"/>
      <c r="F437" s="495"/>
      <c r="G437" s="495"/>
      <c r="H437" s="495"/>
      <c r="I437" s="989" t="s">
        <v>173</v>
      </c>
    </row>
    <row r="438" spans="1:14" s="107" customFormat="1" ht="20.25" customHeight="1" thickTop="1" thickBot="1" x14ac:dyDescent="0.25">
      <c r="A438" s="690" t="s">
        <v>661</v>
      </c>
      <c r="B438" s="693" t="s">
        <v>174</v>
      </c>
      <c r="C438" s="691" t="s">
        <v>175</v>
      </c>
      <c r="D438" s="636" t="s">
        <v>744</v>
      </c>
      <c r="E438" s="694" t="s">
        <v>176</v>
      </c>
      <c r="F438" s="694" t="s">
        <v>177</v>
      </c>
      <c r="G438" s="694" t="s">
        <v>922</v>
      </c>
      <c r="H438" s="694" t="s">
        <v>923</v>
      </c>
      <c r="I438" s="856" t="s">
        <v>924</v>
      </c>
    </row>
    <row r="439" spans="1:14" s="384" customFormat="1" ht="13.5" thickTop="1" thickBot="1" x14ac:dyDescent="0.25">
      <c r="A439" s="1254">
        <v>1</v>
      </c>
      <c r="B439" s="1255">
        <v>2</v>
      </c>
      <c r="C439" s="1255">
        <v>3</v>
      </c>
      <c r="D439" s="1255">
        <v>4</v>
      </c>
      <c r="E439" s="569">
        <v>5</v>
      </c>
      <c r="F439" s="1256">
        <v>6</v>
      </c>
      <c r="G439" s="1256">
        <v>7</v>
      </c>
      <c r="H439" s="1257">
        <v>8</v>
      </c>
      <c r="I439" s="1258" t="s">
        <v>801</v>
      </c>
    </row>
    <row r="440" spans="1:14" s="534" customFormat="1" ht="16.5" thickTop="1" thickBot="1" x14ac:dyDescent="0.3">
      <c r="A440" s="1266">
        <v>60002100062</v>
      </c>
      <c r="B440" s="1007">
        <v>4357</v>
      </c>
      <c r="C440" s="1267">
        <v>5171</v>
      </c>
      <c r="D440" s="1008">
        <v>11</v>
      </c>
      <c r="E440" s="1261" t="s">
        <v>938</v>
      </c>
      <c r="F440" s="928">
        <v>2200</v>
      </c>
      <c r="G440" s="1269">
        <v>1524</v>
      </c>
      <c r="H440" s="928">
        <v>1519</v>
      </c>
      <c r="I440" s="1270">
        <f>(H440/G440)*100</f>
        <v>99.671916010498691</v>
      </c>
    </row>
    <row r="441" spans="1:14" s="534" customFormat="1" ht="18" customHeight="1" thickTop="1" thickBot="1" x14ac:dyDescent="0.3">
      <c r="A441" s="2685" t="s">
        <v>258</v>
      </c>
      <c r="B441" s="2686"/>
      <c r="C441" s="2686"/>
      <c r="D441" s="2686"/>
      <c r="E441" s="2686"/>
      <c r="F441" s="911">
        <f>F440</f>
        <v>2200</v>
      </c>
      <c r="G441" s="911">
        <f>G440</f>
        <v>1524</v>
      </c>
      <c r="H441" s="911">
        <f>H440</f>
        <v>1519</v>
      </c>
      <c r="I441" s="894">
        <f>(H441/G441)*100</f>
        <v>99.671916010498691</v>
      </c>
    </row>
    <row r="442" spans="1:14" ht="13.5" thickTop="1" x14ac:dyDescent="0.2">
      <c r="K442" s="951"/>
      <c r="L442" s="951"/>
      <c r="M442" s="951"/>
      <c r="N442" s="433"/>
    </row>
    <row r="443" spans="1:14" x14ac:dyDescent="0.2">
      <c r="K443" s="951"/>
      <c r="L443" s="951"/>
      <c r="M443" s="951"/>
      <c r="N443" s="433"/>
    </row>
    <row r="444" spans="1:14" s="534" customFormat="1" ht="13.5" thickBot="1" x14ac:dyDescent="0.25">
      <c r="A444" s="433" t="s">
        <v>1116</v>
      </c>
      <c r="B444" s="645"/>
      <c r="D444" s="852"/>
      <c r="F444" s="495"/>
      <c r="G444" s="495"/>
      <c r="H444" s="495"/>
      <c r="I444" s="989" t="s">
        <v>173</v>
      </c>
    </row>
    <row r="445" spans="1:14" s="107" customFormat="1" ht="20.25" customHeight="1" thickTop="1" thickBot="1" x14ac:dyDescent="0.25">
      <c r="A445" s="690" t="s">
        <v>661</v>
      </c>
      <c r="B445" s="693" t="s">
        <v>174</v>
      </c>
      <c r="C445" s="691" t="s">
        <v>175</v>
      </c>
      <c r="D445" s="636" t="s">
        <v>744</v>
      </c>
      <c r="E445" s="694" t="s">
        <v>176</v>
      </c>
      <c r="F445" s="694" t="s">
        <v>177</v>
      </c>
      <c r="G445" s="694" t="s">
        <v>922</v>
      </c>
      <c r="H445" s="694" t="s">
        <v>923</v>
      </c>
      <c r="I445" s="856" t="s">
        <v>924</v>
      </c>
    </row>
    <row r="446" spans="1:14" s="384" customFormat="1" ht="13.5" thickTop="1" thickBot="1" x14ac:dyDescent="0.25">
      <c r="A446" s="1254">
        <v>1</v>
      </c>
      <c r="B446" s="1255">
        <v>2</v>
      </c>
      <c r="C446" s="1255">
        <v>3</v>
      </c>
      <c r="D446" s="1255">
        <v>4</v>
      </c>
      <c r="E446" s="569">
        <v>5</v>
      </c>
      <c r="F446" s="1256">
        <v>6</v>
      </c>
      <c r="G446" s="1256">
        <v>7</v>
      </c>
      <c r="H446" s="1257">
        <v>8</v>
      </c>
      <c r="I446" s="1258" t="s">
        <v>801</v>
      </c>
    </row>
    <row r="447" spans="1:14" s="534" customFormat="1" ht="16.5" thickTop="1" thickBot="1" x14ac:dyDescent="0.3">
      <c r="A447" s="1266">
        <v>60002100077</v>
      </c>
      <c r="B447" s="1007">
        <v>4357</v>
      </c>
      <c r="C447" s="1267">
        <v>5171</v>
      </c>
      <c r="D447" s="1008">
        <v>11</v>
      </c>
      <c r="E447" s="1261" t="s">
        <v>938</v>
      </c>
      <c r="F447" s="928">
        <v>1900</v>
      </c>
      <c r="G447" s="1269">
        <v>1821</v>
      </c>
      <c r="H447" s="928">
        <v>1820</v>
      </c>
      <c r="I447" s="1270">
        <f>(H447/G447)*100</f>
        <v>99.945085118066999</v>
      </c>
    </row>
    <row r="448" spans="1:14" s="534" customFormat="1" ht="18" customHeight="1" thickTop="1" thickBot="1" x14ac:dyDescent="0.3">
      <c r="A448" s="2685" t="s">
        <v>258</v>
      </c>
      <c r="B448" s="2686"/>
      <c r="C448" s="2686"/>
      <c r="D448" s="2686"/>
      <c r="E448" s="2686"/>
      <c r="F448" s="911">
        <f>F447</f>
        <v>1900</v>
      </c>
      <c r="G448" s="911">
        <f>G447</f>
        <v>1821</v>
      </c>
      <c r="H448" s="911">
        <f>H447</f>
        <v>1820</v>
      </c>
      <c r="I448" s="894">
        <f>(H448/G448)*100</f>
        <v>99.945085118066999</v>
      </c>
    </row>
    <row r="449" spans="1:14" ht="13.5" thickTop="1" x14ac:dyDescent="0.2">
      <c r="K449" s="951"/>
      <c r="L449" s="951"/>
      <c r="M449" s="951"/>
      <c r="N449" s="433"/>
    </row>
    <row r="450" spans="1:14" x14ac:dyDescent="0.2">
      <c r="K450" s="951"/>
      <c r="L450" s="951"/>
      <c r="M450" s="951"/>
      <c r="N450" s="433"/>
    </row>
    <row r="451" spans="1:14" s="534" customFormat="1" ht="13.5" thickBot="1" x14ac:dyDescent="0.25">
      <c r="A451" s="433" t="s">
        <v>1117</v>
      </c>
      <c r="B451" s="645"/>
      <c r="D451" s="852"/>
      <c r="F451" s="495"/>
      <c r="G451" s="495"/>
      <c r="H451" s="495"/>
      <c r="I451" s="989" t="s">
        <v>173</v>
      </c>
    </row>
    <row r="452" spans="1:14" s="107" customFormat="1" ht="20.25" customHeight="1" thickTop="1" thickBot="1" x14ac:dyDescent="0.25">
      <c r="A452" s="690" t="s">
        <v>661</v>
      </c>
      <c r="B452" s="693" t="s">
        <v>174</v>
      </c>
      <c r="C452" s="691" t="s">
        <v>175</v>
      </c>
      <c r="D452" s="636" t="s">
        <v>744</v>
      </c>
      <c r="E452" s="694" t="s">
        <v>176</v>
      </c>
      <c r="F452" s="694" t="s">
        <v>177</v>
      </c>
      <c r="G452" s="694" t="s">
        <v>922</v>
      </c>
      <c r="H452" s="694" t="s">
        <v>923</v>
      </c>
      <c r="I452" s="856" t="s">
        <v>924</v>
      </c>
    </row>
    <row r="453" spans="1:14" s="384" customFormat="1" ht="13.5" thickTop="1" thickBot="1" x14ac:dyDescent="0.25">
      <c r="A453" s="1254">
        <v>1</v>
      </c>
      <c r="B453" s="1255">
        <v>2</v>
      </c>
      <c r="C453" s="1255">
        <v>3</v>
      </c>
      <c r="D453" s="1255">
        <v>4</v>
      </c>
      <c r="E453" s="569">
        <v>5</v>
      </c>
      <c r="F453" s="1256">
        <v>6</v>
      </c>
      <c r="G453" s="1256">
        <v>7</v>
      </c>
      <c r="H453" s="1257">
        <v>8</v>
      </c>
      <c r="I453" s="1258" t="s">
        <v>801</v>
      </c>
    </row>
    <row r="454" spans="1:14" s="534" customFormat="1" ht="16.5" thickTop="1" thickBot="1" x14ac:dyDescent="0.3">
      <c r="A454" s="1266">
        <v>60002100183</v>
      </c>
      <c r="B454" s="1007">
        <v>4357</v>
      </c>
      <c r="C454" s="1267">
        <v>6121</v>
      </c>
      <c r="D454" s="1008">
        <v>11</v>
      </c>
      <c r="E454" s="1261" t="s">
        <v>640</v>
      </c>
      <c r="F454" s="928"/>
      <c r="G454" s="1269">
        <v>512</v>
      </c>
      <c r="H454" s="928">
        <v>511</v>
      </c>
      <c r="I454" s="1270">
        <f>(H454/G454)*100</f>
        <v>99.8046875</v>
      </c>
    </row>
    <row r="455" spans="1:14" s="534" customFormat="1" ht="18" customHeight="1" thickTop="1" thickBot="1" x14ac:dyDescent="0.3">
      <c r="A455" s="2699" t="s">
        <v>257</v>
      </c>
      <c r="B455" s="2698"/>
      <c r="C455" s="2698"/>
      <c r="D455" s="2698"/>
      <c r="E455" s="2698"/>
      <c r="F455" s="911">
        <f>F454</f>
        <v>0</v>
      </c>
      <c r="G455" s="911">
        <f>G454</f>
        <v>512</v>
      </c>
      <c r="H455" s="911">
        <f>H454</f>
        <v>511</v>
      </c>
      <c r="I455" s="894">
        <f>(H455/G455)*100</f>
        <v>99.8046875</v>
      </c>
    </row>
    <row r="456" spans="1:14" ht="13.5" thickTop="1" x14ac:dyDescent="0.2">
      <c r="K456" s="951"/>
      <c r="L456" s="951"/>
      <c r="M456" s="951"/>
      <c r="N456" s="433"/>
    </row>
    <row r="457" spans="1:14" x14ac:dyDescent="0.2">
      <c r="K457" s="951"/>
      <c r="L457" s="951"/>
      <c r="M457" s="951"/>
      <c r="N457" s="433"/>
    </row>
    <row r="458" spans="1:14" s="534" customFormat="1" ht="13.5" thickBot="1" x14ac:dyDescent="0.25">
      <c r="A458" s="433" t="s">
        <v>451</v>
      </c>
      <c r="B458" s="645"/>
      <c r="D458" s="852"/>
      <c r="F458" s="495"/>
      <c r="G458" s="495"/>
      <c r="H458" s="495"/>
      <c r="I458" s="989" t="s">
        <v>173</v>
      </c>
    </row>
    <row r="459" spans="1:14" s="107" customFormat="1" ht="20.25" customHeight="1" thickTop="1" thickBot="1" x14ac:dyDescent="0.25">
      <c r="A459" s="690" t="s">
        <v>661</v>
      </c>
      <c r="B459" s="693" t="s">
        <v>174</v>
      </c>
      <c r="C459" s="691" t="s">
        <v>175</v>
      </c>
      <c r="D459" s="636" t="s">
        <v>744</v>
      </c>
      <c r="E459" s="694" t="s">
        <v>176</v>
      </c>
      <c r="F459" s="694" t="s">
        <v>177</v>
      </c>
      <c r="G459" s="694" t="s">
        <v>922</v>
      </c>
      <c r="H459" s="694" t="s">
        <v>923</v>
      </c>
      <c r="I459" s="856" t="s">
        <v>924</v>
      </c>
    </row>
    <row r="460" spans="1:14" s="384" customFormat="1" ht="13.5" thickTop="1" thickBot="1" x14ac:dyDescent="0.25">
      <c r="A460" s="1254">
        <v>1</v>
      </c>
      <c r="B460" s="1255">
        <v>2</v>
      </c>
      <c r="C460" s="1255">
        <v>3</v>
      </c>
      <c r="D460" s="1255">
        <v>4</v>
      </c>
      <c r="E460" s="569">
        <v>5</v>
      </c>
      <c r="F460" s="1256">
        <v>6</v>
      </c>
      <c r="G460" s="1256">
        <v>7</v>
      </c>
      <c r="H460" s="1257">
        <v>8</v>
      </c>
      <c r="I460" s="1258" t="s">
        <v>801</v>
      </c>
    </row>
    <row r="461" spans="1:14" s="534" customFormat="1" ht="16.5" thickTop="1" thickBot="1" x14ac:dyDescent="0.3">
      <c r="A461" s="1266">
        <v>60002100209</v>
      </c>
      <c r="B461" s="1007">
        <v>4357</v>
      </c>
      <c r="C461" s="1267">
        <v>5171</v>
      </c>
      <c r="D461" s="1008">
        <v>11</v>
      </c>
      <c r="E461" s="1261" t="s">
        <v>938</v>
      </c>
      <c r="F461" s="928"/>
      <c r="G461" s="1269">
        <v>1414</v>
      </c>
      <c r="H461" s="928">
        <v>1414</v>
      </c>
      <c r="I461" s="1270">
        <f>(H461/G461)*100</f>
        <v>100</v>
      </c>
    </row>
    <row r="462" spans="1:14" s="534" customFormat="1" ht="18" customHeight="1" thickTop="1" thickBot="1" x14ac:dyDescent="0.3">
      <c r="A462" s="2685" t="s">
        <v>258</v>
      </c>
      <c r="B462" s="2686"/>
      <c r="C462" s="2686"/>
      <c r="D462" s="2686"/>
      <c r="E462" s="2686"/>
      <c r="F462" s="911">
        <f>F461</f>
        <v>0</v>
      </c>
      <c r="G462" s="911">
        <f>G461</f>
        <v>1414</v>
      </c>
      <c r="H462" s="911">
        <f>H461</f>
        <v>1414</v>
      </c>
      <c r="I462" s="894">
        <f>(H462/G462)*100</f>
        <v>100</v>
      </c>
    </row>
    <row r="463" spans="1:14" ht="13.5" thickTop="1" x14ac:dyDescent="0.2">
      <c r="K463" s="951"/>
      <c r="L463" s="951"/>
      <c r="M463" s="951"/>
      <c r="N463" s="433"/>
    </row>
    <row r="464" spans="1:14" x14ac:dyDescent="0.2">
      <c r="K464" s="951"/>
      <c r="L464" s="951"/>
      <c r="M464" s="951"/>
      <c r="N464" s="433"/>
    </row>
    <row r="465" spans="1:14" x14ac:dyDescent="0.2">
      <c r="K465" s="951"/>
      <c r="L465" s="951"/>
      <c r="M465" s="951"/>
      <c r="N465" s="433"/>
    </row>
    <row r="466" spans="1:14" x14ac:dyDescent="0.2">
      <c r="K466" s="951"/>
      <c r="L466" s="951"/>
      <c r="M466" s="951"/>
      <c r="N466" s="433"/>
    </row>
    <row r="467" spans="1:14" x14ac:dyDescent="0.2">
      <c r="K467" s="951"/>
      <c r="L467" s="951"/>
      <c r="M467" s="951"/>
      <c r="N467" s="433"/>
    </row>
    <row r="468" spans="1:14" x14ac:dyDescent="0.2">
      <c r="K468" s="951"/>
      <c r="L468" s="951"/>
      <c r="M468" s="951"/>
      <c r="N468" s="433"/>
    </row>
    <row r="469" spans="1:14" s="534" customFormat="1" ht="13.5" thickBot="1" x14ac:dyDescent="0.25">
      <c r="A469" s="433" t="s">
        <v>452</v>
      </c>
      <c r="B469" s="645"/>
      <c r="D469" s="852"/>
      <c r="F469" s="495"/>
      <c r="G469" s="495"/>
      <c r="H469" s="495"/>
      <c r="I469" s="989" t="s">
        <v>173</v>
      </c>
    </row>
    <row r="470" spans="1:14" s="107" customFormat="1" ht="20.25" customHeight="1" thickTop="1" thickBot="1" x14ac:dyDescent="0.25">
      <c r="A470" s="690" t="s">
        <v>661</v>
      </c>
      <c r="B470" s="693" t="s">
        <v>174</v>
      </c>
      <c r="C470" s="691" t="s">
        <v>175</v>
      </c>
      <c r="D470" s="636" t="s">
        <v>744</v>
      </c>
      <c r="E470" s="694" t="s">
        <v>176</v>
      </c>
      <c r="F470" s="694" t="s">
        <v>177</v>
      </c>
      <c r="G470" s="694" t="s">
        <v>922</v>
      </c>
      <c r="H470" s="694" t="s">
        <v>923</v>
      </c>
      <c r="I470" s="856" t="s">
        <v>924</v>
      </c>
    </row>
    <row r="471" spans="1:14" s="384" customFormat="1" ht="13.5" thickTop="1" thickBot="1" x14ac:dyDescent="0.25">
      <c r="A471" s="1254">
        <v>1</v>
      </c>
      <c r="B471" s="1255">
        <v>2</v>
      </c>
      <c r="C471" s="1255">
        <v>3</v>
      </c>
      <c r="D471" s="1255">
        <v>4</v>
      </c>
      <c r="E471" s="569">
        <v>5</v>
      </c>
      <c r="F471" s="1256">
        <v>6</v>
      </c>
      <c r="G471" s="1256">
        <v>7</v>
      </c>
      <c r="H471" s="1257">
        <v>8</v>
      </c>
      <c r="I471" s="1258" t="s">
        <v>801</v>
      </c>
    </row>
    <row r="472" spans="1:14" s="534" customFormat="1" ht="16.5" thickTop="1" thickBot="1" x14ac:dyDescent="0.3">
      <c r="A472" s="1266">
        <v>60002100249</v>
      </c>
      <c r="B472" s="1007">
        <v>4357</v>
      </c>
      <c r="C472" s="1267">
        <v>5137</v>
      </c>
      <c r="D472" s="1008">
        <v>11</v>
      </c>
      <c r="E472" s="1261" t="s">
        <v>167</v>
      </c>
      <c r="F472" s="928"/>
      <c r="G472" s="1269">
        <v>379</v>
      </c>
      <c r="H472" s="928">
        <v>379</v>
      </c>
      <c r="I472" s="1270">
        <f>(H472/G472)*100</f>
        <v>100</v>
      </c>
    </row>
    <row r="473" spans="1:14" s="534" customFormat="1" ht="18" customHeight="1" thickTop="1" thickBot="1" x14ac:dyDescent="0.3">
      <c r="A473" s="2685" t="s">
        <v>258</v>
      </c>
      <c r="B473" s="2686"/>
      <c r="C473" s="2686"/>
      <c r="D473" s="2686"/>
      <c r="E473" s="2686"/>
      <c r="F473" s="911">
        <f>F472</f>
        <v>0</v>
      </c>
      <c r="G473" s="911">
        <f>G472</f>
        <v>379</v>
      </c>
      <c r="H473" s="911">
        <f>H472</f>
        <v>379</v>
      </c>
      <c r="I473" s="894">
        <f>(H473/G473)*100</f>
        <v>100</v>
      </c>
    </row>
    <row r="474" spans="1:14" s="534" customFormat="1" ht="15.75" thickTop="1" x14ac:dyDescent="0.25">
      <c r="A474" s="997">
        <v>60002100249</v>
      </c>
      <c r="B474" s="811">
        <v>4357</v>
      </c>
      <c r="C474" s="656">
        <v>6121</v>
      </c>
      <c r="D474" s="1013">
        <v>11</v>
      </c>
      <c r="E474" s="309" t="s">
        <v>640</v>
      </c>
      <c r="F474" s="1000"/>
      <c r="G474" s="1264">
        <v>3411</v>
      </c>
      <c r="H474" s="1000">
        <v>3331</v>
      </c>
      <c r="I474" s="1265">
        <f>(H474/G474)*100</f>
        <v>97.654646731163879</v>
      </c>
    </row>
    <row r="475" spans="1:14" s="534" customFormat="1" ht="15.75" thickBot="1" x14ac:dyDescent="0.3">
      <c r="A475" s="1003">
        <v>60002100249</v>
      </c>
      <c r="B475" s="930">
        <v>4357</v>
      </c>
      <c r="C475" s="930">
        <v>6122</v>
      </c>
      <c r="D475" s="1285">
        <v>11</v>
      </c>
      <c r="E475" s="1284" t="s">
        <v>641</v>
      </c>
      <c r="F475" s="1283"/>
      <c r="G475" s="1283">
        <v>772</v>
      </c>
      <c r="H475" s="1283">
        <v>772</v>
      </c>
      <c r="I475" s="1014">
        <f>(H475/G475)*100</f>
        <v>100</v>
      </c>
    </row>
    <row r="476" spans="1:14" s="534" customFormat="1" ht="18" customHeight="1" thickTop="1" thickBot="1" x14ac:dyDescent="0.3">
      <c r="A476" s="2699" t="s">
        <v>257</v>
      </c>
      <c r="B476" s="2698"/>
      <c r="C476" s="2698"/>
      <c r="D476" s="2698"/>
      <c r="E476" s="2698"/>
      <c r="F476" s="911">
        <f>F474</f>
        <v>0</v>
      </c>
      <c r="G476" s="911">
        <f>G474+G475</f>
        <v>4183</v>
      </c>
      <c r="H476" s="911">
        <f>H474+H475</f>
        <v>4103</v>
      </c>
      <c r="I476" s="894">
        <f>(H476/G476)*100</f>
        <v>98.087497011714078</v>
      </c>
    </row>
    <row r="477" spans="1:14" s="534" customFormat="1" ht="18" customHeight="1" thickTop="1" x14ac:dyDescent="0.25">
      <c r="A477" s="369"/>
      <c r="B477" s="369"/>
      <c r="C477" s="369"/>
      <c r="D477" s="369"/>
      <c r="E477" s="369"/>
      <c r="F477" s="181"/>
      <c r="G477" s="181"/>
      <c r="H477" s="181"/>
      <c r="I477" s="210"/>
    </row>
    <row r="478" spans="1:14" s="534" customFormat="1" ht="18" customHeight="1" x14ac:dyDescent="0.25">
      <c r="A478" s="369"/>
      <c r="B478" s="369"/>
      <c r="C478" s="369"/>
      <c r="D478" s="369"/>
      <c r="E478" s="369"/>
      <c r="F478" s="181"/>
      <c r="G478" s="181"/>
      <c r="H478" s="181"/>
      <c r="I478" s="210"/>
    </row>
    <row r="479" spans="1:14" s="534" customFormat="1" ht="13.5" thickBot="1" x14ac:dyDescent="0.25">
      <c r="A479" s="433" t="s">
        <v>453</v>
      </c>
      <c r="B479" s="645"/>
      <c r="D479" s="852"/>
      <c r="F479" s="495"/>
      <c r="G479" s="495"/>
      <c r="H479" s="495"/>
      <c r="I479" s="989" t="s">
        <v>173</v>
      </c>
    </row>
    <row r="480" spans="1:14" s="107" customFormat="1" ht="20.25" customHeight="1" thickTop="1" thickBot="1" x14ac:dyDescent="0.25">
      <c r="A480" s="690" t="s">
        <v>661</v>
      </c>
      <c r="B480" s="693" t="s">
        <v>174</v>
      </c>
      <c r="C480" s="691" t="s">
        <v>175</v>
      </c>
      <c r="D480" s="636" t="s">
        <v>744</v>
      </c>
      <c r="E480" s="694" t="s">
        <v>176</v>
      </c>
      <c r="F480" s="694" t="s">
        <v>177</v>
      </c>
      <c r="G480" s="694" t="s">
        <v>922</v>
      </c>
      <c r="H480" s="694" t="s">
        <v>923</v>
      </c>
      <c r="I480" s="856" t="s">
        <v>924</v>
      </c>
    </row>
    <row r="481" spans="1:14" s="384" customFormat="1" ht="13.5" thickTop="1" thickBot="1" x14ac:dyDescent="0.25">
      <c r="A481" s="1254">
        <v>1</v>
      </c>
      <c r="B481" s="1255">
        <v>2</v>
      </c>
      <c r="C481" s="1255">
        <v>3</v>
      </c>
      <c r="D481" s="1255">
        <v>4</v>
      </c>
      <c r="E481" s="569">
        <v>5</v>
      </c>
      <c r="F481" s="1256">
        <v>6</v>
      </c>
      <c r="G481" s="1256">
        <v>7</v>
      </c>
      <c r="H481" s="1257">
        <v>8</v>
      </c>
      <c r="I481" s="1258" t="s">
        <v>801</v>
      </c>
    </row>
    <row r="482" spans="1:14" s="534" customFormat="1" ht="16.5" thickTop="1" thickBot="1" x14ac:dyDescent="0.3">
      <c r="A482" s="1266">
        <v>60002100250</v>
      </c>
      <c r="B482" s="1007">
        <v>4357</v>
      </c>
      <c r="C482" s="1267">
        <v>6121</v>
      </c>
      <c r="D482" s="1008">
        <v>11</v>
      </c>
      <c r="E482" s="1009" t="s">
        <v>640</v>
      </c>
      <c r="F482" s="928"/>
      <c r="G482" s="1269">
        <v>1200</v>
      </c>
      <c r="H482" s="928">
        <v>78</v>
      </c>
      <c r="I482" s="1270">
        <f>(H482/G482)*100</f>
        <v>6.5</v>
      </c>
    </row>
    <row r="483" spans="1:14" s="534" customFormat="1" ht="18" customHeight="1" thickTop="1" thickBot="1" x14ac:dyDescent="0.3">
      <c r="A483" s="2699" t="s">
        <v>257</v>
      </c>
      <c r="B483" s="2698"/>
      <c r="C483" s="2698"/>
      <c r="D483" s="2698"/>
      <c r="E483" s="2698"/>
      <c r="F483" s="911">
        <f>F482</f>
        <v>0</v>
      </c>
      <c r="G483" s="911">
        <f>G482</f>
        <v>1200</v>
      </c>
      <c r="H483" s="911">
        <f>H482</f>
        <v>78</v>
      </c>
      <c r="I483" s="894">
        <f>(H483/G483)*100</f>
        <v>6.5</v>
      </c>
    </row>
    <row r="484" spans="1:14" ht="13.5" thickTop="1" x14ac:dyDescent="0.2">
      <c r="K484" s="951"/>
      <c r="L484" s="951"/>
      <c r="M484" s="951"/>
      <c r="N484" s="433"/>
    </row>
    <row r="485" spans="1:14" x14ac:dyDescent="0.2">
      <c r="K485" s="951"/>
      <c r="L485" s="951"/>
      <c r="M485" s="951"/>
      <c r="N485" s="433"/>
    </row>
    <row r="486" spans="1:14" s="534" customFormat="1" ht="13.5" thickBot="1" x14ac:dyDescent="0.25">
      <c r="A486" s="433" t="s">
        <v>454</v>
      </c>
      <c r="B486" s="645"/>
      <c r="D486" s="852"/>
      <c r="F486" s="495"/>
      <c r="G486" s="495"/>
      <c r="H486" s="495"/>
      <c r="I486" s="989" t="s">
        <v>173</v>
      </c>
    </row>
    <row r="487" spans="1:14" s="107" customFormat="1" ht="20.25" customHeight="1" thickTop="1" thickBot="1" x14ac:dyDescent="0.25">
      <c r="A487" s="690" t="s">
        <v>661</v>
      </c>
      <c r="B487" s="693" t="s">
        <v>174</v>
      </c>
      <c r="C487" s="691" t="s">
        <v>175</v>
      </c>
      <c r="D487" s="636" t="s">
        <v>744</v>
      </c>
      <c r="E487" s="694" t="s">
        <v>176</v>
      </c>
      <c r="F487" s="694" t="s">
        <v>177</v>
      </c>
      <c r="G487" s="694" t="s">
        <v>922</v>
      </c>
      <c r="H487" s="694" t="s">
        <v>923</v>
      </c>
      <c r="I487" s="856" t="s">
        <v>924</v>
      </c>
    </row>
    <row r="488" spans="1:14" s="384" customFormat="1" ht="13.5" thickTop="1" thickBot="1" x14ac:dyDescent="0.25">
      <c r="A488" s="1254">
        <v>1</v>
      </c>
      <c r="B488" s="1255">
        <v>2</v>
      </c>
      <c r="C488" s="1255">
        <v>3</v>
      </c>
      <c r="D488" s="1255">
        <v>4</v>
      </c>
      <c r="E488" s="569">
        <v>5</v>
      </c>
      <c r="F488" s="1256">
        <v>6</v>
      </c>
      <c r="G488" s="1256">
        <v>7</v>
      </c>
      <c r="H488" s="1257">
        <v>8</v>
      </c>
      <c r="I488" s="1258" t="s">
        <v>801</v>
      </c>
    </row>
    <row r="489" spans="1:14" s="534" customFormat="1" ht="16.5" thickTop="1" thickBot="1" x14ac:dyDescent="0.3">
      <c r="A489" s="1266">
        <v>60002100251</v>
      </c>
      <c r="B489" s="1007">
        <v>4322</v>
      </c>
      <c r="C489" s="1267">
        <v>6121</v>
      </c>
      <c r="D489" s="1008">
        <v>870</v>
      </c>
      <c r="E489" s="1009" t="s">
        <v>640</v>
      </c>
      <c r="F489" s="928"/>
      <c r="G489" s="1269">
        <v>5730</v>
      </c>
      <c r="H489" s="928">
        <v>5241</v>
      </c>
      <c r="I489" s="1270">
        <f>(H489/G489)*100</f>
        <v>91.465968586387433</v>
      </c>
    </row>
    <row r="490" spans="1:14" s="534" customFormat="1" ht="18" customHeight="1" thickTop="1" thickBot="1" x14ac:dyDescent="0.3">
      <c r="A490" s="2699" t="s">
        <v>257</v>
      </c>
      <c r="B490" s="2698"/>
      <c r="C490" s="2698"/>
      <c r="D490" s="2698"/>
      <c r="E490" s="2698"/>
      <c r="F490" s="911">
        <f>F489</f>
        <v>0</v>
      </c>
      <c r="G490" s="911">
        <f>G489</f>
        <v>5730</v>
      </c>
      <c r="H490" s="911">
        <f>H489</f>
        <v>5241</v>
      </c>
      <c r="I490" s="894">
        <f>(H490/G490)*100</f>
        <v>91.465968586387433</v>
      </c>
    </row>
    <row r="491" spans="1:14" ht="13.5" thickTop="1" x14ac:dyDescent="0.2">
      <c r="K491" s="951"/>
      <c r="L491" s="951"/>
      <c r="M491" s="951"/>
      <c r="N491" s="433"/>
    </row>
    <row r="492" spans="1:14" x14ac:dyDescent="0.2">
      <c r="K492" s="951"/>
      <c r="L492" s="951"/>
      <c r="M492" s="951"/>
      <c r="N492" s="433"/>
    </row>
    <row r="493" spans="1:14" s="534" customFormat="1" ht="13.5" thickBot="1" x14ac:dyDescent="0.25">
      <c r="A493" s="433" t="s">
        <v>455</v>
      </c>
      <c r="B493" s="645"/>
      <c r="D493" s="852"/>
      <c r="F493" s="495"/>
      <c r="G493" s="495"/>
      <c r="H493" s="495"/>
      <c r="I493" s="989" t="s">
        <v>173</v>
      </c>
    </row>
    <row r="494" spans="1:14" s="107" customFormat="1" ht="20.25" customHeight="1" thickTop="1" thickBot="1" x14ac:dyDescent="0.25">
      <c r="A494" s="690" t="s">
        <v>661</v>
      </c>
      <c r="B494" s="693" t="s">
        <v>174</v>
      </c>
      <c r="C494" s="691" t="s">
        <v>175</v>
      </c>
      <c r="D494" s="636" t="s">
        <v>744</v>
      </c>
      <c r="E494" s="694" t="s">
        <v>176</v>
      </c>
      <c r="F494" s="694" t="s">
        <v>177</v>
      </c>
      <c r="G494" s="694" t="s">
        <v>922</v>
      </c>
      <c r="H494" s="694" t="s">
        <v>923</v>
      </c>
      <c r="I494" s="856" t="s">
        <v>924</v>
      </c>
    </row>
    <row r="495" spans="1:14" s="384" customFormat="1" ht="13.5" thickTop="1" thickBot="1" x14ac:dyDescent="0.25">
      <c r="A495" s="1254">
        <v>1</v>
      </c>
      <c r="B495" s="1255">
        <v>2</v>
      </c>
      <c r="C495" s="1255">
        <v>3</v>
      </c>
      <c r="D495" s="1255">
        <v>4</v>
      </c>
      <c r="E495" s="569">
        <v>5</v>
      </c>
      <c r="F495" s="1256">
        <v>6</v>
      </c>
      <c r="G495" s="1256">
        <v>7</v>
      </c>
      <c r="H495" s="1257">
        <v>8</v>
      </c>
      <c r="I495" s="1258" t="s">
        <v>801</v>
      </c>
    </row>
    <row r="496" spans="1:14" s="534" customFormat="1" ht="16.5" thickTop="1" thickBot="1" x14ac:dyDescent="0.3">
      <c r="A496" s="1266">
        <v>60002100252</v>
      </c>
      <c r="B496" s="1007">
        <v>4322</v>
      </c>
      <c r="C496" s="1267">
        <v>6121</v>
      </c>
      <c r="D496" s="1008">
        <v>11</v>
      </c>
      <c r="E496" s="1009" t="s">
        <v>640</v>
      </c>
      <c r="F496" s="928"/>
      <c r="G496" s="1269">
        <v>527</v>
      </c>
      <c r="H496" s="928">
        <v>459</v>
      </c>
      <c r="I496" s="1270">
        <f>(H496/G496)*100</f>
        <v>87.096774193548384</v>
      </c>
    </row>
    <row r="497" spans="1:14" s="534" customFormat="1" ht="18" customHeight="1" thickTop="1" thickBot="1" x14ac:dyDescent="0.3">
      <c r="A497" s="2699" t="s">
        <v>257</v>
      </c>
      <c r="B497" s="2698"/>
      <c r="C497" s="2698"/>
      <c r="D497" s="2698"/>
      <c r="E497" s="2698"/>
      <c r="F497" s="911">
        <f>F496</f>
        <v>0</v>
      </c>
      <c r="G497" s="911">
        <f>G496</f>
        <v>527</v>
      </c>
      <c r="H497" s="911">
        <f>H496</f>
        <v>459</v>
      </c>
      <c r="I497" s="894">
        <f>(H497/G497)*100</f>
        <v>87.096774193548384</v>
      </c>
    </row>
    <row r="498" spans="1:14" ht="13.5" thickTop="1" x14ac:dyDescent="0.2">
      <c r="K498" s="951"/>
      <c r="L498" s="951"/>
      <c r="M498" s="951"/>
      <c r="N498" s="433"/>
    </row>
    <row r="499" spans="1:14" x14ac:dyDescent="0.2">
      <c r="K499" s="951"/>
      <c r="L499" s="951"/>
      <c r="M499" s="951"/>
      <c r="N499" s="433"/>
    </row>
    <row r="500" spans="1:14" s="534" customFormat="1" ht="13.5" thickBot="1" x14ac:dyDescent="0.25">
      <c r="A500" s="433" t="s">
        <v>456</v>
      </c>
      <c r="B500" s="645"/>
      <c r="D500" s="852"/>
      <c r="F500" s="495"/>
      <c r="G500" s="495"/>
      <c r="H500" s="495"/>
      <c r="I500" s="989" t="s">
        <v>173</v>
      </c>
    </row>
    <row r="501" spans="1:14" s="107" customFormat="1" ht="20.25" customHeight="1" thickTop="1" thickBot="1" x14ac:dyDescent="0.25">
      <c r="A501" s="690" t="s">
        <v>661</v>
      </c>
      <c r="B501" s="693" t="s">
        <v>174</v>
      </c>
      <c r="C501" s="691" t="s">
        <v>175</v>
      </c>
      <c r="D501" s="636" t="s">
        <v>744</v>
      </c>
      <c r="E501" s="694" t="s">
        <v>176</v>
      </c>
      <c r="F501" s="694" t="s">
        <v>177</v>
      </c>
      <c r="G501" s="694" t="s">
        <v>922</v>
      </c>
      <c r="H501" s="694" t="s">
        <v>923</v>
      </c>
      <c r="I501" s="856" t="s">
        <v>924</v>
      </c>
    </row>
    <row r="502" spans="1:14" s="384" customFormat="1" ht="13.5" thickTop="1" thickBot="1" x14ac:dyDescent="0.25">
      <c r="A502" s="1254">
        <v>1</v>
      </c>
      <c r="B502" s="1255">
        <v>2</v>
      </c>
      <c r="C502" s="1255">
        <v>3</v>
      </c>
      <c r="D502" s="1255">
        <v>4</v>
      </c>
      <c r="E502" s="569">
        <v>5</v>
      </c>
      <c r="F502" s="1256">
        <v>6</v>
      </c>
      <c r="G502" s="1256">
        <v>7</v>
      </c>
      <c r="H502" s="1257">
        <v>8</v>
      </c>
      <c r="I502" s="1258" t="s">
        <v>801</v>
      </c>
    </row>
    <row r="503" spans="1:14" s="534" customFormat="1" ht="16.5" thickTop="1" thickBot="1" x14ac:dyDescent="0.3">
      <c r="A503" s="1266">
        <v>60002100253</v>
      </c>
      <c r="B503" s="1007">
        <v>4322</v>
      </c>
      <c r="C503" s="1267">
        <v>5171</v>
      </c>
      <c r="D503" s="1008">
        <v>11</v>
      </c>
      <c r="E503" s="1009" t="s">
        <v>938</v>
      </c>
      <c r="F503" s="928"/>
      <c r="G503" s="1269">
        <v>1560</v>
      </c>
      <c r="H503" s="928">
        <v>1198</v>
      </c>
      <c r="I503" s="1270">
        <f>(H503/G503)*100</f>
        <v>76.794871794871796</v>
      </c>
    </row>
    <row r="504" spans="1:14" s="534" customFormat="1" ht="18" customHeight="1" thickTop="1" thickBot="1" x14ac:dyDescent="0.3">
      <c r="A504" s="2685" t="s">
        <v>258</v>
      </c>
      <c r="B504" s="2686"/>
      <c r="C504" s="2686"/>
      <c r="D504" s="2686"/>
      <c r="E504" s="2686"/>
      <c r="F504" s="911">
        <f>F503</f>
        <v>0</v>
      </c>
      <c r="G504" s="911">
        <f>G503</f>
        <v>1560</v>
      </c>
      <c r="H504" s="911">
        <f>H503</f>
        <v>1198</v>
      </c>
      <c r="I504" s="894">
        <f>(H504/G504)*100</f>
        <v>76.794871794871796</v>
      </c>
    </row>
    <row r="505" spans="1:14" ht="13.5" thickTop="1" x14ac:dyDescent="0.2">
      <c r="K505" s="951"/>
      <c r="L505" s="951"/>
      <c r="M505" s="951"/>
      <c r="N505" s="433"/>
    </row>
    <row r="506" spans="1:14" x14ac:dyDescent="0.2">
      <c r="K506" s="951"/>
      <c r="L506" s="951"/>
      <c r="M506" s="951"/>
      <c r="N506" s="433"/>
    </row>
    <row r="507" spans="1:14" s="534" customFormat="1" ht="13.5" thickBot="1" x14ac:dyDescent="0.25">
      <c r="A507" s="433" t="s">
        <v>457</v>
      </c>
      <c r="B507" s="645"/>
      <c r="D507" s="852"/>
      <c r="F507" s="495"/>
      <c r="G507" s="495"/>
      <c r="H507" s="495"/>
      <c r="I507" s="989" t="s">
        <v>173</v>
      </c>
    </row>
    <row r="508" spans="1:14" s="107" customFormat="1" ht="20.25" customHeight="1" thickTop="1" thickBot="1" x14ac:dyDescent="0.25">
      <c r="A508" s="690" t="s">
        <v>661</v>
      </c>
      <c r="B508" s="693" t="s">
        <v>174</v>
      </c>
      <c r="C508" s="691" t="s">
        <v>175</v>
      </c>
      <c r="D508" s="636" t="s">
        <v>744</v>
      </c>
      <c r="E508" s="694" t="s">
        <v>176</v>
      </c>
      <c r="F508" s="694" t="s">
        <v>177</v>
      </c>
      <c r="G508" s="694" t="s">
        <v>922</v>
      </c>
      <c r="H508" s="694" t="s">
        <v>923</v>
      </c>
      <c r="I508" s="856" t="s">
        <v>924</v>
      </c>
    </row>
    <row r="509" spans="1:14" s="384" customFormat="1" ht="13.5" thickTop="1" thickBot="1" x14ac:dyDescent="0.25">
      <c r="A509" s="1254">
        <v>1</v>
      </c>
      <c r="B509" s="1255">
        <v>2</v>
      </c>
      <c r="C509" s="1255">
        <v>3</v>
      </c>
      <c r="D509" s="1255">
        <v>4</v>
      </c>
      <c r="E509" s="569">
        <v>5</v>
      </c>
      <c r="F509" s="1256">
        <v>6</v>
      </c>
      <c r="G509" s="1256">
        <v>7</v>
      </c>
      <c r="H509" s="1257">
        <v>8</v>
      </c>
      <c r="I509" s="1258" t="s">
        <v>801</v>
      </c>
    </row>
    <row r="510" spans="1:14" s="534" customFormat="1" ht="16.5" thickTop="1" thickBot="1" x14ac:dyDescent="0.3">
      <c r="A510" s="1266">
        <v>60002100255</v>
      </c>
      <c r="B510" s="1007">
        <v>4357</v>
      </c>
      <c r="C510" s="1267">
        <v>6121</v>
      </c>
      <c r="D510" s="1008">
        <v>11</v>
      </c>
      <c r="E510" s="1009" t="s">
        <v>640</v>
      </c>
      <c r="F510" s="928"/>
      <c r="G510" s="1269">
        <v>1314</v>
      </c>
      <c r="H510" s="928">
        <v>115</v>
      </c>
      <c r="I510" s="1270">
        <f>(H510/G510)*100</f>
        <v>8.7519025875190248</v>
      </c>
    </row>
    <row r="511" spans="1:14" s="534" customFormat="1" ht="18" customHeight="1" thickTop="1" thickBot="1" x14ac:dyDescent="0.3">
      <c r="A511" s="2699" t="s">
        <v>257</v>
      </c>
      <c r="B511" s="2698"/>
      <c r="C511" s="2698"/>
      <c r="D511" s="2698"/>
      <c r="E511" s="2698"/>
      <c r="F511" s="911">
        <f>F510</f>
        <v>0</v>
      </c>
      <c r="G511" s="911">
        <f>G510</f>
        <v>1314</v>
      </c>
      <c r="H511" s="911">
        <f>H510</f>
        <v>115</v>
      </c>
      <c r="I511" s="894">
        <f>(H511/G511)*100</f>
        <v>8.7519025875190248</v>
      </c>
    </row>
    <row r="512" spans="1:14" ht="13.5" thickTop="1" x14ac:dyDescent="0.2">
      <c r="K512" s="951"/>
      <c r="L512" s="951"/>
      <c r="M512" s="951"/>
      <c r="N512" s="433"/>
    </row>
    <row r="513" spans="1:14" x14ac:dyDescent="0.2">
      <c r="K513" s="951"/>
      <c r="L513" s="951"/>
      <c r="M513" s="951"/>
      <c r="N513" s="433"/>
    </row>
    <row r="514" spans="1:14" s="534" customFormat="1" ht="13.5" thickBot="1" x14ac:dyDescent="0.25">
      <c r="A514" s="433" t="s">
        <v>849</v>
      </c>
      <c r="B514" s="645"/>
      <c r="D514" s="852"/>
      <c r="F514" s="495"/>
      <c r="G514" s="495"/>
      <c r="H514" s="495"/>
      <c r="I514" s="989" t="s">
        <v>173</v>
      </c>
    </row>
    <row r="515" spans="1:14" s="107" customFormat="1" ht="20.25" customHeight="1" thickTop="1" thickBot="1" x14ac:dyDescent="0.25">
      <c r="A515" s="690" t="s">
        <v>661</v>
      </c>
      <c r="B515" s="693" t="s">
        <v>174</v>
      </c>
      <c r="C515" s="691" t="s">
        <v>175</v>
      </c>
      <c r="D515" s="636" t="s">
        <v>744</v>
      </c>
      <c r="E515" s="694" t="s">
        <v>176</v>
      </c>
      <c r="F515" s="694" t="s">
        <v>177</v>
      </c>
      <c r="G515" s="694" t="s">
        <v>922</v>
      </c>
      <c r="H515" s="694" t="s">
        <v>923</v>
      </c>
      <c r="I515" s="856" t="s">
        <v>924</v>
      </c>
    </row>
    <row r="516" spans="1:14" s="384" customFormat="1" ht="13.5" thickTop="1" thickBot="1" x14ac:dyDescent="0.25">
      <c r="A516" s="1254">
        <v>1</v>
      </c>
      <c r="B516" s="1255">
        <v>2</v>
      </c>
      <c r="C516" s="1255">
        <v>3</v>
      </c>
      <c r="D516" s="1255">
        <v>4</v>
      </c>
      <c r="E516" s="569">
        <v>5</v>
      </c>
      <c r="F516" s="1256">
        <v>6</v>
      </c>
      <c r="G516" s="1256">
        <v>7</v>
      </c>
      <c r="H516" s="1257">
        <v>8</v>
      </c>
      <c r="I516" s="1258" t="s">
        <v>801</v>
      </c>
    </row>
    <row r="517" spans="1:14" s="534" customFormat="1" ht="16.5" thickTop="1" thickBot="1" x14ac:dyDescent="0.3">
      <c r="A517" s="1266">
        <v>60002100256</v>
      </c>
      <c r="B517" s="1007">
        <v>4357</v>
      </c>
      <c r="C517" s="1267">
        <v>6121</v>
      </c>
      <c r="D517" s="1008">
        <v>11</v>
      </c>
      <c r="E517" s="1009" t="s">
        <v>640</v>
      </c>
      <c r="F517" s="928"/>
      <c r="G517" s="1269">
        <v>759</v>
      </c>
      <c r="H517" s="928">
        <v>759</v>
      </c>
      <c r="I517" s="1270">
        <f>(H517/G517)*100</f>
        <v>100</v>
      </c>
    </row>
    <row r="518" spans="1:14" s="534" customFormat="1" ht="18" customHeight="1" thickTop="1" thickBot="1" x14ac:dyDescent="0.3">
      <c r="A518" s="2699" t="s">
        <v>257</v>
      </c>
      <c r="B518" s="2698"/>
      <c r="C518" s="2698"/>
      <c r="D518" s="2698"/>
      <c r="E518" s="2698"/>
      <c r="F518" s="911">
        <f>F517</f>
        <v>0</v>
      </c>
      <c r="G518" s="911">
        <f>G517</f>
        <v>759</v>
      </c>
      <c r="H518" s="911">
        <f>H517</f>
        <v>759</v>
      </c>
      <c r="I518" s="894">
        <f>(H518/G518)*100</f>
        <v>100</v>
      </c>
    </row>
    <row r="519" spans="1:14" ht="13.5" thickTop="1" x14ac:dyDescent="0.2">
      <c r="K519" s="951"/>
      <c r="L519" s="951"/>
      <c r="M519" s="951"/>
      <c r="N519" s="433"/>
    </row>
    <row r="520" spans="1:14" x14ac:dyDescent="0.2">
      <c r="K520" s="951"/>
      <c r="L520" s="951"/>
      <c r="M520" s="951"/>
      <c r="N520" s="433"/>
    </row>
    <row r="521" spans="1:14" s="534" customFormat="1" ht="13.5" thickBot="1" x14ac:dyDescent="0.25">
      <c r="A521" s="433" t="s">
        <v>850</v>
      </c>
      <c r="B521" s="645"/>
      <c r="D521" s="852"/>
      <c r="F521" s="495"/>
      <c r="G521" s="495"/>
      <c r="H521" s="495"/>
      <c r="I521" s="989" t="s">
        <v>173</v>
      </c>
    </row>
    <row r="522" spans="1:14" s="107" customFormat="1" ht="20.25" customHeight="1" thickTop="1" thickBot="1" x14ac:dyDescent="0.25">
      <c r="A522" s="690" t="s">
        <v>661</v>
      </c>
      <c r="B522" s="693" t="s">
        <v>174</v>
      </c>
      <c r="C522" s="691" t="s">
        <v>175</v>
      </c>
      <c r="D522" s="636" t="s">
        <v>744</v>
      </c>
      <c r="E522" s="694" t="s">
        <v>176</v>
      </c>
      <c r="F522" s="694" t="s">
        <v>177</v>
      </c>
      <c r="G522" s="694" t="s">
        <v>922</v>
      </c>
      <c r="H522" s="694" t="s">
        <v>923</v>
      </c>
      <c r="I522" s="856" t="s">
        <v>924</v>
      </c>
    </row>
    <row r="523" spans="1:14" s="384" customFormat="1" ht="13.5" thickTop="1" thickBot="1" x14ac:dyDescent="0.25">
      <c r="A523" s="1254">
        <v>1</v>
      </c>
      <c r="B523" s="1255">
        <v>2</v>
      </c>
      <c r="C523" s="1255">
        <v>3</v>
      </c>
      <c r="D523" s="1255">
        <v>4</v>
      </c>
      <c r="E523" s="569">
        <v>5</v>
      </c>
      <c r="F523" s="1256">
        <v>6</v>
      </c>
      <c r="G523" s="1256">
        <v>7</v>
      </c>
      <c r="H523" s="1257">
        <v>8</v>
      </c>
      <c r="I523" s="1258" t="s">
        <v>801</v>
      </c>
    </row>
    <row r="524" spans="1:14" s="534" customFormat="1" ht="16.5" thickTop="1" thickBot="1" x14ac:dyDescent="0.3">
      <c r="A524" s="1266">
        <v>60002100258</v>
      </c>
      <c r="B524" s="1007">
        <v>4357</v>
      </c>
      <c r="C524" s="1267">
        <v>6121</v>
      </c>
      <c r="D524" s="1008">
        <v>870</v>
      </c>
      <c r="E524" s="1009" t="s">
        <v>640</v>
      </c>
      <c r="F524" s="928"/>
      <c r="G524" s="1269">
        <v>545</v>
      </c>
      <c r="H524" s="928">
        <v>0</v>
      </c>
      <c r="I524" s="1270">
        <f>(H524/G524)*100</f>
        <v>0</v>
      </c>
    </row>
    <row r="525" spans="1:14" s="534" customFormat="1" ht="18" customHeight="1" thickTop="1" thickBot="1" x14ac:dyDescent="0.3">
      <c r="A525" s="2699" t="s">
        <v>257</v>
      </c>
      <c r="B525" s="2698"/>
      <c r="C525" s="2698"/>
      <c r="D525" s="2698"/>
      <c r="E525" s="2698"/>
      <c r="F525" s="911">
        <f>F524</f>
        <v>0</v>
      </c>
      <c r="G525" s="911">
        <f>G524</f>
        <v>545</v>
      </c>
      <c r="H525" s="911">
        <f>H524</f>
        <v>0</v>
      </c>
      <c r="I525" s="894">
        <f>(H525/G525)*100</f>
        <v>0</v>
      </c>
    </row>
    <row r="526" spans="1:14" ht="13.5" thickTop="1" x14ac:dyDescent="0.2">
      <c r="K526" s="951"/>
      <c r="L526" s="951"/>
      <c r="M526" s="951"/>
      <c r="N526" s="433"/>
    </row>
    <row r="527" spans="1:14" x14ac:dyDescent="0.2">
      <c r="K527" s="951"/>
      <c r="L527" s="951"/>
      <c r="M527" s="951"/>
      <c r="N527" s="433"/>
    </row>
    <row r="528" spans="1:14" s="534" customFormat="1" ht="13.5" thickBot="1" x14ac:dyDescent="0.25">
      <c r="A528" s="433" t="s">
        <v>325</v>
      </c>
      <c r="B528" s="645"/>
      <c r="D528" s="852"/>
      <c r="F528" s="495"/>
      <c r="G528" s="495"/>
      <c r="H528" s="495"/>
      <c r="I528" s="989" t="s">
        <v>173</v>
      </c>
    </row>
    <row r="529" spans="1:14" s="107" customFormat="1" ht="20.25" customHeight="1" thickTop="1" thickBot="1" x14ac:dyDescent="0.25">
      <c r="A529" s="690" t="s">
        <v>661</v>
      </c>
      <c r="B529" s="693" t="s">
        <v>174</v>
      </c>
      <c r="C529" s="691" t="s">
        <v>175</v>
      </c>
      <c r="D529" s="636" t="s">
        <v>744</v>
      </c>
      <c r="E529" s="694" t="s">
        <v>176</v>
      </c>
      <c r="F529" s="694" t="s">
        <v>177</v>
      </c>
      <c r="G529" s="694" t="s">
        <v>922</v>
      </c>
      <c r="H529" s="694" t="s">
        <v>923</v>
      </c>
      <c r="I529" s="856" t="s">
        <v>924</v>
      </c>
    </row>
    <row r="530" spans="1:14" s="384" customFormat="1" ht="13.5" thickTop="1" thickBot="1" x14ac:dyDescent="0.25">
      <c r="A530" s="1254">
        <v>1</v>
      </c>
      <c r="B530" s="1255">
        <v>2</v>
      </c>
      <c r="C530" s="1255">
        <v>3</v>
      </c>
      <c r="D530" s="1255">
        <v>4</v>
      </c>
      <c r="E530" s="569">
        <v>5</v>
      </c>
      <c r="F530" s="1256">
        <v>6</v>
      </c>
      <c r="G530" s="1256">
        <v>7</v>
      </c>
      <c r="H530" s="1257">
        <v>8</v>
      </c>
      <c r="I530" s="1258" t="s">
        <v>801</v>
      </c>
    </row>
    <row r="531" spans="1:14" s="534" customFormat="1" ht="16.5" thickTop="1" thickBot="1" x14ac:dyDescent="0.3">
      <c r="A531" s="1266">
        <v>60002100259</v>
      </c>
      <c r="B531" s="1007">
        <v>4357</v>
      </c>
      <c r="C531" s="1267">
        <v>6121</v>
      </c>
      <c r="D531" s="1008">
        <v>870</v>
      </c>
      <c r="E531" s="1009" t="s">
        <v>640</v>
      </c>
      <c r="F531" s="928"/>
      <c r="G531" s="1269">
        <v>1305</v>
      </c>
      <c r="H531" s="928">
        <v>103</v>
      </c>
      <c r="I531" s="1270">
        <f>(H531/G531)*100</f>
        <v>7.8927203065134091</v>
      </c>
    </row>
    <row r="532" spans="1:14" s="534" customFormat="1" ht="18" customHeight="1" thickTop="1" thickBot="1" x14ac:dyDescent="0.3">
      <c r="A532" s="2699" t="s">
        <v>257</v>
      </c>
      <c r="B532" s="2698"/>
      <c r="C532" s="2698"/>
      <c r="D532" s="2698"/>
      <c r="E532" s="2698"/>
      <c r="F532" s="911">
        <f>F531</f>
        <v>0</v>
      </c>
      <c r="G532" s="911">
        <f>G531</f>
        <v>1305</v>
      </c>
      <c r="H532" s="911">
        <f>H531</f>
        <v>103</v>
      </c>
      <c r="I532" s="894">
        <f>(H532/G532)*100</f>
        <v>7.8927203065134091</v>
      </c>
    </row>
    <row r="533" spans="1:14" ht="13.5" thickTop="1" x14ac:dyDescent="0.2">
      <c r="K533" s="951"/>
      <c r="L533" s="951"/>
      <c r="M533" s="951"/>
      <c r="N533" s="433"/>
    </row>
    <row r="534" spans="1:14" x14ac:dyDescent="0.2">
      <c r="K534" s="951"/>
      <c r="L534" s="951"/>
      <c r="M534" s="951"/>
      <c r="N534" s="433"/>
    </row>
    <row r="535" spans="1:14" s="534" customFormat="1" ht="13.5" thickBot="1" x14ac:dyDescent="0.25">
      <c r="A535" s="433" t="s">
        <v>326</v>
      </c>
      <c r="B535" s="645"/>
      <c r="D535" s="852"/>
      <c r="F535" s="495"/>
      <c r="G535" s="495"/>
      <c r="H535" s="495"/>
      <c r="I535" s="989" t="s">
        <v>173</v>
      </c>
    </row>
    <row r="536" spans="1:14" s="107" customFormat="1" ht="20.25" customHeight="1" thickTop="1" thickBot="1" x14ac:dyDescent="0.25">
      <c r="A536" s="690" t="s">
        <v>661</v>
      </c>
      <c r="B536" s="693" t="s">
        <v>174</v>
      </c>
      <c r="C536" s="691" t="s">
        <v>175</v>
      </c>
      <c r="D536" s="636" t="s">
        <v>744</v>
      </c>
      <c r="E536" s="694" t="s">
        <v>176</v>
      </c>
      <c r="F536" s="694" t="s">
        <v>177</v>
      </c>
      <c r="G536" s="694" t="s">
        <v>922</v>
      </c>
      <c r="H536" s="694" t="s">
        <v>923</v>
      </c>
      <c r="I536" s="856" t="s">
        <v>924</v>
      </c>
    </row>
    <row r="537" spans="1:14" s="384" customFormat="1" ht="13.5" thickTop="1" thickBot="1" x14ac:dyDescent="0.25">
      <c r="A537" s="1254">
        <v>1</v>
      </c>
      <c r="B537" s="1255">
        <v>2</v>
      </c>
      <c r="C537" s="1255">
        <v>3</v>
      </c>
      <c r="D537" s="1255">
        <v>4</v>
      </c>
      <c r="E537" s="569">
        <v>5</v>
      </c>
      <c r="F537" s="1256">
        <v>6</v>
      </c>
      <c r="G537" s="1256">
        <v>7</v>
      </c>
      <c r="H537" s="1257">
        <v>8</v>
      </c>
      <c r="I537" s="1258" t="s">
        <v>801</v>
      </c>
    </row>
    <row r="538" spans="1:14" s="534" customFormat="1" ht="16.5" thickTop="1" thickBot="1" x14ac:dyDescent="0.3">
      <c r="A538" s="1266">
        <v>60002100260</v>
      </c>
      <c r="B538" s="1007">
        <v>4351</v>
      </c>
      <c r="C538" s="1267">
        <v>6121</v>
      </c>
      <c r="D538" s="1008">
        <v>870</v>
      </c>
      <c r="E538" s="1009" t="s">
        <v>640</v>
      </c>
      <c r="F538" s="928"/>
      <c r="G538" s="1269">
        <v>105</v>
      </c>
      <c r="H538" s="928">
        <v>104</v>
      </c>
      <c r="I538" s="1270">
        <f>(H538/G538)*100</f>
        <v>99.047619047619051</v>
      </c>
    </row>
    <row r="539" spans="1:14" s="534" customFormat="1" ht="18" customHeight="1" thickTop="1" thickBot="1" x14ac:dyDescent="0.3">
      <c r="A539" s="2699" t="s">
        <v>257</v>
      </c>
      <c r="B539" s="2698"/>
      <c r="C539" s="2698"/>
      <c r="D539" s="2698"/>
      <c r="E539" s="2698"/>
      <c r="F539" s="911">
        <f>F538</f>
        <v>0</v>
      </c>
      <c r="G539" s="911">
        <f>G538</f>
        <v>105</v>
      </c>
      <c r="H539" s="911">
        <f>H538</f>
        <v>104</v>
      </c>
      <c r="I539" s="894">
        <f>(H539/G539)*100</f>
        <v>99.047619047619051</v>
      </c>
    </row>
    <row r="540" spans="1:14" ht="13.5" thickTop="1" x14ac:dyDescent="0.2">
      <c r="K540" s="951"/>
      <c r="L540" s="951"/>
      <c r="M540" s="951"/>
      <c r="N540" s="433"/>
    </row>
    <row r="541" spans="1:14" x14ac:dyDescent="0.2">
      <c r="K541" s="951"/>
      <c r="L541" s="951"/>
      <c r="M541" s="951"/>
      <c r="N541" s="433"/>
    </row>
    <row r="542" spans="1:14" s="534" customFormat="1" ht="13.5" thickBot="1" x14ac:dyDescent="0.25">
      <c r="A542" s="433" t="s">
        <v>690</v>
      </c>
      <c r="B542" s="645"/>
      <c r="D542" s="852"/>
      <c r="F542" s="495"/>
      <c r="G542" s="495"/>
      <c r="H542" s="495"/>
      <c r="I542" s="989" t="s">
        <v>173</v>
      </c>
    </row>
    <row r="543" spans="1:14" s="107" customFormat="1" ht="20.25" customHeight="1" thickTop="1" thickBot="1" x14ac:dyDescent="0.25">
      <c r="A543" s="690" t="s">
        <v>661</v>
      </c>
      <c r="B543" s="693" t="s">
        <v>174</v>
      </c>
      <c r="C543" s="691" t="s">
        <v>175</v>
      </c>
      <c r="D543" s="636" t="s">
        <v>744</v>
      </c>
      <c r="E543" s="694" t="s">
        <v>176</v>
      </c>
      <c r="F543" s="694" t="s">
        <v>177</v>
      </c>
      <c r="G543" s="694" t="s">
        <v>922</v>
      </c>
      <c r="H543" s="694" t="s">
        <v>923</v>
      </c>
      <c r="I543" s="856" t="s">
        <v>924</v>
      </c>
    </row>
    <row r="544" spans="1:14" s="384" customFormat="1" ht="13.5" thickTop="1" thickBot="1" x14ac:dyDescent="0.25">
      <c r="A544" s="1254">
        <v>1</v>
      </c>
      <c r="B544" s="1255">
        <v>2</v>
      </c>
      <c r="C544" s="1255">
        <v>3</v>
      </c>
      <c r="D544" s="1255">
        <v>4</v>
      </c>
      <c r="E544" s="569">
        <v>5</v>
      </c>
      <c r="F544" s="1256">
        <v>6</v>
      </c>
      <c r="G544" s="1256">
        <v>7</v>
      </c>
      <c r="H544" s="1257">
        <v>8</v>
      </c>
      <c r="I544" s="1258" t="s">
        <v>801</v>
      </c>
    </row>
    <row r="545" spans="1:14" s="534" customFormat="1" ht="16.5" thickTop="1" thickBot="1" x14ac:dyDescent="0.3">
      <c r="A545" s="1266">
        <v>60002100262</v>
      </c>
      <c r="B545" s="1007">
        <v>4357</v>
      </c>
      <c r="C545" s="1267">
        <v>6121</v>
      </c>
      <c r="D545" s="1008">
        <v>11</v>
      </c>
      <c r="E545" s="1009" t="s">
        <v>640</v>
      </c>
      <c r="F545" s="928"/>
      <c r="G545" s="1269">
        <v>550</v>
      </c>
      <c r="H545" s="928">
        <v>99</v>
      </c>
      <c r="I545" s="1270">
        <f>(H545/G545)*100</f>
        <v>18</v>
      </c>
    </row>
    <row r="546" spans="1:14" s="534" customFormat="1" ht="18" customHeight="1" thickTop="1" thickBot="1" x14ac:dyDescent="0.3">
      <c r="A546" s="2699" t="s">
        <v>257</v>
      </c>
      <c r="B546" s="2698"/>
      <c r="C546" s="2698"/>
      <c r="D546" s="2698"/>
      <c r="E546" s="2698"/>
      <c r="F546" s="911">
        <f>F545</f>
        <v>0</v>
      </c>
      <c r="G546" s="911">
        <f>G545</f>
        <v>550</v>
      </c>
      <c r="H546" s="911">
        <f>H545</f>
        <v>99</v>
      </c>
      <c r="I546" s="894">
        <f>(H546/G546)*100</f>
        <v>18</v>
      </c>
    </row>
    <row r="547" spans="1:14" ht="13.5" thickTop="1" x14ac:dyDescent="0.2">
      <c r="K547" s="951"/>
      <c r="L547" s="951"/>
      <c r="M547" s="951"/>
      <c r="N547" s="433"/>
    </row>
    <row r="548" spans="1:14" x14ac:dyDescent="0.2">
      <c r="K548" s="951"/>
      <c r="L548" s="951"/>
      <c r="M548" s="951"/>
      <c r="N548" s="433"/>
    </row>
    <row r="549" spans="1:14" s="534" customFormat="1" ht="13.5" thickBot="1" x14ac:dyDescent="0.25">
      <c r="A549" s="433" t="s">
        <v>691</v>
      </c>
      <c r="B549" s="645"/>
      <c r="D549" s="852"/>
      <c r="F549" s="495"/>
      <c r="G549" s="495"/>
      <c r="H549" s="495"/>
      <c r="I549" s="989" t="s">
        <v>173</v>
      </c>
    </row>
    <row r="550" spans="1:14" s="107" customFormat="1" ht="20.25" customHeight="1" thickTop="1" thickBot="1" x14ac:dyDescent="0.25">
      <c r="A550" s="690" t="s">
        <v>661</v>
      </c>
      <c r="B550" s="693" t="s">
        <v>174</v>
      </c>
      <c r="C550" s="691" t="s">
        <v>175</v>
      </c>
      <c r="D550" s="636" t="s">
        <v>744</v>
      </c>
      <c r="E550" s="694" t="s">
        <v>176</v>
      </c>
      <c r="F550" s="694" t="s">
        <v>177</v>
      </c>
      <c r="G550" s="694" t="s">
        <v>922</v>
      </c>
      <c r="H550" s="694" t="s">
        <v>923</v>
      </c>
      <c r="I550" s="856" t="s">
        <v>924</v>
      </c>
    </row>
    <row r="551" spans="1:14" s="384" customFormat="1" ht="13.5" thickTop="1" thickBot="1" x14ac:dyDescent="0.25">
      <c r="A551" s="1254">
        <v>1</v>
      </c>
      <c r="B551" s="1255">
        <v>2</v>
      </c>
      <c r="C551" s="1255">
        <v>3</v>
      </c>
      <c r="D551" s="1255">
        <v>4</v>
      </c>
      <c r="E551" s="569">
        <v>5</v>
      </c>
      <c r="F551" s="1256">
        <v>6</v>
      </c>
      <c r="G551" s="1256">
        <v>7</v>
      </c>
      <c r="H551" s="1257">
        <v>8</v>
      </c>
      <c r="I551" s="1258" t="s">
        <v>801</v>
      </c>
    </row>
    <row r="552" spans="1:14" s="534" customFormat="1" ht="16.5" thickTop="1" thickBot="1" x14ac:dyDescent="0.3">
      <c r="A552" s="1266">
        <v>60002100263</v>
      </c>
      <c r="B552" s="1007">
        <v>4357</v>
      </c>
      <c r="C552" s="1267">
        <v>6121</v>
      </c>
      <c r="D552" s="1008">
        <v>11</v>
      </c>
      <c r="E552" s="1009" t="s">
        <v>640</v>
      </c>
      <c r="F552" s="928"/>
      <c r="G552" s="1269">
        <v>150</v>
      </c>
      <c r="H552" s="928">
        <v>109</v>
      </c>
      <c r="I552" s="1270">
        <f>(H552/G552)*100</f>
        <v>72.666666666666671</v>
      </c>
    </row>
    <row r="553" spans="1:14" s="534" customFormat="1" ht="18" customHeight="1" thickTop="1" thickBot="1" x14ac:dyDescent="0.3">
      <c r="A553" s="2699" t="s">
        <v>257</v>
      </c>
      <c r="B553" s="2698"/>
      <c r="C553" s="2698"/>
      <c r="D553" s="2698"/>
      <c r="E553" s="2698"/>
      <c r="F553" s="911">
        <f>F552</f>
        <v>0</v>
      </c>
      <c r="G553" s="911">
        <f>G552</f>
        <v>150</v>
      </c>
      <c r="H553" s="911">
        <f>H552</f>
        <v>109</v>
      </c>
      <c r="I553" s="894">
        <f>(H553/G553)*100</f>
        <v>72.666666666666671</v>
      </c>
    </row>
    <row r="554" spans="1:14" ht="13.5" thickTop="1" x14ac:dyDescent="0.2">
      <c r="K554" s="951"/>
      <c r="L554" s="951"/>
      <c r="M554" s="951"/>
      <c r="N554" s="433"/>
    </row>
    <row r="555" spans="1:14" x14ac:dyDescent="0.2">
      <c r="K555" s="951"/>
      <c r="L555" s="951"/>
      <c r="M555" s="951"/>
      <c r="N555" s="433"/>
    </row>
    <row r="556" spans="1:14" s="534" customFormat="1" ht="13.5" thickBot="1" x14ac:dyDescent="0.25">
      <c r="A556" s="433" t="s">
        <v>693</v>
      </c>
      <c r="B556" s="645"/>
      <c r="D556" s="852"/>
      <c r="F556" s="495"/>
      <c r="G556" s="495"/>
      <c r="H556" s="495"/>
      <c r="I556" s="989" t="s">
        <v>173</v>
      </c>
    </row>
    <row r="557" spans="1:14" s="107" customFormat="1" ht="20.25" customHeight="1" thickTop="1" thickBot="1" x14ac:dyDescent="0.25">
      <c r="A557" s="690" t="s">
        <v>661</v>
      </c>
      <c r="B557" s="693" t="s">
        <v>174</v>
      </c>
      <c r="C557" s="691" t="s">
        <v>175</v>
      </c>
      <c r="D557" s="636" t="s">
        <v>744</v>
      </c>
      <c r="E557" s="694" t="s">
        <v>176</v>
      </c>
      <c r="F557" s="694" t="s">
        <v>177</v>
      </c>
      <c r="G557" s="694" t="s">
        <v>922</v>
      </c>
      <c r="H557" s="694" t="s">
        <v>923</v>
      </c>
      <c r="I557" s="856" t="s">
        <v>924</v>
      </c>
    </row>
    <row r="558" spans="1:14" s="384" customFormat="1" ht="13.5" thickTop="1" thickBot="1" x14ac:dyDescent="0.25">
      <c r="A558" s="1254">
        <v>1</v>
      </c>
      <c r="B558" s="1255">
        <v>2</v>
      </c>
      <c r="C558" s="1255">
        <v>3</v>
      </c>
      <c r="D558" s="1255">
        <v>4</v>
      </c>
      <c r="E558" s="569">
        <v>5</v>
      </c>
      <c r="F558" s="1256">
        <v>6</v>
      </c>
      <c r="G558" s="1256">
        <v>7</v>
      </c>
      <c r="H558" s="1257">
        <v>8</v>
      </c>
      <c r="I558" s="1258" t="s">
        <v>801</v>
      </c>
    </row>
    <row r="559" spans="1:14" s="534" customFormat="1" ht="16.5" thickTop="1" thickBot="1" x14ac:dyDescent="0.3">
      <c r="A559" s="1266">
        <v>60002100264</v>
      </c>
      <c r="B559" s="1007">
        <v>4357</v>
      </c>
      <c r="C559" s="1267">
        <v>5169</v>
      </c>
      <c r="D559" s="1008">
        <v>870</v>
      </c>
      <c r="E559" s="1009" t="s">
        <v>692</v>
      </c>
      <c r="F559" s="928"/>
      <c r="G559" s="1269">
        <v>300</v>
      </c>
      <c r="H559" s="928">
        <v>0</v>
      </c>
      <c r="I559" s="1270">
        <f>(H559/G559)*100</f>
        <v>0</v>
      </c>
    </row>
    <row r="560" spans="1:14" s="534" customFormat="1" ht="18" customHeight="1" thickTop="1" thickBot="1" x14ac:dyDescent="0.3">
      <c r="A560" s="2685" t="s">
        <v>258</v>
      </c>
      <c r="B560" s="2686"/>
      <c r="C560" s="2686"/>
      <c r="D560" s="2686"/>
      <c r="E560" s="2686"/>
      <c r="F560" s="911">
        <f>F559</f>
        <v>0</v>
      </c>
      <c r="G560" s="911">
        <f>G559</f>
        <v>300</v>
      </c>
      <c r="H560" s="911">
        <f>H559</f>
        <v>0</v>
      </c>
      <c r="I560" s="894">
        <f>(H560/G560)*100</f>
        <v>0</v>
      </c>
    </row>
    <row r="561" spans="1:14" ht="13.5" thickTop="1" x14ac:dyDescent="0.2">
      <c r="K561" s="951"/>
      <c r="L561" s="951"/>
      <c r="M561" s="951"/>
      <c r="N561" s="433"/>
    </row>
    <row r="562" spans="1:14" x14ac:dyDescent="0.2">
      <c r="K562" s="951"/>
      <c r="L562" s="951"/>
      <c r="M562" s="951"/>
      <c r="N562" s="433"/>
    </row>
    <row r="563" spans="1:14" s="534" customFormat="1" ht="13.5" thickBot="1" x14ac:dyDescent="0.25">
      <c r="A563" s="433" t="s">
        <v>694</v>
      </c>
      <c r="B563" s="645"/>
      <c r="D563" s="852"/>
      <c r="F563" s="495"/>
      <c r="G563" s="495"/>
      <c r="H563" s="495"/>
      <c r="I563" s="989" t="s">
        <v>173</v>
      </c>
    </row>
    <row r="564" spans="1:14" s="107" customFormat="1" ht="20.25" customHeight="1" thickTop="1" thickBot="1" x14ac:dyDescent="0.25">
      <c r="A564" s="690" t="s">
        <v>661</v>
      </c>
      <c r="B564" s="693" t="s">
        <v>174</v>
      </c>
      <c r="C564" s="691" t="s">
        <v>175</v>
      </c>
      <c r="D564" s="636" t="s">
        <v>744</v>
      </c>
      <c r="E564" s="694" t="s">
        <v>176</v>
      </c>
      <c r="F564" s="694" t="s">
        <v>177</v>
      </c>
      <c r="G564" s="694" t="s">
        <v>922</v>
      </c>
      <c r="H564" s="694" t="s">
        <v>923</v>
      </c>
      <c r="I564" s="856" t="s">
        <v>924</v>
      </c>
    </row>
    <row r="565" spans="1:14" s="384" customFormat="1" ht="13.5" thickTop="1" thickBot="1" x14ac:dyDescent="0.25">
      <c r="A565" s="1254">
        <v>1</v>
      </c>
      <c r="B565" s="1255">
        <v>2</v>
      </c>
      <c r="C565" s="1255">
        <v>3</v>
      </c>
      <c r="D565" s="1255">
        <v>4</v>
      </c>
      <c r="E565" s="569">
        <v>5</v>
      </c>
      <c r="F565" s="1256">
        <v>6</v>
      </c>
      <c r="G565" s="1256">
        <v>7</v>
      </c>
      <c r="H565" s="1257">
        <v>8</v>
      </c>
      <c r="I565" s="1258" t="s">
        <v>801</v>
      </c>
    </row>
    <row r="566" spans="1:14" s="534" customFormat="1" ht="16.5" thickTop="1" thickBot="1" x14ac:dyDescent="0.3">
      <c r="A566" s="1266">
        <v>60002100267</v>
      </c>
      <c r="B566" s="1007">
        <v>4357</v>
      </c>
      <c r="C566" s="1296">
        <v>6121</v>
      </c>
      <c r="D566" s="1008">
        <v>11</v>
      </c>
      <c r="E566" s="1009" t="s">
        <v>640</v>
      </c>
      <c r="F566" s="928"/>
      <c r="G566" s="1269">
        <v>200</v>
      </c>
      <c r="H566" s="928">
        <v>191</v>
      </c>
      <c r="I566" s="1270">
        <f>(H566/G566)*100</f>
        <v>95.5</v>
      </c>
    </row>
    <row r="567" spans="1:14" s="534" customFormat="1" ht="18" customHeight="1" thickTop="1" thickBot="1" x14ac:dyDescent="0.3">
      <c r="A567" s="2699" t="s">
        <v>257</v>
      </c>
      <c r="B567" s="2698"/>
      <c r="C567" s="2698"/>
      <c r="D567" s="2698"/>
      <c r="E567" s="2698"/>
      <c r="F567" s="911">
        <f>F566</f>
        <v>0</v>
      </c>
      <c r="G567" s="911">
        <f>G566</f>
        <v>200</v>
      </c>
      <c r="H567" s="911">
        <f>H566</f>
        <v>191</v>
      </c>
      <c r="I567" s="894">
        <f>(H567/G567)*100</f>
        <v>95.5</v>
      </c>
    </row>
    <row r="568" spans="1:14" ht="13.5" thickTop="1" x14ac:dyDescent="0.2">
      <c r="K568" s="951"/>
      <c r="L568" s="951"/>
      <c r="M568" s="951"/>
      <c r="N568" s="433"/>
    </row>
    <row r="569" spans="1:14" x14ac:dyDescent="0.2">
      <c r="K569" s="951"/>
      <c r="L569" s="951"/>
      <c r="M569" s="951"/>
      <c r="N569" s="433"/>
    </row>
    <row r="570" spans="1:14" s="534" customFormat="1" ht="13.5" thickBot="1" x14ac:dyDescent="0.25">
      <c r="A570" s="433" t="s">
        <v>695</v>
      </c>
      <c r="B570" s="645"/>
      <c r="D570" s="852"/>
      <c r="F570" s="495"/>
      <c r="G570" s="495"/>
      <c r="H570" s="495"/>
      <c r="I570" s="989" t="s">
        <v>173</v>
      </c>
    </row>
    <row r="571" spans="1:14" s="107" customFormat="1" ht="20.25" customHeight="1" thickTop="1" thickBot="1" x14ac:dyDescent="0.25">
      <c r="A571" s="690" t="s">
        <v>661</v>
      </c>
      <c r="B571" s="693" t="s">
        <v>174</v>
      </c>
      <c r="C571" s="691" t="s">
        <v>175</v>
      </c>
      <c r="D571" s="636" t="s">
        <v>744</v>
      </c>
      <c r="E571" s="694" t="s">
        <v>176</v>
      </c>
      <c r="F571" s="694" t="s">
        <v>177</v>
      </c>
      <c r="G571" s="694" t="s">
        <v>922</v>
      </c>
      <c r="H571" s="694" t="s">
        <v>923</v>
      </c>
      <c r="I571" s="856" t="s">
        <v>924</v>
      </c>
    </row>
    <row r="572" spans="1:14" s="384" customFormat="1" ht="13.5" thickTop="1" thickBot="1" x14ac:dyDescent="0.25">
      <c r="A572" s="1254">
        <v>1</v>
      </c>
      <c r="B572" s="1255">
        <v>2</v>
      </c>
      <c r="C572" s="1255">
        <v>3</v>
      </c>
      <c r="D572" s="1255">
        <v>4</v>
      </c>
      <c r="E572" s="569">
        <v>5</v>
      </c>
      <c r="F572" s="1256">
        <v>6</v>
      </c>
      <c r="G572" s="1256">
        <v>7</v>
      </c>
      <c r="H572" s="1257">
        <v>8</v>
      </c>
      <c r="I572" s="1258" t="s">
        <v>801</v>
      </c>
    </row>
    <row r="573" spans="1:14" s="534" customFormat="1" ht="16.5" thickTop="1" thickBot="1" x14ac:dyDescent="0.3">
      <c r="A573" s="1266">
        <v>60002100268</v>
      </c>
      <c r="B573" s="1007">
        <v>4357</v>
      </c>
      <c r="C573" s="1267">
        <v>6121</v>
      </c>
      <c r="D573" s="1008">
        <v>11</v>
      </c>
      <c r="E573" s="1009" t="s">
        <v>640</v>
      </c>
      <c r="F573" s="928"/>
      <c r="G573" s="1269">
        <v>2218</v>
      </c>
      <c r="H573" s="928">
        <v>876</v>
      </c>
      <c r="I573" s="1270">
        <f>(H573/G573)*100</f>
        <v>39.495040577096482</v>
      </c>
    </row>
    <row r="574" spans="1:14" s="534" customFormat="1" ht="18" customHeight="1" thickTop="1" thickBot="1" x14ac:dyDescent="0.3">
      <c r="A574" s="2699" t="s">
        <v>257</v>
      </c>
      <c r="B574" s="2698"/>
      <c r="C574" s="2698"/>
      <c r="D574" s="2698"/>
      <c r="E574" s="2698"/>
      <c r="F574" s="911">
        <f>F573</f>
        <v>0</v>
      </c>
      <c r="G574" s="911">
        <f>G573</f>
        <v>2218</v>
      </c>
      <c r="H574" s="911">
        <f>H573</f>
        <v>876</v>
      </c>
      <c r="I574" s="894">
        <f>(H574/G574)*100</f>
        <v>39.495040577096482</v>
      </c>
    </row>
    <row r="575" spans="1:14" ht="13.5" thickTop="1" x14ac:dyDescent="0.2">
      <c r="K575" s="951"/>
      <c r="L575" s="951"/>
      <c r="M575" s="951"/>
      <c r="N575" s="433"/>
    </row>
    <row r="576" spans="1:14" x14ac:dyDescent="0.2">
      <c r="K576" s="951"/>
      <c r="L576" s="951"/>
      <c r="M576" s="951"/>
      <c r="N576" s="433"/>
    </row>
    <row r="577" spans="1:14" s="534" customFormat="1" ht="13.5" thickBot="1" x14ac:dyDescent="0.25">
      <c r="A577" s="433" t="s">
        <v>1105</v>
      </c>
      <c r="B577" s="645"/>
      <c r="D577" s="852"/>
      <c r="F577" s="495"/>
      <c r="G577" s="495"/>
      <c r="H577" s="495"/>
      <c r="I577" s="989" t="s">
        <v>173</v>
      </c>
    </row>
    <row r="578" spans="1:14" s="107" customFormat="1" ht="20.25" customHeight="1" thickTop="1" thickBot="1" x14ac:dyDescent="0.25">
      <c r="A578" s="690" t="s">
        <v>661</v>
      </c>
      <c r="B578" s="693" t="s">
        <v>174</v>
      </c>
      <c r="C578" s="691" t="s">
        <v>175</v>
      </c>
      <c r="D578" s="636" t="s">
        <v>744</v>
      </c>
      <c r="E578" s="694" t="s">
        <v>176</v>
      </c>
      <c r="F578" s="694" t="s">
        <v>177</v>
      </c>
      <c r="G578" s="694" t="s">
        <v>922</v>
      </c>
      <c r="H578" s="694" t="s">
        <v>923</v>
      </c>
      <c r="I578" s="856" t="s">
        <v>924</v>
      </c>
    </row>
    <row r="579" spans="1:14" s="384" customFormat="1" ht="13.5" thickTop="1" thickBot="1" x14ac:dyDescent="0.25">
      <c r="A579" s="1254">
        <v>1</v>
      </c>
      <c r="B579" s="1255">
        <v>2</v>
      </c>
      <c r="C579" s="1255">
        <v>3</v>
      </c>
      <c r="D579" s="1255">
        <v>4</v>
      </c>
      <c r="E579" s="569">
        <v>5</v>
      </c>
      <c r="F579" s="1256">
        <v>6</v>
      </c>
      <c r="G579" s="1256">
        <v>7</v>
      </c>
      <c r="H579" s="1257">
        <v>8</v>
      </c>
      <c r="I579" s="1258" t="s">
        <v>801</v>
      </c>
    </row>
    <row r="580" spans="1:14" s="534" customFormat="1" ht="16.5" thickTop="1" thickBot="1" x14ac:dyDescent="0.3">
      <c r="A580" s="1266">
        <v>60002100269</v>
      </c>
      <c r="B580" s="1007">
        <v>4322</v>
      </c>
      <c r="C580" s="1267">
        <v>5171</v>
      </c>
      <c r="D580" s="1008">
        <v>11</v>
      </c>
      <c r="E580" s="1009" t="s">
        <v>938</v>
      </c>
      <c r="F580" s="928"/>
      <c r="G580" s="1269">
        <v>1235</v>
      </c>
      <c r="H580" s="928">
        <v>1203</v>
      </c>
      <c r="I580" s="1270">
        <f>(H580/G580)*100</f>
        <v>97.408906882591097</v>
      </c>
    </row>
    <row r="581" spans="1:14" s="534" customFormat="1" ht="18" customHeight="1" thickTop="1" thickBot="1" x14ac:dyDescent="0.3">
      <c r="A581" s="2685" t="s">
        <v>258</v>
      </c>
      <c r="B581" s="2686"/>
      <c r="C581" s="2686"/>
      <c r="D581" s="2686"/>
      <c r="E581" s="2686"/>
      <c r="F581" s="911">
        <f>F580</f>
        <v>0</v>
      </c>
      <c r="G581" s="911">
        <f>G580</f>
        <v>1235</v>
      </c>
      <c r="H581" s="911">
        <f>H580</f>
        <v>1203</v>
      </c>
      <c r="I581" s="894">
        <f>(H581/G581)*100</f>
        <v>97.408906882591097</v>
      </c>
    </row>
    <row r="582" spans="1:14" ht="13.5" thickTop="1" x14ac:dyDescent="0.2">
      <c r="K582" s="951"/>
      <c r="L582" s="951"/>
      <c r="M582" s="951"/>
      <c r="N582" s="433"/>
    </row>
    <row r="583" spans="1:14" x14ac:dyDescent="0.2">
      <c r="K583" s="951"/>
      <c r="L583" s="951"/>
      <c r="M583" s="951"/>
      <c r="N583" s="433"/>
    </row>
    <row r="584" spans="1:14" s="534" customFormat="1" ht="13.5" thickBot="1" x14ac:dyDescent="0.25">
      <c r="A584" s="433" t="s">
        <v>884</v>
      </c>
      <c r="B584" s="645"/>
      <c r="D584" s="852"/>
      <c r="F584" s="495"/>
      <c r="G584" s="495"/>
      <c r="H584" s="495"/>
      <c r="I584" s="989" t="s">
        <v>173</v>
      </c>
    </row>
    <row r="585" spans="1:14" s="107" customFormat="1" ht="20.25" customHeight="1" thickTop="1" thickBot="1" x14ac:dyDescent="0.25">
      <c r="A585" s="690" t="s">
        <v>661</v>
      </c>
      <c r="B585" s="693" t="s">
        <v>174</v>
      </c>
      <c r="C585" s="691" t="s">
        <v>175</v>
      </c>
      <c r="D585" s="636" t="s">
        <v>744</v>
      </c>
      <c r="E585" s="694" t="s">
        <v>176</v>
      </c>
      <c r="F585" s="694" t="s">
        <v>177</v>
      </c>
      <c r="G585" s="694" t="s">
        <v>922</v>
      </c>
      <c r="H585" s="694" t="s">
        <v>923</v>
      </c>
      <c r="I585" s="856" t="s">
        <v>924</v>
      </c>
    </row>
    <row r="586" spans="1:14" s="384" customFormat="1" ht="13.5" thickTop="1" thickBot="1" x14ac:dyDescent="0.25">
      <c r="A586" s="1254">
        <v>1</v>
      </c>
      <c r="B586" s="1255">
        <v>2</v>
      </c>
      <c r="C586" s="1255">
        <v>3</v>
      </c>
      <c r="D586" s="1255">
        <v>4</v>
      </c>
      <c r="E586" s="569">
        <v>5</v>
      </c>
      <c r="F586" s="1256">
        <v>6</v>
      </c>
      <c r="G586" s="1256">
        <v>7</v>
      </c>
      <c r="H586" s="1257">
        <v>8</v>
      </c>
      <c r="I586" s="1258" t="s">
        <v>801</v>
      </c>
    </row>
    <row r="587" spans="1:14" s="534" customFormat="1" ht="15.75" thickTop="1" x14ac:dyDescent="0.25">
      <c r="A587" s="997">
        <v>60002100270</v>
      </c>
      <c r="B587" s="811">
        <v>4322</v>
      </c>
      <c r="C587" s="656">
        <v>6121</v>
      </c>
      <c r="D587" s="1013">
        <v>11</v>
      </c>
      <c r="E587" s="827" t="s">
        <v>640</v>
      </c>
      <c r="F587" s="1000"/>
      <c r="G587" s="1264">
        <v>176</v>
      </c>
      <c r="H587" s="1000">
        <v>176</v>
      </c>
      <c r="I587" s="1265">
        <f>(H587/G587)*100</f>
        <v>100</v>
      </c>
    </row>
    <row r="588" spans="1:14" s="534" customFormat="1" ht="15.75" thickBot="1" x14ac:dyDescent="0.3">
      <c r="A588" s="1003">
        <v>60002100270</v>
      </c>
      <c r="B588" s="930">
        <v>4322</v>
      </c>
      <c r="C588" s="930">
        <v>6122</v>
      </c>
      <c r="D588" s="1285">
        <v>11</v>
      </c>
      <c r="E588" s="1284" t="s">
        <v>641</v>
      </c>
      <c r="F588" s="1283"/>
      <c r="G588" s="1283">
        <v>339</v>
      </c>
      <c r="H588" s="1283">
        <v>339</v>
      </c>
      <c r="I588" s="1014">
        <f>(H588/G588)*100</f>
        <v>100</v>
      </c>
    </row>
    <row r="589" spans="1:14" s="534" customFormat="1" ht="18" customHeight="1" thickTop="1" thickBot="1" x14ac:dyDescent="0.3">
      <c r="A589" s="2699" t="s">
        <v>257</v>
      </c>
      <c r="B589" s="2698"/>
      <c r="C589" s="2698"/>
      <c r="D589" s="2698"/>
      <c r="E589" s="2698"/>
      <c r="F589" s="911">
        <f>F587</f>
        <v>0</v>
      </c>
      <c r="G589" s="911">
        <f>G587+G588</f>
        <v>515</v>
      </c>
      <c r="H589" s="911">
        <f>H587+H588</f>
        <v>515</v>
      </c>
      <c r="I589" s="894">
        <f>(H589/G589)*100</f>
        <v>100</v>
      </c>
    </row>
    <row r="590" spans="1:14" ht="13.5" thickTop="1" x14ac:dyDescent="0.2">
      <c r="K590" s="951"/>
      <c r="L590" s="951"/>
      <c r="M590" s="951"/>
      <c r="N590" s="433"/>
    </row>
    <row r="591" spans="1:14" x14ac:dyDescent="0.2">
      <c r="K591" s="951"/>
      <c r="L591" s="951"/>
      <c r="M591" s="951"/>
      <c r="N591" s="433"/>
    </row>
    <row r="592" spans="1:14" s="534" customFormat="1" ht="13.5" thickBot="1" x14ac:dyDescent="0.25">
      <c r="A592" s="433" t="s">
        <v>885</v>
      </c>
      <c r="B592" s="645"/>
      <c r="D592" s="852"/>
      <c r="F592" s="495"/>
      <c r="G592" s="495"/>
      <c r="H592" s="495"/>
      <c r="I592" s="989" t="s">
        <v>173</v>
      </c>
    </row>
    <row r="593" spans="1:14" s="107" customFormat="1" ht="20.25" customHeight="1" thickTop="1" thickBot="1" x14ac:dyDescent="0.25">
      <c r="A593" s="690" t="s">
        <v>661</v>
      </c>
      <c r="B593" s="693" t="s">
        <v>174</v>
      </c>
      <c r="C593" s="691" t="s">
        <v>175</v>
      </c>
      <c r="D593" s="636" t="s">
        <v>744</v>
      </c>
      <c r="E593" s="694" t="s">
        <v>176</v>
      </c>
      <c r="F593" s="694" t="s">
        <v>177</v>
      </c>
      <c r="G593" s="694" t="s">
        <v>922</v>
      </c>
      <c r="H593" s="694" t="s">
        <v>923</v>
      </c>
      <c r="I593" s="856" t="s">
        <v>924</v>
      </c>
    </row>
    <row r="594" spans="1:14" s="384" customFormat="1" ht="13.5" thickTop="1" thickBot="1" x14ac:dyDescent="0.25">
      <c r="A594" s="1254">
        <v>1</v>
      </c>
      <c r="B594" s="1255">
        <v>2</v>
      </c>
      <c r="C594" s="1255">
        <v>3</v>
      </c>
      <c r="D594" s="1255">
        <v>4</v>
      </c>
      <c r="E594" s="569">
        <v>5</v>
      </c>
      <c r="F594" s="1256">
        <v>6</v>
      </c>
      <c r="G594" s="1256">
        <v>7</v>
      </c>
      <c r="H594" s="1257">
        <v>8</v>
      </c>
      <c r="I594" s="1258" t="s">
        <v>801</v>
      </c>
    </row>
    <row r="595" spans="1:14" s="534" customFormat="1" ht="16.5" thickTop="1" thickBot="1" x14ac:dyDescent="0.3">
      <c r="A595" s="1266">
        <v>60002100271</v>
      </c>
      <c r="B595" s="1007">
        <v>4357</v>
      </c>
      <c r="C595" s="1267">
        <v>6121</v>
      </c>
      <c r="D595" s="1008">
        <v>11</v>
      </c>
      <c r="E595" s="1009" t="s">
        <v>640</v>
      </c>
      <c r="F595" s="928"/>
      <c r="G595" s="1269">
        <v>1626</v>
      </c>
      <c r="H595" s="928">
        <v>1622</v>
      </c>
      <c r="I595" s="1270">
        <f>(H595/G595)*100</f>
        <v>99.753997539975401</v>
      </c>
    </row>
    <row r="596" spans="1:14" s="534" customFormat="1" ht="18" customHeight="1" thickTop="1" thickBot="1" x14ac:dyDescent="0.3">
      <c r="A596" s="2699" t="s">
        <v>257</v>
      </c>
      <c r="B596" s="2698"/>
      <c r="C596" s="2698"/>
      <c r="D596" s="2698"/>
      <c r="E596" s="2698"/>
      <c r="F596" s="911">
        <f>F595</f>
        <v>0</v>
      </c>
      <c r="G596" s="911">
        <f>G595</f>
        <v>1626</v>
      </c>
      <c r="H596" s="911">
        <f>H595</f>
        <v>1622</v>
      </c>
      <c r="I596" s="894">
        <f>(H596/G596)*100</f>
        <v>99.753997539975401</v>
      </c>
    </row>
    <row r="597" spans="1:14" ht="13.5" thickTop="1" x14ac:dyDescent="0.2">
      <c r="K597" s="951"/>
      <c r="L597" s="951"/>
      <c r="M597" s="951"/>
      <c r="N597" s="433"/>
    </row>
    <row r="598" spans="1:14" x14ac:dyDescent="0.2">
      <c r="K598" s="951"/>
      <c r="L598" s="951"/>
      <c r="M598" s="951"/>
      <c r="N598" s="433"/>
    </row>
    <row r="599" spans="1:14" x14ac:dyDescent="0.2">
      <c r="K599" s="951"/>
      <c r="L599" s="951"/>
      <c r="M599" s="951"/>
      <c r="N599" s="433"/>
    </row>
    <row r="600" spans="1:14" x14ac:dyDescent="0.2">
      <c r="K600" s="951"/>
      <c r="L600" s="951"/>
      <c r="M600" s="951"/>
      <c r="N600" s="433"/>
    </row>
    <row r="601" spans="1:14" x14ac:dyDescent="0.2">
      <c r="K601" s="951"/>
      <c r="L601" s="951"/>
      <c r="M601" s="951"/>
      <c r="N601" s="433"/>
    </row>
    <row r="602" spans="1:14" s="534" customFormat="1" ht="13.5" thickBot="1" x14ac:dyDescent="0.25">
      <c r="A602" s="433" t="s">
        <v>886</v>
      </c>
      <c r="B602" s="645"/>
      <c r="D602" s="852"/>
      <c r="F602" s="495"/>
      <c r="G602" s="495"/>
      <c r="H602" s="495"/>
      <c r="I602" s="989" t="s">
        <v>173</v>
      </c>
    </row>
    <row r="603" spans="1:14" s="107" customFormat="1" ht="20.25" customHeight="1" thickTop="1" thickBot="1" x14ac:dyDescent="0.25">
      <c r="A603" s="690" t="s">
        <v>661</v>
      </c>
      <c r="B603" s="693" t="s">
        <v>174</v>
      </c>
      <c r="C603" s="691" t="s">
        <v>175</v>
      </c>
      <c r="D603" s="636" t="s">
        <v>744</v>
      </c>
      <c r="E603" s="694" t="s">
        <v>176</v>
      </c>
      <c r="F603" s="694" t="s">
        <v>177</v>
      </c>
      <c r="G603" s="694" t="s">
        <v>922</v>
      </c>
      <c r="H603" s="694" t="s">
        <v>923</v>
      </c>
      <c r="I603" s="856" t="s">
        <v>924</v>
      </c>
    </row>
    <row r="604" spans="1:14" s="384" customFormat="1" ht="13.5" thickTop="1" thickBot="1" x14ac:dyDescent="0.25">
      <c r="A604" s="1254">
        <v>1</v>
      </c>
      <c r="B604" s="1255">
        <v>2</v>
      </c>
      <c r="C604" s="1255">
        <v>3</v>
      </c>
      <c r="D604" s="1255">
        <v>4</v>
      </c>
      <c r="E604" s="569">
        <v>5</v>
      </c>
      <c r="F604" s="1256">
        <v>6</v>
      </c>
      <c r="G604" s="1256">
        <v>7</v>
      </c>
      <c r="H604" s="1257">
        <v>8</v>
      </c>
      <c r="I604" s="1258" t="s">
        <v>801</v>
      </c>
    </row>
    <row r="605" spans="1:14" s="534" customFormat="1" ht="16.5" thickTop="1" thickBot="1" x14ac:dyDescent="0.3">
      <c r="A605" s="1266">
        <v>60002100273</v>
      </c>
      <c r="B605" s="1007">
        <v>4357</v>
      </c>
      <c r="C605" s="1267">
        <v>6121</v>
      </c>
      <c r="D605" s="1008">
        <v>11</v>
      </c>
      <c r="E605" s="1009" t="s">
        <v>640</v>
      </c>
      <c r="F605" s="928"/>
      <c r="G605" s="1269">
        <v>921</v>
      </c>
      <c r="H605" s="928">
        <v>917</v>
      </c>
      <c r="I605" s="1270">
        <f>(H605/G605)*100</f>
        <v>99.565689467969605</v>
      </c>
    </row>
    <row r="606" spans="1:14" s="534" customFormat="1" ht="18" customHeight="1" thickTop="1" thickBot="1" x14ac:dyDescent="0.3">
      <c r="A606" s="2699" t="s">
        <v>257</v>
      </c>
      <c r="B606" s="2698"/>
      <c r="C606" s="2698"/>
      <c r="D606" s="2698"/>
      <c r="E606" s="2698"/>
      <c r="F606" s="911">
        <f>F605</f>
        <v>0</v>
      </c>
      <c r="G606" s="911">
        <f>G605</f>
        <v>921</v>
      </c>
      <c r="H606" s="911">
        <f>H605</f>
        <v>917</v>
      </c>
      <c r="I606" s="894">
        <f>(H606/G606)*100</f>
        <v>99.565689467969605</v>
      </c>
    </row>
    <row r="607" spans="1:14" ht="13.5" thickTop="1" x14ac:dyDescent="0.2">
      <c r="K607" s="951"/>
      <c r="L607" s="951"/>
      <c r="M607" s="951"/>
      <c r="N607" s="433"/>
    </row>
    <row r="608" spans="1:14" x14ac:dyDescent="0.2">
      <c r="K608" s="951"/>
      <c r="L608" s="951"/>
      <c r="M608" s="951"/>
      <c r="N608" s="433"/>
    </row>
    <row r="609" spans="1:14" s="534" customFormat="1" ht="13.5" thickBot="1" x14ac:dyDescent="0.25">
      <c r="A609" s="433" t="s">
        <v>887</v>
      </c>
      <c r="B609" s="645"/>
      <c r="D609" s="852"/>
      <c r="F609" s="495"/>
      <c r="G609" s="495"/>
      <c r="H609" s="495"/>
      <c r="I609" s="989" t="s">
        <v>173</v>
      </c>
    </row>
    <row r="610" spans="1:14" s="107" customFormat="1" ht="20.25" customHeight="1" thickTop="1" thickBot="1" x14ac:dyDescent="0.25">
      <c r="A610" s="690" t="s">
        <v>661</v>
      </c>
      <c r="B610" s="693" t="s">
        <v>174</v>
      </c>
      <c r="C610" s="691" t="s">
        <v>175</v>
      </c>
      <c r="D610" s="636" t="s">
        <v>744</v>
      </c>
      <c r="E610" s="694" t="s">
        <v>176</v>
      </c>
      <c r="F610" s="694" t="s">
        <v>177</v>
      </c>
      <c r="G610" s="694" t="s">
        <v>922</v>
      </c>
      <c r="H610" s="694" t="s">
        <v>923</v>
      </c>
      <c r="I610" s="856" t="s">
        <v>924</v>
      </c>
    </row>
    <row r="611" spans="1:14" s="384" customFormat="1" ht="13.5" thickTop="1" thickBot="1" x14ac:dyDescent="0.25">
      <c r="A611" s="1254">
        <v>1</v>
      </c>
      <c r="B611" s="1255">
        <v>2</v>
      </c>
      <c r="C611" s="1255">
        <v>3</v>
      </c>
      <c r="D611" s="1255">
        <v>4</v>
      </c>
      <c r="E611" s="569">
        <v>5</v>
      </c>
      <c r="F611" s="1256">
        <v>6</v>
      </c>
      <c r="G611" s="1256">
        <v>7</v>
      </c>
      <c r="H611" s="1257">
        <v>8</v>
      </c>
      <c r="I611" s="1258" t="s">
        <v>801</v>
      </c>
    </row>
    <row r="612" spans="1:14" s="534" customFormat="1" ht="16.5" thickTop="1" thickBot="1" x14ac:dyDescent="0.3">
      <c r="A612" s="1266">
        <v>60002100274</v>
      </c>
      <c r="B612" s="1007">
        <v>4357</v>
      </c>
      <c r="C612" s="1267">
        <v>6122</v>
      </c>
      <c r="D612" s="1008">
        <v>11</v>
      </c>
      <c r="E612" s="1009" t="s">
        <v>641</v>
      </c>
      <c r="F612" s="928"/>
      <c r="G612" s="1269">
        <v>2975</v>
      </c>
      <c r="H612" s="928">
        <v>0</v>
      </c>
      <c r="I612" s="1270">
        <f>(H612/G612)*100</f>
        <v>0</v>
      </c>
    </row>
    <row r="613" spans="1:14" s="534" customFormat="1" ht="18" customHeight="1" thickTop="1" thickBot="1" x14ac:dyDescent="0.3">
      <c r="A613" s="2699" t="s">
        <v>257</v>
      </c>
      <c r="B613" s="2698"/>
      <c r="C613" s="2698"/>
      <c r="D613" s="2698"/>
      <c r="E613" s="2698"/>
      <c r="F613" s="911">
        <f>F612</f>
        <v>0</v>
      </c>
      <c r="G613" s="911">
        <f>G612</f>
        <v>2975</v>
      </c>
      <c r="H613" s="911">
        <f>H612</f>
        <v>0</v>
      </c>
      <c r="I613" s="894">
        <f>(H613/G613)*100</f>
        <v>0</v>
      </c>
    </row>
    <row r="614" spans="1:14" ht="13.5" thickTop="1" x14ac:dyDescent="0.2">
      <c r="K614" s="951"/>
      <c r="L614" s="951"/>
      <c r="M614" s="951"/>
      <c r="N614" s="433"/>
    </row>
    <row r="615" spans="1:14" x14ac:dyDescent="0.2">
      <c r="K615" s="951"/>
      <c r="L615" s="951"/>
      <c r="M615" s="951"/>
      <c r="N615" s="433"/>
    </row>
    <row r="616" spans="1:14" s="534" customFormat="1" ht="13.5" thickBot="1" x14ac:dyDescent="0.25">
      <c r="A616" s="433" t="s">
        <v>888</v>
      </c>
      <c r="B616" s="645"/>
      <c r="D616" s="852"/>
      <c r="F616" s="495"/>
      <c r="G616" s="495"/>
      <c r="H616" s="495"/>
      <c r="I616" s="989" t="s">
        <v>173</v>
      </c>
    </row>
    <row r="617" spans="1:14" s="107" customFormat="1" ht="20.25" customHeight="1" thickTop="1" thickBot="1" x14ac:dyDescent="0.25">
      <c r="A617" s="690" t="s">
        <v>661</v>
      </c>
      <c r="B617" s="693" t="s">
        <v>174</v>
      </c>
      <c r="C617" s="691" t="s">
        <v>175</v>
      </c>
      <c r="D617" s="636" t="s">
        <v>744</v>
      </c>
      <c r="E617" s="694" t="s">
        <v>176</v>
      </c>
      <c r="F617" s="694" t="s">
        <v>177</v>
      </c>
      <c r="G617" s="694" t="s">
        <v>922</v>
      </c>
      <c r="H617" s="694" t="s">
        <v>923</v>
      </c>
      <c r="I617" s="856" t="s">
        <v>924</v>
      </c>
    </row>
    <row r="618" spans="1:14" s="384" customFormat="1" ht="13.5" thickTop="1" thickBot="1" x14ac:dyDescent="0.25">
      <c r="A618" s="1254">
        <v>1</v>
      </c>
      <c r="B618" s="1255">
        <v>2</v>
      </c>
      <c r="C618" s="1255">
        <v>3</v>
      </c>
      <c r="D618" s="1255">
        <v>4</v>
      </c>
      <c r="E618" s="569">
        <v>5</v>
      </c>
      <c r="F618" s="1256">
        <v>6</v>
      </c>
      <c r="G618" s="1256">
        <v>7</v>
      </c>
      <c r="H618" s="1257">
        <v>8</v>
      </c>
      <c r="I618" s="1258" t="s">
        <v>801</v>
      </c>
    </row>
    <row r="619" spans="1:14" s="534" customFormat="1" ht="16.5" thickTop="1" thickBot="1" x14ac:dyDescent="0.3">
      <c r="A619" s="1266">
        <v>60002100279</v>
      </c>
      <c r="B619" s="1007">
        <v>4357</v>
      </c>
      <c r="C619" s="1267">
        <v>6121</v>
      </c>
      <c r="D619" s="1008">
        <v>11</v>
      </c>
      <c r="E619" s="1009" t="s">
        <v>640</v>
      </c>
      <c r="F619" s="928"/>
      <c r="G619" s="1269">
        <v>1462</v>
      </c>
      <c r="H619" s="928">
        <v>908</v>
      </c>
      <c r="I619" s="1270">
        <f>(H619/G619)*100</f>
        <v>62.106703146374834</v>
      </c>
    </row>
    <row r="620" spans="1:14" s="534" customFormat="1" ht="18" customHeight="1" thickTop="1" thickBot="1" x14ac:dyDescent="0.3">
      <c r="A620" s="2699" t="s">
        <v>257</v>
      </c>
      <c r="B620" s="2698"/>
      <c r="C620" s="2698"/>
      <c r="D620" s="2698"/>
      <c r="E620" s="2698"/>
      <c r="F620" s="911">
        <f>F619</f>
        <v>0</v>
      </c>
      <c r="G620" s="911">
        <f>G619</f>
        <v>1462</v>
      </c>
      <c r="H620" s="911">
        <f>H619</f>
        <v>908</v>
      </c>
      <c r="I620" s="894">
        <f>(H620/G620)*100</f>
        <v>62.106703146374834</v>
      </c>
    </row>
    <row r="621" spans="1:14" ht="13.5" thickTop="1" x14ac:dyDescent="0.2">
      <c r="K621" s="951"/>
      <c r="L621" s="951"/>
      <c r="M621" s="951"/>
      <c r="N621" s="433"/>
    </row>
    <row r="622" spans="1:14" x14ac:dyDescent="0.2">
      <c r="K622" s="951"/>
      <c r="L622" s="951"/>
      <c r="M622" s="951"/>
      <c r="N622" s="433"/>
    </row>
    <row r="623" spans="1:14" s="534" customFormat="1" ht="13.5" thickBot="1" x14ac:dyDescent="0.25">
      <c r="A623" s="433" t="s">
        <v>115</v>
      </c>
      <c r="B623" s="645"/>
      <c r="D623" s="852"/>
      <c r="F623" s="495"/>
      <c r="G623" s="495"/>
      <c r="H623" s="495"/>
      <c r="I623" s="989" t="s">
        <v>173</v>
      </c>
    </row>
    <row r="624" spans="1:14" s="107" customFormat="1" ht="20.25" customHeight="1" thickTop="1" thickBot="1" x14ac:dyDescent="0.25">
      <c r="A624" s="690" t="s">
        <v>661</v>
      </c>
      <c r="B624" s="693" t="s">
        <v>174</v>
      </c>
      <c r="C624" s="691" t="s">
        <v>175</v>
      </c>
      <c r="D624" s="636" t="s">
        <v>744</v>
      </c>
      <c r="E624" s="694" t="s">
        <v>176</v>
      </c>
      <c r="F624" s="694" t="s">
        <v>177</v>
      </c>
      <c r="G624" s="694" t="s">
        <v>922</v>
      </c>
      <c r="H624" s="694" t="s">
        <v>923</v>
      </c>
      <c r="I624" s="856" t="s">
        <v>924</v>
      </c>
    </row>
    <row r="625" spans="1:14" s="384" customFormat="1" ht="13.5" thickTop="1" thickBot="1" x14ac:dyDescent="0.25">
      <c r="A625" s="1254">
        <v>1</v>
      </c>
      <c r="B625" s="1255">
        <v>2</v>
      </c>
      <c r="C625" s="1255">
        <v>3</v>
      </c>
      <c r="D625" s="1255">
        <v>4</v>
      </c>
      <c r="E625" s="569">
        <v>5</v>
      </c>
      <c r="F625" s="1256">
        <v>6</v>
      </c>
      <c r="G625" s="1256">
        <v>7</v>
      </c>
      <c r="H625" s="1257">
        <v>8</v>
      </c>
      <c r="I625" s="1258" t="s">
        <v>801</v>
      </c>
    </row>
    <row r="626" spans="1:14" s="534" customFormat="1" ht="16.5" thickTop="1" thickBot="1" x14ac:dyDescent="0.3">
      <c r="A626" s="1266">
        <v>60002100314</v>
      </c>
      <c r="B626" s="1007">
        <v>4357</v>
      </c>
      <c r="C626" s="1267">
        <v>6121</v>
      </c>
      <c r="D626" s="1008">
        <v>11</v>
      </c>
      <c r="E626" s="1009" t="s">
        <v>640</v>
      </c>
      <c r="F626" s="928"/>
      <c r="G626" s="1269">
        <v>646</v>
      </c>
      <c r="H626" s="928">
        <v>72</v>
      </c>
      <c r="I626" s="1270">
        <f>(H626/G626)*100</f>
        <v>11.145510835913312</v>
      </c>
    </row>
    <row r="627" spans="1:14" s="534" customFormat="1" ht="18" customHeight="1" thickTop="1" thickBot="1" x14ac:dyDescent="0.3">
      <c r="A627" s="2699" t="s">
        <v>257</v>
      </c>
      <c r="B627" s="2698"/>
      <c r="C627" s="2698"/>
      <c r="D627" s="2698"/>
      <c r="E627" s="2698"/>
      <c r="F627" s="911">
        <f>F626</f>
        <v>0</v>
      </c>
      <c r="G627" s="911">
        <f>G626</f>
        <v>646</v>
      </c>
      <c r="H627" s="911">
        <f>H626</f>
        <v>72</v>
      </c>
      <c r="I627" s="894">
        <f>(H627/G627)*100</f>
        <v>11.145510835913312</v>
      </c>
    </row>
    <row r="628" spans="1:14" ht="13.5" thickTop="1" x14ac:dyDescent="0.2">
      <c r="K628" s="951"/>
      <c r="L628" s="951"/>
      <c r="M628" s="951"/>
      <c r="N628" s="433"/>
    </row>
    <row r="629" spans="1:14" x14ac:dyDescent="0.2">
      <c r="K629" s="951"/>
      <c r="L629" s="951"/>
      <c r="M629" s="951"/>
      <c r="N629" s="433"/>
    </row>
    <row r="630" spans="1:14" s="534" customFormat="1" ht="13.5" thickBot="1" x14ac:dyDescent="0.25">
      <c r="A630" s="433" t="s">
        <v>560</v>
      </c>
      <c r="B630" s="645"/>
      <c r="D630" s="852"/>
      <c r="F630" s="495"/>
      <c r="G630" s="495"/>
      <c r="H630" s="495"/>
      <c r="I630" s="989" t="s">
        <v>173</v>
      </c>
    </row>
    <row r="631" spans="1:14" s="107" customFormat="1" ht="20.25" customHeight="1" thickTop="1" thickBot="1" x14ac:dyDescent="0.25">
      <c r="A631" s="690" t="s">
        <v>661</v>
      </c>
      <c r="B631" s="693" t="s">
        <v>174</v>
      </c>
      <c r="C631" s="691" t="s">
        <v>175</v>
      </c>
      <c r="D631" s="636" t="s">
        <v>744</v>
      </c>
      <c r="E631" s="694" t="s">
        <v>176</v>
      </c>
      <c r="F631" s="694" t="s">
        <v>177</v>
      </c>
      <c r="G631" s="694" t="s">
        <v>922</v>
      </c>
      <c r="H631" s="694" t="s">
        <v>923</v>
      </c>
      <c r="I631" s="856" t="s">
        <v>924</v>
      </c>
    </row>
    <row r="632" spans="1:14" s="384" customFormat="1" ht="13.5" thickTop="1" thickBot="1" x14ac:dyDescent="0.25">
      <c r="A632" s="1254">
        <v>1</v>
      </c>
      <c r="B632" s="1255">
        <v>2</v>
      </c>
      <c r="C632" s="1255">
        <v>3</v>
      </c>
      <c r="D632" s="1255">
        <v>4</v>
      </c>
      <c r="E632" s="569">
        <v>5</v>
      </c>
      <c r="F632" s="1256">
        <v>6</v>
      </c>
      <c r="G632" s="1256">
        <v>7</v>
      </c>
      <c r="H632" s="1257">
        <v>8</v>
      </c>
      <c r="I632" s="1258" t="s">
        <v>801</v>
      </c>
    </row>
    <row r="633" spans="1:14" s="534" customFormat="1" ht="16.5" thickTop="1" thickBot="1" x14ac:dyDescent="0.3">
      <c r="A633" s="1266">
        <v>60002100318</v>
      </c>
      <c r="B633" s="1007">
        <v>4357</v>
      </c>
      <c r="C633" s="1267">
        <v>6121</v>
      </c>
      <c r="D633" s="1008">
        <v>11</v>
      </c>
      <c r="E633" s="1009" t="s">
        <v>640</v>
      </c>
      <c r="F633" s="928"/>
      <c r="G633" s="1269">
        <v>670</v>
      </c>
      <c r="H633" s="928">
        <v>68</v>
      </c>
      <c r="I633" s="1270">
        <f>(H633/G633)*100</f>
        <v>10.149253731343283</v>
      </c>
    </row>
    <row r="634" spans="1:14" s="534" customFormat="1" ht="18" customHeight="1" thickTop="1" thickBot="1" x14ac:dyDescent="0.3">
      <c r="A634" s="2699" t="s">
        <v>257</v>
      </c>
      <c r="B634" s="2698"/>
      <c r="C634" s="2698"/>
      <c r="D634" s="2698"/>
      <c r="E634" s="2698"/>
      <c r="F634" s="911">
        <f>F633</f>
        <v>0</v>
      </c>
      <c r="G634" s="911">
        <f>G633</f>
        <v>670</v>
      </c>
      <c r="H634" s="911">
        <f>H633</f>
        <v>68</v>
      </c>
      <c r="I634" s="894">
        <f>(H634/G634)*100</f>
        <v>10.149253731343283</v>
      </c>
    </row>
    <row r="635" spans="1:14" ht="13.5" thickTop="1" x14ac:dyDescent="0.2">
      <c r="K635" s="951"/>
      <c r="L635" s="951"/>
      <c r="M635" s="951"/>
      <c r="N635" s="433"/>
    </row>
    <row r="636" spans="1:14" x14ac:dyDescent="0.2">
      <c r="K636" s="951"/>
      <c r="L636" s="951"/>
      <c r="M636" s="951"/>
      <c r="N636" s="433"/>
    </row>
    <row r="637" spans="1:14" s="534" customFormat="1" ht="13.5" thickBot="1" x14ac:dyDescent="0.25">
      <c r="A637" s="433" t="s">
        <v>561</v>
      </c>
      <c r="B637" s="645"/>
      <c r="D637" s="852"/>
      <c r="F637" s="495"/>
      <c r="G637" s="495"/>
      <c r="H637" s="495"/>
      <c r="I637" s="989" t="s">
        <v>173</v>
      </c>
    </row>
    <row r="638" spans="1:14" s="107" customFormat="1" ht="20.25" customHeight="1" thickTop="1" thickBot="1" x14ac:dyDescent="0.25">
      <c r="A638" s="690" t="s">
        <v>661</v>
      </c>
      <c r="B638" s="693" t="s">
        <v>174</v>
      </c>
      <c r="C638" s="691" t="s">
        <v>175</v>
      </c>
      <c r="D638" s="636" t="s">
        <v>744</v>
      </c>
      <c r="E638" s="694" t="s">
        <v>176</v>
      </c>
      <c r="F638" s="694" t="s">
        <v>177</v>
      </c>
      <c r="G638" s="694" t="s">
        <v>922</v>
      </c>
      <c r="H638" s="694" t="s">
        <v>923</v>
      </c>
      <c r="I638" s="856" t="s">
        <v>924</v>
      </c>
    </row>
    <row r="639" spans="1:14" s="384" customFormat="1" ht="13.5" thickTop="1" thickBot="1" x14ac:dyDescent="0.25">
      <c r="A639" s="1254">
        <v>1</v>
      </c>
      <c r="B639" s="1255">
        <v>2</v>
      </c>
      <c r="C639" s="1255">
        <v>3</v>
      </c>
      <c r="D639" s="1255">
        <v>4</v>
      </c>
      <c r="E639" s="569">
        <v>5</v>
      </c>
      <c r="F639" s="1256">
        <v>6</v>
      </c>
      <c r="G639" s="1256">
        <v>7</v>
      </c>
      <c r="H639" s="1257">
        <v>8</v>
      </c>
      <c r="I639" s="1258" t="s">
        <v>801</v>
      </c>
    </row>
    <row r="640" spans="1:14" s="534" customFormat="1" ht="16.5" thickTop="1" thickBot="1" x14ac:dyDescent="0.3">
      <c r="A640" s="1266">
        <v>60002100328</v>
      </c>
      <c r="B640" s="1007">
        <v>4357</v>
      </c>
      <c r="C640" s="1267">
        <v>6121</v>
      </c>
      <c r="D640" s="1008">
        <v>11</v>
      </c>
      <c r="E640" s="1009" t="s">
        <v>640</v>
      </c>
      <c r="F640" s="928"/>
      <c r="G640" s="1269">
        <v>800</v>
      </c>
      <c r="H640" s="928">
        <v>0</v>
      </c>
      <c r="I640" s="1270">
        <f>(H640/G640)*100</f>
        <v>0</v>
      </c>
      <c r="K640" s="495">
        <f>F420+F427+F434+F441+F448+F455+F462+F473+F476+F483+F490+F497+F504+F511+F518+F525+F532+F539+F546+F553+F560+F567+F574+F581+F589+F596+F606+F613+F620+F627+F634+F641</f>
        <v>9650</v>
      </c>
      <c r="L640" s="495">
        <f>G420+G427+G434+G441+G448+G455+G462+G473+G476+G483+G490+G497+G504+G511+G518+G525+G532+G539+G546+G553+G560+G567+G574+G581+G589+G596+G606+G613+G620+G627+G634+G641</f>
        <v>42586</v>
      </c>
      <c r="M640" s="495">
        <f>H420+H427+H434+H441+H448+H455+H462+H473+H476+H483+H490+H497+H504+H511+H518+H525+H532+H539+H546+H553+H560+H567+H574+H581+H589+H596+H606+H613+H620+H627+H634+H641</f>
        <v>29353</v>
      </c>
      <c r="N640" s="534" t="s">
        <v>1153</v>
      </c>
    </row>
    <row r="641" spans="1:14" s="534" customFormat="1" ht="18" customHeight="1" thickTop="1" thickBot="1" x14ac:dyDescent="0.3">
      <c r="A641" s="2699" t="s">
        <v>257</v>
      </c>
      <c r="B641" s="2698"/>
      <c r="C641" s="2698"/>
      <c r="D641" s="2698"/>
      <c r="E641" s="2698"/>
      <c r="F641" s="911">
        <f>F640</f>
        <v>0</v>
      </c>
      <c r="G641" s="911">
        <f>G640</f>
        <v>800</v>
      </c>
      <c r="H641" s="911">
        <f>H640</f>
        <v>0</v>
      </c>
      <c r="I641" s="894">
        <f>(H641/G641)*100</f>
        <v>0</v>
      </c>
    </row>
    <row r="642" spans="1:14" ht="13.5" thickTop="1" x14ac:dyDescent="0.2">
      <c r="K642" s="951"/>
      <c r="L642" s="951"/>
      <c r="M642" s="951"/>
      <c r="N642" s="433"/>
    </row>
    <row r="643" spans="1:14" x14ac:dyDescent="0.2">
      <c r="K643" s="951"/>
      <c r="L643" s="951"/>
      <c r="M643" s="951"/>
      <c r="N643" s="433"/>
    </row>
    <row r="644" spans="1:14" s="534" customFormat="1" ht="13.5" thickBot="1" x14ac:dyDescent="0.25">
      <c r="A644" s="433" t="s">
        <v>562</v>
      </c>
      <c r="B644" s="645"/>
      <c r="D644" s="852"/>
      <c r="F644" s="495"/>
      <c r="G644" s="495"/>
      <c r="H644" s="495"/>
      <c r="I644" s="989" t="s">
        <v>173</v>
      </c>
    </row>
    <row r="645" spans="1:14" s="107" customFormat="1" ht="20.25" customHeight="1" thickTop="1" thickBot="1" x14ac:dyDescent="0.25">
      <c r="A645" s="690" t="s">
        <v>661</v>
      </c>
      <c r="B645" s="693" t="s">
        <v>174</v>
      </c>
      <c r="C645" s="691" t="s">
        <v>175</v>
      </c>
      <c r="D645" s="636" t="s">
        <v>744</v>
      </c>
      <c r="E645" s="694" t="s">
        <v>176</v>
      </c>
      <c r="F645" s="694" t="s">
        <v>177</v>
      </c>
      <c r="G645" s="694" t="s">
        <v>922</v>
      </c>
      <c r="H645" s="694" t="s">
        <v>923</v>
      </c>
      <c r="I645" s="856" t="s">
        <v>924</v>
      </c>
    </row>
    <row r="646" spans="1:14" s="384" customFormat="1" ht="13.5" thickTop="1" thickBot="1" x14ac:dyDescent="0.25">
      <c r="A646" s="1254">
        <v>1</v>
      </c>
      <c r="B646" s="1255">
        <v>2</v>
      </c>
      <c r="C646" s="1255">
        <v>3</v>
      </c>
      <c r="D646" s="1255">
        <v>4</v>
      </c>
      <c r="E646" s="569">
        <v>5</v>
      </c>
      <c r="F646" s="1256">
        <v>6</v>
      </c>
      <c r="G646" s="1256">
        <v>7</v>
      </c>
      <c r="H646" s="1257">
        <v>8</v>
      </c>
      <c r="I646" s="1258" t="s">
        <v>801</v>
      </c>
    </row>
    <row r="647" spans="1:14" s="534" customFormat="1" ht="16.5" thickTop="1" thickBot="1" x14ac:dyDescent="0.3">
      <c r="A647" s="1266">
        <v>60003100066</v>
      </c>
      <c r="B647" s="1007">
        <v>3315</v>
      </c>
      <c r="C647" s="1267">
        <v>6121</v>
      </c>
      <c r="D647" s="1008">
        <v>13</v>
      </c>
      <c r="E647" s="1009" t="s">
        <v>640</v>
      </c>
      <c r="F647" s="928"/>
      <c r="G647" s="1269">
        <v>357</v>
      </c>
      <c r="H647" s="928">
        <v>325</v>
      </c>
      <c r="I647" s="1270">
        <f>(H647/G647)*100</f>
        <v>91.036414565826334</v>
      </c>
    </row>
    <row r="648" spans="1:14" s="534" customFormat="1" ht="18" customHeight="1" thickTop="1" thickBot="1" x14ac:dyDescent="0.3">
      <c r="A648" s="2699" t="s">
        <v>257</v>
      </c>
      <c r="B648" s="2698"/>
      <c r="C648" s="2698"/>
      <c r="D648" s="2698"/>
      <c r="E648" s="2698"/>
      <c r="F648" s="911">
        <f>F647</f>
        <v>0</v>
      </c>
      <c r="G648" s="911">
        <f>G647</f>
        <v>357</v>
      </c>
      <c r="H648" s="911">
        <f>H647</f>
        <v>325</v>
      </c>
      <c r="I648" s="894">
        <f>(H648/G648)*100</f>
        <v>91.036414565826334</v>
      </c>
    </row>
    <row r="649" spans="1:14" ht="13.5" thickTop="1" x14ac:dyDescent="0.2">
      <c r="K649" s="951"/>
      <c r="L649" s="951"/>
      <c r="M649" s="951"/>
      <c r="N649" s="433"/>
    </row>
    <row r="650" spans="1:14" x14ac:dyDescent="0.2">
      <c r="K650" s="951"/>
      <c r="L650" s="951"/>
      <c r="M650" s="951"/>
      <c r="N650" s="433"/>
    </row>
    <row r="651" spans="1:14" s="534" customFormat="1" ht="13.5" thickBot="1" x14ac:dyDescent="0.25">
      <c r="A651" s="433" t="s">
        <v>821</v>
      </c>
      <c r="B651" s="645"/>
      <c r="D651" s="852"/>
      <c r="F651" s="495"/>
      <c r="G651" s="495"/>
      <c r="H651" s="495"/>
      <c r="I651" s="989" t="s">
        <v>173</v>
      </c>
    </row>
    <row r="652" spans="1:14" s="107" customFormat="1" ht="20.25" customHeight="1" thickTop="1" thickBot="1" x14ac:dyDescent="0.25">
      <c r="A652" s="690" t="s">
        <v>661</v>
      </c>
      <c r="B652" s="693" t="s">
        <v>174</v>
      </c>
      <c r="C652" s="691" t="s">
        <v>175</v>
      </c>
      <c r="D652" s="636" t="s">
        <v>744</v>
      </c>
      <c r="E652" s="694" t="s">
        <v>176</v>
      </c>
      <c r="F652" s="694" t="s">
        <v>177</v>
      </c>
      <c r="G652" s="694" t="s">
        <v>922</v>
      </c>
      <c r="H652" s="694" t="s">
        <v>923</v>
      </c>
      <c r="I652" s="856" t="s">
        <v>924</v>
      </c>
    </row>
    <row r="653" spans="1:14" s="384" customFormat="1" ht="13.5" thickTop="1" thickBot="1" x14ac:dyDescent="0.25">
      <c r="A653" s="1254">
        <v>1</v>
      </c>
      <c r="B653" s="1255">
        <v>2</v>
      </c>
      <c r="C653" s="1255">
        <v>3</v>
      </c>
      <c r="D653" s="1255">
        <v>4</v>
      </c>
      <c r="E653" s="569">
        <v>5</v>
      </c>
      <c r="F653" s="1256">
        <v>6</v>
      </c>
      <c r="G653" s="1256">
        <v>7</v>
      </c>
      <c r="H653" s="1257">
        <v>8</v>
      </c>
      <c r="I653" s="1258" t="s">
        <v>801</v>
      </c>
    </row>
    <row r="654" spans="1:14" s="534" customFormat="1" ht="16.5" thickTop="1" thickBot="1" x14ac:dyDescent="0.3">
      <c r="A654" s="1266">
        <v>60003100067</v>
      </c>
      <c r="B654" s="1007">
        <v>3315</v>
      </c>
      <c r="C654" s="1267">
        <v>6121</v>
      </c>
      <c r="D654" s="1008">
        <v>13</v>
      </c>
      <c r="E654" s="1009" t="s">
        <v>640</v>
      </c>
      <c r="F654" s="928">
        <v>2900</v>
      </c>
      <c r="G654" s="1269">
        <v>1</v>
      </c>
      <c r="H654" s="928">
        <v>0</v>
      </c>
      <c r="I654" s="1270">
        <f>(H654/G654)*100</f>
        <v>0</v>
      </c>
    </row>
    <row r="655" spans="1:14" s="534" customFormat="1" ht="18" customHeight="1" thickTop="1" thickBot="1" x14ac:dyDescent="0.3">
      <c r="A655" s="2699" t="s">
        <v>257</v>
      </c>
      <c r="B655" s="2698"/>
      <c r="C655" s="2698"/>
      <c r="D655" s="2698"/>
      <c r="E655" s="2698"/>
      <c r="F655" s="911">
        <f>F654</f>
        <v>2900</v>
      </c>
      <c r="G655" s="911">
        <f>G654</f>
        <v>1</v>
      </c>
      <c r="H655" s="911">
        <f>H654</f>
        <v>0</v>
      </c>
      <c r="I655" s="894">
        <f>(H655/G655)*100</f>
        <v>0</v>
      </c>
    </row>
    <row r="656" spans="1:14" ht="13.5" thickTop="1" x14ac:dyDescent="0.2">
      <c r="K656" s="951"/>
      <c r="L656" s="951"/>
      <c r="M656" s="951"/>
      <c r="N656" s="433"/>
    </row>
    <row r="657" spans="1:14" x14ac:dyDescent="0.2">
      <c r="K657" s="951"/>
      <c r="L657" s="951"/>
      <c r="M657" s="951"/>
      <c r="N657" s="433"/>
    </row>
    <row r="658" spans="1:14" s="534" customFormat="1" ht="13.5" thickBot="1" x14ac:dyDescent="0.25">
      <c r="A658" s="433" t="s">
        <v>822</v>
      </c>
      <c r="B658" s="645"/>
      <c r="D658" s="852"/>
      <c r="F658" s="495"/>
      <c r="G658" s="495"/>
      <c r="H658" s="495"/>
      <c r="I658" s="989" t="s">
        <v>173</v>
      </c>
    </row>
    <row r="659" spans="1:14" s="107" customFormat="1" ht="20.25" customHeight="1" thickTop="1" thickBot="1" x14ac:dyDescent="0.25">
      <c r="A659" s="690" t="s">
        <v>661</v>
      </c>
      <c r="B659" s="693" t="s">
        <v>174</v>
      </c>
      <c r="C659" s="691" t="s">
        <v>175</v>
      </c>
      <c r="D659" s="636" t="s">
        <v>744</v>
      </c>
      <c r="E659" s="694" t="s">
        <v>176</v>
      </c>
      <c r="F659" s="694" t="s">
        <v>177</v>
      </c>
      <c r="G659" s="694" t="s">
        <v>922</v>
      </c>
      <c r="H659" s="694" t="s">
        <v>923</v>
      </c>
      <c r="I659" s="856" t="s">
        <v>924</v>
      </c>
    </row>
    <row r="660" spans="1:14" s="384" customFormat="1" ht="13.5" thickTop="1" thickBot="1" x14ac:dyDescent="0.25">
      <c r="A660" s="1254">
        <v>1</v>
      </c>
      <c r="B660" s="1255">
        <v>2</v>
      </c>
      <c r="C660" s="1255">
        <v>3</v>
      </c>
      <c r="D660" s="1255">
        <v>4</v>
      </c>
      <c r="E660" s="569">
        <v>5</v>
      </c>
      <c r="F660" s="1256">
        <v>6</v>
      </c>
      <c r="G660" s="1256">
        <v>7</v>
      </c>
      <c r="H660" s="1257">
        <v>8</v>
      </c>
      <c r="I660" s="1258" t="s">
        <v>801</v>
      </c>
    </row>
    <row r="661" spans="1:14" s="384" customFormat="1" ht="16.5" thickTop="1" thickBot="1" x14ac:dyDescent="0.3">
      <c r="A661" s="1266">
        <v>60003100069</v>
      </c>
      <c r="B661" s="1007">
        <v>3315</v>
      </c>
      <c r="C661" s="1267">
        <v>5171</v>
      </c>
      <c r="D661" s="1008">
        <v>13</v>
      </c>
      <c r="E661" s="1009" t="s">
        <v>938</v>
      </c>
      <c r="F661" s="928">
        <v>8652</v>
      </c>
      <c r="G661" s="1269">
        <v>0</v>
      </c>
      <c r="H661" s="928">
        <v>0</v>
      </c>
      <c r="I661" s="1270">
        <v>0</v>
      </c>
    </row>
    <row r="662" spans="1:14" s="384" customFormat="1" ht="16.5" thickTop="1" thickBot="1" x14ac:dyDescent="0.3">
      <c r="A662" s="2699" t="s">
        <v>258</v>
      </c>
      <c r="B662" s="2698"/>
      <c r="C662" s="2698"/>
      <c r="D662" s="2698"/>
      <c r="E662" s="2698"/>
      <c r="F662" s="928">
        <f>F661</f>
        <v>8652</v>
      </c>
      <c r="G662" s="928">
        <f>G661</f>
        <v>0</v>
      </c>
      <c r="H662" s="928">
        <f>H661</f>
        <v>0</v>
      </c>
      <c r="I662" s="1270">
        <v>0</v>
      </c>
    </row>
    <row r="663" spans="1:14" s="534" customFormat="1" ht="16.5" thickTop="1" thickBot="1" x14ac:dyDescent="0.3">
      <c r="A663" s="1266">
        <v>60003100069</v>
      </c>
      <c r="B663" s="1007">
        <v>3315</v>
      </c>
      <c r="C663" s="1267">
        <v>6121</v>
      </c>
      <c r="D663" s="1008">
        <v>870</v>
      </c>
      <c r="E663" s="1009" t="s">
        <v>640</v>
      </c>
      <c r="F663" s="928"/>
      <c r="G663" s="1269">
        <v>9974</v>
      </c>
      <c r="H663" s="928">
        <v>9950</v>
      </c>
      <c r="I663" s="1270">
        <f>(H663/G663)*100</f>
        <v>99.759374373370775</v>
      </c>
    </row>
    <row r="664" spans="1:14" s="534" customFormat="1" ht="18" customHeight="1" thickTop="1" thickBot="1" x14ac:dyDescent="0.3">
      <c r="A664" s="2699" t="s">
        <v>257</v>
      </c>
      <c r="B664" s="2698"/>
      <c r="C664" s="2698"/>
      <c r="D664" s="2698"/>
      <c r="E664" s="2698"/>
      <c r="F664" s="911">
        <f>F663</f>
        <v>0</v>
      </c>
      <c r="G664" s="911">
        <f>G663</f>
        <v>9974</v>
      </c>
      <c r="H664" s="911">
        <f>H663</f>
        <v>9950</v>
      </c>
      <c r="I664" s="894">
        <f>(H664/G664)*100</f>
        <v>99.759374373370775</v>
      </c>
    </row>
    <row r="665" spans="1:14" ht="13.5" thickTop="1" x14ac:dyDescent="0.2">
      <c r="K665" s="951"/>
      <c r="L665" s="951"/>
      <c r="M665" s="951"/>
      <c r="N665" s="433"/>
    </row>
    <row r="666" spans="1:14" x14ac:dyDescent="0.2">
      <c r="K666" s="951"/>
      <c r="L666" s="951"/>
      <c r="M666" s="951"/>
      <c r="N666" s="433"/>
    </row>
    <row r="667" spans="1:14" x14ac:dyDescent="0.2">
      <c r="K667" s="951"/>
      <c r="L667" s="951"/>
      <c r="M667" s="951"/>
      <c r="N667" s="433"/>
    </row>
    <row r="668" spans="1:14" x14ac:dyDescent="0.2">
      <c r="K668" s="951"/>
      <c r="L668" s="951"/>
      <c r="M668" s="951"/>
      <c r="N668" s="433"/>
    </row>
    <row r="669" spans="1:14" s="534" customFormat="1" ht="13.5" thickBot="1" x14ac:dyDescent="0.25">
      <c r="A669" s="433" t="s">
        <v>823</v>
      </c>
      <c r="B669" s="645"/>
      <c r="D669" s="852"/>
      <c r="F669" s="495"/>
      <c r="G669" s="495"/>
      <c r="H669" s="495"/>
      <c r="I669" s="989" t="s">
        <v>173</v>
      </c>
    </row>
    <row r="670" spans="1:14" s="107" customFormat="1" ht="20.25" customHeight="1" thickTop="1" thickBot="1" x14ac:dyDescent="0.25">
      <c r="A670" s="690" t="s">
        <v>661</v>
      </c>
      <c r="B670" s="693" t="s">
        <v>174</v>
      </c>
      <c r="C670" s="691" t="s">
        <v>175</v>
      </c>
      <c r="D670" s="636" t="s">
        <v>744</v>
      </c>
      <c r="E670" s="694" t="s">
        <v>176</v>
      </c>
      <c r="F670" s="694" t="s">
        <v>177</v>
      </c>
      <c r="G670" s="694" t="s">
        <v>922</v>
      </c>
      <c r="H670" s="694" t="s">
        <v>923</v>
      </c>
      <c r="I670" s="856" t="s">
        <v>924</v>
      </c>
    </row>
    <row r="671" spans="1:14" s="384" customFormat="1" ht="13.5" thickTop="1" thickBot="1" x14ac:dyDescent="0.25">
      <c r="A671" s="1254">
        <v>1</v>
      </c>
      <c r="B671" s="1255">
        <v>2</v>
      </c>
      <c r="C671" s="1255">
        <v>3</v>
      </c>
      <c r="D671" s="1255">
        <v>4</v>
      </c>
      <c r="E671" s="569">
        <v>5</v>
      </c>
      <c r="F671" s="1256">
        <v>6</v>
      </c>
      <c r="G671" s="1256">
        <v>7</v>
      </c>
      <c r="H671" s="1257">
        <v>8</v>
      </c>
      <c r="I671" s="1258" t="s">
        <v>801</v>
      </c>
    </row>
    <row r="672" spans="1:14" s="534" customFormat="1" ht="16.5" thickTop="1" thickBot="1" x14ac:dyDescent="0.3">
      <c r="A672" s="1266">
        <v>60003100078</v>
      </c>
      <c r="B672" s="1007">
        <v>3315</v>
      </c>
      <c r="C672" s="1267">
        <v>5137</v>
      </c>
      <c r="D672" s="1008">
        <v>870</v>
      </c>
      <c r="E672" s="1009" t="s">
        <v>167</v>
      </c>
      <c r="F672" s="928"/>
      <c r="G672" s="1269">
        <v>4598</v>
      </c>
      <c r="H672" s="928">
        <v>3299</v>
      </c>
      <c r="I672" s="1270">
        <f>(H672/G672)*100</f>
        <v>71.748586341887773</v>
      </c>
    </row>
    <row r="673" spans="1:14" s="534" customFormat="1" ht="16.5" thickTop="1" thickBot="1" x14ac:dyDescent="0.3">
      <c r="A673" s="2685" t="s">
        <v>258</v>
      </c>
      <c r="B673" s="2686"/>
      <c r="C673" s="2686"/>
      <c r="D673" s="2686"/>
      <c r="E673" s="2686"/>
      <c r="F673" s="928">
        <v>0</v>
      </c>
      <c r="G673" s="928">
        <f>G672</f>
        <v>4598</v>
      </c>
      <c r="H673" s="928">
        <f>H672</f>
        <v>3299</v>
      </c>
      <c r="I673" s="1270">
        <f>(H673/G673)*100</f>
        <v>71.748586341887773</v>
      </c>
    </row>
    <row r="674" spans="1:14" s="534" customFormat="1" ht="15.75" thickTop="1" x14ac:dyDescent="0.25">
      <c r="A674" s="1307">
        <v>60003100078</v>
      </c>
      <c r="B674" s="1308">
        <v>3315</v>
      </c>
      <c r="C674" s="1308">
        <v>6121</v>
      </c>
      <c r="D674" s="1282">
        <v>13</v>
      </c>
      <c r="E674" s="1281" t="s">
        <v>640</v>
      </c>
      <c r="F674" s="1280">
        <v>23295</v>
      </c>
      <c r="G674" s="1280">
        <v>0</v>
      </c>
      <c r="H674" s="1280">
        <v>0</v>
      </c>
      <c r="I674" s="1265">
        <v>0</v>
      </c>
    </row>
    <row r="675" spans="1:14" s="534" customFormat="1" ht="15" x14ac:dyDescent="0.25">
      <c r="A675" s="1287">
        <v>60003100078</v>
      </c>
      <c r="B675" s="783">
        <v>3315</v>
      </c>
      <c r="C675" s="783">
        <v>6121</v>
      </c>
      <c r="D675" s="1276">
        <v>870</v>
      </c>
      <c r="E675" s="1286" t="s">
        <v>640</v>
      </c>
      <c r="F675" s="884"/>
      <c r="G675" s="884">
        <v>22012</v>
      </c>
      <c r="H675" s="884">
        <v>20538</v>
      </c>
      <c r="I675" s="876">
        <f>(H675/G675)*100</f>
        <v>93.30365255315283</v>
      </c>
    </row>
    <row r="676" spans="1:14" s="534" customFormat="1" ht="15" x14ac:dyDescent="0.25">
      <c r="A676" s="1287">
        <v>60003100078</v>
      </c>
      <c r="B676" s="783">
        <v>3315</v>
      </c>
      <c r="C676" s="783">
        <v>6122</v>
      </c>
      <c r="D676" s="1276">
        <v>870</v>
      </c>
      <c r="E676" s="1286" t="s">
        <v>641</v>
      </c>
      <c r="F676" s="884"/>
      <c r="G676" s="884">
        <v>1497</v>
      </c>
      <c r="H676" s="884">
        <v>536</v>
      </c>
      <c r="I676" s="876">
        <f>(H676/G676)*100</f>
        <v>35.804943219772881</v>
      </c>
    </row>
    <row r="677" spans="1:14" s="534" customFormat="1" ht="15.75" thickBot="1" x14ac:dyDescent="0.3">
      <c r="A677" s="1003">
        <v>60003100078</v>
      </c>
      <c r="B677" s="930">
        <v>3315</v>
      </c>
      <c r="C677" s="930">
        <v>6129</v>
      </c>
      <c r="D677" s="1285">
        <v>870</v>
      </c>
      <c r="E677" s="1284" t="s">
        <v>818</v>
      </c>
      <c r="F677" s="1283"/>
      <c r="G677" s="1283">
        <v>174</v>
      </c>
      <c r="H677" s="1283">
        <v>0</v>
      </c>
      <c r="I677" s="1014">
        <v>0</v>
      </c>
    </row>
    <row r="678" spans="1:14" s="534" customFormat="1" ht="18" customHeight="1" thickTop="1" thickBot="1" x14ac:dyDescent="0.3">
      <c r="A678" s="2699" t="s">
        <v>257</v>
      </c>
      <c r="B678" s="2698"/>
      <c r="C678" s="2698"/>
      <c r="D678" s="2698"/>
      <c r="E678" s="2698"/>
      <c r="F678" s="911">
        <f>F674</f>
        <v>23295</v>
      </c>
      <c r="G678" s="911">
        <f>G675+G676+G677</f>
        <v>23683</v>
      </c>
      <c r="H678" s="911">
        <f>H675+H676+H677</f>
        <v>21074</v>
      </c>
      <c r="I678" s="894">
        <f>(H678/G678)*100</f>
        <v>88.98365916480175</v>
      </c>
    </row>
    <row r="679" spans="1:14" ht="13.5" thickTop="1" x14ac:dyDescent="0.2">
      <c r="K679" s="951"/>
      <c r="L679" s="951"/>
      <c r="M679" s="951"/>
      <c r="N679" s="433"/>
    </row>
    <row r="680" spans="1:14" x14ac:dyDescent="0.2">
      <c r="K680" s="951"/>
      <c r="L680" s="951"/>
      <c r="M680" s="951"/>
      <c r="N680" s="433"/>
    </row>
    <row r="681" spans="1:14" s="534" customFormat="1" ht="13.5" thickBot="1" x14ac:dyDescent="0.25">
      <c r="A681" s="433" t="s">
        <v>824</v>
      </c>
      <c r="B681" s="645"/>
      <c r="D681" s="852"/>
      <c r="F681" s="495"/>
      <c r="G681" s="495"/>
      <c r="H681" s="495"/>
      <c r="I681" s="989" t="s">
        <v>173</v>
      </c>
    </row>
    <row r="682" spans="1:14" s="107" customFormat="1" ht="20.25" customHeight="1" thickTop="1" thickBot="1" x14ac:dyDescent="0.25">
      <c r="A682" s="690" t="s">
        <v>661</v>
      </c>
      <c r="B682" s="693" t="s">
        <v>174</v>
      </c>
      <c r="C682" s="691" t="s">
        <v>175</v>
      </c>
      <c r="D682" s="636" t="s">
        <v>744</v>
      </c>
      <c r="E682" s="694" t="s">
        <v>176</v>
      </c>
      <c r="F682" s="694" t="s">
        <v>177</v>
      </c>
      <c r="G682" s="694" t="s">
        <v>922</v>
      </c>
      <c r="H682" s="694" t="s">
        <v>923</v>
      </c>
      <c r="I682" s="856" t="s">
        <v>924</v>
      </c>
    </row>
    <row r="683" spans="1:14" s="384" customFormat="1" ht="13.5" thickTop="1" thickBot="1" x14ac:dyDescent="0.25">
      <c r="A683" s="1254">
        <v>1</v>
      </c>
      <c r="B683" s="1255">
        <v>2</v>
      </c>
      <c r="C683" s="1255">
        <v>3</v>
      </c>
      <c r="D683" s="1255">
        <v>4</v>
      </c>
      <c r="E683" s="569">
        <v>5</v>
      </c>
      <c r="F683" s="1256">
        <v>6</v>
      </c>
      <c r="G683" s="1256">
        <v>7</v>
      </c>
      <c r="H683" s="1257">
        <v>8</v>
      </c>
      <c r="I683" s="1258" t="s">
        <v>801</v>
      </c>
    </row>
    <row r="684" spans="1:14" s="534" customFormat="1" ht="16.5" thickTop="1" thickBot="1" x14ac:dyDescent="0.3">
      <c r="A684" s="1266">
        <v>60003100198</v>
      </c>
      <c r="B684" s="1007">
        <v>3315</v>
      </c>
      <c r="C684" s="1267">
        <v>6121</v>
      </c>
      <c r="D684" s="1008">
        <v>13</v>
      </c>
      <c r="E684" s="1009" t="s">
        <v>640</v>
      </c>
      <c r="F684" s="928"/>
      <c r="G684" s="1269">
        <v>374</v>
      </c>
      <c r="H684" s="928">
        <v>30</v>
      </c>
      <c r="I684" s="1270">
        <f>(H684/G684)*100</f>
        <v>8.0213903743315509</v>
      </c>
    </row>
    <row r="685" spans="1:14" s="534" customFormat="1" ht="18" customHeight="1" thickTop="1" thickBot="1" x14ac:dyDescent="0.3">
      <c r="A685" s="2699" t="s">
        <v>257</v>
      </c>
      <c r="B685" s="2698"/>
      <c r="C685" s="2698"/>
      <c r="D685" s="2698"/>
      <c r="E685" s="2698"/>
      <c r="F685" s="911">
        <f>F684</f>
        <v>0</v>
      </c>
      <c r="G685" s="911">
        <f>G684</f>
        <v>374</v>
      </c>
      <c r="H685" s="911">
        <f>H684</f>
        <v>30</v>
      </c>
      <c r="I685" s="894">
        <f>(H685/G685)*100</f>
        <v>8.0213903743315509</v>
      </c>
    </row>
    <row r="686" spans="1:14" ht="13.5" thickTop="1" x14ac:dyDescent="0.2">
      <c r="K686" s="951"/>
      <c r="L686" s="951"/>
      <c r="M686" s="951"/>
      <c r="N686" s="433"/>
    </row>
    <row r="687" spans="1:14" x14ac:dyDescent="0.2">
      <c r="K687" s="951"/>
      <c r="L687" s="951"/>
      <c r="M687" s="951"/>
      <c r="N687" s="433"/>
    </row>
    <row r="688" spans="1:14" s="534" customFormat="1" ht="13.5" thickBot="1" x14ac:dyDescent="0.25">
      <c r="A688" s="433" t="s">
        <v>825</v>
      </c>
      <c r="B688" s="645"/>
      <c r="D688" s="852"/>
      <c r="F688" s="495"/>
      <c r="G688" s="495"/>
      <c r="H688" s="495"/>
      <c r="I688" s="989" t="s">
        <v>173</v>
      </c>
    </row>
    <row r="689" spans="1:14" s="107" customFormat="1" ht="20.25" customHeight="1" thickTop="1" thickBot="1" x14ac:dyDescent="0.25">
      <c r="A689" s="690" t="s">
        <v>661</v>
      </c>
      <c r="B689" s="693" t="s">
        <v>174</v>
      </c>
      <c r="C689" s="691" t="s">
        <v>175</v>
      </c>
      <c r="D689" s="636" t="s">
        <v>744</v>
      </c>
      <c r="E689" s="694" t="s">
        <v>176</v>
      </c>
      <c r="F689" s="694" t="s">
        <v>177</v>
      </c>
      <c r="G689" s="694" t="s">
        <v>922</v>
      </c>
      <c r="H689" s="694" t="s">
        <v>923</v>
      </c>
      <c r="I689" s="856" t="s">
        <v>924</v>
      </c>
    </row>
    <row r="690" spans="1:14" s="384" customFormat="1" ht="13.5" thickTop="1" thickBot="1" x14ac:dyDescent="0.25">
      <c r="A690" s="1254">
        <v>1</v>
      </c>
      <c r="B690" s="1255">
        <v>2</v>
      </c>
      <c r="C690" s="1255">
        <v>3</v>
      </c>
      <c r="D690" s="1255">
        <v>4</v>
      </c>
      <c r="E690" s="569">
        <v>5</v>
      </c>
      <c r="F690" s="1256">
        <v>6</v>
      </c>
      <c r="G690" s="1256">
        <v>7</v>
      </c>
      <c r="H690" s="1257">
        <v>8</v>
      </c>
      <c r="I690" s="1258" t="s">
        <v>801</v>
      </c>
    </row>
    <row r="691" spans="1:14" s="534" customFormat="1" ht="16.5" thickTop="1" thickBot="1" x14ac:dyDescent="0.3">
      <c r="A691" s="1266">
        <v>60003100206</v>
      </c>
      <c r="B691" s="1007">
        <v>3315</v>
      </c>
      <c r="C691" s="1267">
        <v>6121</v>
      </c>
      <c r="D691" s="1008">
        <v>870</v>
      </c>
      <c r="E691" s="1009" t="s">
        <v>640</v>
      </c>
      <c r="F691" s="928"/>
      <c r="G691" s="1269">
        <v>7100</v>
      </c>
      <c r="H691" s="928">
        <v>4741</v>
      </c>
      <c r="I691" s="1270">
        <f>(H691/G691)*100</f>
        <v>66.774647887323951</v>
      </c>
    </row>
    <row r="692" spans="1:14" s="534" customFormat="1" ht="18" customHeight="1" thickTop="1" thickBot="1" x14ac:dyDescent="0.3">
      <c r="A692" s="2699" t="s">
        <v>257</v>
      </c>
      <c r="B692" s="2698"/>
      <c r="C692" s="2698"/>
      <c r="D692" s="2698"/>
      <c r="E692" s="2698"/>
      <c r="F692" s="911">
        <f>F691</f>
        <v>0</v>
      </c>
      <c r="G692" s="911">
        <f>G691</f>
        <v>7100</v>
      </c>
      <c r="H692" s="911">
        <f>H691</f>
        <v>4741</v>
      </c>
      <c r="I692" s="894">
        <f>(H692/G692)*100</f>
        <v>66.774647887323951</v>
      </c>
    </row>
    <row r="693" spans="1:14" ht="13.5" thickTop="1" x14ac:dyDescent="0.2">
      <c r="K693" s="951"/>
      <c r="L693" s="951"/>
      <c r="M693" s="951"/>
      <c r="N693" s="433"/>
    </row>
    <row r="694" spans="1:14" x14ac:dyDescent="0.2">
      <c r="K694" s="951"/>
      <c r="L694" s="951"/>
      <c r="M694" s="951"/>
      <c r="N694" s="433"/>
    </row>
    <row r="695" spans="1:14" s="534" customFormat="1" ht="13.5" thickBot="1" x14ac:dyDescent="0.25">
      <c r="A695" s="433" t="s">
        <v>826</v>
      </c>
      <c r="B695" s="645"/>
      <c r="D695" s="852"/>
      <c r="F695" s="495"/>
      <c r="G695" s="495"/>
      <c r="H695" s="495"/>
      <c r="I695" s="989" t="s">
        <v>173</v>
      </c>
    </row>
    <row r="696" spans="1:14" s="107" customFormat="1" ht="20.25" customHeight="1" thickTop="1" thickBot="1" x14ac:dyDescent="0.25">
      <c r="A696" s="690" t="s">
        <v>661</v>
      </c>
      <c r="B696" s="693" t="s">
        <v>174</v>
      </c>
      <c r="C696" s="691" t="s">
        <v>175</v>
      </c>
      <c r="D696" s="636" t="s">
        <v>744</v>
      </c>
      <c r="E696" s="694" t="s">
        <v>176</v>
      </c>
      <c r="F696" s="694" t="s">
        <v>177</v>
      </c>
      <c r="G696" s="694" t="s">
        <v>922</v>
      </c>
      <c r="H696" s="694" t="s">
        <v>923</v>
      </c>
      <c r="I696" s="856" t="s">
        <v>924</v>
      </c>
    </row>
    <row r="697" spans="1:14" s="384" customFormat="1" ht="13.5" thickTop="1" thickBot="1" x14ac:dyDescent="0.25">
      <c r="A697" s="1254">
        <v>1</v>
      </c>
      <c r="B697" s="1255">
        <v>2</v>
      </c>
      <c r="C697" s="1255">
        <v>3</v>
      </c>
      <c r="D697" s="1255">
        <v>4</v>
      </c>
      <c r="E697" s="569">
        <v>5</v>
      </c>
      <c r="F697" s="1256">
        <v>6</v>
      </c>
      <c r="G697" s="1256">
        <v>7</v>
      </c>
      <c r="H697" s="1257">
        <v>8</v>
      </c>
      <c r="I697" s="1258" t="s">
        <v>801</v>
      </c>
    </row>
    <row r="698" spans="1:14" s="534" customFormat="1" ht="16.5" thickTop="1" thickBot="1" x14ac:dyDescent="0.3">
      <c r="A698" s="1266">
        <v>60003100208</v>
      </c>
      <c r="B698" s="1007">
        <v>3315</v>
      </c>
      <c r="C698" s="1267">
        <v>6121</v>
      </c>
      <c r="D698" s="1008">
        <v>13</v>
      </c>
      <c r="E698" s="1009" t="s">
        <v>640</v>
      </c>
      <c r="F698" s="928"/>
      <c r="G698" s="1269">
        <v>5527</v>
      </c>
      <c r="H698" s="928">
        <v>5493</v>
      </c>
      <c r="I698" s="1270">
        <f>(H698/G698)*100</f>
        <v>99.384838067667815</v>
      </c>
    </row>
    <row r="699" spans="1:14" s="534" customFormat="1" ht="18" customHeight="1" thickTop="1" thickBot="1" x14ac:dyDescent="0.3">
      <c r="A699" s="2699" t="s">
        <v>257</v>
      </c>
      <c r="B699" s="2698"/>
      <c r="C699" s="2698"/>
      <c r="D699" s="2698"/>
      <c r="E699" s="2698"/>
      <c r="F699" s="911">
        <f>F698</f>
        <v>0</v>
      </c>
      <c r="G699" s="911">
        <f>G698</f>
        <v>5527</v>
      </c>
      <c r="H699" s="911">
        <f>H698</f>
        <v>5493</v>
      </c>
      <c r="I699" s="894">
        <f>(H699/G699)*100</f>
        <v>99.384838067667815</v>
      </c>
    </row>
    <row r="700" spans="1:14" ht="13.5" thickTop="1" x14ac:dyDescent="0.2">
      <c r="K700" s="951"/>
      <c r="L700" s="951"/>
      <c r="M700" s="951"/>
      <c r="N700" s="433"/>
    </row>
    <row r="701" spans="1:14" x14ac:dyDescent="0.2">
      <c r="K701" s="951"/>
      <c r="L701" s="951"/>
      <c r="M701" s="951"/>
      <c r="N701" s="433"/>
    </row>
    <row r="702" spans="1:14" s="534" customFormat="1" ht="13.5" thickBot="1" x14ac:dyDescent="0.25">
      <c r="A702" s="433" t="s">
        <v>827</v>
      </c>
      <c r="B702" s="645"/>
      <c r="D702" s="852"/>
      <c r="F702" s="495"/>
      <c r="G702" s="495"/>
      <c r="H702" s="495"/>
      <c r="I702" s="989" t="s">
        <v>173</v>
      </c>
    </row>
    <row r="703" spans="1:14" s="107" customFormat="1" ht="20.25" customHeight="1" thickTop="1" thickBot="1" x14ac:dyDescent="0.25">
      <c r="A703" s="690" t="s">
        <v>661</v>
      </c>
      <c r="B703" s="693" t="s">
        <v>174</v>
      </c>
      <c r="C703" s="691" t="s">
        <v>175</v>
      </c>
      <c r="D703" s="636" t="s">
        <v>744</v>
      </c>
      <c r="E703" s="694" t="s">
        <v>176</v>
      </c>
      <c r="F703" s="694" t="s">
        <v>177</v>
      </c>
      <c r="G703" s="694" t="s">
        <v>922</v>
      </c>
      <c r="H703" s="694" t="s">
        <v>923</v>
      </c>
      <c r="I703" s="856" t="s">
        <v>924</v>
      </c>
    </row>
    <row r="704" spans="1:14" s="384" customFormat="1" ht="13.5" thickTop="1" thickBot="1" x14ac:dyDescent="0.25">
      <c r="A704" s="1254">
        <v>1</v>
      </c>
      <c r="B704" s="1255">
        <v>2</v>
      </c>
      <c r="C704" s="1255">
        <v>3</v>
      </c>
      <c r="D704" s="1255">
        <v>4</v>
      </c>
      <c r="E704" s="569">
        <v>5</v>
      </c>
      <c r="F704" s="1256">
        <v>6</v>
      </c>
      <c r="G704" s="1256">
        <v>7</v>
      </c>
      <c r="H704" s="1257">
        <v>8</v>
      </c>
      <c r="I704" s="1258" t="s">
        <v>801</v>
      </c>
    </row>
    <row r="705" spans="1:14" s="534" customFormat="1" ht="16.5" thickTop="1" thickBot="1" x14ac:dyDescent="0.3">
      <c r="A705" s="1266">
        <v>60003100217</v>
      </c>
      <c r="B705" s="1007">
        <v>3315</v>
      </c>
      <c r="C705" s="1267">
        <v>6121</v>
      </c>
      <c r="D705" s="1008">
        <v>13</v>
      </c>
      <c r="E705" s="1009" t="s">
        <v>640</v>
      </c>
      <c r="F705" s="928"/>
      <c r="G705" s="1269">
        <v>177</v>
      </c>
      <c r="H705" s="928">
        <v>30</v>
      </c>
      <c r="I705" s="1270">
        <f>(H705/G705)*100</f>
        <v>16.949152542372879</v>
      </c>
    </row>
    <row r="706" spans="1:14" s="534" customFormat="1" ht="18" customHeight="1" thickTop="1" thickBot="1" x14ac:dyDescent="0.3">
      <c r="A706" s="2699" t="s">
        <v>257</v>
      </c>
      <c r="B706" s="2698"/>
      <c r="C706" s="2698"/>
      <c r="D706" s="2698"/>
      <c r="E706" s="2698"/>
      <c r="F706" s="911">
        <f>F705</f>
        <v>0</v>
      </c>
      <c r="G706" s="911">
        <f>G705</f>
        <v>177</v>
      </c>
      <c r="H706" s="911">
        <f>H705</f>
        <v>30</v>
      </c>
      <c r="I706" s="894">
        <f>(H706/G706)*100</f>
        <v>16.949152542372879</v>
      </c>
    </row>
    <row r="707" spans="1:14" ht="13.5" thickTop="1" x14ac:dyDescent="0.2">
      <c r="K707" s="951"/>
      <c r="L707" s="951"/>
      <c r="M707" s="951"/>
      <c r="N707" s="433"/>
    </row>
    <row r="708" spans="1:14" x14ac:dyDescent="0.2">
      <c r="K708" s="951"/>
      <c r="L708" s="951"/>
      <c r="M708" s="951"/>
      <c r="N708" s="433"/>
    </row>
    <row r="709" spans="1:14" s="534" customFormat="1" ht="13.5" thickBot="1" x14ac:dyDescent="0.25">
      <c r="A709" s="433" t="s">
        <v>828</v>
      </c>
      <c r="B709" s="645"/>
      <c r="D709" s="852"/>
      <c r="F709" s="495"/>
      <c r="G709" s="495"/>
      <c r="H709" s="495"/>
      <c r="I709" s="989" t="s">
        <v>173</v>
      </c>
    </row>
    <row r="710" spans="1:14" s="107" customFormat="1" ht="20.25" customHeight="1" thickTop="1" thickBot="1" x14ac:dyDescent="0.25">
      <c r="A710" s="690" t="s">
        <v>661</v>
      </c>
      <c r="B710" s="693" t="s">
        <v>174</v>
      </c>
      <c r="C710" s="691" t="s">
        <v>175</v>
      </c>
      <c r="D710" s="636" t="s">
        <v>744</v>
      </c>
      <c r="E710" s="694" t="s">
        <v>176</v>
      </c>
      <c r="F710" s="694" t="s">
        <v>177</v>
      </c>
      <c r="G710" s="694" t="s">
        <v>922</v>
      </c>
      <c r="H710" s="694" t="s">
        <v>923</v>
      </c>
      <c r="I710" s="856" t="s">
        <v>924</v>
      </c>
    </row>
    <row r="711" spans="1:14" s="384" customFormat="1" ht="13.5" thickTop="1" thickBot="1" x14ac:dyDescent="0.25">
      <c r="A711" s="1254">
        <v>1</v>
      </c>
      <c r="B711" s="1255">
        <v>2</v>
      </c>
      <c r="C711" s="1255">
        <v>3</v>
      </c>
      <c r="D711" s="1255">
        <v>4</v>
      </c>
      <c r="E711" s="569">
        <v>5</v>
      </c>
      <c r="F711" s="1256">
        <v>6</v>
      </c>
      <c r="G711" s="1256">
        <v>7</v>
      </c>
      <c r="H711" s="1257">
        <v>8</v>
      </c>
      <c r="I711" s="1258" t="s">
        <v>801</v>
      </c>
    </row>
    <row r="712" spans="1:14" s="534" customFormat="1" ht="16.5" thickTop="1" thickBot="1" x14ac:dyDescent="0.3">
      <c r="A712" s="1266">
        <v>60003100218</v>
      </c>
      <c r="B712" s="1007">
        <v>3315</v>
      </c>
      <c r="C712" s="1267">
        <v>6121</v>
      </c>
      <c r="D712" s="1008">
        <v>13</v>
      </c>
      <c r="E712" s="1009" t="s">
        <v>640</v>
      </c>
      <c r="F712" s="928"/>
      <c r="G712" s="1269">
        <v>155</v>
      </c>
      <c r="H712" s="928">
        <v>155</v>
      </c>
      <c r="I712" s="1270">
        <f>(H712/G712)*100</f>
        <v>100</v>
      </c>
    </row>
    <row r="713" spans="1:14" s="534" customFormat="1" ht="18" customHeight="1" thickTop="1" thickBot="1" x14ac:dyDescent="0.3">
      <c r="A713" s="2699" t="s">
        <v>257</v>
      </c>
      <c r="B713" s="2698"/>
      <c r="C713" s="2698"/>
      <c r="D713" s="2698"/>
      <c r="E713" s="2698"/>
      <c r="F713" s="911">
        <f>F712</f>
        <v>0</v>
      </c>
      <c r="G713" s="911">
        <f>G712</f>
        <v>155</v>
      </c>
      <c r="H713" s="911">
        <f>H712</f>
        <v>155</v>
      </c>
      <c r="I713" s="894">
        <f>(H713/G713)*100</f>
        <v>100</v>
      </c>
    </row>
    <row r="714" spans="1:14" ht="13.5" thickTop="1" x14ac:dyDescent="0.2">
      <c r="K714" s="951"/>
      <c r="L714" s="951"/>
      <c r="M714" s="951"/>
      <c r="N714" s="433"/>
    </row>
    <row r="715" spans="1:14" x14ac:dyDescent="0.2">
      <c r="K715" s="951"/>
      <c r="L715" s="951"/>
      <c r="M715" s="951"/>
      <c r="N715" s="433"/>
    </row>
    <row r="716" spans="1:14" s="534" customFormat="1" ht="13.5" thickBot="1" x14ac:dyDescent="0.25">
      <c r="A716" s="433" t="s">
        <v>735</v>
      </c>
      <c r="B716" s="645"/>
      <c r="D716" s="852"/>
      <c r="F716" s="495"/>
      <c r="G716" s="495"/>
      <c r="H716" s="495"/>
      <c r="I716" s="989" t="s">
        <v>173</v>
      </c>
    </row>
    <row r="717" spans="1:14" s="107" customFormat="1" ht="20.25" customHeight="1" thickTop="1" thickBot="1" x14ac:dyDescent="0.25">
      <c r="A717" s="690" t="s">
        <v>661</v>
      </c>
      <c r="B717" s="693" t="s">
        <v>174</v>
      </c>
      <c r="C717" s="691" t="s">
        <v>175</v>
      </c>
      <c r="D717" s="636" t="s">
        <v>744</v>
      </c>
      <c r="E717" s="694" t="s">
        <v>176</v>
      </c>
      <c r="F717" s="694" t="s">
        <v>177</v>
      </c>
      <c r="G717" s="694" t="s">
        <v>922</v>
      </c>
      <c r="H717" s="694" t="s">
        <v>923</v>
      </c>
      <c r="I717" s="856" t="s">
        <v>924</v>
      </c>
    </row>
    <row r="718" spans="1:14" s="384" customFormat="1" ht="13.5" thickTop="1" thickBot="1" x14ac:dyDescent="0.25">
      <c r="A718" s="1254">
        <v>1</v>
      </c>
      <c r="B718" s="1255">
        <v>2</v>
      </c>
      <c r="C718" s="1255">
        <v>3</v>
      </c>
      <c r="D718" s="1255">
        <v>4</v>
      </c>
      <c r="E718" s="569">
        <v>5</v>
      </c>
      <c r="F718" s="1256">
        <v>6</v>
      </c>
      <c r="G718" s="1256">
        <v>7</v>
      </c>
      <c r="H718" s="1257">
        <v>8</v>
      </c>
      <c r="I718" s="1258" t="s">
        <v>801</v>
      </c>
    </row>
    <row r="719" spans="1:14" s="534" customFormat="1" ht="16.5" thickTop="1" thickBot="1" x14ac:dyDescent="0.3">
      <c r="A719" s="1266">
        <v>60003100280</v>
      </c>
      <c r="B719" s="1007">
        <v>3314</v>
      </c>
      <c r="C719" s="1267">
        <v>6121</v>
      </c>
      <c r="D719" s="1008">
        <v>13</v>
      </c>
      <c r="E719" s="1009" t="s">
        <v>640</v>
      </c>
      <c r="F719" s="928"/>
      <c r="G719" s="1269">
        <v>802</v>
      </c>
      <c r="H719" s="928">
        <v>802</v>
      </c>
      <c r="I719" s="1270">
        <f>(H719/G719)*100</f>
        <v>100</v>
      </c>
    </row>
    <row r="720" spans="1:14" s="534" customFormat="1" ht="18" customHeight="1" thickTop="1" thickBot="1" x14ac:dyDescent="0.3">
      <c r="A720" s="2699" t="s">
        <v>257</v>
      </c>
      <c r="B720" s="2698"/>
      <c r="C720" s="2698"/>
      <c r="D720" s="2698"/>
      <c r="E720" s="2698"/>
      <c r="F720" s="911">
        <f>F719</f>
        <v>0</v>
      </c>
      <c r="G720" s="911">
        <f>G719</f>
        <v>802</v>
      </c>
      <c r="H720" s="911">
        <f>H719</f>
        <v>802</v>
      </c>
      <c r="I720" s="894">
        <f>(H720/G720)*100</f>
        <v>100</v>
      </c>
    </row>
    <row r="721" spans="1:14" ht="13.5" thickTop="1" x14ac:dyDescent="0.2">
      <c r="K721" s="951"/>
      <c r="L721" s="951"/>
      <c r="M721" s="951"/>
      <c r="N721" s="433"/>
    </row>
    <row r="722" spans="1:14" x14ac:dyDescent="0.2">
      <c r="K722" s="951"/>
      <c r="L722" s="951"/>
      <c r="M722" s="951"/>
      <c r="N722" s="433"/>
    </row>
    <row r="723" spans="1:14" s="534" customFormat="1" ht="13.5" thickBot="1" x14ac:dyDescent="0.25">
      <c r="A723" s="433" t="s">
        <v>736</v>
      </c>
      <c r="B723" s="645"/>
      <c r="D723" s="852"/>
      <c r="F723" s="495"/>
      <c r="G723" s="495"/>
      <c r="H723" s="495"/>
      <c r="I723" s="989" t="s">
        <v>173</v>
      </c>
    </row>
    <row r="724" spans="1:14" s="107" customFormat="1" ht="20.25" customHeight="1" thickTop="1" thickBot="1" x14ac:dyDescent="0.25">
      <c r="A724" s="690" t="s">
        <v>661</v>
      </c>
      <c r="B724" s="693" t="s">
        <v>174</v>
      </c>
      <c r="C724" s="691" t="s">
        <v>175</v>
      </c>
      <c r="D724" s="636" t="s">
        <v>744</v>
      </c>
      <c r="E724" s="694" t="s">
        <v>176</v>
      </c>
      <c r="F724" s="694" t="s">
        <v>177</v>
      </c>
      <c r="G724" s="694" t="s">
        <v>922</v>
      </c>
      <c r="H724" s="694" t="s">
        <v>923</v>
      </c>
      <c r="I724" s="856" t="s">
        <v>924</v>
      </c>
    </row>
    <row r="725" spans="1:14" s="384" customFormat="1" ht="13.5" thickTop="1" thickBot="1" x14ac:dyDescent="0.25">
      <c r="A725" s="1254">
        <v>1</v>
      </c>
      <c r="B725" s="1255">
        <v>2</v>
      </c>
      <c r="C725" s="1255">
        <v>3</v>
      </c>
      <c r="D725" s="1255">
        <v>4</v>
      </c>
      <c r="E725" s="569">
        <v>5</v>
      </c>
      <c r="F725" s="1256">
        <v>6</v>
      </c>
      <c r="G725" s="1256">
        <v>7</v>
      </c>
      <c r="H725" s="1257">
        <v>8</v>
      </c>
      <c r="I725" s="1258" t="s">
        <v>801</v>
      </c>
    </row>
    <row r="726" spans="1:14" s="534" customFormat="1" ht="16.5" thickTop="1" thickBot="1" x14ac:dyDescent="0.3">
      <c r="A726" s="1266">
        <v>60003100281</v>
      </c>
      <c r="B726" s="1007">
        <v>3315</v>
      </c>
      <c r="C726" s="1267">
        <v>6121</v>
      </c>
      <c r="D726" s="1008">
        <v>870</v>
      </c>
      <c r="E726" s="1009" t="s">
        <v>640</v>
      </c>
      <c r="F726" s="928"/>
      <c r="G726" s="1269">
        <v>12173</v>
      </c>
      <c r="H726" s="928">
        <v>12173</v>
      </c>
      <c r="I726" s="1270">
        <f>(H726/G726)*100</f>
        <v>100</v>
      </c>
    </row>
    <row r="727" spans="1:14" s="534" customFormat="1" ht="18" customHeight="1" thickTop="1" thickBot="1" x14ac:dyDescent="0.3">
      <c r="A727" s="2699" t="s">
        <v>257</v>
      </c>
      <c r="B727" s="2698"/>
      <c r="C727" s="2698"/>
      <c r="D727" s="2698"/>
      <c r="E727" s="2698"/>
      <c r="F727" s="911">
        <f>F726</f>
        <v>0</v>
      </c>
      <c r="G727" s="911">
        <f>G726</f>
        <v>12173</v>
      </c>
      <c r="H727" s="911">
        <f>H726</f>
        <v>12173</v>
      </c>
      <c r="I727" s="894">
        <f>(H727/G727)*100</f>
        <v>100</v>
      </c>
    </row>
    <row r="728" spans="1:14" ht="13.5" thickTop="1" x14ac:dyDescent="0.2">
      <c r="K728" s="951"/>
      <c r="L728" s="951"/>
      <c r="M728" s="951"/>
      <c r="N728" s="433"/>
    </row>
    <row r="729" spans="1:14" x14ac:dyDescent="0.2">
      <c r="K729" s="951"/>
      <c r="L729" s="951"/>
      <c r="M729" s="951"/>
      <c r="N729" s="433"/>
    </row>
    <row r="730" spans="1:14" s="534" customFormat="1" ht="13.5" thickBot="1" x14ac:dyDescent="0.25">
      <c r="A730" s="433" t="s">
        <v>737</v>
      </c>
      <c r="B730" s="645"/>
      <c r="D730" s="852"/>
      <c r="F730" s="495"/>
      <c r="G730" s="495"/>
      <c r="H730" s="495"/>
      <c r="I730" s="989" t="s">
        <v>173</v>
      </c>
    </row>
    <row r="731" spans="1:14" s="107" customFormat="1" ht="20.25" customHeight="1" thickTop="1" thickBot="1" x14ac:dyDescent="0.25">
      <c r="A731" s="690" t="s">
        <v>661</v>
      </c>
      <c r="B731" s="693" t="s">
        <v>174</v>
      </c>
      <c r="C731" s="691" t="s">
        <v>175</v>
      </c>
      <c r="D731" s="636" t="s">
        <v>744</v>
      </c>
      <c r="E731" s="694" t="s">
        <v>176</v>
      </c>
      <c r="F731" s="694" t="s">
        <v>177</v>
      </c>
      <c r="G731" s="694" t="s">
        <v>922</v>
      </c>
      <c r="H731" s="694" t="s">
        <v>923</v>
      </c>
      <c r="I731" s="856" t="s">
        <v>924</v>
      </c>
    </row>
    <row r="732" spans="1:14" s="384" customFormat="1" ht="13.5" thickTop="1" thickBot="1" x14ac:dyDescent="0.25">
      <c r="A732" s="1254">
        <v>1</v>
      </c>
      <c r="B732" s="1255">
        <v>2</v>
      </c>
      <c r="C732" s="1255">
        <v>3</v>
      </c>
      <c r="D732" s="1255">
        <v>4</v>
      </c>
      <c r="E732" s="569">
        <v>5</v>
      </c>
      <c r="F732" s="1256">
        <v>6</v>
      </c>
      <c r="G732" s="1256">
        <v>7</v>
      </c>
      <c r="H732" s="1257">
        <v>8</v>
      </c>
      <c r="I732" s="1258" t="s">
        <v>801</v>
      </c>
    </row>
    <row r="733" spans="1:14" s="534" customFormat="1" ht="16.5" thickTop="1" thickBot="1" x14ac:dyDescent="0.3">
      <c r="A733" s="1266">
        <v>60003100283</v>
      </c>
      <c r="B733" s="1007">
        <v>3315</v>
      </c>
      <c r="C733" s="1267">
        <v>6121</v>
      </c>
      <c r="D733" s="1008">
        <v>13</v>
      </c>
      <c r="E733" s="1009" t="s">
        <v>640</v>
      </c>
      <c r="F733" s="928"/>
      <c r="G733" s="1269">
        <v>200</v>
      </c>
      <c r="H733" s="928">
        <v>0</v>
      </c>
      <c r="I733" s="1270">
        <f>(H733/G733)*100</f>
        <v>0</v>
      </c>
    </row>
    <row r="734" spans="1:14" s="534" customFormat="1" ht="18" customHeight="1" thickTop="1" thickBot="1" x14ac:dyDescent="0.3">
      <c r="A734" s="2699" t="s">
        <v>257</v>
      </c>
      <c r="B734" s="2698"/>
      <c r="C734" s="2698"/>
      <c r="D734" s="2698"/>
      <c r="E734" s="2698"/>
      <c r="F734" s="911">
        <f>F733</f>
        <v>0</v>
      </c>
      <c r="G734" s="911">
        <f>G733</f>
        <v>200</v>
      </c>
      <c r="H734" s="911">
        <f>H733</f>
        <v>0</v>
      </c>
      <c r="I734" s="894">
        <f>(H734/G734)*100</f>
        <v>0</v>
      </c>
    </row>
    <row r="735" spans="1:14" s="534" customFormat="1" ht="14.25" thickTop="1" thickBot="1" x14ac:dyDescent="0.25">
      <c r="A735" s="433" t="s">
        <v>738</v>
      </c>
      <c r="B735" s="645"/>
      <c r="D735" s="852"/>
      <c r="F735" s="495"/>
      <c r="G735" s="495"/>
      <c r="H735" s="495"/>
      <c r="I735" s="989" t="s">
        <v>173</v>
      </c>
    </row>
    <row r="736" spans="1:14" s="107" customFormat="1" ht="20.25" customHeight="1" thickTop="1" thickBot="1" x14ac:dyDescent="0.25">
      <c r="A736" s="690" t="s">
        <v>661</v>
      </c>
      <c r="B736" s="693" t="s">
        <v>174</v>
      </c>
      <c r="C736" s="691" t="s">
        <v>175</v>
      </c>
      <c r="D736" s="636" t="s">
        <v>744</v>
      </c>
      <c r="E736" s="694" t="s">
        <v>176</v>
      </c>
      <c r="F736" s="694" t="s">
        <v>177</v>
      </c>
      <c r="G736" s="694" t="s">
        <v>922</v>
      </c>
      <c r="H736" s="694" t="s">
        <v>923</v>
      </c>
      <c r="I736" s="856" t="s">
        <v>924</v>
      </c>
    </row>
    <row r="737" spans="1:14" s="384" customFormat="1" ht="13.5" thickTop="1" thickBot="1" x14ac:dyDescent="0.25">
      <c r="A737" s="1254">
        <v>1</v>
      </c>
      <c r="B737" s="1255">
        <v>2</v>
      </c>
      <c r="C737" s="1255">
        <v>3</v>
      </c>
      <c r="D737" s="1255">
        <v>4</v>
      </c>
      <c r="E737" s="569">
        <v>5</v>
      </c>
      <c r="F737" s="1256">
        <v>6</v>
      </c>
      <c r="G737" s="1256">
        <v>7</v>
      </c>
      <c r="H737" s="1257">
        <v>8</v>
      </c>
      <c r="I737" s="1258" t="s">
        <v>801</v>
      </c>
    </row>
    <row r="738" spans="1:14" s="534" customFormat="1" ht="16.5" thickTop="1" thickBot="1" x14ac:dyDescent="0.3">
      <c r="A738" s="1266">
        <v>60003100284</v>
      </c>
      <c r="B738" s="1007">
        <v>3315</v>
      </c>
      <c r="C738" s="1267">
        <v>6121</v>
      </c>
      <c r="D738" s="1008">
        <v>13</v>
      </c>
      <c r="E738" s="1009" t="s">
        <v>640</v>
      </c>
      <c r="F738" s="928"/>
      <c r="G738" s="1269">
        <v>2330</v>
      </c>
      <c r="H738" s="928">
        <v>1200</v>
      </c>
      <c r="I738" s="1270">
        <f>(H738/G738)*100</f>
        <v>51.502145922746777</v>
      </c>
    </row>
    <row r="739" spans="1:14" s="534" customFormat="1" ht="18" customHeight="1" thickTop="1" thickBot="1" x14ac:dyDescent="0.3">
      <c r="A739" s="2699" t="s">
        <v>257</v>
      </c>
      <c r="B739" s="2698"/>
      <c r="C739" s="2698"/>
      <c r="D739" s="2698"/>
      <c r="E739" s="2698"/>
      <c r="F739" s="911">
        <f>F738</f>
        <v>0</v>
      </c>
      <c r="G739" s="911">
        <f>G738</f>
        <v>2330</v>
      </c>
      <c r="H739" s="911">
        <f>H738</f>
        <v>1200</v>
      </c>
      <c r="I739" s="894">
        <f>(H739/G739)*100</f>
        <v>51.502145922746777</v>
      </c>
    </row>
    <row r="740" spans="1:14" ht="13.5" thickTop="1" x14ac:dyDescent="0.2">
      <c r="K740" s="951"/>
      <c r="L740" s="951"/>
      <c r="M740" s="951"/>
      <c r="N740" s="433"/>
    </row>
    <row r="741" spans="1:14" x14ac:dyDescent="0.2">
      <c r="K741" s="951"/>
      <c r="L741" s="951"/>
      <c r="M741" s="951"/>
      <c r="N741" s="433"/>
    </row>
    <row r="742" spans="1:14" s="534" customFormat="1" ht="13.5" thickBot="1" x14ac:dyDescent="0.25">
      <c r="A742" s="433" t="s">
        <v>739</v>
      </c>
      <c r="B742" s="645"/>
      <c r="D742" s="852"/>
      <c r="F742" s="495"/>
      <c r="G742" s="495"/>
      <c r="H742" s="495"/>
      <c r="I742" s="989" t="s">
        <v>173</v>
      </c>
    </row>
    <row r="743" spans="1:14" s="107" customFormat="1" ht="20.25" customHeight="1" thickTop="1" thickBot="1" x14ac:dyDescent="0.25">
      <c r="A743" s="690" t="s">
        <v>661</v>
      </c>
      <c r="B743" s="693" t="s">
        <v>174</v>
      </c>
      <c r="C743" s="691" t="s">
        <v>175</v>
      </c>
      <c r="D743" s="636" t="s">
        <v>744</v>
      </c>
      <c r="E743" s="694" t="s">
        <v>176</v>
      </c>
      <c r="F743" s="694" t="s">
        <v>177</v>
      </c>
      <c r="G743" s="694" t="s">
        <v>922</v>
      </c>
      <c r="H743" s="694" t="s">
        <v>923</v>
      </c>
      <c r="I743" s="856" t="s">
        <v>924</v>
      </c>
    </row>
    <row r="744" spans="1:14" s="384" customFormat="1" ht="13.5" thickTop="1" thickBot="1" x14ac:dyDescent="0.25">
      <c r="A744" s="1254">
        <v>1</v>
      </c>
      <c r="B744" s="1255">
        <v>2</v>
      </c>
      <c r="C744" s="1255">
        <v>3</v>
      </c>
      <c r="D744" s="1255">
        <v>4</v>
      </c>
      <c r="E744" s="569">
        <v>5</v>
      </c>
      <c r="F744" s="1256">
        <v>6</v>
      </c>
      <c r="G744" s="1256">
        <v>7</v>
      </c>
      <c r="H744" s="1257">
        <v>8</v>
      </c>
      <c r="I744" s="1258" t="s">
        <v>801</v>
      </c>
    </row>
    <row r="745" spans="1:14" s="384" customFormat="1" ht="16.5" thickTop="1" thickBot="1" x14ac:dyDescent="0.3">
      <c r="A745" s="1323">
        <v>60003100286</v>
      </c>
      <c r="B745" s="1324">
        <v>3319</v>
      </c>
      <c r="C745" s="1311">
        <v>5171</v>
      </c>
      <c r="D745" s="1008">
        <v>13</v>
      </c>
      <c r="E745" s="1288" t="s">
        <v>938</v>
      </c>
      <c r="F745" s="1289"/>
      <c r="G745" s="1290">
        <v>2159</v>
      </c>
      <c r="H745" s="1291">
        <v>2159</v>
      </c>
      <c r="I745" s="1270">
        <f>(H745/G745)*100</f>
        <v>100</v>
      </c>
    </row>
    <row r="746" spans="1:14" s="384" customFormat="1" ht="16.5" thickTop="1" thickBot="1" x14ac:dyDescent="0.3">
      <c r="A746" s="2685" t="s">
        <v>258</v>
      </c>
      <c r="B746" s="2686"/>
      <c r="C746" s="2686"/>
      <c r="D746" s="2686"/>
      <c r="E746" s="2686"/>
      <c r="F746" s="903">
        <v>0</v>
      </c>
      <c r="G746" s="1291">
        <f>G745</f>
        <v>2159</v>
      </c>
      <c r="H746" s="1291">
        <f>H745</f>
        <v>2159</v>
      </c>
      <c r="I746" s="1270">
        <f>(H746/G746)*100</f>
        <v>100</v>
      </c>
    </row>
    <row r="747" spans="1:14" s="534" customFormat="1" ht="16.5" thickTop="1" thickBot="1" x14ac:dyDescent="0.3">
      <c r="A747" s="1266">
        <v>60003100286</v>
      </c>
      <c r="B747" s="1007">
        <v>3319</v>
      </c>
      <c r="C747" s="1267">
        <v>6121</v>
      </c>
      <c r="D747" s="1008">
        <v>13</v>
      </c>
      <c r="E747" s="1009" t="s">
        <v>640</v>
      </c>
      <c r="F747" s="928"/>
      <c r="G747" s="1269">
        <v>1</v>
      </c>
      <c r="H747" s="928">
        <v>0</v>
      </c>
      <c r="I747" s="1270">
        <f>(H747/G747)*100</f>
        <v>0</v>
      </c>
    </row>
    <row r="748" spans="1:14" s="534" customFormat="1" ht="18" customHeight="1" thickTop="1" thickBot="1" x14ac:dyDescent="0.3">
      <c r="A748" s="2699" t="s">
        <v>257</v>
      </c>
      <c r="B748" s="2698"/>
      <c r="C748" s="2698"/>
      <c r="D748" s="2698"/>
      <c r="E748" s="2698"/>
      <c r="F748" s="911">
        <f>F747</f>
        <v>0</v>
      </c>
      <c r="G748" s="911">
        <f>G747</f>
        <v>1</v>
      </c>
      <c r="H748" s="911">
        <f>H747</f>
        <v>0</v>
      </c>
      <c r="I748" s="894">
        <f>(H748/G748)*100</f>
        <v>0</v>
      </c>
    </row>
    <row r="749" spans="1:14" ht="13.5" thickTop="1" x14ac:dyDescent="0.2">
      <c r="K749" s="951"/>
      <c r="L749" s="951"/>
      <c r="M749" s="951"/>
      <c r="N749" s="433"/>
    </row>
    <row r="750" spans="1:14" x14ac:dyDescent="0.2">
      <c r="K750" s="951"/>
      <c r="L750" s="951"/>
      <c r="M750" s="951"/>
      <c r="N750" s="433"/>
    </row>
    <row r="751" spans="1:14" s="534" customFormat="1" ht="13.5" thickBot="1" x14ac:dyDescent="0.25">
      <c r="A751" s="433" t="s">
        <v>739</v>
      </c>
      <c r="B751" s="645"/>
      <c r="D751" s="852"/>
      <c r="F751" s="495"/>
      <c r="G751" s="495"/>
      <c r="H751" s="495"/>
      <c r="I751" s="989" t="s">
        <v>173</v>
      </c>
    </row>
    <row r="752" spans="1:14" s="107" customFormat="1" ht="20.25" customHeight="1" thickTop="1" thickBot="1" x14ac:dyDescent="0.25">
      <c r="A752" s="690" t="s">
        <v>661</v>
      </c>
      <c r="B752" s="693" t="s">
        <v>174</v>
      </c>
      <c r="C752" s="691" t="s">
        <v>175</v>
      </c>
      <c r="D752" s="636" t="s">
        <v>744</v>
      </c>
      <c r="E752" s="694" t="s">
        <v>176</v>
      </c>
      <c r="F752" s="694" t="s">
        <v>177</v>
      </c>
      <c r="G752" s="694" t="s">
        <v>922</v>
      </c>
      <c r="H752" s="694" t="s">
        <v>923</v>
      </c>
      <c r="I752" s="856" t="s">
        <v>924</v>
      </c>
    </row>
    <row r="753" spans="1:14" s="384" customFormat="1" ht="13.5" thickTop="1" thickBot="1" x14ac:dyDescent="0.25">
      <c r="A753" s="1254">
        <v>1</v>
      </c>
      <c r="B753" s="1255">
        <v>2</v>
      </c>
      <c r="C753" s="1255">
        <v>3</v>
      </c>
      <c r="D753" s="1255">
        <v>4</v>
      </c>
      <c r="E753" s="569">
        <v>5</v>
      </c>
      <c r="F753" s="1256">
        <v>6</v>
      </c>
      <c r="G753" s="1256">
        <v>7</v>
      </c>
      <c r="H753" s="1257">
        <v>8</v>
      </c>
      <c r="I753" s="1258" t="s">
        <v>801</v>
      </c>
    </row>
    <row r="754" spans="1:14" s="534" customFormat="1" ht="15.75" thickTop="1" x14ac:dyDescent="0.25">
      <c r="A754" s="997">
        <v>60003100315</v>
      </c>
      <c r="B754" s="811">
        <v>3315</v>
      </c>
      <c r="C754" s="656">
        <v>5901</v>
      </c>
      <c r="D754" s="1013">
        <v>0</v>
      </c>
      <c r="E754" s="827" t="s">
        <v>639</v>
      </c>
      <c r="F754" s="1000"/>
      <c r="G754" s="1264">
        <v>300</v>
      </c>
      <c r="H754" s="1000">
        <v>0</v>
      </c>
      <c r="I754" s="1265">
        <f>(H754/G754)*100</f>
        <v>0</v>
      </c>
    </row>
    <row r="755" spans="1:14" s="534" customFormat="1" ht="15.75" thickBot="1" x14ac:dyDescent="0.3">
      <c r="A755" s="1003">
        <v>60003100315</v>
      </c>
      <c r="B755" s="930">
        <v>3315</v>
      </c>
      <c r="C755" s="930">
        <v>5901</v>
      </c>
      <c r="D755" s="1285">
        <v>24</v>
      </c>
      <c r="E755" s="1284" t="s">
        <v>639</v>
      </c>
      <c r="F755" s="1283"/>
      <c r="G755" s="1283">
        <v>350</v>
      </c>
      <c r="H755" s="1283">
        <v>0</v>
      </c>
      <c r="I755" s="1014">
        <f>(H755/G755)*100</f>
        <v>0</v>
      </c>
    </row>
    <row r="756" spans="1:14" s="534" customFormat="1" ht="18" customHeight="1" thickTop="1" thickBot="1" x14ac:dyDescent="0.3">
      <c r="A756" s="2699" t="s">
        <v>258</v>
      </c>
      <c r="B756" s="2698"/>
      <c r="C756" s="2698"/>
      <c r="D756" s="2698"/>
      <c r="E756" s="2698"/>
      <c r="F756" s="911">
        <f>F754</f>
        <v>0</v>
      </c>
      <c r="G756" s="911">
        <f>G754+G755</f>
        <v>650</v>
      </c>
      <c r="H756" s="911">
        <f>H754+H755</f>
        <v>0</v>
      </c>
      <c r="I756" s="894">
        <f>(H756/G756)*100</f>
        <v>0</v>
      </c>
      <c r="K756" s="495"/>
      <c r="L756" s="495"/>
      <c r="M756" s="495"/>
    </row>
    <row r="757" spans="1:14" ht="13.5" thickTop="1" x14ac:dyDescent="0.2">
      <c r="K757" s="951"/>
      <c r="L757" s="951"/>
      <c r="M757" s="951"/>
      <c r="N757" s="433"/>
    </row>
    <row r="758" spans="1:14" x14ac:dyDescent="0.2">
      <c r="K758" s="951"/>
      <c r="L758" s="951"/>
      <c r="M758" s="951"/>
      <c r="N758" s="433"/>
    </row>
    <row r="759" spans="1:14" s="534" customFormat="1" ht="13.5" thickBot="1" x14ac:dyDescent="0.25">
      <c r="A759" s="433" t="s">
        <v>741</v>
      </c>
      <c r="B759" s="645"/>
      <c r="D759" s="852"/>
      <c r="F759" s="495"/>
      <c r="G759" s="495"/>
      <c r="H759" s="495"/>
      <c r="I759" s="989" t="s">
        <v>173</v>
      </c>
    </row>
    <row r="760" spans="1:14" s="107" customFormat="1" ht="20.25" customHeight="1" thickTop="1" thickBot="1" x14ac:dyDescent="0.25">
      <c r="A760" s="690" t="s">
        <v>661</v>
      </c>
      <c r="B760" s="693" t="s">
        <v>174</v>
      </c>
      <c r="C760" s="691" t="s">
        <v>175</v>
      </c>
      <c r="D760" s="636" t="s">
        <v>744</v>
      </c>
      <c r="E760" s="694" t="s">
        <v>176</v>
      </c>
      <c r="F760" s="694" t="s">
        <v>177</v>
      </c>
      <c r="G760" s="694" t="s">
        <v>922</v>
      </c>
      <c r="H760" s="694" t="s">
        <v>923</v>
      </c>
      <c r="I760" s="856" t="s">
        <v>924</v>
      </c>
    </row>
    <row r="761" spans="1:14" s="384" customFormat="1" ht="13.5" thickTop="1" thickBot="1" x14ac:dyDescent="0.25">
      <c r="A761" s="1254">
        <v>1</v>
      </c>
      <c r="B761" s="1255">
        <v>2</v>
      </c>
      <c r="C761" s="1255">
        <v>3</v>
      </c>
      <c r="D761" s="1255">
        <v>4</v>
      </c>
      <c r="E761" s="569">
        <v>5</v>
      </c>
      <c r="F761" s="1256">
        <v>6</v>
      </c>
      <c r="G761" s="1256">
        <v>7</v>
      </c>
      <c r="H761" s="1257">
        <v>8</v>
      </c>
      <c r="I761" s="1258" t="s">
        <v>801</v>
      </c>
    </row>
    <row r="762" spans="1:14" s="534" customFormat="1" ht="15.75" thickTop="1" x14ac:dyDescent="0.25">
      <c r="A762" s="997">
        <v>60003100330</v>
      </c>
      <c r="B762" s="811">
        <v>3399</v>
      </c>
      <c r="C762" s="656">
        <v>6121</v>
      </c>
      <c r="D762" s="1013">
        <v>13</v>
      </c>
      <c r="E762" s="827" t="s">
        <v>640</v>
      </c>
      <c r="F762" s="1000"/>
      <c r="G762" s="1264">
        <v>270</v>
      </c>
      <c r="H762" s="1000">
        <v>0</v>
      </c>
      <c r="I762" s="1265">
        <f>(H762/G762)*100</f>
        <v>0</v>
      </c>
    </row>
    <row r="763" spans="1:14" s="534" customFormat="1" ht="15.75" thickBot="1" x14ac:dyDescent="0.3">
      <c r="A763" s="1003">
        <v>60003100330</v>
      </c>
      <c r="B763" s="930">
        <v>3399</v>
      </c>
      <c r="C763" s="930">
        <v>6329</v>
      </c>
      <c r="D763" s="1285">
        <v>13</v>
      </c>
      <c r="E763" s="1284" t="s">
        <v>740</v>
      </c>
      <c r="F763" s="1283"/>
      <c r="G763" s="1283">
        <v>130</v>
      </c>
      <c r="H763" s="1283">
        <v>0</v>
      </c>
      <c r="I763" s="1014">
        <f>(H763/G763)*100</f>
        <v>0</v>
      </c>
    </row>
    <row r="764" spans="1:14" s="534" customFormat="1" ht="18" customHeight="1" thickTop="1" thickBot="1" x14ac:dyDescent="0.3">
      <c r="A764" s="2699" t="s">
        <v>257</v>
      </c>
      <c r="B764" s="2698"/>
      <c r="C764" s="2698"/>
      <c r="D764" s="2698"/>
      <c r="E764" s="2698"/>
      <c r="F764" s="911">
        <f>F762</f>
        <v>0</v>
      </c>
      <c r="G764" s="911">
        <f>G762+G763</f>
        <v>400</v>
      </c>
      <c r="H764" s="911">
        <f>H762+H763</f>
        <v>0</v>
      </c>
      <c r="I764" s="894">
        <f>(H764/G764)*100</f>
        <v>0</v>
      </c>
      <c r="K764" s="495">
        <f>F648+F655+F662+F664+F673+F678+F685+F692+F699+F706+F713+F720+F727+F734+F739+F746+F748+F764+F756</f>
        <v>34847</v>
      </c>
      <c r="L764" s="495">
        <f>G648+G655+G662+G664+G673+G678+G685+G692+G699+G706+G713+G720+G727+G734+G739+G746+G748+G764+G756</f>
        <v>70661</v>
      </c>
      <c r="M764" s="495">
        <f>H648+H655+H662+H664+H673+H678+H685+H692+H699+H706+H713+H720+H727+H734+H739+H746+H748+H764+H756</f>
        <v>61431</v>
      </c>
      <c r="N764" s="534" t="s">
        <v>1157</v>
      </c>
    </row>
    <row r="765" spans="1:14" ht="13.5" thickTop="1" x14ac:dyDescent="0.2">
      <c r="K765" s="951"/>
      <c r="L765" s="951"/>
      <c r="M765" s="951"/>
      <c r="N765" s="433"/>
    </row>
    <row r="766" spans="1:14" x14ac:dyDescent="0.2">
      <c r="K766" s="951"/>
      <c r="L766" s="951"/>
      <c r="M766" s="951"/>
      <c r="N766" s="433"/>
    </row>
    <row r="767" spans="1:14" s="534" customFormat="1" ht="13.5" thickBot="1" x14ac:dyDescent="0.25">
      <c r="A767" s="433" t="s">
        <v>742</v>
      </c>
      <c r="B767" s="645"/>
      <c r="D767" s="852"/>
      <c r="F767" s="495"/>
      <c r="G767" s="495"/>
      <c r="H767" s="495"/>
      <c r="I767" s="989" t="s">
        <v>173</v>
      </c>
    </row>
    <row r="768" spans="1:14" s="107" customFormat="1" ht="20.25" customHeight="1" thickTop="1" thickBot="1" x14ac:dyDescent="0.25">
      <c r="A768" s="690" t="s">
        <v>661</v>
      </c>
      <c r="B768" s="693" t="s">
        <v>174</v>
      </c>
      <c r="C768" s="691" t="s">
        <v>175</v>
      </c>
      <c r="D768" s="636" t="s">
        <v>744</v>
      </c>
      <c r="E768" s="694" t="s">
        <v>176</v>
      </c>
      <c r="F768" s="694" t="s">
        <v>177</v>
      </c>
      <c r="G768" s="694" t="s">
        <v>922</v>
      </c>
      <c r="H768" s="694" t="s">
        <v>923</v>
      </c>
      <c r="I768" s="856" t="s">
        <v>924</v>
      </c>
    </row>
    <row r="769" spans="1:14" s="384" customFormat="1" ht="13.5" thickTop="1" thickBot="1" x14ac:dyDescent="0.25">
      <c r="A769" s="1254">
        <v>1</v>
      </c>
      <c r="B769" s="1255">
        <v>2</v>
      </c>
      <c r="C769" s="1255">
        <v>3</v>
      </c>
      <c r="D769" s="1255">
        <v>4</v>
      </c>
      <c r="E769" s="569">
        <v>5</v>
      </c>
      <c r="F769" s="1256">
        <v>6</v>
      </c>
      <c r="G769" s="1256">
        <v>7</v>
      </c>
      <c r="H769" s="1257">
        <v>8</v>
      </c>
      <c r="I769" s="1258" t="s">
        <v>801</v>
      </c>
    </row>
    <row r="770" spans="1:14" s="534" customFormat="1" ht="15.75" thickTop="1" x14ac:dyDescent="0.25">
      <c r="A770" s="997">
        <v>60004100000</v>
      </c>
      <c r="B770" s="811">
        <v>2212</v>
      </c>
      <c r="C770" s="656">
        <v>6121</v>
      </c>
      <c r="D770" s="1013">
        <v>12</v>
      </c>
      <c r="E770" s="827" t="s">
        <v>640</v>
      </c>
      <c r="F770" s="1000"/>
      <c r="G770" s="1264">
        <v>25</v>
      </c>
      <c r="H770" s="1000">
        <v>0</v>
      </c>
      <c r="I770" s="1265">
        <f>(H770/G770)*100</f>
        <v>0</v>
      </c>
    </row>
    <row r="771" spans="1:14" s="534" customFormat="1" ht="15.75" thickBot="1" x14ac:dyDescent="0.3">
      <c r="A771" s="1003">
        <v>60004100000</v>
      </c>
      <c r="B771" s="930">
        <v>2212</v>
      </c>
      <c r="C771" s="930">
        <v>6121</v>
      </c>
      <c r="D771" s="1285">
        <v>91628</v>
      </c>
      <c r="E771" s="1284" t="s">
        <v>640</v>
      </c>
      <c r="F771" s="1283"/>
      <c r="G771" s="1283">
        <v>84318</v>
      </c>
      <c r="H771" s="1283">
        <v>83768</v>
      </c>
      <c r="I771" s="1014">
        <f>(H771/G771)*100</f>
        <v>99.347707488318036</v>
      </c>
    </row>
    <row r="772" spans="1:14" s="534" customFormat="1" ht="18" customHeight="1" thickTop="1" thickBot="1" x14ac:dyDescent="0.3">
      <c r="A772" s="2699" t="s">
        <v>257</v>
      </c>
      <c r="B772" s="2698"/>
      <c r="C772" s="2698"/>
      <c r="D772" s="2698"/>
      <c r="E772" s="2698"/>
      <c r="F772" s="911">
        <f>F770</f>
        <v>0</v>
      </c>
      <c r="G772" s="911">
        <f>G770+G771</f>
        <v>84343</v>
      </c>
      <c r="H772" s="911">
        <f>H770+H771</f>
        <v>83768</v>
      </c>
      <c r="I772" s="894">
        <f>(H772/G772)*100</f>
        <v>99.318259962296807</v>
      </c>
    </row>
    <row r="773" spans="1:14" ht="13.5" thickTop="1" x14ac:dyDescent="0.2">
      <c r="K773" s="951"/>
      <c r="L773" s="951"/>
      <c r="M773" s="951"/>
      <c r="N773" s="433"/>
    </row>
    <row r="774" spans="1:14" x14ac:dyDescent="0.2">
      <c r="K774" s="951"/>
      <c r="L774" s="951"/>
      <c r="M774" s="951"/>
      <c r="N774" s="433"/>
    </row>
    <row r="775" spans="1:14" s="534" customFormat="1" ht="13.5" thickBot="1" x14ac:dyDescent="0.25">
      <c r="A775" s="433" t="s">
        <v>1164</v>
      </c>
      <c r="B775" s="645"/>
      <c r="D775" s="852"/>
      <c r="F775" s="495"/>
      <c r="G775" s="495"/>
      <c r="H775" s="495"/>
      <c r="I775" s="989" t="s">
        <v>173</v>
      </c>
    </row>
    <row r="776" spans="1:14" s="107" customFormat="1" ht="20.25" customHeight="1" thickTop="1" thickBot="1" x14ac:dyDescent="0.25">
      <c r="A776" s="690" t="s">
        <v>661</v>
      </c>
      <c r="B776" s="693" t="s">
        <v>174</v>
      </c>
      <c r="C776" s="691" t="s">
        <v>175</v>
      </c>
      <c r="D776" s="636" t="s">
        <v>744</v>
      </c>
      <c r="E776" s="694" t="s">
        <v>176</v>
      </c>
      <c r="F776" s="694" t="s">
        <v>177</v>
      </c>
      <c r="G776" s="694" t="s">
        <v>922</v>
      </c>
      <c r="H776" s="694" t="s">
        <v>923</v>
      </c>
      <c r="I776" s="856" t="s">
        <v>924</v>
      </c>
    </row>
    <row r="777" spans="1:14" s="384" customFormat="1" ht="13.5" thickTop="1" thickBot="1" x14ac:dyDescent="0.25">
      <c r="A777" s="1254">
        <v>1</v>
      </c>
      <c r="B777" s="1255">
        <v>2</v>
      </c>
      <c r="C777" s="1255">
        <v>3</v>
      </c>
      <c r="D777" s="1255">
        <v>4</v>
      </c>
      <c r="E777" s="569">
        <v>5</v>
      </c>
      <c r="F777" s="1256">
        <v>6</v>
      </c>
      <c r="G777" s="1256">
        <v>7</v>
      </c>
      <c r="H777" s="1257">
        <v>8</v>
      </c>
      <c r="I777" s="1258" t="s">
        <v>801</v>
      </c>
    </row>
    <row r="778" spans="1:14" s="534" customFormat="1" ht="16.5" thickTop="1" thickBot="1" x14ac:dyDescent="0.3">
      <c r="A778" s="1266">
        <v>60004100012</v>
      </c>
      <c r="B778" s="1007">
        <v>2212</v>
      </c>
      <c r="C778" s="1267">
        <v>6121</v>
      </c>
      <c r="D778" s="1008">
        <v>12</v>
      </c>
      <c r="E778" s="1009" t="s">
        <v>640</v>
      </c>
      <c r="F778" s="928"/>
      <c r="G778" s="1269">
        <v>1</v>
      </c>
      <c r="H778" s="928">
        <v>0</v>
      </c>
      <c r="I778" s="1270">
        <f>(H778/G778)*100</f>
        <v>0</v>
      </c>
    </row>
    <row r="779" spans="1:14" s="534" customFormat="1" ht="18" customHeight="1" thickTop="1" thickBot="1" x14ac:dyDescent="0.3">
      <c r="A779" s="2699" t="s">
        <v>257</v>
      </c>
      <c r="B779" s="2698"/>
      <c r="C779" s="2698"/>
      <c r="D779" s="2698"/>
      <c r="E779" s="2698"/>
      <c r="F779" s="911">
        <f>F778</f>
        <v>0</v>
      </c>
      <c r="G779" s="911">
        <f>G778</f>
        <v>1</v>
      </c>
      <c r="H779" s="911">
        <f>H778</f>
        <v>0</v>
      </c>
      <c r="I779" s="894">
        <f>(H779/G779)*100</f>
        <v>0</v>
      </c>
    </row>
    <row r="780" spans="1:14" ht="13.5" thickTop="1" x14ac:dyDescent="0.2">
      <c r="K780" s="951"/>
      <c r="L780" s="951"/>
      <c r="M780" s="951"/>
      <c r="N780" s="433"/>
    </row>
    <row r="781" spans="1:14" x14ac:dyDescent="0.2">
      <c r="K781" s="951"/>
      <c r="L781" s="951"/>
      <c r="M781" s="951"/>
      <c r="N781" s="433"/>
    </row>
    <row r="782" spans="1:14" s="534" customFormat="1" ht="13.5" thickBot="1" x14ac:dyDescent="0.25">
      <c r="A782" s="433" t="s">
        <v>376</v>
      </c>
      <c r="B782" s="645"/>
      <c r="D782" s="852"/>
      <c r="F782" s="495"/>
      <c r="G782" s="495"/>
      <c r="H782" s="495"/>
      <c r="I782" s="989" t="s">
        <v>173</v>
      </c>
    </row>
    <row r="783" spans="1:14" s="107" customFormat="1" ht="20.25" customHeight="1" thickTop="1" thickBot="1" x14ac:dyDescent="0.25">
      <c r="A783" s="690" t="s">
        <v>661</v>
      </c>
      <c r="B783" s="693" t="s">
        <v>174</v>
      </c>
      <c r="C783" s="691" t="s">
        <v>175</v>
      </c>
      <c r="D783" s="636" t="s">
        <v>744</v>
      </c>
      <c r="E783" s="694" t="s">
        <v>176</v>
      </c>
      <c r="F783" s="694" t="s">
        <v>177</v>
      </c>
      <c r="G783" s="694" t="s">
        <v>922</v>
      </c>
      <c r="H783" s="694" t="s">
        <v>923</v>
      </c>
      <c r="I783" s="856" t="s">
        <v>924</v>
      </c>
    </row>
    <row r="784" spans="1:14" s="384" customFormat="1" ht="13.5" thickTop="1" thickBot="1" x14ac:dyDescent="0.25">
      <c r="A784" s="1254">
        <v>1</v>
      </c>
      <c r="B784" s="1255">
        <v>2</v>
      </c>
      <c r="C784" s="1255">
        <v>3</v>
      </c>
      <c r="D784" s="1255">
        <v>4</v>
      </c>
      <c r="E784" s="569">
        <v>5</v>
      </c>
      <c r="F784" s="1256">
        <v>6</v>
      </c>
      <c r="G784" s="1256">
        <v>7</v>
      </c>
      <c r="H784" s="1257">
        <v>8</v>
      </c>
      <c r="I784" s="1258" t="s">
        <v>801</v>
      </c>
    </row>
    <row r="785" spans="1:14" s="534" customFormat="1" ht="16.5" thickTop="1" thickBot="1" x14ac:dyDescent="0.3">
      <c r="A785" s="1266">
        <v>60004100022</v>
      </c>
      <c r="B785" s="1007">
        <v>3639</v>
      </c>
      <c r="C785" s="1267">
        <v>6130</v>
      </c>
      <c r="D785" s="1008">
        <v>12</v>
      </c>
      <c r="E785" s="1009" t="s">
        <v>896</v>
      </c>
      <c r="F785" s="928">
        <v>15000</v>
      </c>
      <c r="G785" s="1269">
        <v>0</v>
      </c>
      <c r="H785" s="928">
        <v>0</v>
      </c>
      <c r="I785" s="1270">
        <v>0</v>
      </c>
    </row>
    <row r="786" spans="1:14" s="534" customFormat="1" ht="18" customHeight="1" thickTop="1" thickBot="1" x14ac:dyDescent="0.3">
      <c r="A786" s="2699" t="s">
        <v>257</v>
      </c>
      <c r="B786" s="2698"/>
      <c r="C786" s="2698"/>
      <c r="D786" s="2698"/>
      <c r="E786" s="2698"/>
      <c r="F786" s="911">
        <f>F785</f>
        <v>15000</v>
      </c>
      <c r="G786" s="911">
        <f>G785</f>
        <v>0</v>
      </c>
      <c r="H786" s="911">
        <f>H785</f>
        <v>0</v>
      </c>
      <c r="I786" s="894">
        <v>0</v>
      </c>
    </row>
    <row r="787" spans="1:14" ht="13.5" thickTop="1" x14ac:dyDescent="0.2">
      <c r="K787" s="951"/>
      <c r="L787" s="951"/>
      <c r="M787" s="951"/>
      <c r="N787" s="433"/>
    </row>
    <row r="788" spans="1:14" x14ac:dyDescent="0.2">
      <c r="K788" s="951"/>
      <c r="L788" s="951"/>
      <c r="M788" s="951"/>
      <c r="N788" s="433"/>
    </row>
    <row r="789" spans="1:14" s="534" customFormat="1" ht="13.5" thickBot="1" x14ac:dyDescent="0.25">
      <c r="A789" s="433" t="s">
        <v>1165</v>
      </c>
      <c r="B789" s="645"/>
      <c r="D789" s="852"/>
      <c r="F789" s="495"/>
      <c r="G789" s="495"/>
      <c r="H789" s="495"/>
      <c r="I789" s="989" t="s">
        <v>173</v>
      </c>
    </row>
    <row r="790" spans="1:14" s="107" customFormat="1" ht="20.25" customHeight="1" thickTop="1" thickBot="1" x14ac:dyDescent="0.25">
      <c r="A790" s="690" t="s">
        <v>661</v>
      </c>
      <c r="B790" s="693" t="s">
        <v>174</v>
      </c>
      <c r="C790" s="691" t="s">
        <v>175</v>
      </c>
      <c r="D790" s="636" t="s">
        <v>744</v>
      </c>
      <c r="E790" s="694" t="s">
        <v>176</v>
      </c>
      <c r="F790" s="694" t="s">
        <v>177</v>
      </c>
      <c r="G790" s="694" t="s">
        <v>922</v>
      </c>
      <c r="H790" s="694" t="s">
        <v>923</v>
      </c>
      <c r="I790" s="856" t="s">
        <v>924</v>
      </c>
    </row>
    <row r="791" spans="1:14" s="384" customFormat="1" ht="13.5" thickTop="1" thickBot="1" x14ac:dyDescent="0.25">
      <c r="A791" s="1254">
        <v>1</v>
      </c>
      <c r="B791" s="1255">
        <v>2</v>
      </c>
      <c r="C791" s="1255">
        <v>3</v>
      </c>
      <c r="D791" s="1255">
        <v>4</v>
      </c>
      <c r="E791" s="569">
        <v>5</v>
      </c>
      <c r="F791" s="1256">
        <v>6</v>
      </c>
      <c r="G791" s="1256">
        <v>7</v>
      </c>
      <c r="H791" s="1257">
        <v>8</v>
      </c>
      <c r="I791" s="1258" t="s">
        <v>801</v>
      </c>
    </row>
    <row r="792" spans="1:14" s="534" customFormat="1" ht="16.5" thickTop="1" thickBot="1" x14ac:dyDescent="0.3">
      <c r="A792" s="1266">
        <v>60004100029</v>
      </c>
      <c r="B792" s="1007">
        <v>2212</v>
      </c>
      <c r="C792" s="1267">
        <v>6121</v>
      </c>
      <c r="D792" s="1008">
        <v>12</v>
      </c>
      <c r="E792" s="1009" t="s">
        <v>640</v>
      </c>
      <c r="F792" s="928"/>
      <c r="G792" s="1269">
        <v>752</v>
      </c>
      <c r="H792" s="928">
        <v>751</v>
      </c>
      <c r="I792" s="1270">
        <f>(H792/G792)*100</f>
        <v>99.86702127659575</v>
      </c>
    </row>
    <row r="793" spans="1:14" s="534" customFormat="1" ht="18" customHeight="1" thickTop="1" thickBot="1" x14ac:dyDescent="0.3">
      <c r="A793" s="2699" t="s">
        <v>257</v>
      </c>
      <c r="B793" s="2698"/>
      <c r="C793" s="2698"/>
      <c r="D793" s="2698"/>
      <c r="E793" s="2698"/>
      <c r="F793" s="911">
        <f>F792</f>
        <v>0</v>
      </c>
      <c r="G793" s="911">
        <f>G792</f>
        <v>752</v>
      </c>
      <c r="H793" s="911">
        <f>H792</f>
        <v>751</v>
      </c>
      <c r="I793" s="894">
        <f>(H793/G793)*100</f>
        <v>99.86702127659575</v>
      </c>
    </row>
    <row r="794" spans="1:14" ht="13.5" thickTop="1" x14ac:dyDescent="0.2">
      <c r="K794" s="951"/>
      <c r="L794" s="951"/>
      <c r="M794" s="951"/>
      <c r="N794" s="433"/>
    </row>
    <row r="795" spans="1:14" x14ac:dyDescent="0.2">
      <c r="K795" s="951"/>
      <c r="L795" s="951"/>
      <c r="M795" s="951"/>
      <c r="N795" s="433"/>
    </row>
    <row r="796" spans="1:14" s="534" customFormat="1" ht="13.5" thickBot="1" x14ac:dyDescent="0.25">
      <c r="A796" s="433" t="s">
        <v>1166</v>
      </c>
      <c r="B796" s="645"/>
      <c r="D796" s="852"/>
      <c r="F796" s="495"/>
      <c r="G796" s="495"/>
      <c r="H796" s="495"/>
      <c r="I796" s="989" t="s">
        <v>173</v>
      </c>
    </row>
    <row r="797" spans="1:14" s="107" customFormat="1" ht="20.25" customHeight="1" thickTop="1" thickBot="1" x14ac:dyDescent="0.25">
      <c r="A797" s="690" t="s">
        <v>661</v>
      </c>
      <c r="B797" s="693" t="s">
        <v>174</v>
      </c>
      <c r="C797" s="691" t="s">
        <v>175</v>
      </c>
      <c r="D797" s="636" t="s">
        <v>744</v>
      </c>
      <c r="E797" s="694" t="s">
        <v>176</v>
      </c>
      <c r="F797" s="694" t="s">
        <v>177</v>
      </c>
      <c r="G797" s="694" t="s">
        <v>922</v>
      </c>
      <c r="H797" s="694" t="s">
        <v>923</v>
      </c>
      <c r="I797" s="856" t="s">
        <v>924</v>
      </c>
    </row>
    <row r="798" spans="1:14" s="384" customFormat="1" ht="13.5" thickTop="1" thickBot="1" x14ac:dyDescent="0.25">
      <c r="A798" s="1254">
        <v>1</v>
      </c>
      <c r="B798" s="1255">
        <v>2</v>
      </c>
      <c r="C798" s="1255">
        <v>3</v>
      </c>
      <c r="D798" s="1255">
        <v>4</v>
      </c>
      <c r="E798" s="569">
        <v>5</v>
      </c>
      <c r="F798" s="1256">
        <v>6</v>
      </c>
      <c r="G798" s="1256">
        <v>7</v>
      </c>
      <c r="H798" s="1257">
        <v>8</v>
      </c>
      <c r="I798" s="1258" t="s">
        <v>801</v>
      </c>
    </row>
    <row r="799" spans="1:14" s="534" customFormat="1" ht="16.5" thickTop="1" thickBot="1" x14ac:dyDescent="0.3">
      <c r="A799" s="1266">
        <v>60004100032</v>
      </c>
      <c r="B799" s="1007">
        <v>2212</v>
      </c>
      <c r="C799" s="1267">
        <v>6121</v>
      </c>
      <c r="D799" s="1008">
        <v>12</v>
      </c>
      <c r="E799" s="1009" t="s">
        <v>640</v>
      </c>
      <c r="F799" s="928"/>
      <c r="G799" s="1269">
        <v>569</v>
      </c>
      <c r="H799" s="928">
        <v>440</v>
      </c>
      <c r="I799" s="1270">
        <f>(H799/G799)*100</f>
        <v>77.328646748681891</v>
      </c>
    </row>
    <row r="800" spans="1:14" s="534" customFormat="1" ht="18" customHeight="1" thickTop="1" thickBot="1" x14ac:dyDescent="0.3">
      <c r="A800" s="2699" t="s">
        <v>257</v>
      </c>
      <c r="B800" s="2698"/>
      <c r="C800" s="2698"/>
      <c r="D800" s="2698"/>
      <c r="E800" s="2698"/>
      <c r="F800" s="911">
        <f>F799</f>
        <v>0</v>
      </c>
      <c r="G800" s="911">
        <f>G799</f>
        <v>569</v>
      </c>
      <c r="H800" s="911">
        <f>H799</f>
        <v>440</v>
      </c>
      <c r="I800" s="894">
        <f>(H800/G800)*100</f>
        <v>77.328646748681891</v>
      </c>
    </row>
    <row r="801" spans="1:14" s="534" customFormat="1" ht="14.25" thickTop="1" thickBot="1" x14ac:dyDescent="0.25">
      <c r="A801" s="433" t="s">
        <v>1167</v>
      </c>
      <c r="B801" s="645"/>
      <c r="D801" s="852"/>
      <c r="F801" s="495"/>
      <c r="G801" s="495"/>
      <c r="H801" s="495"/>
      <c r="I801" s="989" t="s">
        <v>173</v>
      </c>
    </row>
    <row r="802" spans="1:14" s="107" customFormat="1" ht="20.25" customHeight="1" thickTop="1" thickBot="1" x14ac:dyDescent="0.25">
      <c r="A802" s="690" t="s">
        <v>661</v>
      </c>
      <c r="B802" s="693" t="s">
        <v>174</v>
      </c>
      <c r="C802" s="691" t="s">
        <v>175</v>
      </c>
      <c r="D802" s="636" t="s">
        <v>744</v>
      </c>
      <c r="E802" s="694" t="s">
        <v>176</v>
      </c>
      <c r="F802" s="694" t="s">
        <v>177</v>
      </c>
      <c r="G802" s="694" t="s">
        <v>922</v>
      </c>
      <c r="H802" s="694" t="s">
        <v>923</v>
      </c>
      <c r="I802" s="856" t="s">
        <v>924</v>
      </c>
    </row>
    <row r="803" spans="1:14" s="384" customFormat="1" ht="13.5" thickTop="1" thickBot="1" x14ac:dyDescent="0.25">
      <c r="A803" s="1254">
        <v>1</v>
      </c>
      <c r="B803" s="1255">
        <v>2</v>
      </c>
      <c r="C803" s="1255">
        <v>3</v>
      </c>
      <c r="D803" s="1255">
        <v>4</v>
      </c>
      <c r="E803" s="569">
        <v>5</v>
      </c>
      <c r="F803" s="1256">
        <v>6</v>
      </c>
      <c r="G803" s="1256">
        <v>7</v>
      </c>
      <c r="H803" s="1257">
        <v>8</v>
      </c>
      <c r="I803" s="1258" t="s">
        <v>801</v>
      </c>
    </row>
    <row r="804" spans="1:14" s="534" customFormat="1" ht="16.5" thickTop="1" thickBot="1" x14ac:dyDescent="0.3">
      <c r="A804" s="1266">
        <v>60004100033</v>
      </c>
      <c r="B804" s="1007">
        <v>2212</v>
      </c>
      <c r="C804" s="1267">
        <v>6121</v>
      </c>
      <c r="D804" s="1008">
        <v>12</v>
      </c>
      <c r="E804" s="1009" t="s">
        <v>640</v>
      </c>
      <c r="F804" s="928"/>
      <c r="G804" s="1269">
        <v>36</v>
      </c>
      <c r="H804" s="928">
        <v>23</v>
      </c>
      <c r="I804" s="1270">
        <f>(H804/G804)*100</f>
        <v>63.888888888888886</v>
      </c>
    </row>
    <row r="805" spans="1:14" s="534" customFormat="1" ht="18" customHeight="1" thickTop="1" thickBot="1" x14ac:dyDescent="0.3">
      <c r="A805" s="2699" t="s">
        <v>257</v>
      </c>
      <c r="B805" s="2698"/>
      <c r="C805" s="2698"/>
      <c r="D805" s="2698"/>
      <c r="E805" s="2698"/>
      <c r="F805" s="911">
        <f>F804</f>
        <v>0</v>
      </c>
      <c r="G805" s="911">
        <f>G804</f>
        <v>36</v>
      </c>
      <c r="H805" s="911">
        <f>H804</f>
        <v>23</v>
      </c>
      <c r="I805" s="894">
        <f>(H805/G805)*100</f>
        <v>63.888888888888886</v>
      </c>
    </row>
    <row r="806" spans="1:14" ht="13.5" thickTop="1" x14ac:dyDescent="0.2">
      <c r="K806" s="951"/>
      <c r="L806" s="951"/>
      <c r="M806" s="951"/>
      <c r="N806" s="433"/>
    </row>
    <row r="807" spans="1:14" x14ac:dyDescent="0.2">
      <c r="K807" s="951"/>
      <c r="L807" s="951"/>
      <c r="M807" s="951"/>
      <c r="N807" s="433"/>
    </row>
    <row r="808" spans="1:14" s="534" customFormat="1" ht="13.5" thickBot="1" x14ac:dyDescent="0.25">
      <c r="A808" s="433" t="s">
        <v>1168</v>
      </c>
      <c r="B808" s="645"/>
      <c r="D808" s="852"/>
      <c r="F808" s="495"/>
      <c r="G808" s="495"/>
      <c r="H808" s="495"/>
      <c r="I808" s="989" t="s">
        <v>173</v>
      </c>
    </row>
    <row r="809" spans="1:14" s="107" customFormat="1" ht="20.25" customHeight="1" thickTop="1" thickBot="1" x14ac:dyDescent="0.25">
      <c r="A809" s="690" t="s">
        <v>661</v>
      </c>
      <c r="B809" s="693" t="s">
        <v>174</v>
      </c>
      <c r="C809" s="691" t="s">
        <v>175</v>
      </c>
      <c r="D809" s="636" t="s">
        <v>744</v>
      </c>
      <c r="E809" s="694" t="s">
        <v>176</v>
      </c>
      <c r="F809" s="694" t="s">
        <v>177</v>
      </c>
      <c r="G809" s="694" t="s">
        <v>922</v>
      </c>
      <c r="H809" s="694" t="s">
        <v>923</v>
      </c>
      <c r="I809" s="856" t="s">
        <v>924</v>
      </c>
    </row>
    <row r="810" spans="1:14" s="384" customFormat="1" ht="13.5" thickTop="1" thickBot="1" x14ac:dyDescent="0.25">
      <c r="A810" s="1254">
        <v>1</v>
      </c>
      <c r="B810" s="1255">
        <v>2</v>
      </c>
      <c r="C810" s="1255">
        <v>3</v>
      </c>
      <c r="D810" s="1255">
        <v>4</v>
      </c>
      <c r="E810" s="569">
        <v>5</v>
      </c>
      <c r="F810" s="1256">
        <v>6</v>
      </c>
      <c r="G810" s="1256">
        <v>7</v>
      </c>
      <c r="H810" s="1257">
        <v>8</v>
      </c>
      <c r="I810" s="1258" t="s">
        <v>801</v>
      </c>
    </row>
    <row r="811" spans="1:14" s="534" customFormat="1" ht="16.5" thickTop="1" thickBot="1" x14ac:dyDescent="0.3">
      <c r="A811" s="1266">
        <v>60004100037</v>
      </c>
      <c r="B811" s="1007">
        <v>2212</v>
      </c>
      <c r="C811" s="1267">
        <v>6121</v>
      </c>
      <c r="D811" s="1008">
        <v>12</v>
      </c>
      <c r="E811" s="1009" t="s">
        <v>640</v>
      </c>
      <c r="F811" s="928"/>
      <c r="G811" s="1269">
        <v>224</v>
      </c>
      <c r="H811" s="928">
        <v>5</v>
      </c>
      <c r="I811" s="1270">
        <f>(H811/G811)*100</f>
        <v>2.2321428571428572</v>
      </c>
    </row>
    <row r="812" spans="1:14" s="534" customFormat="1" ht="18" customHeight="1" thickTop="1" thickBot="1" x14ac:dyDescent="0.3">
      <c r="A812" s="2699" t="s">
        <v>257</v>
      </c>
      <c r="B812" s="2698"/>
      <c r="C812" s="2698"/>
      <c r="D812" s="2698"/>
      <c r="E812" s="2698"/>
      <c r="F812" s="911">
        <f>F811</f>
        <v>0</v>
      </c>
      <c r="G812" s="911">
        <f>G811</f>
        <v>224</v>
      </c>
      <c r="H812" s="911">
        <f>H811</f>
        <v>5</v>
      </c>
      <c r="I812" s="894">
        <f>(H812/G812)*100</f>
        <v>2.2321428571428572</v>
      </c>
    </row>
    <row r="813" spans="1:14" ht="13.5" thickTop="1" x14ac:dyDescent="0.2">
      <c r="K813" s="951"/>
      <c r="L813" s="951"/>
      <c r="M813" s="951"/>
      <c r="N813" s="433"/>
    </row>
    <row r="814" spans="1:14" x14ac:dyDescent="0.2">
      <c r="K814" s="951"/>
      <c r="L814" s="951"/>
      <c r="M814" s="951"/>
      <c r="N814" s="433"/>
    </row>
    <row r="815" spans="1:14" s="534" customFormat="1" ht="13.5" thickBot="1" x14ac:dyDescent="0.25">
      <c r="A815" s="433" t="s">
        <v>1169</v>
      </c>
      <c r="B815" s="645"/>
      <c r="D815" s="852"/>
      <c r="F815" s="495"/>
      <c r="G815" s="495"/>
      <c r="H815" s="495"/>
      <c r="I815" s="989" t="s">
        <v>173</v>
      </c>
    </row>
    <row r="816" spans="1:14" s="107" customFormat="1" ht="20.25" customHeight="1" thickTop="1" thickBot="1" x14ac:dyDescent="0.25">
      <c r="A816" s="690" t="s">
        <v>661</v>
      </c>
      <c r="B816" s="693" t="s">
        <v>174</v>
      </c>
      <c r="C816" s="691" t="s">
        <v>175</v>
      </c>
      <c r="D816" s="636" t="s">
        <v>744</v>
      </c>
      <c r="E816" s="694" t="s">
        <v>176</v>
      </c>
      <c r="F816" s="694" t="s">
        <v>177</v>
      </c>
      <c r="G816" s="694" t="s">
        <v>922</v>
      </c>
      <c r="H816" s="694" t="s">
        <v>923</v>
      </c>
      <c r="I816" s="856" t="s">
        <v>924</v>
      </c>
    </row>
    <row r="817" spans="1:14" s="384" customFormat="1" ht="13.5" thickTop="1" thickBot="1" x14ac:dyDescent="0.25">
      <c r="A817" s="1254">
        <v>1</v>
      </c>
      <c r="B817" s="1255">
        <v>2</v>
      </c>
      <c r="C817" s="1255">
        <v>3</v>
      </c>
      <c r="D817" s="1255">
        <v>4</v>
      </c>
      <c r="E817" s="569">
        <v>5</v>
      </c>
      <c r="F817" s="1256">
        <v>6</v>
      </c>
      <c r="G817" s="1256">
        <v>7</v>
      </c>
      <c r="H817" s="1257">
        <v>8</v>
      </c>
      <c r="I817" s="1258" t="s">
        <v>801</v>
      </c>
    </row>
    <row r="818" spans="1:14" s="534" customFormat="1" ht="15.75" thickTop="1" x14ac:dyDescent="0.25">
      <c r="A818" s="997">
        <v>60004100038</v>
      </c>
      <c r="B818" s="811">
        <v>2212</v>
      </c>
      <c r="C818" s="656">
        <v>6121</v>
      </c>
      <c r="D818" s="1013">
        <v>12</v>
      </c>
      <c r="E818" s="827" t="s">
        <v>640</v>
      </c>
      <c r="F818" s="1000"/>
      <c r="G818" s="1264">
        <v>21</v>
      </c>
      <c r="H818" s="1000">
        <v>17</v>
      </c>
      <c r="I818" s="1265">
        <f>(H818/G818)*100</f>
        <v>80.952380952380949</v>
      </c>
    </row>
    <row r="819" spans="1:14" s="534" customFormat="1" ht="15.75" thickBot="1" x14ac:dyDescent="0.3">
      <c r="A819" s="1003">
        <v>60004100038</v>
      </c>
      <c r="B819" s="930">
        <v>2212</v>
      </c>
      <c r="C819" s="930">
        <v>6130</v>
      </c>
      <c r="D819" s="1285">
        <v>12</v>
      </c>
      <c r="E819" s="1284" t="s">
        <v>896</v>
      </c>
      <c r="F819" s="1283"/>
      <c r="G819" s="1283">
        <v>5476</v>
      </c>
      <c r="H819" s="1283">
        <v>5477</v>
      </c>
      <c r="I819" s="1014">
        <f>(H819/G819)*100</f>
        <v>100.018261504748</v>
      </c>
    </row>
    <row r="820" spans="1:14" s="534" customFormat="1" ht="18" customHeight="1" thickTop="1" thickBot="1" x14ac:dyDescent="0.3">
      <c r="A820" s="2699" t="s">
        <v>257</v>
      </c>
      <c r="B820" s="2698"/>
      <c r="C820" s="2698"/>
      <c r="D820" s="2698"/>
      <c r="E820" s="2698"/>
      <c r="F820" s="911">
        <f>F818</f>
        <v>0</v>
      </c>
      <c r="G820" s="911">
        <f>G818+G819</f>
        <v>5497</v>
      </c>
      <c r="H820" s="911">
        <f>H818+H819</f>
        <v>5494</v>
      </c>
      <c r="I820" s="894">
        <f>(H820/G820)*100</f>
        <v>99.945424777151175</v>
      </c>
    </row>
    <row r="821" spans="1:14" ht="13.5" thickTop="1" x14ac:dyDescent="0.2">
      <c r="K821" s="951"/>
      <c r="L821" s="951"/>
      <c r="M821" s="951"/>
      <c r="N821" s="433"/>
    </row>
    <row r="822" spans="1:14" x14ac:dyDescent="0.2">
      <c r="K822" s="951"/>
      <c r="L822" s="951"/>
      <c r="M822" s="951"/>
      <c r="N822" s="433"/>
    </row>
    <row r="823" spans="1:14" s="534" customFormat="1" ht="13.5" thickBot="1" x14ac:dyDescent="0.25">
      <c r="A823" s="433" t="s">
        <v>1158</v>
      </c>
      <c r="B823" s="645"/>
      <c r="D823" s="852"/>
      <c r="F823" s="495"/>
      <c r="G823" s="495"/>
      <c r="H823" s="495"/>
      <c r="I823" s="989" t="s">
        <v>173</v>
      </c>
    </row>
    <row r="824" spans="1:14" s="107" customFormat="1" ht="20.25" customHeight="1" thickTop="1" thickBot="1" x14ac:dyDescent="0.25">
      <c r="A824" s="690" t="s">
        <v>661</v>
      </c>
      <c r="B824" s="693" t="s">
        <v>174</v>
      </c>
      <c r="C824" s="691" t="s">
        <v>175</v>
      </c>
      <c r="D824" s="636" t="s">
        <v>744</v>
      </c>
      <c r="E824" s="694" t="s">
        <v>176</v>
      </c>
      <c r="F824" s="694" t="s">
        <v>177</v>
      </c>
      <c r="G824" s="694" t="s">
        <v>922</v>
      </c>
      <c r="H824" s="694" t="s">
        <v>923</v>
      </c>
      <c r="I824" s="856" t="s">
        <v>924</v>
      </c>
    </row>
    <row r="825" spans="1:14" s="384" customFormat="1" ht="13.5" thickTop="1" thickBot="1" x14ac:dyDescent="0.25">
      <c r="A825" s="1254">
        <v>1</v>
      </c>
      <c r="B825" s="1255">
        <v>2</v>
      </c>
      <c r="C825" s="1255">
        <v>3</v>
      </c>
      <c r="D825" s="1255">
        <v>4</v>
      </c>
      <c r="E825" s="569">
        <v>5</v>
      </c>
      <c r="F825" s="1256">
        <v>6</v>
      </c>
      <c r="G825" s="1256">
        <v>7</v>
      </c>
      <c r="H825" s="1257">
        <v>8</v>
      </c>
      <c r="I825" s="1258" t="s">
        <v>801</v>
      </c>
    </row>
    <row r="826" spans="1:14" s="534" customFormat="1" ht="16.5" thickTop="1" thickBot="1" x14ac:dyDescent="0.3">
      <c r="A826" s="1266">
        <v>60004100040</v>
      </c>
      <c r="B826" s="1007">
        <v>2212</v>
      </c>
      <c r="C826" s="1267">
        <v>6121</v>
      </c>
      <c r="D826" s="1008">
        <v>12</v>
      </c>
      <c r="E826" s="1009" t="s">
        <v>640</v>
      </c>
      <c r="F826" s="928"/>
      <c r="G826" s="1269">
        <v>134</v>
      </c>
      <c r="H826" s="928">
        <v>133</v>
      </c>
      <c r="I826" s="1270">
        <f>(H826/G826)*100</f>
        <v>99.253731343283576</v>
      </c>
    </row>
    <row r="827" spans="1:14" s="534" customFormat="1" ht="18" customHeight="1" thickTop="1" thickBot="1" x14ac:dyDescent="0.3">
      <c r="A827" s="2699" t="s">
        <v>257</v>
      </c>
      <c r="B827" s="2698"/>
      <c r="C827" s="2698"/>
      <c r="D827" s="2698"/>
      <c r="E827" s="2698"/>
      <c r="F827" s="911">
        <f>F826</f>
        <v>0</v>
      </c>
      <c r="G827" s="911">
        <f>G826</f>
        <v>134</v>
      </c>
      <c r="H827" s="911">
        <f>H826</f>
        <v>133</v>
      </c>
      <c r="I827" s="894">
        <f>(H827/G827)*100</f>
        <v>99.253731343283576</v>
      </c>
    </row>
    <row r="828" spans="1:14" ht="13.5" thickTop="1" x14ac:dyDescent="0.2">
      <c r="K828" s="951"/>
      <c r="L828" s="951"/>
      <c r="M828" s="951"/>
      <c r="N828" s="433"/>
    </row>
    <row r="829" spans="1:14" x14ac:dyDescent="0.2">
      <c r="K829" s="951"/>
      <c r="L829" s="951"/>
      <c r="M829" s="951"/>
      <c r="N829" s="433"/>
    </row>
    <row r="830" spans="1:14" s="534" customFormat="1" ht="13.5" thickBot="1" x14ac:dyDescent="0.25">
      <c r="A830" s="433" t="s">
        <v>1170</v>
      </c>
      <c r="B830" s="645"/>
      <c r="D830" s="852"/>
      <c r="F830" s="495"/>
      <c r="G830" s="495"/>
      <c r="H830" s="495"/>
      <c r="I830" s="989" t="s">
        <v>173</v>
      </c>
    </row>
    <row r="831" spans="1:14" s="107" customFormat="1" ht="20.25" customHeight="1" thickTop="1" thickBot="1" x14ac:dyDescent="0.25">
      <c r="A831" s="690" t="s">
        <v>661</v>
      </c>
      <c r="B831" s="693" t="s">
        <v>174</v>
      </c>
      <c r="C831" s="691" t="s">
        <v>175</v>
      </c>
      <c r="D831" s="636" t="s">
        <v>744</v>
      </c>
      <c r="E831" s="694" t="s">
        <v>176</v>
      </c>
      <c r="F831" s="694" t="s">
        <v>177</v>
      </c>
      <c r="G831" s="694" t="s">
        <v>922</v>
      </c>
      <c r="H831" s="694" t="s">
        <v>923</v>
      </c>
      <c r="I831" s="856" t="s">
        <v>924</v>
      </c>
    </row>
    <row r="832" spans="1:14" s="384" customFormat="1" ht="13.5" thickTop="1" thickBot="1" x14ac:dyDescent="0.25">
      <c r="A832" s="1254">
        <v>1</v>
      </c>
      <c r="B832" s="1255">
        <v>2</v>
      </c>
      <c r="C832" s="1255">
        <v>3</v>
      </c>
      <c r="D832" s="1255">
        <v>4</v>
      </c>
      <c r="E832" s="1255">
        <v>5</v>
      </c>
      <c r="F832" s="1256">
        <v>6</v>
      </c>
      <c r="G832" s="1256">
        <v>7</v>
      </c>
      <c r="H832" s="1257">
        <v>8</v>
      </c>
      <c r="I832" s="1258" t="s">
        <v>801</v>
      </c>
    </row>
    <row r="833" spans="1:14" s="384" customFormat="1" ht="15.75" thickTop="1" x14ac:dyDescent="0.25">
      <c r="A833" s="1309">
        <v>60004100043</v>
      </c>
      <c r="B833" s="1310">
        <v>2212</v>
      </c>
      <c r="C833" s="1310">
        <v>6121</v>
      </c>
      <c r="D833" s="1282">
        <v>12</v>
      </c>
      <c r="E833" s="1303" t="s">
        <v>640</v>
      </c>
      <c r="F833" s="1302">
        <v>17000</v>
      </c>
      <c r="G833" s="1300">
        <v>0</v>
      </c>
      <c r="H833" s="1300">
        <v>0</v>
      </c>
      <c r="I833" s="1265">
        <v>0</v>
      </c>
    </row>
    <row r="834" spans="1:14" s="534" customFormat="1" ht="15.75" thickBot="1" x14ac:dyDescent="0.3">
      <c r="A834" s="1011">
        <v>60004100043</v>
      </c>
      <c r="B834" s="682">
        <v>2212</v>
      </c>
      <c r="C834" s="782">
        <v>6121</v>
      </c>
      <c r="D834" s="1004">
        <v>870</v>
      </c>
      <c r="E834" s="1301" t="s">
        <v>640</v>
      </c>
      <c r="F834" s="922"/>
      <c r="G834" s="1005">
        <v>8368</v>
      </c>
      <c r="H834" s="922">
        <v>8351</v>
      </c>
      <c r="I834" s="1014">
        <f>(H834/G834)*100</f>
        <v>99.796845124282981</v>
      </c>
    </row>
    <row r="835" spans="1:14" s="534" customFormat="1" ht="18" customHeight="1" thickTop="1" thickBot="1" x14ac:dyDescent="0.3">
      <c r="A835" s="2699" t="s">
        <v>257</v>
      </c>
      <c r="B835" s="2698"/>
      <c r="C835" s="2698"/>
      <c r="D835" s="2698"/>
      <c r="E835" s="2698"/>
      <c r="F835" s="911">
        <f>F833</f>
        <v>17000</v>
      </c>
      <c r="G835" s="911">
        <f>G834</f>
        <v>8368</v>
      </c>
      <c r="H835" s="911">
        <f>H834</f>
        <v>8351</v>
      </c>
      <c r="I835" s="894">
        <f>(H835/G835)*100</f>
        <v>99.796845124282981</v>
      </c>
    </row>
    <row r="836" spans="1:14" ht="13.5" thickTop="1" x14ac:dyDescent="0.2">
      <c r="K836" s="951"/>
      <c r="L836" s="951"/>
      <c r="M836" s="951"/>
      <c r="N836" s="433"/>
    </row>
    <row r="837" spans="1:14" x14ac:dyDescent="0.2">
      <c r="K837" s="951"/>
      <c r="L837" s="951"/>
      <c r="M837" s="951"/>
      <c r="N837" s="433"/>
    </row>
    <row r="838" spans="1:14" s="534" customFormat="1" ht="13.5" thickBot="1" x14ac:dyDescent="0.25">
      <c r="A838" s="433" t="s">
        <v>999</v>
      </c>
      <c r="B838" s="645"/>
      <c r="D838" s="852"/>
      <c r="F838" s="495"/>
      <c r="G838" s="495"/>
      <c r="H838" s="495"/>
      <c r="I838" s="989" t="s">
        <v>173</v>
      </c>
    </row>
    <row r="839" spans="1:14" s="107" customFormat="1" ht="20.25" customHeight="1" thickTop="1" thickBot="1" x14ac:dyDescent="0.25">
      <c r="A839" s="690" t="s">
        <v>661</v>
      </c>
      <c r="B839" s="693" t="s">
        <v>174</v>
      </c>
      <c r="C839" s="691" t="s">
        <v>175</v>
      </c>
      <c r="D839" s="636" t="s">
        <v>744</v>
      </c>
      <c r="E839" s="694" t="s">
        <v>176</v>
      </c>
      <c r="F839" s="694" t="s">
        <v>177</v>
      </c>
      <c r="G839" s="694" t="s">
        <v>922</v>
      </c>
      <c r="H839" s="694" t="s">
        <v>923</v>
      </c>
      <c r="I839" s="856" t="s">
        <v>924</v>
      </c>
    </row>
    <row r="840" spans="1:14" s="384" customFormat="1" ht="13.5" thickTop="1" thickBot="1" x14ac:dyDescent="0.25">
      <c r="A840" s="1254">
        <v>1</v>
      </c>
      <c r="B840" s="1255">
        <v>2</v>
      </c>
      <c r="C840" s="1255">
        <v>3</v>
      </c>
      <c r="D840" s="1255">
        <v>4</v>
      </c>
      <c r="E840" s="569">
        <v>5</v>
      </c>
      <c r="F840" s="1256">
        <v>6</v>
      </c>
      <c r="G840" s="1256">
        <v>7</v>
      </c>
      <c r="H840" s="1257">
        <v>8</v>
      </c>
      <c r="I840" s="1258" t="s">
        <v>801</v>
      </c>
    </row>
    <row r="841" spans="1:14" s="384" customFormat="1" ht="15.75" thickTop="1" x14ac:dyDescent="0.25">
      <c r="A841" s="1309">
        <v>60004100044</v>
      </c>
      <c r="B841" s="1310">
        <v>2212</v>
      </c>
      <c r="C841" s="1310">
        <v>6121</v>
      </c>
      <c r="D841" s="1282">
        <v>12</v>
      </c>
      <c r="E841" s="1303" t="s">
        <v>640</v>
      </c>
      <c r="F841" s="1302">
        <v>15000</v>
      </c>
      <c r="G841" s="1300">
        <v>0</v>
      </c>
      <c r="H841" s="1300">
        <v>0</v>
      </c>
      <c r="I841" s="1265">
        <v>0</v>
      </c>
    </row>
    <row r="842" spans="1:14" s="534" customFormat="1" ht="15.75" thickBot="1" x14ac:dyDescent="0.3">
      <c r="A842" s="1011">
        <v>60004100044</v>
      </c>
      <c r="B842" s="682">
        <v>2212</v>
      </c>
      <c r="C842" s="782">
        <v>6121</v>
      </c>
      <c r="D842" s="1004">
        <v>870</v>
      </c>
      <c r="E842" s="1301" t="s">
        <v>640</v>
      </c>
      <c r="F842" s="922"/>
      <c r="G842" s="1005">
        <v>1599</v>
      </c>
      <c r="H842" s="922">
        <v>1536</v>
      </c>
      <c r="I842" s="1014">
        <f>(H842/G842)*100</f>
        <v>96.060037523452152</v>
      </c>
    </row>
    <row r="843" spans="1:14" s="534" customFormat="1" ht="18" customHeight="1" thickTop="1" thickBot="1" x14ac:dyDescent="0.3">
      <c r="A843" s="2699" t="s">
        <v>257</v>
      </c>
      <c r="B843" s="2698"/>
      <c r="C843" s="2698"/>
      <c r="D843" s="2698"/>
      <c r="E843" s="2698"/>
      <c r="F843" s="911">
        <f>F841</f>
        <v>15000</v>
      </c>
      <c r="G843" s="911">
        <f>G842</f>
        <v>1599</v>
      </c>
      <c r="H843" s="911">
        <f>H842</f>
        <v>1536</v>
      </c>
      <c r="I843" s="894">
        <v>0</v>
      </c>
    </row>
    <row r="844" spans="1:14" ht="13.5" thickTop="1" x14ac:dyDescent="0.2">
      <c r="K844" s="951"/>
      <c r="L844" s="951"/>
      <c r="M844" s="951"/>
      <c r="N844" s="433"/>
    </row>
    <row r="845" spans="1:14" x14ac:dyDescent="0.2">
      <c r="K845" s="951"/>
      <c r="L845" s="951"/>
      <c r="M845" s="951"/>
      <c r="N845" s="433"/>
    </row>
    <row r="846" spans="1:14" s="534" customFormat="1" ht="13.5" thickBot="1" x14ac:dyDescent="0.25">
      <c r="A846" s="433" t="s">
        <v>377</v>
      </c>
      <c r="B846" s="645"/>
      <c r="D846" s="852"/>
      <c r="F846" s="495"/>
      <c r="G846" s="495"/>
      <c r="H846" s="495"/>
      <c r="I846" s="989" t="s">
        <v>173</v>
      </c>
    </row>
    <row r="847" spans="1:14" s="107" customFormat="1" ht="20.25" customHeight="1" thickTop="1" thickBot="1" x14ac:dyDescent="0.25">
      <c r="A847" s="690" t="s">
        <v>661</v>
      </c>
      <c r="B847" s="693" t="s">
        <v>174</v>
      </c>
      <c r="C847" s="691" t="s">
        <v>175</v>
      </c>
      <c r="D847" s="636" t="s">
        <v>744</v>
      </c>
      <c r="E847" s="694" t="s">
        <v>176</v>
      </c>
      <c r="F847" s="694" t="s">
        <v>177</v>
      </c>
      <c r="G847" s="694" t="s">
        <v>922</v>
      </c>
      <c r="H847" s="694" t="s">
        <v>923</v>
      </c>
      <c r="I847" s="856" t="s">
        <v>924</v>
      </c>
    </row>
    <row r="848" spans="1:14" s="384" customFormat="1" ht="13.5" thickTop="1" thickBot="1" x14ac:dyDescent="0.25">
      <c r="A848" s="1254">
        <v>1</v>
      </c>
      <c r="B848" s="1255">
        <v>2</v>
      </c>
      <c r="C848" s="1255">
        <v>3</v>
      </c>
      <c r="D848" s="1255">
        <v>4</v>
      </c>
      <c r="E848" s="569">
        <v>5</v>
      </c>
      <c r="F848" s="1256">
        <v>6</v>
      </c>
      <c r="G848" s="1256">
        <v>7</v>
      </c>
      <c r="H848" s="1257">
        <v>8</v>
      </c>
      <c r="I848" s="1258" t="s">
        <v>801</v>
      </c>
    </row>
    <row r="849" spans="1:14" s="384" customFormat="1" ht="16.5" thickTop="1" thickBot="1" x14ac:dyDescent="0.3">
      <c r="A849" s="1320">
        <v>60004100046</v>
      </c>
      <c r="B849" s="1321">
        <v>2212</v>
      </c>
      <c r="C849" s="1321">
        <v>6121</v>
      </c>
      <c r="D849" s="1293">
        <v>12</v>
      </c>
      <c r="E849" s="1304" t="s">
        <v>640</v>
      </c>
      <c r="F849" s="1305">
        <v>1000</v>
      </c>
      <c r="G849" s="1306">
        <v>0</v>
      </c>
      <c r="H849" s="1306">
        <v>0</v>
      </c>
      <c r="I849" s="1270">
        <v>0</v>
      </c>
    </row>
    <row r="850" spans="1:14" s="534" customFormat="1" ht="18" customHeight="1" thickTop="1" thickBot="1" x14ac:dyDescent="0.3">
      <c r="A850" s="2699" t="s">
        <v>257</v>
      </c>
      <c r="B850" s="2698"/>
      <c r="C850" s="2698"/>
      <c r="D850" s="2698"/>
      <c r="E850" s="2698"/>
      <c r="F850" s="911">
        <f>F849</f>
        <v>1000</v>
      </c>
      <c r="G850" s="911">
        <f>G849</f>
        <v>0</v>
      </c>
      <c r="H850" s="911">
        <f>H849</f>
        <v>0</v>
      </c>
      <c r="I850" s="894">
        <v>0</v>
      </c>
    </row>
    <row r="851" spans="1:14" ht="13.5" thickTop="1" x14ac:dyDescent="0.2">
      <c r="K851" s="951"/>
      <c r="L851" s="951"/>
      <c r="M851" s="951"/>
      <c r="N851" s="433"/>
    </row>
    <row r="852" spans="1:14" x14ac:dyDescent="0.2">
      <c r="K852" s="951"/>
      <c r="L852" s="951"/>
      <c r="M852" s="951"/>
      <c r="N852" s="433"/>
    </row>
    <row r="853" spans="1:14" s="534" customFormat="1" ht="13.5" thickBot="1" x14ac:dyDescent="0.25">
      <c r="A853" s="433" t="s">
        <v>1000</v>
      </c>
      <c r="B853" s="645"/>
      <c r="D853" s="852"/>
      <c r="F853" s="495"/>
      <c r="G853" s="495"/>
      <c r="H853" s="495"/>
      <c r="I853" s="989" t="s">
        <v>173</v>
      </c>
    </row>
    <row r="854" spans="1:14" s="107" customFormat="1" ht="20.25" customHeight="1" thickTop="1" thickBot="1" x14ac:dyDescent="0.25">
      <c r="A854" s="690" t="s">
        <v>661</v>
      </c>
      <c r="B854" s="693" t="s">
        <v>174</v>
      </c>
      <c r="C854" s="691" t="s">
        <v>175</v>
      </c>
      <c r="D854" s="636" t="s">
        <v>744</v>
      </c>
      <c r="E854" s="694" t="s">
        <v>176</v>
      </c>
      <c r="F854" s="694" t="s">
        <v>177</v>
      </c>
      <c r="G854" s="694" t="s">
        <v>922</v>
      </c>
      <c r="H854" s="694" t="s">
        <v>923</v>
      </c>
      <c r="I854" s="856" t="s">
        <v>924</v>
      </c>
    </row>
    <row r="855" spans="1:14" s="384" customFormat="1" ht="13.5" thickTop="1" thickBot="1" x14ac:dyDescent="0.25">
      <c r="A855" s="1254">
        <v>1</v>
      </c>
      <c r="B855" s="1255">
        <v>2</v>
      </c>
      <c r="C855" s="1255">
        <v>3</v>
      </c>
      <c r="D855" s="1255">
        <v>4</v>
      </c>
      <c r="E855" s="569">
        <v>5</v>
      </c>
      <c r="F855" s="1256">
        <v>6</v>
      </c>
      <c r="G855" s="1256">
        <v>7</v>
      </c>
      <c r="H855" s="1257">
        <v>8</v>
      </c>
      <c r="I855" s="1258" t="s">
        <v>801</v>
      </c>
    </row>
    <row r="856" spans="1:14" s="534" customFormat="1" ht="16.5" thickTop="1" thickBot="1" x14ac:dyDescent="0.3">
      <c r="A856" s="1266">
        <v>60004100047</v>
      </c>
      <c r="B856" s="1007">
        <v>2212</v>
      </c>
      <c r="C856" s="1267">
        <v>6121</v>
      </c>
      <c r="D856" s="1008">
        <v>12</v>
      </c>
      <c r="E856" s="1009" t="s">
        <v>640</v>
      </c>
      <c r="F856" s="928"/>
      <c r="G856" s="1269">
        <v>333</v>
      </c>
      <c r="H856" s="928">
        <v>333</v>
      </c>
      <c r="I856" s="1270">
        <f>(H856/G856)*100</f>
        <v>100</v>
      </c>
    </row>
    <row r="857" spans="1:14" s="534" customFormat="1" ht="18" customHeight="1" thickTop="1" thickBot="1" x14ac:dyDescent="0.3">
      <c r="A857" s="2699" t="s">
        <v>257</v>
      </c>
      <c r="B857" s="2698"/>
      <c r="C857" s="2698"/>
      <c r="D857" s="2698"/>
      <c r="E857" s="2698"/>
      <c r="F857" s="911">
        <f>F856</f>
        <v>0</v>
      </c>
      <c r="G857" s="911">
        <f>G856</f>
        <v>333</v>
      </c>
      <c r="H857" s="911">
        <f>H856</f>
        <v>333</v>
      </c>
      <c r="I857" s="894">
        <f>(H857/G857)*100</f>
        <v>100</v>
      </c>
    </row>
    <row r="858" spans="1:14" ht="13.5" thickTop="1" x14ac:dyDescent="0.2">
      <c r="K858" s="951"/>
      <c r="L858" s="951"/>
      <c r="M858" s="951"/>
      <c r="N858" s="433"/>
    </row>
    <row r="859" spans="1:14" x14ac:dyDescent="0.2">
      <c r="K859" s="951"/>
      <c r="L859" s="951"/>
      <c r="M859" s="951"/>
      <c r="N859" s="433"/>
    </row>
    <row r="860" spans="1:14" s="534" customFormat="1" ht="13.5" thickBot="1" x14ac:dyDescent="0.25">
      <c r="A860" s="433" t="s">
        <v>1001</v>
      </c>
      <c r="B860" s="645"/>
      <c r="D860" s="852"/>
      <c r="F860" s="495"/>
      <c r="G860" s="495"/>
      <c r="H860" s="495"/>
      <c r="I860" s="989" t="s">
        <v>173</v>
      </c>
    </row>
    <row r="861" spans="1:14" s="107" customFormat="1" ht="20.25" customHeight="1" thickTop="1" thickBot="1" x14ac:dyDescent="0.25">
      <c r="A861" s="690" t="s">
        <v>661</v>
      </c>
      <c r="B861" s="693" t="s">
        <v>174</v>
      </c>
      <c r="C861" s="691" t="s">
        <v>175</v>
      </c>
      <c r="D861" s="636" t="s">
        <v>744</v>
      </c>
      <c r="E861" s="694" t="s">
        <v>176</v>
      </c>
      <c r="F861" s="694" t="s">
        <v>177</v>
      </c>
      <c r="G861" s="694" t="s">
        <v>922</v>
      </c>
      <c r="H861" s="694" t="s">
        <v>923</v>
      </c>
      <c r="I861" s="856" t="s">
        <v>924</v>
      </c>
    </row>
    <row r="862" spans="1:14" s="384" customFormat="1" ht="13.5" thickTop="1" thickBot="1" x14ac:dyDescent="0.25">
      <c r="A862" s="1254">
        <v>1</v>
      </c>
      <c r="B862" s="1255">
        <v>2</v>
      </c>
      <c r="C862" s="1255">
        <v>3</v>
      </c>
      <c r="D862" s="1255">
        <v>4</v>
      </c>
      <c r="E862" s="569">
        <v>5</v>
      </c>
      <c r="F862" s="1256">
        <v>6</v>
      </c>
      <c r="G862" s="1256">
        <v>7</v>
      </c>
      <c r="H862" s="1257">
        <v>8</v>
      </c>
      <c r="I862" s="1258" t="s">
        <v>801</v>
      </c>
    </row>
    <row r="863" spans="1:14" s="534" customFormat="1" ht="16.5" thickTop="1" thickBot="1" x14ac:dyDescent="0.3">
      <c r="A863" s="1266">
        <v>60004100048</v>
      </c>
      <c r="B863" s="1007">
        <v>2212</v>
      </c>
      <c r="C863" s="1267">
        <v>6121</v>
      </c>
      <c r="D863" s="1008">
        <v>12</v>
      </c>
      <c r="E863" s="1009" t="s">
        <v>640</v>
      </c>
      <c r="F863" s="928"/>
      <c r="G863" s="1269">
        <v>2488</v>
      </c>
      <c r="H863" s="928">
        <v>2487</v>
      </c>
      <c r="I863" s="1270">
        <f>(H863/G863)*100</f>
        <v>99.959807073954991</v>
      </c>
    </row>
    <row r="864" spans="1:14" s="534" customFormat="1" ht="18" customHeight="1" thickTop="1" thickBot="1" x14ac:dyDescent="0.3">
      <c r="A864" s="2699" t="s">
        <v>257</v>
      </c>
      <c r="B864" s="2698"/>
      <c r="C864" s="2698"/>
      <c r="D864" s="2698"/>
      <c r="E864" s="2698"/>
      <c r="F864" s="911">
        <f>F863</f>
        <v>0</v>
      </c>
      <c r="G864" s="911">
        <f>G863</f>
        <v>2488</v>
      </c>
      <c r="H864" s="911">
        <f>H863</f>
        <v>2487</v>
      </c>
      <c r="I864" s="894">
        <f>(H864/G864)*100</f>
        <v>99.959807073954991</v>
      </c>
    </row>
    <row r="865" spans="1:14" ht="13.5" thickTop="1" x14ac:dyDescent="0.2">
      <c r="K865" s="951"/>
      <c r="L865" s="951"/>
      <c r="M865" s="951"/>
      <c r="N865" s="433"/>
    </row>
    <row r="866" spans="1:14" x14ac:dyDescent="0.2">
      <c r="K866" s="951"/>
      <c r="L866" s="951"/>
      <c r="M866" s="951"/>
      <c r="N866" s="433"/>
    </row>
    <row r="867" spans="1:14" x14ac:dyDescent="0.2">
      <c r="K867" s="951"/>
      <c r="L867" s="951"/>
      <c r="M867" s="951"/>
      <c r="N867" s="433"/>
    </row>
    <row r="868" spans="1:14" s="534" customFormat="1" ht="13.5" thickBot="1" x14ac:dyDescent="0.25">
      <c r="A868" s="433" t="s">
        <v>1002</v>
      </c>
      <c r="B868" s="645"/>
      <c r="D868" s="852"/>
      <c r="F868" s="495"/>
      <c r="G868" s="495"/>
      <c r="H868" s="495"/>
      <c r="I868" s="989" t="s">
        <v>173</v>
      </c>
    </row>
    <row r="869" spans="1:14" s="107" customFormat="1" ht="20.25" customHeight="1" thickTop="1" thickBot="1" x14ac:dyDescent="0.25">
      <c r="A869" s="690" t="s">
        <v>661</v>
      </c>
      <c r="B869" s="693" t="s">
        <v>174</v>
      </c>
      <c r="C869" s="691" t="s">
        <v>175</v>
      </c>
      <c r="D869" s="636" t="s">
        <v>744</v>
      </c>
      <c r="E869" s="694" t="s">
        <v>176</v>
      </c>
      <c r="F869" s="694" t="s">
        <v>177</v>
      </c>
      <c r="G869" s="694" t="s">
        <v>922</v>
      </c>
      <c r="H869" s="694" t="s">
        <v>923</v>
      </c>
      <c r="I869" s="856" t="s">
        <v>924</v>
      </c>
    </row>
    <row r="870" spans="1:14" s="384" customFormat="1" ht="13.5" thickTop="1" thickBot="1" x14ac:dyDescent="0.25">
      <c r="A870" s="1254">
        <v>1</v>
      </c>
      <c r="B870" s="1255">
        <v>2</v>
      </c>
      <c r="C870" s="1255">
        <v>3</v>
      </c>
      <c r="D870" s="1255">
        <v>4</v>
      </c>
      <c r="E870" s="569">
        <v>5</v>
      </c>
      <c r="F870" s="1256">
        <v>6</v>
      </c>
      <c r="G870" s="1256">
        <v>7</v>
      </c>
      <c r="H870" s="1257">
        <v>8</v>
      </c>
      <c r="I870" s="1258" t="s">
        <v>801</v>
      </c>
    </row>
    <row r="871" spans="1:14" s="534" customFormat="1" ht="16.5" thickTop="1" thickBot="1" x14ac:dyDescent="0.3">
      <c r="A871" s="1266">
        <v>60004100050</v>
      </c>
      <c r="B871" s="1007">
        <v>2212</v>
      </c>
      <c r="C871" s="1267">
        <v>6121</v>
      </c>
      <c r="D871" s="1008">
        <v>12</v>
      </c>
      <c r="E871" s="1009" t="s">
        <v>640</v>
      </c>
      <c r="F871" s="928"/>
      <c r="G871" s="1269">
        <v>706</v>
      </c>
      <c r="H871" s="928">
        <v>705</v>
      </c>
      <c r="I871" s="1270">
        <f>(H871/G871)*100</f>
        <v>99.858356940509921</v>
      </c>
    </row>
    <row r="872" spans="1:14" s="534" customFormat="1" ht="18" customHeight="1" thickTop="1" thickBot="1" x14ac:dyDescent="0.3">
      <c r="A872" s="2699" t="s">
        <v>257</v>
      </c>
      <c r="B872" s="2698"/>
      <c r="C872" s="2698"/>
      <c r="D872" s="2698"/>
      <c r="E872" s="2698"/>
      <c r="F872" s="911">
        <f>F871</f>
        <v>0</v>
      </c>
      <c r="G872" s="911">
        <f>G871</f>
        <v>706</v>
      </c>
      <c r="H872" s="911">
        <f>H871</f>
        <v>705</v>
      </c>
      <c r="I872" s="894">
        <f>(H872/G872)*100</f>
        <v>99.858356940509921</v>
      </c>
    </row>
    <row r="873" spans="1:14" ht="13.5" thickTop="1" x14ac:dyDescent="0.2">
      <c r="K873" s="951"/>
      <c r="L873" s="951"/>
      <c r="M873" s="951"/>
      <c r="N873" s="433"/>
    </row>
    <row r="874" spans="1:14" x14ac:dyDescent="0.2">
      <c r="K874" s="951"/>
      <c r="L874" s="951"/>
      <c r="M874" s="951"/>
      <c r="N874" s="433"/>
    </row>
    <row r="875" spans="1:14" s="534" customFormat="1" ht="13.5" thickBot="1" x14ac:dyDescent="0.25">
      <c r="A875" s="433" t="s">
        <v>1003</v>
      </c>
      <c r="B875" s="645"/>
      <c r="D875" s="852"/>
      <c r="F875" s="495"/>
      <c r="G875" s="495"/>
      <c r="H875" s="495"/>
      <c r="I875" s="989" t="s">
        <v>173</v>
      </c>
    </row>
    <row r="876" spans="1:14" s="107" customFormat="1" ht="20.25" customHeight="1" thickTop="1" thickBot="1" x14ac:dyDescent="0.25">
      <c r="A876" s="690" t="s">
        <v>661</v>
      </c>
      <c r="B876" s="693" t="s">
        <v>174</v>
      </c>
      <c r="C876" s="691" t="s">
        <v>175</v>
      </c>
      <c r="D876" s="636" t="s">
        <v>744</v>
      </c>
      <c r="E876" s="694" t="s">
        <v>176</v>
      </c>
      <c r="F876" s="694" t="s">
        <v>177</v>
      </c>
      <c r="G876" s="694" t="s">
        <v>922</v>
      </c>
      <c r="H876" s="694" t="s">
        <v>923</v>
      </c>
      <c r="I876" s="856" t="s">
        <v>924</v>
      </c>
    </row>
    <row r="877" spans="1:14" s="384" customFormat="1" ht="13.5" thickTop="1" thickBot="1" x14ac:dyDescent="0.25">
      <c r="A877" s="1254">
        <v>1</v>
      </c>
      <c r="B877" s="1255">
        <v>2</v>
      </c>
      <c r="C877" s="1255">
        <v>3</v>
      </c>
      <c r="D877" s="1255">
        <v>4</v>
      </c>
      <c r="E877" s="569">
        <v>5</v>
      </c>
      <c r="F877" s="1256">
        <v>6</v>
      </c>
      <c r="G877" s="1256">
        <v>7</v>
      </c>
      <c r="H877" s="1257">
        <v>8</v>
      </c>
      <c r="I877" s="1258" t="s">
        <v>801</v>
      </c>
    </row>
    <row r="878" spans="1:14" s="534" customFormat="1" ht="15.75" thickTop="1" x14ac:dyDescent="0.25">
      <c r="A878" s="997">
        <v>60004100060</v>
      </c>
      <c r="B878" s="811">
        <v>2212</v>
      </c>
      <c r="C878" s="656">
        <v>6121</v>
      </c>
      <c r="D878" s="1013">
        <v>12</v>
      </c>
      <c r="E878" s="827" t="s">
        <v>640</v>
      </c>
      <c r="F878" s="1000"/>
      <c r="G878" s="1264">
        <v>15</v>
      </c>
      <c r="H878" s="1000">
        <v>0</v>
      </c>
      <c r="I878" s="1265">
        <f>(H878/G878)*100</f>
        <v>0</v>
      </c>
    </row>
    <row r="879" spans="1:14" s="534" customFormat="1" ht="15.75" thickBot="1" x14ac:dyDescent="0.3">
      <c r="A879" s="1003">
        <v>60004100060</v>
      </c>
      <c r="B879" s="930">
        <v>2212</v>
      </c>
      <c r="C879" s="930">
        <v>6130</v>
      </c>
      <c r="D879" s="1285">
        <v>12</v>
      </c>
      <c r="E879" s="1284" t="s">
        <v>896</v>
      </c>
      <c r="F879" s="1283"/>
      <c r="G879" s="1283">
        <v>13</v>
      </c>
      <c r="H879" s="1283">
        <v>13</v>
      </c>
      <c r="I879" s="1014">
        <f>(H879/G879)*100</f>
        <v>100</v>
      </c>
    </row>
    <row r="880" spans="1:14" s="534" customFormat="1" ht="18" customHeight="1" thickTop="1" thickBot="1" x14ac:dyDescent="0.3">
      <c r="A880" s="2699" t="s">
        <v>257</v>
      </c>
      <c r="B880" s="2698"/>
      <c r="C880" s="2698"/>
      <c r="D880" s="2698"/>
      <c r="E880" s="2698"/>
      <c r="F880" s="911">
        <f>F878</f>
        <v>0</v>
      </c>
      <c r="G880" s="911">
        <f>G878+G879</f>
        <v>28</v>
      </c>
      <c r="H880" s="911">
        <f>H878+H879</f>
        <v>13</v>
      </c>
      <c r="I880" s="894">
        <f>(H880/G880)*100</f>
        <v>46.428571428571431</v>
      </c>
    </row>
    <row r="881" spans="1:14" ht="13.5" thickTop="1" x14ac:dyDescent="0.2">
      <c r="K881" s="951"/>
      <c r="L881" s="951"/>
      <c r="M881" s="951"/>
      <c r="N881" s="433"/>
    </row>
    <row r="882" spans="1:14" x14ac:dyDescent="0.2">
      <c r="K882" s="951"/>
      <c r="L882" s="951"/>
      <c r="M882" s="951"/>
      <c r="N882" s="433"/>
    </row>
    <row r="883" spans="1:14" s="534" customFormat="1" ht="13.5" thickBot="1" x14ac:dyDescent="0.25">
      <c r="A883" s="433" t="s">
        <v>1004</v>
      </c>
      <c r="B883" s="645"/>
      <c r="D883" s="852"/>
      <c r="F883" s="495"/>
      <c r="G883" s="495"/>
      <c r="H883" s="495"/>
      <c r="I883" s="989" t="s">
        <v>173</v>
      </c>
    </row>
    <row r="884" spans="1:14" s="107" customFormat="1" ht="20.25" customHeight="1" thickTop="1" thickBot="1" x14ac:dyDescent="0.25">
      <c r="A884" s="690" t="s">
        <v>661</v>
      </c>
      <c r="B884" s="693" t="s">
        <v>174</v>
      </c>
      <c r="C884" s="691" t="s">
        <v>175</v>
      </c>
      <c r="D884" s="636" t="s">
        <v>744</v>
      </c>
      <c r="E884" s="694" t="s">
        <v>176</v>
      </c>
      <c r="F884" s="694" t="s">
        <v>177</v>
      </c>
      <c r="G884" s="694" t="s">
        <v>922</v>
      </c>
      <c r="H884" s="694" t="s">
        <v>923</v>
      </c>
      <c r="I884" s="856" t="s">
        <v>924</v>
      </c>
    </row>
    <row r="885" spans="1:14" s="384" customFormat="1" ht="13.5" thickTop="1" thickBot="1" x14ac:dyDescent="0.25">
      <c r="A885" s="1254">
        <v>1</v>
      </c>
      <c r="B885" s="1255">
        <v>2</v>
      </c>
      <c r="C885" s="1255">
        <v>3</v>
      </c>
      <c r="D885" s="1255">
        <v>4</v>
      </c>
      <c r="E885" s="569">
        <v>5</v>
      </c>
      <c r="F885" s="1256">
        <v>6</v>
      </c>
      <c r="G885" s="1256">
        <v>7</v>
      </c>
      <c r="H885" s="1257">
        <v>8</v>
      </c>
      <c r="I885" s="1258" t="s">
        <v>801</v>
      </c>
    </row>
    <row r="886" spans="1:14" s="534" customFormat="1" ht="15.75" thickTop="1" x14ac:dyDescent="0.25">
      <c r="A886" s="997">
        <v>60004100061</v>
      </c>
      <c r="B886" s="811">
        <v>2212</v>
      </c>
      <c r="C886" s="656">
        <v>6121</v>
      </c>
      <c r="D886" s="1013">
        <v>12</v>
      </c>
      <c r="E886" s="827" t="s">
        <v>640</v>
      </c>
      <c r="F886" s="1000">
        <v>31035</v>
      </c>
      <c r="G886" s="1264">
        <v>7959</v>
      </c>
      <c r="H886" s="1000">
        <v>7925</v>
      </c>
      <c r="I886" s="1265">
        <f>(H886/G886)*100</f>
        <v>99.572810654604851</v>
      </c>
    </row>
    <row r="887" spans="1:14" s="534" customFormat="1" ht="15.75" thickBot="1" x14ac:dyDescent="0.3">
      <c r="A887" s="1003">
        <v>60004100061</v>
      </c>
      <c r="B887" s="930">
        <v>2212</v>
      </c>
      <c r="C887" s="930">
        <v>6121</v>
      </c>
      <c r="D887" s="1285">
        <v>805</v>
      </c>
      <c r="E887" s="1284" t="s">
        <v>640</v>
      </c>
      <c r="F887" s="1283"/>
      <c r="G887" s="1283">
        <v>23814</v>
      </c>
      <c r="H887" s="1283">
        <v>22826</v>
      </c>
      <c r="I887" s="1014">
        <f>(H887/G887)*100</f>
        <v>95.851179978164097</v>
      </c>
    </row>
    <row r="888" spans="1:14" s="534" customFormat="1" ht="18" customHeight="1" thickTop="1" thickBot="1" x14ac:dyDescent="0.3">
      <c r="A888" s="2699" t="s">
        <v>257</v>
      </c>
      <c r="B888" s="2698"/>
      <c r="C888" s="2698"/>
      <c r="D888" s="2698"/>
      <c r="E888" s="2698"/>
      <c r="F888" s="911">
        <f>F886</f>
        <v>31035</v>
      </c>
      <c r="G888" s="911">
        <f>G886+G887</f>
        <v>31773</v>
      </c>
      <c r="H888" s="911">
        <f>H886+H887</f>
        <v>30751</v>
      </c>
      <c r="I888" s="894">
        <f>(H888/G888)*100</f>
        <v>96.783432474113241</v>
      </c>
    </row>
    <row r="889" spans="1:14" ht="13.5" thickTop="1" x14ac:dyDescent="0.2">
      <c r="K889" s="951"/>
      <c r="L889" s="951"/>
      <c r="M889" s="951"/>
      <c r="N889" s="433"/>
    </row>
    <row r="890" spans="1:14" x14ac:dyDescent="0.2">
      <c r="K890" s="951"/>
      <c r="L890" s="951"/>
      <c r="M890" s="951"/>
      <c r="N890" s="433"/>
    </row>
    <row r="891" spans="1:14" s="534" customFormat="1" ht="13.5" thickBot="1" x14ac:dyDescent="0.25">
      <c r="A891" s="433" t="s">
        <v>1005</v>
      </c>
      <c r="B891" s="645"/>
      <c r="D891" s="852"/>
      <c r="F891" s="495"/>
      <c r="G891" s="495"/>
      <c r="H891" s="495"/>
      <c r="I891" s="989" t="s">
        <v>173</v>
      </c>
    </row>
    <row r="892" spans="1:14" s="107" customFormat="1" ht="20.25" customHeight="1" thickTop="1" thickBot="1" x14ac:dyDescent="0.25">
      <c r="A892" s="690" t="s">
        <v>661</v>
      </c>
      <c r="B892" s="693" t="s">
        <v>174</v>
      </c>
      <c r="C892" s="691" t="s">
        <v>175</v>
      </c>
      <c r="D892" s="636" t="s">
        <v>744</v>
      </c>
      <c r="E892" s="694" t="s">
        <v>176</v>
      </c>
      <c r="F892" s="694" t="s">
        <v>177</v>
      </c>
      <c r="G892" s="694" t="s">
        <v>922</v>
      </c>
      <c r="H892" s="694" t="s">
        <v>923</v>
      </c>
      <c r="I892" s="856" t="s">
        <v>924</v>
      </c>
    </row>
    <row r="893" spans="1:14" s="384" customFormat="1" ht="13.5" thickTop="1" thickBot="1" x14ac:dyDescent="0.25">
      <c r="A893" s="1254">
        <v>1</v>
      </c>
      <c r="B893" s="1255">
        <v>2</v>
      </c>
      <c r="C893" s="1255">
        <v>3</v>
      </c>
      <c r="D893" s="1255">
        <v>4</v>
      </c>
      <c r="E893" s="569">
        <v>5</v>
      </c>
      <c r="F893" s="1256">
        <v>6</v>
      </c>
      <c r="G893" s="1256">
        <v>7</v>
      </c>
      <c r="H893" s="1257">
        <v>8</v>
      </c>
      <c r="I893" s="1258" t="s">
        <v>801</v>
      </c>
    </row>
    <row r="894" spans="1:14" s="384" customFormat="1" ht="15.75" thickTop="1" x14ac:dyDescent="0.25">
      <c r="A894" s="997">
        <v>60004100081</v>
      </c>
      <c r="B894" s="811">
        <v>2212</v>
      </c>
      <c r="C894" s="656">
        <v>6121</v>
      </c>
      <c r="D894" s="1013">
        <v>12</v>
      </c>
      <c r="E894" s="827" t="s">
        <v>640</v>
      </c>
      <c r="F894" s="1000">
        <v>600</v>
      </c>
      <c r="G894" s="1264">
        <v>0</v>
      </c>
      <c r="H894" s="1000">
        <v>0</v>
      </c>
      <c r="I894" s="1265">
        <v>0</v>
      </c>
    </row>
    <row r="895" spans="1:14" s="534" customFormat="1" ht="15.75" thickBot="1" x14ac:dyDescent="0.3">
      <c r="A895" s="1003">
        <v>60004100081</v>
      </c>
      <c r="B895" s="930">
        <v>2212</v>
      </c>
      <c r="C895" s="930">
        <v>6121</v>
      </c>
      <c r="D895" s="1285">
        <v>805</v>
      </c>
      <c r="E895" s="1284" t="s">
        <v>640</v>
      </c>
      <c r="F895" s="1283"/>
      <c r="G895" s="1283">
        <v>855</v>
      </c>
      <c r="H895" s="1283">
        <v>743</v>
      </c>
      <c r="I895" s="1014">
        <f>(H895/G895)*100</f>
        <v>86.900584795321635</v>
      </c>
    </row>
    <row r="896" spans="1:14" s="534" customFormat="1" ht="18" customHeight="1" thickTop="1" thickBot="1" x14ac:dyDescent="0.3">
      <c r="A896" s="2699" t="s">
        <v>257</v>
      </c>
      <c r="B896" s="2698"/>
      <c r="C896" s="2698"/>
      <c r="D896" s="2698"/>
      <c r="E896" s="2698"/>
      <c r="F896" s="911">
        <f>F894</f>
        <v>600</v>
      </c>
      <c r="G896" s="911">
        <f>G895</f>
        <v>855</v>
      </c>
      <c r="H896" s="911">
        <f>H895</f>
        <v>743</v>
      </c>
      <c r="I896" s="894">
        <f>(H896/G896)*100</f>
        <v>86.900584795321635</v>
      </c>
    </row>
    <row r="897" spans="1:14" ht="13.5" thickTop="1" x14ac:dyDescent="0.2">
      <c r="K897" s="951"/>
      <c r="L897" s="951"/>
      <c r="M897" s="951"/>
      <c r="N897" s="433"/>
    </row>
    <row r="898" spans="1:14" x14ac:dyDescent="0.2">
      <c r="K898" s="951"/>
      <c r="L898" s="951"/>
      <c r="M898" s="951"/>
      <c r="N898" s="433"/>
    </row>
    <row r="899" spans="1:14" s="534" customFormat="1" ht="13.5" thickBot="1" x14ac:dyDescent="0.25">
      <c r="A899" s="433" t="s">
        <v>782</v>
      </c>
      <c r="B899" s="645"/>
      <c r="D899" s="852"/>
      <c r="F899" s="495"/>
      <c r="G899" s="495"/>
      <c r="H899" s="495"/>
      <c r="I899" s="989" t="s">
        <v>173</v>
      </c>
    </row>
    <row r="900" spans="1:14" s="107" customFormat="1" ht="20.25" customHeight="1" thickTop="1" thickBot="1" x14ac:dyDescent="0.25">
      <c r="A900" s="690" t="s">
        <v>661</v>
      </c>
      <c r="B900" s="693" t="s">
        <v>174</v>
      </c>
      <c r="C900" s="691" t="s">
        <v>175</v>
      </c>
      <c r="D900" s="636" t="s">
        <v>744</v>
      </c>
      <c r="E900" s="694" t="s">
        <v>176</v>
      </c>
      <c r="F900" s="694" t="s">
        <v>177</v>
      </c>
      <c r="G900" s="694" t="s">
        <v>922</v>
      </c>
      <c r="H900" s="694" t="s">
        <v>923</v>
      </c>
      <c r="I900" s="856" t="s">
        <v>924</v>
      </c>
    </row>
    <row r="901" spans="1:14" s="384" customFormat="1" ht="13.5" thickTop="1" thickBot="1" x14ac:dyDescent="0.25">
      <c r="A901" s="1254">
        <v>1</v>
      </c>
      <c r="B901" s="1255">
        <v>2</v>
      </c>
      <c r="C901" s="1255">
        <v>3</v>
      </c>
      <c r="D901" s="1255">
        <v>4</v>
      </c>
      <c r="E901" s="569">
        <v>5</v>
      </c>
      <c r="F901" s="1256">
        <v>6</v>
      </c>
      <c r="G901" s="1256">
        <v>7</v>
      </c>
      <c r="H901" s="1257">
        <v>8</v>
      </c>
      <c r="I901" s="1258" t="s">
        <v>801</v>
      </c>
    </row>
    <row r="902" spans="1:14" s="534" customFormat="1" ht="16.5" thickTop="1" thickBot="1" x14ac:dyDescent="0.3">
      <c r="A902" s="1266">
        <v>60004100086</v>
      </c>
      <c r="B902" s="1007">
        <v>2212</v>
      </c>
      <c r="C902" s="1267">
        <v>5169</v>
      </c>
      <c r="D902" s="1008">
        <v>805</v>
      </c>
      <c r="E902" s="1261" t="s">
        <v>892</v>
      </c>
      <c r="F902" s="928"/>
      <c r="G902" s="1269">
        <v>144</v>
      </c>
      <c r="H902" s="928">
        <v>144</v>
      </c>
      <c r="I902" s="1270">
        <f t="shared" ref="I902:I907" si="2">(H902/G902)*100</f>
        <v>100</v>
      </c>
    </row>
    <row r="903" spans="1:14" s="534" customFormat="1" ht="18" customHeight="1" thickTop="1" thickBot="1" x14ac:dyDescent="0.3">
      <c r="A903" s="2685" t="s">
        <v>258</v>
      </c>
      <c r="B903" s="2686"/>
      <c r="C903" s="2686"/>
      <c r="D903" s="2686"/>
      <c r="E903" s="2686"/>
      <c r="F903" s="911">
        <f>F902</f>
        <v>0</v>
      </c>
      <c r="G903" s="911">
        <f>G902</f>
        <v>144</v>
      </c>
      <c r="H903" s="911">
        <f>H902</f>
        <v>144</v>
      </c>
      <c r="I903" s="894">
        <f t="shared" si="2"/>
        <v>100</v>
      </c>
    </row>
    <row r="904" spans="1:14" s="534" customFormat="1" ht="15.75" thickTop="1" x14ac:dyDescent="0.25">
      <c r="A904" s="997">
        <v>60004100086</v>
      </c>
      <c r="B904" s="811">
        <v>2212</v>
      </c>
      <c r="C904" s="656">
        <v>6121</v>
      </c>
      <c r="D904" s="1013">
        <v>12</v>
      </c>
      <c r="E904" s="309" t="s">
        <v>640</v>
      </c>
      <c r="F904" s="1000">
        <v>26000</v>
      </c>
      <c r="G904" s="1264">
        <v>889</v>
      </c>
      <c r="H904" s="1000">
        <v>861</v>
      </c>
      <c r="I904" s="1265">
        <f t="shared" si="2"/>
        <v>96.850393700787393</v>
      </c>
    </row>
    <row r="905" spans="1:14" s="534" customFormat="1" ht="15" x14ac:dyDescent="0.25">
      <c r="A905" s="1287">
        <v>60004100086</v>
      </c>
      <c r="B905" s="783">
        <v>2212</v>
      </c>
      <c r="C905" s="783">
        <v>6121</v>
      </c>
      <c r="D905" s="1276">
        <v>805</v>
      </c>
      <c r="E905" s="1286" t="s">
        <v>640</v>
      </c>
      <c r="F905" s="884"/>
      <c r="G905" s="884">
        <v>28873</v>
      </c>
      <c r="H905" s="884">
        <v>28838</v>
      </c>
      <c r="I905" s="876">
        <f t="shared" si="2"/>
        <v>99.878779482561569</v>
      </c>
    </row>
    <row r="906" spans="1:14" s="534" customFormat="1" ht="15.75" thickBot="1" x14ac:dyDescent="0.3">
      <c r="A906" s="1003">
        <v>60004100086</v>
      </c>
      <c r="B906" s="930">
        <v>2212</v>
      </c>
      <c r="C906" s="930">
        <v>6130</v>
      </c>
      <c r="D906" s="1285">
        <v>805</v>
      </c>
      <c r="E906" s="1284" t="s">
        <v>896</v>
      </c>
      <c r="F906" s="1283"/>
      <c r="G906" s="1283">
        <v>5</v>
      </c>
      <c r="H906" s="1283">
        <v>5</v>
      </c>
      <c r="I906" s="1014">
        <f t="shared" si="2"/>
        <v>100</v>
      </c>
    </row>
    <row r="907" spans="1:14" s="534" customFormat="1" ht="18" customHeight="1" thickTop="1" thickBot="1" x14ac:dyDescent="0.3">
      <c r="A907" s="2699" t="s">
        <v>257</v>
      </c>
      <c r="B907" s="2698"/>
      <c r="C907" s="2698"/>
      <c r="D907" s="2698"/>
      <c r="E907" s="2698"/>
      <c r="F907" s="911">
        <f>F904</f>
        <v>26000</v>
      </c>
      <c r="G907" s="911">
        <f>G904+G905+G906</f>
        <v>29767</v>
      </c>
      <c r="H907" s="911">
        <f>H904+H905+H906</f>
        <v>29704</v>
      </c>
      <c r="I907" s="894">
        <f t="shared" si="2"/>
        <v>99.788356233412841</v>
      </c>
    </row>
    <row r="908" spans="1:14" ht="13.5" thickTop="1" x14ac:dyDescent="0.2">
      <c r="K908" s="951"/>
      <c r="L908" s="951"/>
      <c r="M908" s="951"/>
      <c r="N908" s="433"/>
    </row>
    <row r="909" spans="1:14" x14ac:dyDescent="0.2">
      <c r="K909" s="951"/>
      <c r="L909" s="951"/>
      <c r="M909" s="951"/>
      <c r="N909" s="433"/>
    </row>
    <row r="910" spans="1:14" s="534" customFormat="1" ht="13.5" thickBot="1" x14ac:dyDescent="0.25">
      <c r="A910" s="433" t="s">
        <v>783</v>
      </c>
      <c r="B910" s="645"/>
      <c r="D910" s="852"/>
      <c r="F910" s="495"/>
      <c r="G910" s="495"/>
      <c r="H910" s="495"/>
      <c r="I910" s="989" t="s">
        <v>173</v>
      </c>
    </row>
    <row r="911" spans="1:14" s="107" customFormat="1" ht="20.25" customHeight="1" thickTop="1" thickBot="1" x14ac:dyDescent="0.25">
      <c r="A911" s="690" t="s">
        <v>661</v>
      </c>
      <c r="B911" s="693" t="s">
        <v>174</v>
      </c>
      <c r="C911" s="691" t="s">
        <v>175</v>
      </c>
      <c r="D911" s="636" t="s">
        <v>744</v>
      </c>
      <c r="E911" s="694" t="s">
        <v>176</v>
      </c>
      <c r="F911" s="694" t="s">
        <v>177</v>
      </c>
      <c r="G911" s="694" t="s">
        <v>922</v>
      </c>
      <c r="H911" s="694" t="s">
        <v>923</v>
      </c>
      <c r="I911" s="856" t="s">
        <v>924</v>
      </c>
    </row>
    <row r="912" spans="1:14" s="384" customFormat="1" ht="13.5" thickTop="1" thickBot="1" x14ac:dyDescent="0.25">
      <c r="A912" s="1254">
        <v>1</v>
      </c>
      <c r="B912" s="1255">
        <v>2</v>
      </c>
      <c r="C912" s="1255">
        <v>3</v>
      </c>
      <c r="D912" s="1255">
        <v>4</v>
      </c>
      <c r="E912" s="569">
        <v>5</v>
      </c>
      <c r="F912" s="1256">
        <v>6</v>
      </c>
      <c r="G912" s="1256">
        <v>7</v>
      </c>
      <c r="H912" s="1257">
        <v>8</v>
      </c>
      <c r="I912" s="1258" t="s">
        <v>801</v>
      </c>
    </row>
    <row r="913" spans="1:14" s="534" customFormat="1" ht="16.5" thickTop="1" thickBot="1" x14ac:dyDescent="0.3">
      <c r="A913" s="1266">
        <v>60004100099</v>
      </c>
      <c r="B913" s="1007">
        <v>2212</v>
      </c>
      <c r="C913" s="1267">
        <v>6121</v>
      </c>
      <c r="D913" s="1008">
        <v>12</v>
      </c>
      <c r="E913" s="1009" t="s">
        <v>640</v>
      </c>
      <c r="F913" s="928"/>
      <c r="G913" s="1269">
        <v>3642</v>
      </c>
      <c r="H913" s="928">
        <v>3642</v>
      </c>
      <c r="I913" s="1270">
        <f>(H913/G913)*100</f>
        <v>100</v>
      </c>
    </row>
    <row r="914" spans="1:14" s="534" customFormat="1" ht="18" customHeight="1" thickTop="1" thickBot="1" x14ac:dyDescent="0.3">
      <c r="A914" s="2699" t="s">
        <v>257</v>
      </c>
      <c r="B914" s="2698"/>
      <c r="C914" s="2698"/>
      <c r="D914" s="2698"/>
      <c r="E914" s="2698"/>
      <c r="F914" s="911">
        <f>F913</f>
        <v>0</v>
      </c>
      <c r="G914" s="911">
        <f>G913</f>
        <v>3642</v>
      </c>
      <c r="H914" s="911">
        <f>H913</f>
        <v>3642</v>
      </c>
      <c r="I914" s="894">
        <f>(H914/G914)*100</f>
        <v>100</v>
      </c>
    </row>
    <row r="915" spans="1:14" ht="13.5" thickTop="1" x14ac:dyDescent="0.2">
      <c r="K915" s="951"/>
      <c r="L915" s="951"/>
      <c r="M915" s="951"/>
      <c r="N915" s="433"/>
    </row>
    <row r="916" spans="1:14" x14ac:dyDescent="0.2">
      <c r="K916" s="951"/>
      <c r="L916" s="951"/>
      <c r="M916" s="951"/>
      <c r="N916" s="433"/>
    </row>
    <row r="917" spans="1:14" s="534" customFormat="1" ht="13.5" thickBot="1" x14ac:dyDescent="0.25">
      <c r="A917" s="433" t="s">
        <v>784</v>
      </c>
      <c r="B917" s="645"/>
      <c r="D917" s="852"/>
      <c r="F917" s="495"/>
      <c r="G917" s="495"/>
      <c r="H917" s="495"/>
      <c r="I917" s="989" t="s">
        <v>173</v>
      </c>
    </row>
    <row r="918" spans="1:14" s="107" customFormat="1" ht="20.25" customHeight="1" thickTop="1" thickBot="1" x14ac:dyDescent="0.25">
      <c r="A918" s="690" t="s">
        <v>661</v>
      </c>
      <c r="B918" s="693" t="s">
        <v>174</v>
      </c>
      <c r="C918" s="691" t="s">
        <v>175</v>
      </c>
      <c r="D918" s="636" t="s">
        <v>744</v>
      </c>
      <c r="E918" s="694" t="s">
        <v>176</v>
      </c>
      <c r="F918" s="694" t="s">
        <v>177</v>
      </c>
      <c r="G918" s="694" t="s">
        <v>922</v>
      </c>
      <c r="H918" s="694" t="s">
        <v>923</v>
      </c>
      <c r="I918" s="856" t="s">
        <v>924</v>
      </c>
    </row>
    <row r="919" spans="1:14" s="384" customFormat="1" ht="13.5" thickTop="1" thickBot="1" x14ac:dyDescent="0.25">
      <c r="A919" s="1254">
        <v>1</v>
      </c>
      <c r="B919" s="1255">
        <v>2</v>
      </c>
      <c r="C919" s="1255">
        <v>3</v>
      </c>
      <c r="D919" s="1255">
        <v>4</v>
      </c>
      <c r="E919" s="569">
        <v>5</v>
      </c>
      <c r="F919" s="1256">
        <v>6</v>
      </c>
      <c r="G919" s="1256">
        <v>7</v>
      </c>
      <c r="H919" s="1257">
        <v>8</v>
      </c>
      <c r="I919" s="1258" t="s">
        <v>801</v>
      </c>
    </row>
    <row r="920" spans="1:14" s="534" customFormat="1" ht="16.5" thickTop="1" thickBot="1" x14ac:dyDescent="0.3">
      <c r="A920" s="1266">
        <v>60004100104</v>
      </c>
      <c r="B920" s="1007">
        <v>2212</v>
      </c>
      <c r="C920" s="1267">
        <v>6121</v>
      </c>
      <c r="D920" s="1008">
        <v>12</v>
      </c>
      <c r="E920" s="1009" t="s">
        <v>640</v>
      </c>
      <c r="F920" s="928"/>
      <c r="G920" s="1269">
        <v>554</v>
      </c>
      <c r="H920" s="928">
        <v>553</v>
      </c>
      <c r="I920" s="1270">
        <f>(H920/G920)*100</f>
        <v>99.819494584837543</v>
      </c>
    </row>
    <row r="921" spans="1:14" s="534" customFormat="1" ht="18" customHeight="1" thickTop="1" thickBot="1" x14ac:dyDescent="0.3">
      <c r="A921" s="2699" t="s">
        <v>257</v>
      </c>
      <c r="B921" s="2698"/>
      <c r="C921" s="2698"/>
      <c r="D921" s="2698"/>
      <c r="E921" s="2698"/>
      <c r="F921" s="911">
        <f>F920</f>
        <v>0</v>
      </c>
      <c r="G921" s="911">
        <f>G920</f>
        <v>554</v>
      </c>
      <c r="H921" s="911">
        <f>H920</f>
        <v>553</v>
      </c>
      <c r="I921" s="894">
        <f>(H921/G921)*100</f>
        <v>99.819494584837543</v>
      </c>
    </row>
    <row r="922" spans="1:14" ht="13.5" thickTop="1" x14ac:dyDescent="0.2">
      <c r="K922" s="951"/>
      <c r="L922" s="951"/>
      <c r="M922" s="951"/>
      <c r="N922" s="433"/>
    </row>
    <row r="923" spans="1:14" x14ac:dyDescent="0.2">
      <c r="K923" s="951"/>
      <c r="L923" s="951"/>
      <c r="M923" s="951"/>
      <c r="N923" s="433"/>
    </row>
    <row r="924" spans="1:14" s="534" customFormat="1" ht="13.5" thickBot="1" x14ac:dyDescent="0.25">
      <c r="A924" s="433" t="s">
        <v>785</v>
      </c>
      <c r="B924" s="645"/>
      <c r="D924" s="852"/>
      <c r="F924" s="495"/>
      <c r="G924" s="495"/>
      <c r="H924" s="495"/>
      <c r="I924" s="989" t="s">
        <v>173</v>
      </c>
    </row>
    <row r="925" spans="1:14" s="107" customFormat="1" ht="20.25" customHeight="1" thickTop="1" thickBot="1" x14ac:dyDescent="0.25">
      <c r="A925" s="690" t="s">
        <v>661</v>
      </c>
      <c r="B925" s="693" t="s">
        <v>174</v>
      </c>
      <c r="C925" s="691" t="s">
        <v>175</v>
      </c>
      <c r="D925" s="636" t="s">
        <v>744</v>
      </c>
      <c r="E925" s="694" t="s">
        <v>176</v>
      </c>
      <c r="F925" s="694" t="s">
        <v>177</v>
      </c>
      <c r="G925" s="694" t="s">
        <v>922</v>
      </c>
      <c r="H925" s="694" t="s">
        <v>923</v>
      </c>
      <c r="I925" s="856" t="s">
        <v>924</v>
      </c>
    </row>
    <row r="926" spans="1:14" s="384" customFormat="1" ht="13.5" thickTop="1" thickBot="1" x14ac:dyDescent="0.25">
      <c r="A926" s="1254">
        <v>1</v>
      </c>
      <c r="B926" s="1255">
        <v>2</v>
      </c>
      <c r="C926" s="1255">
        <v>3</v>
      </c>
      <c r="D926" s="1255">
        <v>4</v>
      </c>
      <c r="E926" s="569">
        <v>5</v>
      </c>
      <c r="F926" s="1256">
        <v>6</v>
      </c>
      <c r="G926" s="1256">
        <v>7</v>
      </c>
      <c r="H926" s="1257">
        <v>8</v>
      </c>
      <c r="I926" s="1258" t="s">
        <v>801</v>
      </c>
    </row>
    <row r="927" spans="1:14" s="534" customFormat="1" ht="16.5" thickTop="1" thickBot="1" x14ac:dyDescent="0.3">
      <c r="A927" s="1266">
        <v>60004100107</v>
      </c>
      <c r="B927" s="1007">
        <v>2212</v>
      </c>
      <c r="C927" s="1267">
        <v>6121</v>
      </c>
      <c r="D927" s="1008">
        <v>12</v>
      </c>
      <c r="E927" s="1009" t="s">
        <v>640</v>
      </c>
      <c r="F927" s="928"/>
      <c r="G927" s="1269">
        <v>1072</v>
      </c>
      <c r="H927" s="928">
        <v>1072</v>
      </c>
      <c r="I927" s="1270">
        <f>(H927/G927)*100</f>
        <v>100</v>
      </c>
    </row>
    <row r="928" spans="1:14" s="534" customFormat="1" ht="18" customHeight="1" thickTop="1" thickBot="1" x14ac:dyDescent="0.3">
      <c r="A928" s="2699" t="s">
        <v>257</v>
      </c>
      <c r="B928" s="2698"/>
      <c r="C928" s="2698"/>
      <c r="D928" s="2698"/>
      <c r="E928" s="2698"/>
      <c r="F928" s="911">
        <f>F927</f>
        <v>0</v>
      </c>
      <c r="G928" s="911">
        <f>G927</f>
        <v>1072</v>
      </c>
      <c r="H928" s="911">
        <f>H927</f>
        <v>1072</v>
      </c>
      <c r="I928" s="894">
        <f>(H928/G928)*100</f>
        <v>100</v>
      </c>
    </row>
    <row r="929" spans="1:14" ht="13.5" thickTop="1" x14ac:dyDescent="0.2">
      <c r="K929" s="951"/>
      <c r="L929" s="951"/>
      <c r="M929" s="951"/>
      <c r="N929" s="433"/>
    </row>
    <row r="930" spans="1:14" x14ac:dyDescent="0.2">
      <c r="K930" s="951"/>
      <c r="L930" s="951"/>
      <c r="M930" s="951"/>
      <c r="N930" s="433"/>
    </row>
    <row r="931" spans="1:14" x14ac:dyDescent="0.2">
      <c r="K931" s="951"/>
      <c r="L931" s="951"/>
      <c r="M931" s="951"/>
      <c r="N931" s="433"/>
    </row>
    <row r="932" spans="1:14" x14ac:dyDescent="0.2">
      <c r="K932" s="951"/>
      <c r="L932" s="951"/>
      <c r="M932" s="951"/>
      <c r="N932" s="433"/>
    </row>
    <row r="933" spans="1:14" x14ac:dyDescent="0.2">
      <c r="K933" s="951"/>
      <c r="L933" s="951"/>
      <c r="M933" s="951"/>
      <c r="N933" s="433"/>
    </row>
    <row r="934" spans="1:14" x14ac:dyDescent="0.2">
      <c r="K934" s="951"/>
      <c r="L934" s="951"/>
      <c r="M934" s="951"/>
      <c r="N934" s="433"/>
    </row>
    <row r="935" spans="1:14" s="534" customFormat="1" ht="13.5" thickBot="1" x14ac:dyDescent="0.25">
      <c r="A935" s="433" t="s">
        <v>786</v>
      </c>
      <c r="B935" s="645"/>
      <c r="D935" s="852"/>
      <c r="F935" s="495"/>
      <c r="G935" s="495"/>
      <c r="H935" s="495"/>
      <c r="I935" s="989" t="s">
        <v>173</v>
      </c>
    </row>
    <row r="936" spans="1:14" s="107" customFormat="1" ht="20.25" customHeight="1" thickTop="1" thickBot="1" x14ac:dyDescent="0.25">
      <c r="A936" s="690" t="s">
        <v>661</v>
      </c>
      <c r="B936" s="693" t="s">
        <v>174</v>
      </c>
      <c r="C936" s="691" t="s">
        <v>175</v>
      </c>
      <c r="D936" s="636" t="s">
        <v>744</v>
      </c>
      <c r="E936" s="694" t="s">
        <v>176</v>
      </c>
      <c r="F936" s="694" t="s">
        <v>177</v>
      </c>
      <c r="G936" s="694" t="s">
        <v>922</v>
      </c>
      <c r="H936" s="694" t="s">
        <v>923</v>
      </c>
      <c r="I936" s="856" t="s">
        <v>924</v>
      </c>
    </row>
    <row r="937" spans="1:14" s="384" customFormat="1" ht="13.5" thickTop="1" thickBot="1" x14ac:dyDescent="0.25">
      <c r="A937" s="1254">
        <v>1</v>
      </c>
      <c r="B937" s="1255">
        <v>2</v>
      </c>
      <c r="C937" s="1255">
        <v>3</v>
      </c>
      <c r="D937" s="1255">
        <v>4</v>
      </c>
      <c r="E937" s="569">
        <v>5</v>
      </c>
      <c r="F937" s="1256">
        <v>6</v>
      </c>
      <c r="G937" s="1256">
        <v>7</v>
      </c>
      <c r="H937" s="1257">
        <v>8</v>
      </c>
      <c r="I937" s="1258" t="s">
        <v>801</v>
      </c>
    </row>
    <row r="938" spans="1:14" s="534" customFormat="1" ht="16.5" thickTop="1" thickBot="1" x14ac:dyDescent="0.3">
      <c r="A938" s="1266">
        <v>60004100108</v>
      </c>
      <c r="B938" s="1007">
        <v>2212</v>
      </c>
      <c r="C938" s="1267">
        <v>6121</v>
      </c>
      <c r="D938" s="1008">
        <v>12</v>
      </c>
      <c r="E938" s="1009" t="s">
        <v>640</v>
      </c>
      <c r="F938" s="928"/>
      <c r="G938" s="1269">
        <v>609</v>
      </c>
      <c r="H938" s="928">
        <v>609</v>
      </c>
      <c r="I938" s="1270">
        <f>(H938/G938)*100</f>
        <v>100</v>
      </c>
    </row>
    <row r="939" spans="1:14" s="534" customFormat="1" ht="18" customHeight="1" thickTop="1" thickBot="1" x14ac:dyDescent="0.3">
      <c r="A939" s="2699" t="s">
        <v>257</v>
      </c>
      <c r="B939" s="2698"/>
      <c r="C939" s="2698"/>
      <c r="D939" s="2698"/>
      <c r="E939" s="2698"/>
      <c r="F939" s="911">
        <f>F938</f>
        <v>0</v>
      </c>
      <c r="G939" s="911">
        <f>G938</f>
        <v>609</v>
      </c>
      <c r="H939" s="911">
        <f>H938</f>
        <v>609</v>
      </c>
      <c r="I939" s="894">
        <f>(H939/G939)*100</f>
        <v>100</v>
      </c>
    </row>
    <row r="940" spans="1:14" ht="13.5" thickTop="1" x14ac:dyDescent="0.2">
      <c r="K940" s="951"/>
      <c r="L940" s="951"/>
      <c r="M940" s="951"/>
      <c r="N940" s="433"/>
    </row>
    <row r="941" spans="1:14" x14ac:dyDescent="0.2">
      <c r="K941" s="951"/>
      <c r="L941" s="951"/>
      <c r="M941" s="951"/>
      <c r="N941" s="433"/>
    </row>
    <row r="942" spans="1:14" s="534" customFormat="1" ht="13.5" thickBot="1" x14ac:dyDescent="0.25">
      <c r="A942" s="433" t="s">
        <v>543</v>
      </c>
      <c r="B942" s="645"/>
      <c r="D942" s="852"/>
      <c r="F942" s="495"/>
      <c r="G942" s="495"/>
      <c r="H942" s="495"/>
      <c r="I942" s="989" t="s">
        <v>173</v>
      </c>
    </row>
    <row r="943" spans="1:14" s="107" customFormat="1" ht="20.25" customHeight="1" thickTop="1" thickBot="1" x14ac:dyDescent="0.25">
      <c r="A943" s="690" t="s">
        <v>661</v>
      </c>
      <c r="B943" s="693" t="s">
        <v>174</v>
      </c>
      <c r="C943" s="691" t="s">
        <v>175</v>
      </c>
      <c r="D943" s="636" t="s">
        <v>744</v>
      </c>
      <c r="E943" s="694" t="s">
        <v>176</v>
      </c>
      <c r="F943" s="694" t="s">
        <v>177</v>
      </c>
      <c r="G943" s="694" t="s">
        <v>922</v>
      </c>
      <c r="H943" s="694" t="s">
        <v>923</v>
      </c>
      <c r="I943" s="856" t="s">
        <v>924</v>
      </c>
    </row>
    <row r="944" spans="1:14" s="384" customFormat="1" ht="13.5" thickTop="1" thickBot="1" x14ac:dyDescent="0.25">
      <c r="A944" s="1254">
        <v>1</v>
      </c>
      <c r="B944" s="1255">
        <v>2</v>
      </c>
      <c r="C944" s="1255">
        <v>3</v>
      </c>
      <c r="D944" s="1255">
        <v>4</v>
      </c>
      <c r="E944" s="569">
        <v>5</v>
      </c>
      <c r="F944" s="1256">
        <v>6</v>
      </c>
      <c r="G944" s="1256">
        <v>7</v>
      </c>
      <c r="H944" s="1257">
        <v>8</v>
      </c>
      <c r="I944" s="1258" t="s">
        <v>801</v>
      </c>
    </row>
    <row r="945" spans="1:14" s="534" customFormat="1" ht="16.5" thickTop="1" thickBot="1" x14ac:dyDescent="0.3">
      <c r="A945" s="1266">
        <v>60004100109</v>
      </c>
      <c r="B945" s="1007">
        <v>2212</v>
      </c>
      <c r="C945" s="1267">
        <v>6121</v>
      </c>
      <c r="D945" s="1008">
        <v>12</v>
      </c>
      <c r="E945" s="1009" t="s">
        <v>640</v>
      </c>
      <c r="F945" s="928"/>
      <c r="G945" s="1269">
        <v>1102</v>
      </c>
      <c r="H945" s="928">
        <v>725</v>
      </c>
      <c r="I945" s="1270">
        <f>(H945/G945)*100</f>
        <v>65.789473684210535</v>
      </c>
    </row>
    <row r="946" spans="1:14" s="534" customFormat="1" ht="18" customHeight="1" thickTop="1" thickBot="1" x14ac:dyDescent="0.3">
      <c r="A946" s="2699" t="s">
        <v>257</v>
      </c>
      <c r="B946" s="2698"/>
      <c r="C946" s="2698"/>
      <c r="D946" s="2698"/>
      <c r="E946" s="2698"/>
      <c r="F946" s="911">
        <f>F945</f>
        <v>0</v>
      </c>
      <c r="G946" s="911">
        <f>G945</f>
        <v>1102</v>
      </c>
      <c r="H946" s="911">
        <f>H945</f>
        <v>725</v>
      </c>
      <c r="I946" s="894">
        <f>(H946/G946)*100</f>
        <v>65.789473684210535</v>
      </c>
    </row>
    <row r="947" spans="1:14" ht="13.5" thickTop="1" x14ac:dyDescent="0.2">
      <c r="K947" s="951"/>
      <c r="L947" s="951"/>
      <c r="M947" s="951"/>
      <c r="N947" s="433"/>
    </row>
    <row r="948" spans="1:14" x14ac:dyDescent="0.2">
      <c r="K948" s="951"/>
      <c r="L948" s="951"/>
      <c r="M948" s="951"/>
      <c r="N948" s="433"/>
    </row>
    <row r="949" spans="1:14" s="534" customFormat="1" ht="13.5" thickBot="1" x14ac:dyDescent="0.25">
      <c r="A949" s="433" t="s">
        <v>544</v>
      </c>
      <c r="B949" s="645"/>
      <c r="D949" s="852"/>
      <c r="F949" s="495"/>
      <c r="G949" s="495"/>
      <c r="H949" s="495"/>
      <c r="I949" s="989" t="s">
        <v>173</v>
      </c>
    </row>
    <row r="950" spans="1:14" s="107" customFormat="1" ht="20.25" customHeight="1" thickTop="1" thickBot="1" x14ac:dyDescent="0.25">
      <c r="A950" s="690" t="s">
        <v>661</v>
      </c>
      <c r="B950" s="693" t="s">
        <v>174</v>
      </c>
      <c r="C950" s="691" t="s">
        <v>175</v>
      </c>
      <c r="D950" s="636" t="s">
        <v>744</v>
      </c>
      <c r="E950" s="694" t="s">
        <v>176</v>
      </c>
      <c r="F950" s="694" t="s">
        <v>177</v>
      </c>
      <c r="G950" s="694" t="s">
        <v>922</v>
      </c>
      <c r="H950" s="694" t="s">
        <v>923</v>
      </c>
      <c r="I950" s="856" t="s">
        <v>924</v>
      </c>
    </row>
    <row r="951" spans="1:14" s="384" customFormat="1" ht="13.5" thickTop="1" thickBot="1" x14ac:dyDescent="0.25">
      <c r="A951" s="1254">
        <v>1</v>
      </c>
      <c r="B951" s="1255">
        <v>2</v>
      </c>
      <c r="C951" s="1255">
        <v>3</v>
      </c>
      <c r="D951" s="1255">
        <v>4</v>
      </c>
      <c r="E951" s="569">
        <v>5</v>
      </c>
      <c r="F951" s="1256">
        <v>6</v>
      </c>
      <c r="G951" s="1256">
        <v>7</v>
      </c>
      <c r="H951" s="1257">
        <v>8</v>
      </c>
      <c r="I951" s="1258" t="s">
        <v>801</v>
      </c>
    </row>
    <row r="952" spans="1:14" s="534" customFormat="1" ht="16.5" thickTop="1" thickBot="1" x14ac:dyDescent="0.3">
      <c r="A952" s="1266">
        <v>60004100110</v>
      </c>
      <c r="B952" s="1007">
        <v>2212</v>
      </c>
      <c r="C952" s="1267">
        <v>6121</v>
      </c>
      <c r="D952" s="1008">
        <v>12</v>
      </c>
      <c r="E952" s="1009" t="s">
        <v>640</v>
      </c>
      <c r="F952" s="928"/>
      <c r="G952" s="1269">
        <v>292</v>
      </c>
      <c r="H952" s="928">
        <v>292</v>
      </c>
      <c r="I952" s="1270">
        <f>(H952/G952)*100</f>
        <v>100</v>
      </c>
    </row>
    <row r="953" spans="1:14" s="534" customFormat="1" ht="18" customHeight="1" thickTop="1" thickBot="1" x14ac:dyDescent="0.3">
      <c r="A953" s="2699" t="s">
        <v>257</v>
      </c>
      <c r="B953" s="2698"/>
      <c r="C953" s="2698"/>
      <c r="D953" s="2698"/>
      <c r="E953" s="2698"/>
      <c r="F953" s="911">
        <f>F952</f>
        <v>0</v>
      </c>
      <c r="G953" s="911">
        <f>G952</f>
        <v>292</v>
      </c>
      <c r="H953" s="911">
        <f>H952</f>
        <v>292</v>
      </c>
      <c r="I953" s="894">
        <f>(H953/G953)*100</f>
        <v>100</v>
      </c>
    </row>
    <row r="954" spans="1:14" ht="13.5" thickTop="1" x14ac:dyDescent="0.2">
      <c r="K954" s="951"/>
      <c r="L954" s="951"/>
      <c r="M954" s="951"/>
      <c r="N954" s="433"/>
    </row>
    <row r="955" spans="1:14" x14ac:dyDescent="0.2">
      <c r="K955" s="951"/>
      <c r="L955" s="951"/>
      <c r="M955" s="951"/>
      <c r="N955" s="433"/>
    </row>
    <row r="956" spans="1:14" s="534" customFormat="1" ht="13.5" thickBot="1" x14ac:dyDescent="0.25">
      <c r="A956" s="433" t="s">
        <v>545</v>
      </c>
      <c r="B956" s="645"/>
      <c r="D956" s="852"/>
      <c r="F956" s="495"/>
      <c r="G956" s="495"/>
      <c r="H956" s="495"/>
      <c r="I956" s="989" t="s">
        <v>173</v>
      </c>
    </row>
    <row r="957" spans="1:14" s="107" customFormat="1" ht="20.25" customHeight="1" thickTop="1" thickBot="1" x14ac:dyDescent="0.25">
      <c r="A957" s="690" t="s">
        <v>661</v>
      </c>
      <c r="B957" s="693" t="s">
        <v>174</v>
      </c>
      <c r="C957" s="691" t="s">
        <v>175</v>
      </c>
      <c r="D957" s="636" t="s">
        <v>744</v>
      </c>
      <c r="E957" s="694" t="s">
        <v>176</v>
      </c>
      <c r="F957" s="694" t="s">
        <v>177</v>
      </c>
      <c r="G957" s="694" t="s">
        <v>922</v>
      </c>
      <c r="H957" s="694" t="s">
        <v>923</v>
      </c>
      <c r="I957" s="856" t="s">
        <v>924</v>
      </c>
    </row>
    <row r="958" spans="1:14" s="384" customFormat="1" ht="13.5" thickTop="1" thickBot="1" x14ac:dyDescent="0.25">
      <c r="A958" s="1254">
        <v>1</v>
      </c>
      <c r="B958" s="1255">
        <v>2</v>
      </c>
      <c r="C958" s="1255">
        <v>3</v>
      </c>
      <c r="D958" s="1255">
        <v>4</v>
      </c>
      <c r="E958" s="569">
        <v>5</v>
      </c>
      <c r="F958" s="1256">
        <v>6</v>
      </c>
      <c r="G958" s="1256">
        <v>7</v>
      </c>
      <c r="H958" s="1257">
        <v>8</v>
      </c>
      <c r="I958" s="1258" t="s">
        <v>801</v>
      </c>
    </row>
    <row r="959" spans="1:14" s="534" customFormat="1" ht="16.5" thickTop="1" thickBot="1" x14ac:dyDescent="0.3">
      <c r="A959" s="1266">
        <v>60004100111</v>
      </c>
      <c r="B959" s="1007">
        <v>2212</v>
      </c>
      <c r="C959" s="1267">
        <v>6121</v>
      </c>
      <c r="D959" s="1008">
        <v>12</v>
      </c>
      <c r="E959" s="1009" t="s">
        <v>640</v>
      </c>
      <c r="F959" s="928"/>
      <c r="G959" s="1269">
        <v>200</v>
      </c>
      <c r="H959" s="928">
        <v>199</v>
      </c>
      <c r="I959" s="1270">
        <f>(H959/G959)*100</f>
        <v>99.5</v>
      </c>
    </row>
    <row r="960" spans="1:14" s="534" customFormat="1" ht="18" customHeight="1" thickTop="1" thickBot="1" x14ac:dyDescent="0.3">
      <c r="A960" s="2699" t="s">
        <v>257</v>
      </c>
      <c r="B960" s="2698"/>
      <c r="C960" s="2698"/>
      <c r="D960" s="2698"/>
      <c r="E960" s="2698"/>
      <c r="F960" s="911">
        <f>F959</f>
        <v>0</v>
      </c>
      <c r="G960" s="911">
        <f>G959</f>
        <v>200</v>
      </c>
      <c r="H960" s="911">
        <f>H959</f>
        <v>199</v>
      </c>
      <c r="I960" s="894">
        <f>(H960/G960)*100</f>
        <v>99.5</v>
      </c>
    </row>
    <row r="961" spans="1:14" ht="13.5" thickTop="1" x14ac:dyDescent="0.2">
      <c r="K961" s="951"/>
      <c r="L961" s="951"/>
      <c r="M961" s="951"/>
      <c r="N961" s="433"/>
    </row>
    <row r="962" spans="1:14" x14ac:dyDescent="0.2">
      <c r="K962" s="951"/>
      <c r="L962" s="951"/>
      <c r="M962" s="951"/>
      <c r="N962" s="433"/>
    </row>
    <row r="963" spans="1:14" s="534" customFormat="1" ht="13.5" thickBot="1" x14ac:dyDescent="0.25">
      <c r="A963" s="433" t="s">
        <v>1124</v>
      </c>
      <c r="B963" s="645"/>
      <c r="D963" s="852"/>
      <c r="F963" s="495"/>
      <c r="G963" s="495"/>
      <c r="H963" s="495"/>
      <c r="I963" s="989" t="s">
        <v>173</v>
      </c>
    </row>
    <row r="964" spans="1:14" s="107" customFormat="1" ht="20.25" customHeight="1" thickTop="1" thickBot="1" x14ac:dyDescent="0.25">
      <c r="A964" s="690" t="s">
        <v>661</v>
      </c>
      <c r="B964" s="693" t="s">
        <v>174</v>
      </c>
      <c r="C964" s="691" t="s">
        <v>175</v>
      </c>
      <c r="D964" s="636" t="s">
        <v>744</v>
      </c>
      <c r="E964" s="694" t="s">
        <v>176</v>
      </c>
      <c r="F964" s="694" t="s">
        <v>177</v>
      </c>
      <c r="G964" s="694" t="s">
        <v>922</v>
      </c>
      <c r="H964" s="694" t="s">
        <v>923</v>
      </c>
      <c r="I964" s="856" t="s">
        <v>924</v>
      </c>
    </row>
    <row r="965" spans="1:14" s="384" customFormat="1" ht="13.5" thickTop="1" thickBot="1" x14ac:dyDescent="0.25">
      <c r="A965" s="1254">
        <v>1</v>
      </c>
      <c r="B965" s="1255">
        <v>2</v>
      </c>
      <c r="C965" s="1255">
        <v>3</v>
      </c>
      <c r="D965" s="1255">
        <v>4</v>
      </c>
      <c r="E965" s="569">
        <v>5</v>
      </c>
      <c r="F965" s="1256">
        <v>6</v>
      </c>
      <c r="G965" s="1256">
        <v>7</v>
      </c>
      <c r="H965" s="1257">
        <v>8</v>
      </c>
      <c r="I965" s="1258" t="s">
        <v>801</v>
      </c>
    </row>
    <row r="966" spans="1:14" s="534" customFormat="1" ht="16.5" thickTop="1" thickBot="1" x14ac:dyDescent="0.3">
      <c r="A966" s="1266">
        <v>60004100114</v>
      </c>
      <c r="B966" s="1007">
        <v>2212</v>
      </c>
      <c r="C966" s="1267">
        <v>6121</v>
      </c>
      <c r="D966" s="1008">
        <v>12</v>
      </c>
      <c r="E966" s="1009" t="s">
        <v>640</v>
      </c>
      <c r="F966" s="928"/>
      <c r="G966" s="1269">
        <v>1538</v>
      </c>
      <c r="H966" s="928">
        <v>1537</v>
      </c>
      <c r="I966" s="1270">
        <f>(H966/G966)*100</f>
        <v>99.934980494148235</v>
      </c>
    </row>
    <row r="967" spans="1:14" s="534" customFormat="1" ht="18" customHeight="1" thickTop="1" thickBot="1" x14ac:dyDescent="0.3">
      <c r="A967" s="2699" t="s">
        <v>257</v>
      </c>
      <c r="B967" s="2698"/>
      <c r="C967" s="2698"/>
      <c r="D967" s="2698"/>
      <c r="E967" s="2698"/>
      <c r="F967" s="911">
        <f>F966</f>
        <v>0</v>
      </c>
      <c r="G967" s="911">
        <f>G966</f>
        <v>1538</v>
      </c>
      <c r="H967" s="911">
        <f>H966</f>
        <v>1537</v>
      </c>
      <c r="I967" s="894">
        <f>(H967/G967)*100</f>
        <v>99.934980494148235</v>
      </c>
    </row>
    <row r="968" spans="1:14" ht="13.5" thickTop="1" x14ac:dyDescent="0.2">
      <c r="K968" s="951"/>
      <c r="L968" s="951"/>
      <c r="M968" s="951"/>
      <c r="N968" s="433"/>
    </row>
    <row r="969" spans="1:14" x14ac:dyDescent="0.2">
      <c r="K969" s="951"/>
      <c r="L969" s="951"/>
      <c r="M969" s="951"/>
      <c r="N969" s="433"/>
    </row>
    <row r="970" spans="1:14" s="534" customFormat="1" ht="13.5" thickBot="1" x14ac:dyDescent="0.25">
      <c r="A970" s="433" t="s">
        <v>33</v>
      </c>
      <c r="B970" s="645"/>
      <c r="D970" s="852"/>
      <c r="F970" s="495"/>
      <c r="G970" s="495"/>
      <c r="H970" s="495"/>
      <c r="I970" s="989" t="s">
        <v>173</v>
      </c>
    </row>
    <row r="971" spans="1:14" s="107" customFormat="1" ht="20.25" customHeight="1" thickTop="1" thickBot="1" x14ac:dyDescent="0.25">
      <c r="A971" s="690" t="s">
        <v>661</v>
      </c>
      <c r="B971" s="693" t="s">
        <v>174</v>
      </c>
      <c r="C971" s="691" t="s">
        <v>175</v>
      </c>
      <c r="D971" s="636" t="s">
        <v>744</v>
      </c>
      <c r="E971" s="694" t="s">
        <v>176</v>
      </c>
      <c r="F971" s="694" t="s">
        <v>177</v>
      </c>
      <c r="G971" s="694" t="s">
        <v>922</v>
      </c>
      <c r="H971" s="694" t="s">
        <v>923</v>
      </c>
      <c r="I971" s="856" t="s">
        <v>924</v>
      </c>
    </row>
    <row r="972" spans="1:14" s="384" customFormat="1" ht="13.5" thickTop="1" thickBot="1" x14ac:dyDescent="0.25">
      <c r="A972" s="1254">
        <v>1</v>
      </c>
      <c r="B972" s="1255">
        <v>2</v>
      </c>
      <c r="C972" s="1255">
        <v>3</v>
      </c>
      <c r="D972" s="1255">
        <v>4</v>
      </c>
      <c r="E972" s="569">
        <v>5</v>
      </c>
      <c r="F972" s="1256">
        <v>6</v>
      </c>
      <c r="G972" s="1256">
        <v>7</v>
      </c>
      <c r="H972" s="1257">
        <v>8</v>
      </c>
      <c r="I972" s="1258" t="s">
        <v>801</v>
      </c>
    </row>
    <row r="973" spans="1:14" s="534" customFormat="1" ht="16.5" thickTop="1" thickBot="1" x14ac:dyDescent="0.3">
      <c r="A973" s="1266">
        <v>60004100115</v>
      </c>
      <c r="B973" s="1007">
        <v>2212</v>
      </c>
      <c r="C973" s="1267">
        <v>6121</v>
      </c>
      <c r="D973" s="1008">
        <v>12</v>
      </c>
      <c r="E973" s="1009" t="s">
        <v>640</v>
      </c>
      <c r="F973" s="928"/>
      <c r="G973" s="1269">
        <v>1437</v>
      </c>
      <c r="H973" s="928">
        <v>1436</v>
      </c>
      <c r="I973" s="1270">
        <f>(H973/G973)*100</f>
        <v>99.930410577592212</v>
      </c>
    </row>
    <row r="974" spans="1:14" s="534" customFormat="1" ht="18" customHeight="1" thickTop="1" thickBot="1" x14ac:dyDescent="0.3">
      <c r="A974" s="2699" t="s">
        <v>257</v>
      </c>
      <c r="B974" s="2698"/>
      <c r="C974" s="2698"/>
      <c r="D974" s="2698"/>
      <c r="E974" s="2698"/>
      <c r="F974" s="911">
        <f>F973</f>
        <v>0</v>
      </c>
      <c r="G974" s="911">
        <f>G973</f>
        <v>1437</v>
      </c>
      <c r="H974" s="911">
        <f>H973</f>
        <v>1436</v>
      </c>
      <c r="I974" s="894">
        <f>(H974/G974)*100</f>
        <v>99.930410577592212</v>
      </c>
    </row>
    <row r="975" spans="1:14" ht="13.5" thickTop="1" x14ac:dyDescent="0.2">
      <c r="K975" s="951"/>
      <c r="L975" s="951"/>
      <c r="M975" s="951"/>
      <c r="N975" s="433"/>
    </row>
    <row r="976" spans="1:14" x14ac:dyDescent="0.2">
      <c r="K976" s="951"/>
      <c r="L976" s="951"/>
      <c r="M976" s="951"/>
      <c r="N976" s="433"/>
    </row>
    <row r="977" spans="1:14" s="534" customFormat="1" ht="13.5" thickBot="1" x14ac:dyDescent="0.25">
      <c r="A977" s="433" t="s">
        <v>289</v>
      </c>
      <c r="B977" s="645"/>
      <c r="D977" s="852"/>
      <c r="F977" s="495"/>
      <c r="G977" s="495"/>
      <c r="H977" s="495"/>
      <c r="I977" s="989" t="s">
        <v>173</v>
      </c>
    </row>
    <row r="978" spans="1:14" s="107" customFormat="1" ht="20.25" customHeight="1" thickTop="1" thickBot="1" x14ac:dyDescent="0.25">
      <c r="A978" s="690" t="s">
        <v>661</v>
      </c>
      <c r="B978" s="693" t="s">
        <v>174</v>
      </c>
      <c r="C978" s="691" t="s">
        <v>175</v>
      </c>
      <c r="D978" s="636" t="s">
        <v>744</v>
      </c>
      <c r="E978" s="694" t="s">
        <v>176</v>
      </c>
      <c r="F978" s="694" t="s">
        <v>177</v>
      </c>
      <c r="G978" s="694" t="s">
        <v>922</v>
      </c>
      <c r="H978" s="694" t="s">
        <v>923</v>
      </c>
      <c r="I978" s="856" t="s">
        <v>924</v>
      </c>
    </row>
    <row r="979" spans="1:14" s="384" customFormat="1" ht="13.5" thickTop="1" thickBot="1" x14ac:dyDescent="0.25">
      <c r="A979" s="1254">
        <v>1</v>
      </c>
      <c r="B979" s="1255">
        <v>2</v>
      </c>
      <c r="C979" s="1255">
        <v>3</v>
      </c>
      <c r="D979" s="1255">
        <v>4</v>
      </c>
      <c r="E979" s="569">
        <v>5</v>
      </c>
      <c r="F979" s="1256">
        <v>6</v>
      </c>
      <c r="G979" s="1256">
        <v>7</v>
      </c>
      <c r="H979" s="1257">
        <v>8</v>
      </c>
      <c r="I979" s="1258" t="s">
        <v>801</v>
      </c>
    </row>
    <row r="980" spans="1:14" s="534" customFormat="1" ht="16.5" thickTop="1" thickBot="1" x14ac:dyDescent="0.3">
      <c r="A980" s="1266">
        <v>60004100130</v>
      </c>
      <c r="B980" s="1007">
        <v>2212</v>
      </c>
      <c r="C980" s="1267">
        <v>5166</v>
      </c>
      <c r="D980" s="1008">
        <v>12</v>
      </c>
      <c r="E980" s="1009" t="s">
        <v>640</v>
      </c>
      <c r="F980" s="928">
        <v>1000</v>
      </c>
      <c r="G980" s="1269">
        <v>8</v>
      </c>
      <c r="H980" s="928">
        <v>0</v>
      </c>
      <c r="I980" s="1270">
        <f>(H980/G980)*100</f>
        <v>0</v>
      </c>
    </row>
    <row r="981" spans="1:14" s="534" customFormat="1" ht="18" customHeight="1" thickTop="1" thickBot="1" x14ac:dyDescent="0.3">
      <c r="A981" s="2699" t="s">
        <v>258</v>
      </c>
      <c r="B981" s="2698"/>
      <c r="C981" s="2698"/>
      <c r="D981" s="2698"/>
      <c r="E981" s="2698"/>
      <c r="F981" s="911">
        <f>F980</f>
        <v>1000</v>
      </c>
      <c r="G981" s="911">
        <f>G980</f>
        <v>8</v>
      </c>
      <c r="H981" s="911">
        <f>H980</f>
        <v>0</v>
      </c>
      <c r="I981" s="894">
        <f>(H981/G981)*100</f>
        <v>0</v>
      </c>
    </row>
    <row r="982" spans="1:14" ht="13.5" thickTop="1" x14ac:dyDescent="0.2">
      <c r="K982" s="951"/>
      <c r="L982" s="951"/>
      <c r="M982" s="951"/>
      <c r="N982" s="433"/>
    </row>
    <row r="983" spans="1:14" x14ac:dyDescent="0.2">
      <c r="K983" s="951"/>
      <c r="L983" s="951"/>
      <c r="M983" s="951"/>
      <c r="N983" s="433"/>
    </row>
    <row r="984" spans="1:14" s="534" customFormat="1" ht="13.5" thickBot="1" x14ac:dyDescent="0.25">
      <c r="A984" s="433" t="s">
        <v>290</v>
      </c>
      <c r="B984" s="645"/>
      <c r="D984" s="852"/>
      <c r="F984" s="495"/>
      <c r="G984" s="495"/>
      <c r="H984" s="495"/>
      <c r="I984" s="989" t="s">
        <v>173</v>
      </c>
    </row>
    <row r="985" spans="1:14" s="107" customFormat="1" ht="20.25" customHeight="1" thickTop="1" thickBot="1" x14ac:dyDescent="0.25">
      <c r="A985" s="690" t="s">
        <v>661</v>
      </c>
      <c r="B985" s="693" t="s">
        <v>174</v>
      </c>
      <c r="C985" s="691" t="s">
        <v>175</v>
      </c>
      <c r="D985" s="636" t="s">
        <v>744</v>
      </c>
      <c r="E985" s="694" t="s">
        <v>176</v>
      </c>
      <c r="F985" s="694" t="s">
        <v>177</v>
      </c>
      <c r="G985" s="694" t="s">
        <v>922</v>
      </c>
      <c r="H985" s="694" t="s">
        <v>923</v>
      </c>
      <c r="I985" s="856" t="s">
        <v>924</v>
      </c>
    </row>
    <row r="986" spans="1:14" s="384" customFormat="1" ht="13.5" thickTop="1" thickBot="1" x14ac:dyDescent="0.25">
      <c r="A986" s="1254">
        <v>1</v>
      </c>
      <c r="B986" s="1255">
        <v>2</v>
      </c>
      <c r="C986" s="1255">
        <v>3</v>
      </c>
      <c r="D986" s="1255">
        <v>4</v>
      </c>
      <c r="E986" s="569">
        <v>5</v>
      </c>
      <c r="F986" s="1256">
        <v>6</v>
      </c>
      <c r="G986" s="1256">
        <v>7</v>
      </c>
      <c r="H986" s="1257">
        <v>8</v>
      </c>
      <c r="I986" s="1258" t="s">
        <v>801</v>
      </c>
    </row>
    <row r="987" spans="1:14" s="534" customFormat="1" ht="16.5" thickTop="1" thickBot="1" x14ac:dyDescent="0.3">
      <c r="A987" s="1266">
        <v>60004100139</v>
      </c>
      <c r="B987" s="1007">
        <v>2212</v>
      </c>
      <c r="C987" s="1267">
        <v>5169</v>
      </c>
      <c r="D987" s="1008">
        <v>805</v>
      </c>
      <c r="E987" s="1009" t="s">
        <v>892</v>
      </c>
      <c r="F987" s="928"/>
      <c r="G987" s="1269">
        <v>53</v>
      </c>
      <c r="H987" s="928">
        <v>53</v>
      </c>
      <c r="I987" s="1270">
        <f>(H987/G987)*100</f>
        <v>100</v>
      </c>
    </row>
    <row r="988" spans="1:14" s="534" customFormat="1" ht="16.5" thickTop="1" thickBot="1" x14ac:dyDescent="0.3">
      <c r="A988" s="2685" t="s">
        <v>258</v>
      </c>
      <c r="B988" s="2686"/>
      <c r="C988" s="2686"/>
      <c r="D988" s="2686"/>
      <c r="E988" s="2686"/>
      <c r="F988" s="928">
        <v>0</v>
      </c>
      <c r="G988" s="928">
        <f>G987</f>
        <v>53</v>
      </c>
      <c r="H988" s="928">
        <f>H987</f>
        <v>53</v>
      </c>
      <c r="I988" s="1270">
        <f>(H988/G988)*100</f>
        <v>100</v>
      </c>
    </row>
    <row r="989" spans="1:14" s="534" customFormat="1" ht="16.5" thickTop="1" thickBot="1" x14ac:dyDescent="0.3">
      <c r="A989" s="1006">
        <v>60004100139</v>
      </c>
      <c r="B989" s="1292">
        <v>2212</v>
      </c>
      <c r="C989" s="1292">
        <v>6121</v>
      </c>
      <c r="D989" s="1293">
        <v>805</v>
      </c>
      <c r="E989" s="1294" t="s">
        <v>640</v>
      </c>
      <c r="F989" s="1295"/>
      <c r="G989" s="1295">
        <v>16298</v>
      </c>
      <c r="H989" s="1295">
        <v>16298</v>
      </c>
      <c r="I989" s="1270">
        <f>(H989/G989)*100</f>
        <v>100</v>
      </c>
    </row>
    <row r="990" spans="1:14" s="534" customFormat="1" ht="18" customHeight="1" thickTop="1" thickBot="1" x14ac:dyDescent="0.3">
      <c r="A990" s="2699" t="s">
        <v>257</v>
      </c>
      <c r="B990" s="2698"/>
      <c r="C990" s="2698"/>
      <c r="D990" s="2698"/>
      <c r="E990" s="2698"/>
      <c r="F990" s="911">
        <f>F987</f>
        <v>0</v>
      </c>
      <c r="G990" s="911">
        <f>G989</f>
        <v>16298</v>
      </c>
      <c r="H990" s="911">
        <f>H989</f>
        <v>16298</v>
      </c>
      <c r="I990" s="894">
        <f>(H990/G990)*100</f>
        <v>100</v>
      </c>
    </row>
    <row r="991" spans="1:14" ht="13.5" thickTop="1" x14ac:dyDescent="0.2">
      <c r="K991" s="951"/>
      <c r="L991" s="951"/>
      <c r="M991" s="951"/>
      <c r="N991" s="433"/>
    </row>
    <row r="992" spans="1:14" x14ac:dyDescent="0.2">
      <c r="K992" s="951"/>
      <c r="L992" s="951"/>
      <c r="M992" s="951"/>
      <c r="N992" s="433"/>
    </row>
    <row r="993" spans="1:14" s="534" customFormat="1" ht="13.5" thickBot="1" x14ac:dyDescent="0.25">
      <c r="A993" s="433" t="s">
        <v>291</v>
      </c>
      <c r="B993" s="645"/>
      <c r="D993" s="852"/>
      <c r="F993" s="495"/>
      <c r="G993" s="495"/>
      <c r="H993" s="495"/>
      <c r="I993" s="989" t="s">
        <v>173</v>
      </c>
    </row>
    <row r="994" spans="1:14" s="107" customFormat="1" ht="20.25" customHeight="1" thickTop="1" thickBot="1" x14ac:dyDescent="0.25">
      <c r="A994" s="690" t="s">
        <v>661</v>
      </c>
      <c r="B994" s="693" t="s">
        <v>174</v>
      </c>
      <c r="C994" s="691" t="s">
        <v>175</v>
      </c>
      <c r="D994" s="636" t="s">
        <v>744</v>
      </c>
      <c r="E994" s="694" t="s">
        <v>176</v>
      </c>
      <c r="F994" s="694" t="s">
        <v>177</v>
      </c>
      <c r="G994" s="694" t="s">
        <v>922</v>
      </c>
      <c r="H994" s="694" t="s">
        <v>923</v>
      </c>
      <c r="I994" s="856" t="s">
        <v>924</v>
      </c>
    </row>
    <row r="995" spans="1:14" s="384" customFormat="1" ht="13.5" thickTop="1" thickBot="1" x14ac:dyDescent="0.25">
      <c r="A995" s="1254">
        <v>1</v>
      </c>
      <c r="B995" s="1255">
        <v>2</v>
      </c>
      <c r="C995" s="1255">
        <v>3</v>
      </c>
      <c r="D995" s="1255">
        <v>4</v>
      </c>
      <c r="E995" s="569">
        <v>5</v>
      </c>
      <c r="F995" s="1256">
        <v>6</v>
      </c>
      <c r="G995" s="1256">
        <v>7</v>
      </c>
      <c r="H995" s="1257">
        <v>8</v>
      </c>
      <c r="I995" s="1258" t="s">
        <v>801</v>
      </c>
    </row>
    <row r="996" spans="1:14" s="534" customFormat="1" ht="16.5" thickTop="1" thickBot="1" x14ac:dyDescent="0.3">
      <c r="A996" s="1266">
        <v>60004100290</v>
      </c>
      <c r="B996" s="1007">
        <v>2212</v>
      </c>
      <c r="C996" s="1267">
        <v>6121</v>
      </c>
      <c r="D996" s="1008">
        <v>870</v>
      </c>
      <c r="E996" s="1009" t="s">
        <v>640</v>
      </c>
      <c r="F996" s="928"/>
      <c r="G996" s="1269">
        <v>11029</v>
      </c>
      <c r="H996" s="928">
        <v>11007</v>
      </c>
      <c r="I996" s="1270">
        <f>(H996/G996)*100</f>
        <v>99.800525886299752</v>
      </c>
    </row>
    <row r="997" spans="1:14" s="534" customFormat="1" ht="18" customHeight="1" thickTop="1" thickBot="1" x14ac:dyDescent="0.3">
      <c r="A997" s="2699" t="s">
        <v>257</v>
      </c>
      <c r="B997" s="2698"/>
      <c r="C997" s="2698"/>
      <c r="D997" s="2698"/>
      <c r="E997" s="2698"/>
      <c r="F997" s="911">
        <f>F996</f>
        <v>0</v>
      </c>
      <c r="G997" s="911">
        <f>G996</f>
        <v>11029</v>
      </c>
      <c r="H997" s="911">
        <f>H996</f>
        <v>11007</v>
      </c>
      <c r="I997" s="894">
        <f>(H997/G997)*100</f>
        <v>99.800525886299752</v>
      </c>
    </row>
    <row r="998" spans="1:14" ht="13.5" thickTop="1" x14ac:dyDescent="0.2">
      <c r="K998" s="951"/>
      <c r="L998" s="951"/>
      <c r="M998" s="951"/>
      <c r="N998" s="433"/>
    </row>
    <row r="999" spans="1:14" x14ac:dyDescent="0.2">
      <c r="K999" s="951"/>
      <c r="L999" s="951"/>
      <c r="M999" s="951"/>
      <c r="N999" s="433"/>
    </row>
    <row r="1000" spans="1:14" x14ac:dyDescent="0.2">
      <c r="K1000" s="951"/>
      <c r="L1000" s="951"/>
      <c r="M1000" s="951"/>
      <c r="N1000" s="433"/>
    </row>
    <row r="1001" spans="1:14" x14ac:dyDescent="0.2">
      <c r="K1001" s="951"/>
      <c r="L1001" s="951"/>
      <c r="M1001" s="951"/>
      <c r="N1001" s="433"/>
    </row>
    <row r="1002" spans="1:14" s="534" customFormat="1" ht="13.5" thickBot="1" x14ac:dyDescent="0.25">
      <c r="A1002" s="433" t="s">
        <v>292</v>
      </c>
      <c r="B1002" s="645"/>
      <c r="D1002" s="852"/>
      <c r="F1002" s="495"/>
      <c r="G1002" s="495"/>
      <c r="H1002" s="495"/>
      <c r="I1002" s="989" t="s">
        <v>173</v>
      </c>
    </row>
    <row r="1003" spans="1:14" s="107" customFormat="1" ht="20.25" customHeight="1" thickTop="1" thickBot="1" x14ac:dyDescent="0.25">
      <c r="A1003" s="690" t="s">
        <v>661</v>
      </c>
      <c r="B1003" s="693" t="s">
        <v>174</v>
      </c>
      <c r="C1003" s="691" t="s">
        <v>175</v>
      </c>
      <c r="D1003" s="636" t="s">
        <v>744</v>
      </c>
      <c r="E1003" s="694" t="s">
        <v>176</v>
      </c>
      <c r="F1003" s="694" t="s">
        <v>177</v>
      </c>
      <c r="G1003" s="694" t="s">
        <v>922</v>
      </c>
      <c r="H1003" s="694" t="s">
        <v>923</v>
      </c>
      <c r="I1003" s="856" t="s">
        <v>924</v>
      </c>
    </row>
    <row r="1004" spans="1:14" s="384" customFormat="1" ht="13.5" thickTop="1" thickBot="1" x14ac:dyDescent="0.25">
      <c r="A1004" s="1254">
        <v>1</v>
      </c>
      <c r="B1004" s="1255">
        <v>2</v>
      </c>
      <c r="C1004" s="1255">
        <v>3</v>
      </c>
      <c r="D1004" s="1255">
        <v>4</v>
      </c>
      <c r="E1004" s="569">
        <v>5</v>
      </c>
      <c r="F1004" s="1256">
        <v>6</v>
      </c>
      <c r="G1004" s="1256">
        <v>7</v>
      </c>
      <c r="H1004" s="1257">
        <v>8</v>
      </c>
      <c r="I1004" s="1258" t="s">
        <v>801</v>
      </c>
    </row>
    <row r="1005" spans="1:14" s="534" customFormat="1" ht="16.5" thickTop="1" thickBot="1" x14ac:dyDescent="0.3">
      <c r="A1005" s="1266">
        <v>60004100291</v>
      </c>
      <c r="B1005" s="1007">
        <v>2212</v>
      </c>
      <c r="C1005" s="1267">
        <v>6121</v>
      </c>
      <c r="D1005" s="1008">
        <v>870</v>
      </c>
      <c r="E1005" s="1009" t="s">
        <v>640</v>
      </c>
      <c r="F1005" s="928"/>
      <c r="G1005" s="1269">
        <v>8280</v>
      </c>
      <c r="H1005" s="928">
        <v>8219</v>
      </c>
      <c r="I1005" s="1270">
        <f>(H1005/G1005)*100</f>
        <v>99.263285024154584</v>
      </c>
    </row>
    <row r="1006" spans="1:14" s="534" customFormat="1" ht="18" customHeight="1" thickTop="1" thickBot="1" x14ac:dyDescent="0.3">
      <c r="A1006" s="2699" t="s">
        <v>257</v>
      </c>
      <c r="B1006" s="2698"/>
      <c r="C1006" s="2698"/>
      <c r="D1006" s="2698"/>
      <c r="E1006" s="2698"/>
      <c r="F1006" s="911">
        <f>F1005</f>
        <v>0</v>
      </c>
      <c r="G1006" s="911">
        <f>G1005</f>
        <v>8280</v>
      </c>
      <c r="H1006" s="911">
        <f>H1005</f>
        <v>8219</v>
      </c>
      <c r="I1006" s="894">
        <f>(H1006/G1006)*100</f>
        <v>99.263285024154584</v>
      </c>
    </row>
    <row r="1007" spans="1:14" ht="13.5" thickTop="1" x14ac:dyDescent="0.2">
      <c r="K1007" s="951"/>
      <c r="L1007" s="951"/>
      <c r="M1007" s="951"/>
      <c r="N1007" s="433"/>
    </row>
    <row r="1008" spans="1:14" x14ac:dyDescent="0.2">
      <c r="K1008" s="951"/>
      <c r="L1008" s="951"/>
      <c r="M1008" s="951"/>
      <c r="N1008" s="433"/>
    </row>
    <row r="1009" spans="1:14" s="534" customFormat="1" ht="13.5" thickBot="1" x14ac:dyDescent="0.25">
      <c r="A1009" s="433" t="s">
        <v>293</v>
      </c>
      <c r="B1009" s="645"/>
      <c r="D1009" s="852"/>
      <c r="F1009" s="495"/>
      <c r="G1009" s="495"/>
      <c r="H1009" s="495"/>
      <c r="I1009" s="989" t="s">
        <v>173</v>
      </c>
    </row>
    <row r="1010" spans="1:14" s="107" customFormat="1" ht="20.25" customHeight="1" thickTop="1" thickBot="1" x14ac:dyDescent="0.25">
      <c r="A1010" s="690" t="s">
        <v>661</v>
      </c>
      <c r="B1010" s="693" t="s">
        <v>174</v>
      </c>
      <c r="C1010" s="691" t="s">
        <v>175</v>
      </c>
      <c r="D1010" s="636" t="s">
        <v>744</v>
      </c>
      <c r="E1010" s="694" t="s">
        <v>176</v>
      </c>
      <c r="F1010" s="694" t="s">
        <v>177</v>
      </c>
      <c r="G1010" s="694" t="s">
        <v>922</v>
      </c>
      <c r="H1010" s="694" t="s">
        <v>923</v>
      </c>
      <c r="I1010" s="856" t="s">
        <v>924</v>
      </c>
    </row>
    <row r="1011" spans="1:14" s="384" customFormat="1" ht="13.5" thickTop="1" thickBot="1" x14ac:dyDescent="0.25">
      <c r="A1011" s="1254">
        <v>1</v>
      </c>
      <c r="B1011" s="1255">
        <v>2</v>
      </c>
      <c r="C1011" s="1255">
        <v>3</v>
      </c>
      <c r="D1011" s="1255">
        <v>4</v>
      </c>
      <c r="E1011" s="569">
        <v>5</v>
      </c>
      <c r="F1011" s="1256">
        <v>6</v>
      </c>
      <c r="G1011" s="1256">
        <v>7</v>
      </c>
      <c r="H1011" s="1257">
        <v>8</v>
      </c>
      <c r="I1011" s="1258" t="s">
        <v>801</v>
      </c>
    </row>
    <row r="1012" spans="1:14" s="534" customFormat="1" ht="16.5" thickTop="1" thickBot="1" x14ac:dyDescent="0.3">
      <c r="A1012" s="1266">
        <v>60004100292</v>
      </c>
      <c r="B1012" s="1007">
        <v>2212</v>
      </c>
      <c r="C1012" s="1267">
        <v>6121</v>
      </c>
      <c r="D1012" s="1008">
        <v>870</v>
      </c>
      <c r="E1012" s="1009" t="s">
        <v>640</v>
      </c>
      <c r="F1012" s="928"/>
      <c r="G1012" s="1269">
        <v>7607</v>
      </c>
      <c r="H1012" s="928">
        <v>5389</v>
      </c>
      <c r="I1012" s="1270">
        <f>(H1012/G1012)*100</f>
        <v>70.842644932299208</v>
      </c>
    </row>
    <row r="1013" spans="1:14" s="534" customFormat="1" ht="18" customHeight="1" thickTop="1" thickBot="1" x14ac:dyDescent="0.3">
      <c r="A1013" s="2699" t="s">
        <v>257</v>
      </c>
      <c r="B1013" s="2698"/>
      <c r="C1013" s="2698"/>
      <c r="D1013" s="2698"/>
      <c r="E1013" s="2698"/>
      <c r="F1013" s="911">
        <f>F1012</f>
        <v>0</v>
      </c>
      <c r="G1013" s="911">
        <f>G1012</f>
        <v>7607</v>
      </c>
      <c r="H1013" s="911">
        <f>H1012</f>
        <v>5389</v>
      </c>
      <c r="I1013" s="894">
        <f>(H1013/G1013)*100</f>
        <v>70.842644932299208</v>
      </c>
    </row>
    <row r="1014" spans="1:14" ht="13.5" thickTop="1" x14ac:dyDescent="0.2">
      <c r="K1014" s="951"/>
      <c r="L1014" s="951"/>
      <c r="M1014" s="951"/>
      <c r="N1014" s="433"/>
    </row>
    <row r="1015" spans="1:14" x14ac:dyDescent="0.2">
      <c r="K1015" s="951"/>
      <c r="L1015" s="951"/>
      <c r="M1015" s="951"/>
      <c r="N1015" s="433"/>
    </row>
    <row r="1016" spans="1:14" s="534" customFormat="1" ht="13.5" thickBot="1" x14ac:dyDescent="0.25">
      <c r="A1016" s="433" t="s">
        <v>294</v>
      </c>
      <c r="B1016" s="645"/>
      <c r="D1016" s="852"/>
      <c r="F1016" s="495"/>
      <c r="G1016" s="495"/>
      <c r="H1016" s="495"/>
      <c r="I1016" s="989" t="s">
        <v>173</v>
      </c>
    </row>
    <row r="1017" spans="1:14" s="107" customFormat="1" ht="20.25" customHeight="1" thickTop="1" thickBot="1" x14ac:dyDescent="0.25">
      <c r="A1017" s="690" t="s">
        <v>661</v>
      </c>
      <c r="B1017" s="693" t="s">
        <v>174</v>
      </c>
      <c r="C1017" s="691" t="s">
        <v>175</v>
      </c>
      <c r="D1017" s="636" t="s">
        <v>744</v>
      </c>
      <c r="E1017" s="694" t="s">
        <v>176</v>
      </c>
      <c r="F1017" s="694" t="s">
        <v>177</v>
      </c>
      <c r="G1017" s="694" t="s">
        <v>922</v>
      </c>
      <c r="H1017" s="694" t="s">
        <v>923</v>
      </c>
      <c r="I1017" s="856" t="s">
        <v>924</v>
      </c>
    </row>
    <row r="1018" spans="1:14" s="384" customFormat="1" ht="13.5" thickTop="1" thickBot="1" x14ac:dyDescent="0.25">
      <c r="A1018" s="1254">
        <v>1</v>
      </c>
      <c r="B1018" s="1255">
        <v>2</v>
      </c>
      <c r="C1018" s="1255">
        <v>3</v>
      </c>
      <c r="D1018" s="1255">
        <v>4</v>
      </c>
      <c r="E1018" s="569">
        <v>5</v>
      </c>
      <c r="F1018" s="1256">
        <v>6</v>
      </c>
      <c r="G1018" s="1256">
        <v>7</v>
      </c>
      <c r="H1018" s="1257">
        <v>8</v>
      </c>
      <c r="I1018" s="1258" t="s">
        <v>801</v>
      </c>
    </row>
    <row r="1019" spans="1:14" s="534" customFormat="1" ht="16.5" thickTop="1" thickBot="1" x14ac:dyDescent="0.3">
      <c r="A1019" s="1266">
        <v>60004100341</v>
      </c>
      <c r="B1019" s="1007">
        <v>2212</v>
      </c>
      <c r="C1019" s="1267">
        <v>5171</v>
      </c>
      <c r="D1019" s="1008">
        <v>12</v>
      </c>
      <c r="E1019" s="1009" t="s">
        <v>938</v>
      </c>
      <c r="F1019" s="928"/>
      <c r="G1019" s="1269">
        <v>441</v>
      </c>
      <c r="H1019" s="928">
        <v>441</v>
      </c>
      <c r="I1019" s="1270">
        <f>(H1019/G1019)*100</f>
        <v>100</v>
      </c>
    </row>
    <row r="1020" spans="1:14" s="534" customFormat="1" ht="18" customHeight="1" thickTop="1" thickBot="1" x14ac:dyDescent="0.3">
      <c r="A1020" s="2699" t="s">
        <v>258</v>
      </c>
      <c r="B1020" s="2698"/>
      <c r="C1020" s="2698"/>
      <c r="D1020" s="2698"/>
      <c r="E1020" s="2698"/>
      <c r="F1020" s="911">
        <f>F1019</f>
        <v>0</v>
      </c>
      <c r="G1020" s="911">
        <f>G1019</f>
        <v>441</v>
      </c>
      <c r="H1020" s="911">
        <f>H1019</f>
        <v>441</v>
      </c>
      <c r="I1020" s="894">
        <f>(H1020/G1020)*100</f>
        <v>100</v>
      </c>
    </row>
    <row r="1021" spans="1:14" ht="13.5" thickTop="1" x14ac:dyDescent="0.2">
      <c r="K1021" s="951"/>
      <c r="L1021" s="951"/>
      <c r="M1021" s="951"/>
      <c r="N1021" s="433"/>
    </row>
    <row r="1022" spans="1:14" x14ac:dyDescent="0.2">
      <c r="K1022" s="951"/>
      <c r="L1022" s="951"/>
      <c r="M1022" s="951"/>
      <c r="N1022" s="433"/>
    </row>
    <row r="1023" spans="1:14" s="534" customFormat="1" ht="13.5" thickBot="1" x14ac:dyDescent="0.25">
      <c r="A1023" s="433" t="s">
        <v>295</v>
      </c>
      <c r="B1023" s="645"/>
      <c r="D1023" s="852"/>
      <c r="F1023" s="495"/>
      <c r="G1023" s="495"/>
      <c r="H1023" s="495"/>
      <c r="I1023" s="989" t="s">
        <v>173</v>
      </c>
    </row>
    <row r="1024" spans="1:14" s="107" customFormat="1" ht="20.25" customHeight="1" thickTop="1" thickBot="1" x14ac:dyDescent="0.25">
      <c r="A1024" s="690" t="s">
        <v>661</v>
      </c>
      <c r="B1024" s="693" t="s">
        <v>174</v>
      </c>
      <c r="C1024" s="691" t="s">
        <v>175</v>
      </c>
      <c r="D1024" s="636" t="s">
        <v>744</v>
      </c>
      <c r="E1024" s="694" t="s">
        <v>176</v>
      </c>
      <c r="F1024" s="694" t="s">
        <v>177</v>
      </c>
      <c r="G1024" s="694" t="s">
        <v>922</v>
      </c>
      <c r="H1024" s="694" t="s">
        <v>923</v>
      </c>
      <c r="I1024" s="856" t="s">
        <v>924</v>
      </c>
    </row>
    <row r="1025" spans="1:14" s="384" customFormat="1" ht="13.5" thickTop="1" thickBot="1" x14ac:dyDescent="0.25">
      <c r="A1025" s="1254">
        <v>1</v>
      </c>
      <c r="B1025" s="1255">
        <v>2</v>
      </c>
      <c r="C1025" s="1255">
        <v>3</v>
      </c>
      <c r="D1025" s="1255">
        <v>4</v>
      </c>
      <c r="E1025" s="569">
        <v>5</v>
      </c>
      <c r="F1025" s="1256">
        <v>6</v>
      </c>
      <c r="G1025" s="1256">
        <v>7</v>
      </c>
      <c r="H1025" s="1257">
        <v>8</v>
      </c>
      <c r="I1025" s="1258" t="s">
        <v>801</v>
      </c>
    </row>
    <row r="1026" spans="1:14" s="534" customFormat="1" ht="16.5" thickTop="1" thickBot="1" x14ac:dyDescent="0.3">
      <c r="A1026" s="1266">
        <v>60004100342</v>
      </c>
      <c r="B1026" s="1007">
        <v>2212</v>
      </c>
      <c r="C1026" s="1267">
        <v>5171</v>
      </c>
      <c r="D1026" s="1008">
        <v>12</v>
      </c>
      <c r="E1026" s="1009" t="s">
        <v>938</v>
      </c>
      <c r="F1026" s="928"/>
      <c r="G1026" s="1269">
        <v>10255</v>
      </c>
      <c r="H1026" s="928">
        <v>10243</v>
      </c>
      <c r="I1026" s="1270">
        <f>(H1026/G1026)*100</f>
        <v>99.882983910287663</v>
      </c>
    </row>
    <row r="1027" spans="1:14" s="534" customFormat="1" ht="18" customHeight="1" thickTop="1" thickBot="1" x14ac:dyDescent="0.3">
      <c r="A1027" s="2699" t="s">
        <v>258</v>
      </c>
      <c r="B1027" s="2698"/>
      <c r="C1027" s="2698"/>
      <c r="D1027" s="2698"/>
      <c r="E1027" s="2698"/>
      <c r="F1027" s="911">
        <f>F1026</f>
        <v>0</v>
      </c>
      <c r="G1027" s="911">
        <f>G1026</f>
        <v>10255</v>
      </c>
      <c r="H1027" s="911">
        <f>H1026</f>
        <v>10243</v>
      </c>
      <c r="I1027" s="894">
        <f>(H1027/G1027)*100</f>
        <v>99.882983910287663</v>
      </c>
      <c r="K1027" s="495">
        <f>F772+F779+F786+F793+F800+F805+F812+F820+F835+F843+F850+F857+F864+F872+F880+F888+F896+F903+F907+F914+F921+F928+F939+F946+F953+F960+F967+F974+F981+F988+F990+F997+F1006+F1013+F1020+F1027</f>
        <v>106635</v>
      </c>
      <c r="L1027" s="495">
        <f>G772+G779+G786+G793+G800+G805+G812+G820+G827+G835+G843+G850+G857+G864+G872+G880+G888+G896+G903+G907+G914+G921+G928+G939+G946+G953+G960+G967+G974+G981+G988+G990+G997+G1006+G1013+G1020+G1027</f>
        <v>232034</v>
      </c>
      <c r="M1027" s="495">
        <f>H772+H779+H786+H793+H800+H805+H812+H820+H827+H835+H843+H850+H857+H864+H872+H880+H888+H896+H903+H907+H914+H921+H928+H939+H946+H953+H960+H967+H974+H981+H988+H990+H997+H1006+H1013+H1020+H1027</f>
        <v>227096</v>
      </c>
      <c r="N1027" s="534" t="s">
        <v>1154</v>
      </c>
    </row>
    <row r="1028" spans="1:14" ht="13.5" thickTop="1" x14ac:dyDescent="0.2">
      <c r="K1028" s="951"/>
      <c r="L1028" s="951"/>
      <c r="M1028" s="951"/>
      <c r="N1028" s="433"/>
    </row>
    <row r="1029" spans="1:14" x14ac:dyDescent="0.2">
      <c r="K1029" s="951"/>
      <c r="L1029" s="951"/>
      <c r="M1029" s="951"/>
      <c r="N1029" s="433"/>
    </row>
    <row r="1030" spans="1:14" s="534" customFormat="1" ht="13.5" thickBot="1" x14ac:dyDescent="0.25">
      <c r="A1030" s="433" t="s">
        <v>296</v>
      </c>
      <c r="B1030" s="645"/>
      <c r="D1030" s="852"/>
      <c r="F1030" s="495"/>
      <c r="G1030" s="495"/>
      <c r="H1030" s="495"/>
      <c r="I1030" s="989" t="s">
        <v>173</v>
      </c>
    </row>
    <row r="1031" spans="1:14" s="107" customFormat="1" ht="20.25" customHeight="1" thickTop="1" thickBot="1" x14ac:dyDescent="0.25">
      <c r="A1031" s="690" t="s">
        <v>661</v>
      </c>
      <c r="B1031" s="693" t="s">
        <v>174</v>
      </c>
      <c r="C1031" s="691" t="s">
        <v>175</v>
      </c>
      <c r="D1031" s="636" t="s">
        <v>744</v>
      </c>
      <c r="E1031" s="694" t="s">
        <v>176</v>
      </c>
      <c r="F1031" s="694" t="s">
        <v>177</v>
      </c>
      <c r="G1031" s="694" t="s">
        <v>922</v>
      </c>
      <c r="H1031" s="694" t="s">
        <v>923</v>
      </c>
      <c r="I1031" s="856" t="s">
        <v>924</v>
      </c>
    </row>
    <row r="1032" spans="1:14" s="384" customFormat="1" ht="13.5" thickTop="1" thickBot="1" x14ac:dyDescent="0.25">
      <c r="A1032" s="1254">
        <v>1</v>
      </c>
      <c r="B1032" s="1255">
        <v>2</v>
      </c>
      <c r="C1032" s="1255">
        <v>3</v>
      </c>
      <c r="D1032" s="1255">
        <v>4</v>
      </c>
      <c r="E1032" s="569">
        <v>5</v>
      </c>
      <c r="F1032" s="1256">
        <v>6</v>
      </c>
      <c r="G1032" s="1256">
        <v>7</v>
      </c>
      <c r="H1032" s="1257">
        <v>8</v>
      </c>
      <c r="I1032" s="1258" t="s">
        <v>801</v>
      </c>
    </row>
    <row r="1033" spans="1:14" s="534" customFormat="1" ht="16.5" thickTop="1" thickBot="1" x14ac:dyDescent="0.3">
      <c r="A1033" s="1266">
        <v>60005100072</v>
      </c>
      <c r="B1033" s="1007">
        <v>3522</v>
      </c>
      <c r="C1033" s="1267">
        <v>6121</v>
      </c>
      <c r="D1033" s="1008">
        <v>25</v>
      </c>
      <c r="E1033" s="1009" t="s">
        <v>640</v>
      </c>
      <c r="F1033" s="928">
        <v>1595</v>
      </c>
      <c r="G1033" s="1269">
        <v>1595</v>
      </c>
      <c r="H1033" s="928">
        <v>1595</v>
      </c>
      <c r="I1033" s="1270">
        <f>(H1033/G1033)*100</f>
        <v>100</v>
      </c>
    </row>
    <row r="1034" spans="1:14" s="534" customFormat="1" ht="18" customHeight="1" thickTop="1" thickBot="1" x14ac:dyDescent="0.3">
      <c r="A1034" s="2699" t="s">
        <v>257</v>
      </c>
      <c r="B1034" s="2698"/>
      <c r="C1034" s="2698"/>
      <c r="D1034" s="2698"/>
      <c r="E1034" s="2698"/>
      <c r="F1034" s="911">
        <f>F1033</f>
        <v>1595</v>
      </c>
      <c r="G1034" s="911">
        <f>G1033</f>
        <v>1595</v>
      </c>
      <c r="H1034" s="911">
        <f>H1033</f>
        <v>1595</v>
      </c>
      <c r="I1034" s="894">
        <f>(H1034/G1034)*100</f>
        <v>100</v>
      </c>
    </row>
    <row r="1035" spans="1:14" ht="13.5" thickTop="1" x14ac:dyDescent="0.2">
      <c r="K1035" s="951"/>
      <c r="L1035" s="951"/>
      <c r="M1035" s="951"/>
      <c r="N1035" s="433"/>
    </row>
    <row r="1036" spans="1:14" x14ac:dyDescent="0.2">
      <c r="K1036" s="951"/>
      <c r="L1036" s="951"/>
      <c r="M1036" s="951"/>
      <c r="N1036" s="433"/>
    </row>
    <row r="1037" spans="1:14" s="534" customFormat="1" ht="13.5" thickBot="1" x14ac:dyDescent="0.25">
      <c r="A1037" s="433" t="s">
        <v>297</v>
      </c>
      <c r="B1037" s="645"/>
      <c r="D1037" s="852"/>
      <c r="F1037" s="495"/>
      <c r="G1037" s="495"/>
      <c r="H1037" s="495"/>
      <c r="I1037" s="989" t="s">
        <v>173</v>
      </c>
    </row>
    <row r="1038" spans="1:14" s="107" customFormat="1" ht="20.25" customHeight="1" thickTop="1" thickBot="1" x14ac:dyDescent="0.25">
      <c r="A1038" s="690" t="s">
        <v>661</v>
      </c>
      <c r="B1038" s="693" t="s">
        <v>174</v>
      </c>
      <c r="C1038" s="691" t="s">
        <v>175</v>
      </c>
      <c r="D1038" s="636" t="s">
        <v>744</v>
      </c>
      <c r="E1038" s="694" t="s">
        <v>176</v>
      </c>
      <c r="F1038" s="694" t="s">
        <v>177</v>
      </c>
      <c r="G1038" s="694" t="s">
        <v>922</v>
      </c>
      <c r="H1038" s="694" t="s">
        <v>923</v>
      </c>
      <c r="I1038" s="856" t="s">
        <v>924</v>
      </c>
    </row>
    <row r="1039" spans="1:14" s="384" customFormat="1" ht="13.5" thickTop="1" thickBot="1" x14ac:dyDescent="0.25">
      <c r="A1039" s="1254">
        <v>1</v>
      </c>
      <c r="B1039" s="1255">
        <v>2</v>
      </c>
      <c r="C1039" s="1255">
        <v>3</v>
      </c>
      <c r="D1039" s="1255">
        <v>4</v>
      </c>
      <c r="E1039" s="569">
        <v>5</v>
      </c>
      <c r="F1039" s="1256">
        <v>6</v>
      </c>
      <c r="G1039" s="1256">
        <v>7</v>
      </c>
      <c r="H1039" s="1257">
        <v>8</v>
      </c>
      <c r="I1039" s="1258" t="s">
        <v>801</v>
      </c>
    </row>
    <row r="1040" spans="1:14" s="534" customFormat="1" ht="16.5" thickTop="1" thickBot="1" x14ac:dyDescent="0.3">
      <c r="A1040" s="1266">
        <v>60005100080</v>
      </c>
      <c r="B1040" s="1007">
        <v>3522</v>
      </c>
      <c r="C1040" s="1267">
        <v>6121</v>
      </c>
      <c r="D1040" s="1008">
        <v>14</v>
      </c>
      <c r="E1040" s="1009" t="s">
        <v>640</v>
      </c>
      <c r="F1040" s="928">
        <v>1433</v>
      </c>
      <c r="G1040" s="1269">
        <v>1800</v>
      </c>
      <c r="H1040" s="928">
        <v>1669</v>
      </c>
      <c r="I1040" s="1270">
        <f>(H1040/G1040)*100</f>
        <v>92.722222222222214</v>
      </c>
    </row>
    <row r="1041" spans="1:14" s="534" customFormat="1" ht="18" customHeight="1" thickTop="1" thickBot="1" x14ac:dyDescent="0.3">
      <c r="A1041" s="2699" t="s">
        <v>257</v>
      </c>
      <c r="B1041" s="2698"/>
      <c r="C1041" s="2698"/>
      <c r="D1041" s="2698"/>
      <c r="E1041" s="2698"/>
      <c r="F1041" s="911">
        <f>F1040</f>
        <v>1433</v>
      </c>
      <c r="G1041" s="911">
        <f>G1040</f>
        <v>1800</v>
      </c>
      <c r="H1041" s="911">
        <f>H1040</f>
        <v>1669</v>
      </c>
      <c r="I1041" s="894">
        <f>(H1041/G1041)*100</f>
        <v>92.722222222222214</v>
      </c>
    </row>
    <row r="1042" spans="1:14" ht="13.5" thickTop="1" x14ac:dyDescent="0.2">
      <c r="K1042" s="951"/>
      <c r="L1042" s="951"/>
      <c r="M1042" s="951"/>
      <c r="N1042" s="433"/>
    </row>
    <row r="1043" spans="1:14" x14ac:dyDescent="0.2">
      <c r="K1043" s="951"/>
      <c r="L1043" s="951"/>
      <c r="M1043" s="951"/>
      <c r="N1043" s="433"/>
    </row>
    <row r="1044" spans="1:14" s="534" customFormat="1" ht="13.5" thickBot="1" x14ac:dyDescent="0.25">
      <c r="A1044" s="433" t="s">
        <v>299</v>
      </c>
      <c r="B1044" s="645"/>
      <c r="D1044" s="852"/>
      <c r="F1044" s="495"/>
      <c r="G1044" s="495"/>
      <c r="H1044" s="495"/>
      <c r="I1044" s="989" t="s">
        <v>173</v>
      </c>
    </row>
    <row r="1045" spans="1:14" s="107" customFormat="1" ht="20.25" customHeight="1" thickTop="1" thickBot="1" x14ac:dyDescent="0.25">
      <c r="A1045" s="690" t="s">
        <v>661</v>
      </c>
      <c r="B1045" s="693" t="s">
        <v>174</v>
      </c>
      <c r="C1045" s="691" t="s">
        <v>175</v>
      </c>
      <c r="D1045" s="636" t="s">
        <v>744</v>
      </c>
      <c r="E1045" s="694" t="s">
        <v>176</v>
      </c>
      <c r="F1045" s="694" t="s">
        <v>177</v>
      </c>
      <c r="G1045" s="694" t="s">
        <v>922</v>
      </c>
      <c r="H1045" s="694" t="s">
        <v>923</v>
      </c>
      <c r="I1045" s="856" t="s">
        <v>924</v>
      </c>
    </row>
    <row r="1046" spans="1:14" s="384" customFormat="1" ht="13.5" thickTop="1" thickBot="1" x14ac:dyDescent="0.25">
      <c r="A1046" s="568">
        <v>1</v>
      </c>
      <c r="B1046" s="569">
        <v>2</v>
      </c>
      <c r="C1046" s="569">
        <v>3</v>
      </c>
      <c r="D1046" s="569">
        <v>4</v>
      </c>
      <c r="E1046" s="569">
        <v>5</v>
      </c>
      <c r="F1046" s="543">
        <v>6</v>
      </c>
      <c r="G1046" s="543">
        <v>7</v>
      </c>
      <c r="H1046" s="544">
        <v>8</v>
      </c>
      <c r="I1046" s="638" t="s">
        <v>801</v>
      </c>
    </row>
    <row r="1047" spans="1:14" s="384" customFormat="1" ht="15.75" thickTop="1" x14ac:dyDescent="0.25">
      <c r="A1047" s="1312">
        <v>60005100136</v>
      </c>
      <c r="B1047" s="1313">
        <v>3522</v>
      </c>
      <c r="C1047" s="1313">
        <v>5137</v>
      </c>
      <c r="D1047" s="1276">
        <v>870</v>
      </c>
      <c r="E1047" s="1275" t="s">
        <v>298</v>
      </c>
      <c r="F1047" s="1274"/>
      <c r="G1047" s="1274">
        <v>752</v>
      </c>
      <c r="H1047" s="1274">
        <v>752</v>
      </c>
      <c r="I1047" s="874">
        <f t="shared" ref="I1047:I1054" si="3">(H1047/G1047)*100</f>
        <v>100</v>
      </c>
    </row>
    <row r="1048" spans="1:14" s="384" customFormat="1" ht="15.75" thickBot="1" x14ac:dyDescent="0.3">
      <c r="A1048" s="1315">
        <v>60005100136</v>
      </c>
      <c r="B1048" s="1316">
        <v>3522</v>
      </c>
      <c r="C1048" s="1317">
        <v>5172</v>
      </c>
      <c r="D1048" s="1004">
        <v>870</v>
      </c>
      <c r="E1048" s="1271" t="s">
        <v>939</v>
      </c>
      <c r="F1048" s="1272"/>
      <c r="G1048" s="1273">
        <v>121</v>
      </c>
      <c r="H1048" s="1272">
        <v>121</v>
      </c>
      <c r="I1048" s="1012">
        <f t="shared" si="3"/>
        <v>100</v>
      </c>
    </row>
    <row r="1049" spans="1:14" s="534" customFormat="1" ht="18" customHeight="1" thickTop="1" thickBot="1" x14ac:dyDescent="0.3">
      <c r="A1049" s="2685" t="s">
        <v>258</v>
      </c>
      <c r="B1049" s="2686"/>
      <c r="C1049" s="2686"/>
      <c r="D1049" s="2686"/>
      <c r="E1049" s="2686"/>
      <c r="F1049" s="862">
        <v>0</v>
      </c>
      <c r="G1049" s="862">
        <f>G1047+G1048</f>
        <v>873</v>
      </c>
      <c r="H1049" s="862">
        <f>H1047+H1048</f>
        <v>873</v>
      </c>
      <c r="I1049" s="863">
        <f t="shared" si="3"/>
        <v>100</v>
      </c>
    </row>
    <row r="1050" spans="1:14" s="534" customFormat="1" ht="18" customHeight="1" thickTop="1" x14ac:dyDescent="0.25">
      <c r="A1050" s="1312">
        <v>60005100136</v>
      </c>
      <c r="B1050" s="1313">
        <v>3522</v>
      </c>
      <c r="C1050" s="1313">
        <v>6121</v>
      </c>
      <c r="D1050" s="1276">
        <v>14</v>
      </c>
      <c r="E1050" s="1275" t="s">
        <v>640</v>
      </c>
      <c r="F1050" s="1274">
        <v>36279</v>
      </c>
      <c r="G1050" s="1274">
        <v>31347</v>
      </c>
      <c r="H1050" s="1274">
        <v>31079</v>
      </c>
      <c r="I1050" s="874">
        <f>(H1050/G1050)*100</f>
        <v>99.145053753150222</v>
      </c>
    </row>
    <row r="1051" spans="1:14" s="384" customFormat="1" ht="15" x14ac:dyDescent="0.25">
      <c r="A1051" s="1312">
        <v>60005100136</v>
      </c>
      <c r="B1051" s="1313">
        <v>3522</v>
      </c>
      <c r="C1051" s="1314">
        <v>6121</v>
      </c>
      <c r="D1051" s="998">
        <v>870</v>
      </c>
      <c r="E1051" s="1259" t="s">
        <v>640</v>
      </c>
      <c r="F1051" s="414"/>
      <c r="G1051" s="1263">
        <v>31347</v>
      </c>
      <c r="H1051" s="414">
        <v>31079</v>
      </c>
      <c r="I1051" s="874">
        <f t="shared" si="3"/>
        <v>99.145053753150222</v>
      </c>
    </row>
    <row r="1052" spans="1:14" s="384" customFormat="1" ht="15" x14ac:dyDescent="0.25">
      <c r="A1052" s="1312">
        <v>60005100136</v>
      </c>
      <c r="B1052" s="1313">
        <v>3522</v>
      </c>
      <c r="C1052" s="1313">
        <v>6122</v>
      </c>
      <c r="D1052" s="1276">
        <v>870</v>
      </c>
      <c r="E1052" s="1275" t="s">
        <v>641</v>
      </c>
      <c r="F1052" s="1274"/>
      <c r="G1052" s="1274">
        <v>3626</v>
      </c>
      <c r="H1052" s="1274">
        <v>3626</v>
      </c>
      <c r="I1052" s="874">
        <f t="shared" si="3"/>
        <v>100</v>
      </c>
    </row>
    <row r="1053" spans="1:14" s="384" customFormat="1" ht="15.75" thickBot="1" x14ac:dyDescent="0.3">
      <c r="A1053" s="1315">
        <v>60005100136</v>
      </c>
      <c r="B1053" s="1316">
        <v>3522</v>
      </c>
      <c r="C1053" s="1317">
        <v>6125</v>
      </c>
      <c r="D1053" s="1004">
        <v>870</v>
      </c>
      <c r="E1053" s="1271" t="s">
        <v>187</v>
      </c>
      <c r="F1053" s="1272"/>
      <c r="G1053" s="1273">
        <v>701</v>
      </c>
      <c r="H1053" s="1272">
        <v>701</v>
      </c>
      <c r="I1053" s="1012">
        <f t="shared" si="3"/>
        <v>100</v>
      </c>
    </row>
    <row r="1054" spans="1:14" s="534" customFormat="1" ht="18" customHeight="1" thickTop="1" thickBot="1" x14ac:dyDescent="0.3">
      <c r="A1054" s="2699" t="s">
        <v>257</v>
      </c>
      <c r="B1054" s="2698"/>
      <c r="C1054" s="2698"/>
      <c r="D1054" s="2698"/>
      <c r="E1054" s="2698"/>
      <c r="F1054" s="911">
        <f>F1050</f>
        <v>36279</v>
      </c>
      <c r="G1054" s="911">
        <f>G1051+G1052+G1053</f>
        <v>35674</v>
      </c>
      <c r="H1054" s="911">
        <f>H1051+H1052+H1053</f>
        <v>35406</v>
      </c>
      <c r="I1054" s="863">
        <f t="shared" si="3"/>
        <v>99.248752592924816</v>
      </c>
    </row>
    <row r="1055" spans="1:14" ht="13.5" thickTop="1" x14ac:dyDescent="0.2">
      <c r="K1055" s="951"/>
      <c r="L1055" s="951"/>
      <c r="M1055" s="951"/>
      <c r="N1055" s="433"/>
    </row>
    <row r="1056" spans="1:14" x14ac:dyDescent="0.2">
      <c r="K1056" s="951"/>
      <c r="L1056" s="951"/>
      <c r="M1056" s="951"/>
      <c r="N1056" s="433"/>
    </row>
    <row r="1057" spans="1:14" s="534" customFormat="1" ht="13.5" thickBot="1" x14ac:dyDescent="0.25">
      <c r="A1057" s="433" t="s">
        <v>300</v>
      </c>
      <c r="B1057" s="645"/>
      <c r="D1057" s="852"/>
      <c r="F1057" s="495"/>
      <c r="G1057" s="495"/>
      <c r="H1057" s="495"/>
      <c r="I1057" s="989" t="s">
        <v>173</v>
      </c>
    </row>
    <row r="1058" spans="1:14" s="107" customFormat="1" ht="20.25" customHeight="1" thickTop="1" thickBot="1" x14ac:dyDescent="0.25">
      <c r="A1058" s="690" t="s">
        <v>661</v>
      </c>
      <c r="B1058" s="693" t="s">
        <v>174</v>
      </c>
      <c r="C1058" s="691" t="s">
        <v>175</v>
      </c>
      <c r="D1058" s="636" t="s">
        <v>744</v>
      </c>
      <c r="E1058" s="694" t="s">
        <v>176</v>
      </c>
      <c r="F1058" s="694" t="s">
        <v>177</v>
      </c>
      <c r="G1058" s="694" t="s">
        <v>922</v>
      </c>
      <c r="H1058" s="694" t="s">
        <v>923</v>
      </c>
      <c r="I1058" s="856" t="s">
        <v>924</v>
      </c>
    </row>
    <row r="1059" spans="1:14" s="384" customFormat="1" ht="13.5" thickTop="1" thickBot="1" x14ac:dyDescent="0.25">
      <c r="A1059" s="1254">
        <v>1</v>
      </c>
      <c r="B1059" s="1255">
        <v>2</v>
      </c>
      <c r="C1059" s="1255">
        <v>3</v>
      </c>
      <c r="D1059" s="1255">
        <v>4</v>
      </c>
      <c r="E1059" s="569">
        <v>5</v>
      </c>
      <c r="F1059" s="1256">
        <v>6</v>
      </c>
      <c r="G1059" s="1256">
        <v>7</v>
      </c>
      <c r="H1059" s="1257">
        <v>8</v>
      </c>
      <c r="I1059" s="1258" t="s">
        <v>801</v>
      </c>
    </row>
    <row r="1060" spans="1:14" s="534" customFormat="1" ht="16.5" thickTop="1" thickBot="1" x14ac:dyDescent="0.3">
      <c r="A1060" s="1266">
        <v>60005100293</v>
      </c>
      <c r="B1060" s="1007">
        <v>3523</v>
      </c>
      <c r="C1060" s="1267">
        <v>6121</v>
      </c>
      <c r="D1060" s="1008">
        <v>14</v>
      </c>
      <c r="E1060" s="1009" t="s">
        <v>640</v>
      </c>
      <c r="F1060" s="928"/>
      <c r="G1060" s="1269">
        <v>5135</v>
      </c>
      <c r="H1060" s="928">
        <v>5112</v>
      </c>
      <c r="I1060" s="1270">
        <f>(H1060/G1060)*100</f>
        <v>99.552093476144108</v>
      </c>
    </row>
    <row r="1061" spans="1:14" s="534" customFormat="1" ht="18" customHeight="1" thickTop="1" thickBot="1" x14ac:dyDescent="0.3">
      <c r="A1061" s="2699" t="s">
        <v>257</v>
      </c>
      <c r="B1061" s="2698"/>
      <c r="C1061" s="2698"/>
      <c r="D1061" s="2698"/>
      <c r="E1061" s="2698"/>
      <c r="F1061" s="911">
        <f>F1060</f>
        <v>0</v>
      </c>
      <c r="G1061" s="911">
        <f>G1060</f>
        <v>5135</v>
      </c>
      <c r="H1061" s="911">
        <f>H1060</f>
        <v>5112</v>
      </c>
      <c r="I1061" s="894">
        <f>(H1061/G1061)*100</f>
        <v>99.552093476144108</v>
      </c>
    </row>
    <row r="1062" spans="1:14" ht="13.5" thickTop="1" x14ac:dyDescent="0.2">
      <c r="K1062" s="951"/>
      <c r="L1062" s="951"/>
      <c r="M1062" s="951"/>
      <c r="N1062" s="433"/>
    </row>
    <row r="1063" spans="1:14" x14ac:dyDescent="0.2">
      <c r="K1063" s="951"/>
      <c r="L1063" s="951"/>
      <c r="M1063" s="951"/>
      <c r="N1063" s="433"/>
    </row>
    <row r="1064" spans="1:14" x14ac:dyDescent="0.2">
      <c r="K1064" s="951"/>
      <c r="L1064" s="951"/>
      <c r="M1064" s="951"/>
      <c r="N1064" s="433"/>
    </row>
    <row r="1065" spans="1:14" x14ac:dyDescent="0.2">
      <c r="K1065" s="951"/>
      <c r="L1065" s="951"/>
      <c r="M1065" s="951"/>
      <c r="N1065" s="433"/>
    </row>
    <row r="1066" spans="1:14" x14ac:dyDescent="0.2">
      <c r="K1066" s="951"/>
      <c r="L1066" s="951"/>
      <c r="M1066" s="951"/>
      <c r="N1066" s="433"/>
    </row>
    <row r="1067" spans="1:14" x14ac:dyDescent="0.2">
      <c r="K1067" s="951"/>
      <c r="L1067" s="951"/>
      <c r="M1067" s="951"/>
      <c r="N1067" s="433"/>
    </row>
    <row r="1068" spans="1:14" x14ac:dyDescent="0.2">
      <c r="K1068" s="951"/>
      <c r="L1068" s="951"/>
      <c r="M1068" s="951"/>
      <c r="N1068" s="433"/>
    </row>
    <row r="1069" spans="1:14" s="534" customFormat="1" ht="13.5" thickBot="1" x14ac:dyDescent="0.25">
      <c r="A1069" s="433" t="s">
        <v>301</v>
      </c>
      <c r="B1069" s="645"/>
      <c r="D1069" s="852"/>
      <c r="F1069" s="495"/>
      <c r="G1069" s="495"/>
      <c r="H1069" s="495"/>
      <c r="I1069" s="989" t="s">
        <v>173</v>
      </c>
    </row>
    <row r="1070" spans="1:14" s="107" customFormat="1" ht="20.25" customHeight="1" thickTop="1" thickBot="1" x14ac:dyDescent="0.25">
      <c r="A1070" s="690" t="s">
        <v>661</v>
      </c>
      <c r="B1070" s="693" t="s">
        <v>174</v>
      </c>
      <c r="C1070" s="691" t="s">
        <v>175</v>
      </c>
      <c r="D1070" s="636" t="s">
        <v>744</v>
      </c>
      <c r="E1070" s="694" t="s">
        <v>176</v>
      </c>
      <c r="F1070" s="694" t="s">
        <v>177</v>
      </c>
      <c r="G1070" s="694" t="s">
        <v>922</v>
      </c>
      <c r="H1070" s="694" t="s">
        <v>923</v>
      </c>
      <c r="I1070" s="856" t="s">
        <v>924</v>
      </c>
    </row>
    <row r="1071" spans="1:14" s="384" customFormat="1" ht="13.5" thickTop="1" thickBot="1" x14ac:dyDescent="0.25">
      <c r="A1071" s="1254">
        <v>1</v>
      </c>
      <c r="B1071" s="1255">
        <v>2</v>
      </c>
      <c r="C1071" s="1255">
        <v>3</v>
      </c>
      <c r="D1071" s="1255">
        <v>4</v>
      </c>
      <c r="E1071" s="569">
        <v>5</v>
      </c>
      <c r="F1071" s="1256">
        <v>6</v>
      </c>
      <c r="G1071" s="1256">
        <v>7</v>
      </c>
      <c r="H1071" s="1257">
        <v>8</v>
      </c>
      <c r="I1071" s="1258" t="s">
        <v>801</v>
      </c>
    </row>
    <row r="1072" spans="1:14" s="534" customFormat="1" ht="16.5" thickTop="1" thickBot="1" x14ac:dyDescent="0.3">
      <c r="A1072" s="1266">
        <v>60005100294</v>
      </c>
      <c r="B1072" s="1007">
        <v>4322</v>
      </c>
      <c r="C1072" s="1267">
        <v>6121</v>
      </c>
      <c r="D1072" s="1008">
        <v>14</v>
      </c>
      <c r="E1072" s="1009" t="s">
        <v>640</v>
      </c>
      <c r="F1072" s="928"/>
      <c r="G1072" s="1269">
        <v>1971</v>
      </c>
      <c r="H1072" s="928">
        <v>518</v>
      </c>
      <c r="I1072" s="1270">
        <f>(H1072/G1072)*100</f>
        <v>26.281075596144088</v>
      </c>
    </row>
    <row r="1073" spans="1:14" s="534" customFormat="1" ht="18" customHeight="1" thickTop="1" thickBot="1" x14ac:dyDescent="0.3">
      <c r="A1073" s="2699" t="s">
        <v>257</v>
      </c>
      <c r="B1073" s="2698"/>
      <c r="C1073" s="2698"/>
      <c r="D1073" s="2698"/>
      <c r="E1073" s="2698"/>
      <c r="F1073" s="911">
        <f>F1072</f>
        <v>0</v>
      </c>
      <c r="G1073" s="911">
        <f>G1072</f>
        <v>1971</v>
      </c>
      <c r="H1073" s="911">
        <f>H1072</f>
        <v>518</v>
      </c>
      <c r="I1073" s="894">
        <f>(H1073/G1073)*100</f>
        <v>26.281075596144088</v>
      </c>
    </row>
    <row r="1074" spans="1:14" ht="13.5" thickTop="1" x14ac:dyDescent="0.2">
      <c r="K1074" s="951"/>
      <c r="L1074" s="951"/>
      <c r="M1074" s="951"/>
      <c r="N1074" s="433"/>
    </row>
    <row r="1075" spans="1:14" x14ac:dyDescent="0.2">
      <c r="K1075" s="951"/>
      <c r="L1075" s="951"/>
      <c r="M1075" s="951"/>
      <c r="N1075" s="433"/>
    </row>
    <row r="1076" spans="1:14" s="534" customFormat="1" ht="13.5" thickBot="1" x14ac:dyDescent="0.25">
      <c r="A1076" s="433" t="s">
        <v>302</v>
      </c>
      <c r="B1076" s="645"/>
      <c r="D1076" s="852"/>
      <c r="F1076" s="495"/>
      <c r="G1076" s="495"/>
      <c r="H1076" s="495"/>
      <c r="I1076" s="989" t="s">
        <v>173</v>
      </c>
    </row>
    <row r="1077" spans="1:14" s="107" customFormat="1" ht="20.25" customHeight="1" thickTop="1" thickBot="1" x14ac:dyDescent="0.25">
      <c r="A1077" s="690" t="s">
        <v>661</v>
      </c>
      <c r="B1077" s="693" t="s">
        <v>174</v>
      </c>
      <c r="C1077" s="691" t="s">
        <v>175</v>
      </c>
      <c r="D1077" s="636" t="s">
        <v>744</v>
      </c>
      <c r="E1077" s="694" t="s">
        <v>176</v>
      </c>
      <c r="F1077" s="694" t="s">
        <v>177</v>
      </c>
      <c r="G1077" s="694" t="s">
        <v>922</v>
      </c>
      <c r="H1077" s="694" t="s">
        <v>923</v>
      </c>
      <c r="I1077" s="856" t="s">
        <v>924</v>
      </c>
    </row>
    <row r="1078" spans="1:14" s="384" customFormat="1" ht="13.5" thickTop="1" thickBot="1" x14ac:dyDescent="0.25">
      <c r="A1078" s="1254">
        <v>1</v>
      </c>
      <c r="B1078" s="1255">
        <v>2</v>
      </c>
      <c r="C1078" s="1255">
        <v>3</v>
      </c>
      <c r="D1078" s="1255">
        <v>4</v>
      </c>
      <c r="E1078" s="569">
        <v>5</v>
      </c>
      <c r="F1078" s="1256">
        <v>6</v>
      </c>
      <c r="G1078" s="1256">
        <v>7</v>
      </c>
      <c r="H1078" s="1257">
        <v>8</v>
      </c>
      <c r="I1078" s="1258" t="s">
        <v>801</v>
      </c>
    </row>
    <row r="1079" spans="1:14" s="534" customFormat="1" ht="16.5" thickTop="1" thickBot="1" x14ac:dyDescent="0.3">
      <c r="A1079" s="1266">
        <v>60005100298</v>
      </c>
      <c r="B1079" s="1007">
        <v>3523</v>
      </c>
      <c r="C1079" s="1267">
        <v>6121</v>
      </c>
      <c r="D1079" s="1008">
        <v>14</v>
      </c>
      <c r="E1079" s="1009" t="s">
        <v>640</v>
      </c>
      <c r="F1079" s="928"/>
      <c r="G1079" s="1269">
        <v>500</v>
      </c>
      <c r="H1079" s="928">
        <v>19</v>
      </c>
      <c r="I1079" s="1270">
        <f>(H1079/G1079)*100</f>
        <v>3.8</v>
      </c>
    </row>
    <row r="1080" spans="1:14" s="534" customFormat="1" ht="18" customHeight="1" thickTop="1" thickBot="1" x14ac:dyDescent="0.3">
      <c r="A1080" s="2699" t="s">
        <v>257</v>
      </c>
      <c r="B1080" s="2698"/>
      <c r="C1080" s="2698"/>
      <c r="D1080" s="2698"/>
      <c r="E1080" s="2698"/>
      <c r="F1080" s="911">
        <f>F1079</f>
        <v>0</v>
      </c>
      <c r="G1080" s="911">
        <f>G1079</f>
        <v>500</v>
      </c>
      <c r="H1080" s="911">
        <f>H1079</f>
        <v>19</v>
      </c>
      <c r="I1080" s="894">
        <f>(H1080/G1080)*100</f>
        <v>3.8</v>
      </c>
    </row>
    <row r="1081" spans="1:14" ht="13.5" thickTop="1" x14ac:dyDescent="0.2">
      <c r="K1081" s="951"/>
      <c r="L1081" s="951"/>
      <c r="M1081" s="951"/>
      <c r="N1081" s="433"/>
    </row>
    <row r="1082" spans="1:14" x14ac:dyDescent="0.2">
      <c r="K1082" s="951"/>
      <c r="L1082" s="951"/>
      <c r="M1082" s="951"/>
      <c r="N1082" s="433"/>
    </row>
    <row r="1083" spans="1:14" s="534" customFormat="1" ht="13.5" thickBot="1" x14ac:dyDescent="0.25">
      <c r="A1083" s="433" t="s">
        <v>1222</v>
      </c>
      <c r="B1083" s="645"/>
      <c r="D1083" s="852"/>
      <c r="F1083" s="495"/>
      <c r="G1083" s="495"/>
      <c r="H1083" s="495"/>
      <c r="I1083" s="989" t="s">
        <v>173</v>
      </c>
    </row>
    <row r="1084" spans="1:14" s="107" customFormat="1" ht="20.25" customHeight="1" thickTop="1" thickBot="1" x14ac:dyDescent="0.25">
      <c r="A1084" s="690" t="s">
        <v>661</v>
      </c>
      <c r="B1084" s="693" t="s">
        <v>174</v>
      </c>
      <c r="C1084" s="691" t="s">
        <v>175</v>
      </c>
      <c r="D1084" s="636" t="s">
        <v>744</v>
      </c>
      <c r="E1084" s="694" t="s">
        <v>176</v>
      </c>
      <c r="F1084" s="694" t="s">
        <v>177</v>
      </c>
      <c r="G1084" s="694" t="s">
        <v>922</v>
      </c>
      <c r="H1084" s="694" t="s">
        <v>923</v>
      </c>
      <c r="I1084" s="856" t="s">
        <v>924</v>
      </c>
    </row>
    <row r="1085" spans="1:14" s="384" customFormat="1" ht="13.5" thickTop="1" thickBot="1" x14ac:dyDescent="0.25">
      <c r="A1085" s="1254">
        <v>1</v>
      </c>
      <c r="B1085" s="1255">
        <v>2</v>
      </c>
      <c r="C1085" s="1255">
        <v>3</v>
      </c>
      <c r="D1085" s="1255">
        <v>4</v>
      </c>
      <c r="E1085" s="569">
        <v>5</v>
      </c>
      <c r="F1085" s="1256">
        <v>6</v>
      </c>
      <c r="G1085" s="1256">
        <v>7</v>
      </c>
      <c r="H1085" s="1257">
        <v>8</v>
      </c>
      <c r="I1085" s="1258" t="s">
        <v>801</v>
      </c>
    </row>
    <row r="1086" spans="1:14" s="534" customFormat="1" ht="16.5" thickTop="1" thickBot="1" x14ac:dyDescent="0.3">
      <c r="A1086" s="1266">
        <v>60005100299</v>
      </c>
      <c r="B1086" s="1007">
        <v>3522</v>
      </c>
      <c r="C1086" s="1267">
        <v>6121</v>
      </c>
      <c r="D1086" s="1008">
        <v>14</v>
      </c>
      <c r="E1086" s="1009" t="s">
        <v>640</v>
      </c>
      <c r="F1086" s="928"/>
      <c r="G1086" s="1269">
        <v>118</v>
      </c>
      <c r="H1086" s="928">
        <v>118</v>
      </c>
      <c r="I1086" s="1270">
        <f>(H1086/G1086)*100</f>
        <v>100</v>
      </c>
    </row>
    <row r="1087" spans="1:14" s="534" customFormat="1" ht="18" customHeight="1" thickTop="1" thickBot="1" x14ac:dyDescent="0.3">
      <c r="A1087" s="2699" t="s">
        <v>257</v>
      </c>
      <c r="B1087" s="2698"/>
      <c r="C1087" s="2698"/>
      <c r="D1087" s="2698"/>
      <c r="E1087" s="2698"/>
      <c r="F1087" s="911">
        <f>F1086</f>
        <v>0</v>
      </c>
      <c r="G1087" s="911">
        <f>G1086</f>
        <v>118</v>
      </c>
      <c r="H1087" s="911">
        <f>H1086</f>
        <v>118</v>
      </c>
      <c r="I1087" s="894">
        <f>(H1087/G1087)*100</f>
        <v>100</v>
      </c>
    </row>
    <row r="1088" spans="1:14" ht="13.5" thickTop="1" x14ac:dyDescent="0.2">
      <c r="K1088" s="951"/>
      <c r="L1088" s="951"/>
      <c r="M1088" s="951"/>
      <c r="N1088" s="433"/>
    </row>
    <row r="1089" spans="1:14" x14ac:dyDescent="0.2">
      <c r="K1089" s="951"/>
      <c r="L1089" s="951"/>
      <c r="M1089" s="951"/>
      <c r="N1089" s="433"/>
    </row>
    <row r="1090" spans="1:14" s="534" customFormat="1" ht="13.5" thickBot="1" x14ac:dyDescent="0.25">
      <c r="A1090" s="433" t="s">
        <v>1223</v>
      </c>
      <c r="B1090" s="645"/>
      <c r="D1090" s="852"/>
      <c r="F1090" s="495"/>
      <c r="G1090" s="495"/>
      <c r="H1090" s="495"/>
      <c r="I1090" s="989" t="s">
        <v>173</v>
      </c>
    </row>
    <row r="1091" spans="1:14" s="107" customFormat="1" ht="20.25" customHeight="1" thickTop="1" thickBot="1" x14ac:dyDescent="0.25">
      <c r="A1091" s="690" t="s">
        <v>661</v>
      </c>
      <c r="B1091" s="693" t="s">
        <v>174</v>
      </c>
      <c r="C1091" s="691" t="s">
        <v>175</v>
      </c>
      <c r="D1091" s="636" t="s">
        <v>744</v>
      </c>
      <c r="E1091" s="694" t="s">
        <v>176</v>
      </c>
      <c r="F1091" s="694" t="s">
        <v>177</v>
      </c>
      <c r="G1091" s="694" t="s">
        <v>922</v>
      </c>
      <c r="H1091" s="694" t="s">
        <v>923</v>
      </c>
      <c r="I1091" s="856" t="s">
        <v>924</v>
      </c>
    </row>
    <row r="1092" spans="1:14" s="384" customFormat="1" ht="13.5" thickTop="1" thickBot="1" x14ac:dyDescent="0.25">
      <c r="A1092" s="1254">
        <v>1</v>
      </c>
      <c r="B1092" s="1255">
        <v>2</v>
      </c>
      <c r="C1092" s="1255">
        <v>3</v>
      </c>
      <c r="D1092" s="1255">
        <v>4</v>
      </c>
      <c r="E1092" s="569">
        <v>5</v>
      </c>
      <c r="F1092" s="1256">
        <v>6</v>
      </c>
      <c r="G1092" s="1256">
        <v>7</v>
      </c>
      <c r="H1092" s="1257">
        <v>8</v>
      </c>
      <c r="I1092" s="1258" t="s">
        <v>801</v>
      </c>
    </row>
    <row r="1093" spans="1:14" s="534" customFormat="1" ht="16.5" thickTop="1" thickBot="1" x14ac:dyDescent="0.3">
      <c r="A1093" s="1266">
        <v>60005100300</v>
      </c>
      <c r="B1093" s="1007">
        <v>3523</v>
      </c>
      <c r="C1093" s="1267">
        <v>6121</v>
      </c>
      <c r="D1093" s="1008">
        <v>14</v>
      </c>
      <c r="E1093" s="1009" t="s">
        <v>640</v>
      </c>
      <c r="F1093" s="928"/>
      <c r="G1093" s="1269">
        <v>1200</v>
      </c>
      <c r="H1093" s="928">
        <v>1115</v>
      </c>
      <c r="I1093" s="1270">
        <f>(H1093/G1093)*100</f>
        <v>92.916666666666671</v>
      </c>
    </row>
    <row r="1094" spans="1:14" s="534" customFormat="1" ht="18" customHeight="1" thickTop="1" thickBot="1" x14ac:dyDescent="0.3">
      <c r="A1094" s="2699" t="s">
        <v>257</v>
      </c>
      <c r="B1094" s="2698"/>
      <c r="C1094" s="2698"/>
      <c r="D1094" s="2698"/>
      <c r="E1094" s="2698"/>
      <c r="F1094" s="911">
        <f>F1093</f>
        <v>0</v>
      </c>
      <c r="G1094" s="911">
        <f>G1093</f>
        <v>1200</v>
      </c>
      <c r="H1094" s="911">
        <f>H1093</f>
        <v>1115</v>
      </c>
      <c r="I1094" s="894">
        <f>(H1094/G1094)*100</f>
        <v>92.916666666666671</v>
      </c>
    </row>
    <row r="1095" spans="1:14" ht="13.5" thickTop="1" x14ac:dyDescent="0.2">
      <c r="K1095" s="951"/>
      <c r="L1095" s="951"/>
      <c r="M1095" s="951"/>
      <c r="N1095" s="433"/>
    </row>
    <row r="1096" spans="1:14" x14ac:dyDescent="0.2">
      <c r="K1096" s="951"/>
      <c r="L1096" s="951"/>
      <c r="M1096" s="951"/>
      <c r="N1096" s="433"/>
    </row>
    <row r="1097" spans="1:14" s="534" customFormat="1" ht="13.5" thickBot="1" x14ac:dyDescent="0.25">
      <c r="A1097" s="433" t="s">
        <v>1224</v>
      </c>
      <c r="B1097" s="645"/>
      <c r="D1097" s="852"/>
      <c r="F1097" s="495"/>
      <c r="G1097" s="495"/>
      <c r="H1097" s="495"/>
      <c r="I1097" s="989" t="s">
        <v>173</v>
      </c>
    </row>
    <row r="1098" spans="1:14" s="107" customFormat="1" ht="20.25" customHeight="1" thickTop="1" thickBot="1" x14ac:dyDescent="0.25">
      <c r="A1098" s="690" t="s">
        <v>661</v>
      </c>
      <c r="B1098" s="693" t="s">
        <v>174</v>
      </c>
      <c r="C1098" s="691" t="s">
        <v>175</v>
      </c>
      <c r="D1098" s="636" t="s">
        <v>744</v>
      </c>
      <c r="E1098" s="694" t="s">
        <v>176</v>
      </c>
      <c r="F1098" s="694" t="s">
        <v>177</v>
      </c>
      <c r="G1098" s="694" t="s">
        <v>922</v>
      </c>
      <c r="H1098" s="694" t="s">
        <v>923</v>
      </c>
      <c r="I1098" s="856" t="s">
        <v>924</v>
      </c>
    </row>
    <row r="1099" spans="1:14" s="384" customFormat="1" ht="13.5" thickTop="1" thickBot="1" x14ac:dyDescent="0.25">
      <c r="A1099" s="1254">
        <v>1</v>
      </c>
      <c r="B1099" s="1255">
        <v>2</v>
      </c>
      <c r="C1099" s="1255">
        <v>3</v>
      </c>
      <c r="D1099" s="1255">
        <v>4</v>
      </c>
      <c r="E1099" s="569">
        <v>5</v>
      </c>
      <c r="F1099" s="1256">
        <v>6</v>
      </c>
      <c r="G1099" s="1256">
        <v>7</v>
      </c>
      <c r="H1099" s="1257">
        <v>8</v>
      </c>
      <c r="I1099" s="1258" t="s">
        <v>801</v>
      </c>
    </row>
    <row r="1100" spans="1:14" s="534" customFormat="1" ht="16.5" thickTop="1" thickBot="1" x14ac:dyDescent="0.3">
      <c r="A1100" s="1266">
        <v>60005100301</v>
      </c>
      <c r="B1100" s="1007">
        <v>3523</v>
      </c>
      <c r="C1100" s="1267">
        <v>6121</v>
      </c>
      <c r="D1100" s="1008">
        <v>870</v>
      </c>
      <c r="E1100" s="1009" t="s">
        <v>640</v>
      </c>
      <c r="F1100" s="928"/>
      <c r="G1100" s="1269">
        <v>7196</v>
      </c>
      <c r="H1100" s="928">
        <v>3446</v>
      </c>
      <c r="I1100" s="1270">
        <f>(H1100/G1100)*100</f>
        <v>47.887715397443024</v>
      </c>
    </row>
    <row r="1101" spans="1:14" s="534" customFormat="1" ht="18" customHeight="1" thickTop="1" thickBot="1" x14ac:dyDescent="0.3">
      <c r="A1101" s="2699" t="s">
        <v>257</v>
      </c>
      <c r="B1101" s="2698"/>
      <c r="C1101" s="2698"/>
      <c r="D1101" s="2698"/>
      <c r="E1101" s="2698"/>
      <c r="F1101" s="911">
        <f>F1100</f>
        <v>0</v>
      </c>
      <c r="G1101" s="911">
        <f>G1100</f>
        <v>7196</v>
      </c>
      <c r="H1101" s="911">
        <f>H1100</f>
        <v>3446</v>
      </c>
      <c r="I1101" s="894">
        <f>(H1101/G1101)*100</f>
        <v>47.887715397443024</v>
      </c>
    </row>
    <row r="1102" spans="1:14" ht="13.5" thickTop="1" x14ac:dyDescent="0.2">
      <c r="K1102" s="951"/>
      <c r="L1102" s="951"/>
      <c r="M1102" s="951"/>
      <c r="N1102" s="433"/>
    </row>
    <row r="1103" spans="1:14" x14ac:dyDescent="0.2">
      <c r="K1103" s="951"/>
      <c r="L1103" s="951"/>
      <c r="M1103" s="951"/>
      <c r="N1103" s="433"/>
    </row>
    <row r="1104" spans="1:14" s="534" customFormat="1" ht="13.5" thickBot="1" x14ac:dyDescent="0.25">
      <c r="A1104" s="433" t="s">
        <v>18</v>
      </c>
      <c r="B1104" s="645"/>
      <c r="D1104" s="852"/>
      <c r="F1104" s="495"/>
      <c r="G1104" s="495"/>
      <c r="H1104" s="495"/>
      <c r="I1104" s="989" t="s">
        <v>173</v>
      </c>
    </row>
    <row r="1105" spans="1:14" s="107" customFormat="1" ht="20.25" customHeight="1" thickTop="1" thickBot="1" x14ac:dyDescent="0.25">
      <c r="A1105" s="690" t="s">
        <v>661</v>
      </c>
      <c r="B1105" s="693" t="s">
        <v>174</v>
      </c>
      <c r="C1105" s="691" t="s">
        <v>175</v>
      </c>
      <c r="D1105" s="636" t="s">
        <v>744</v>
      </c>
      <c r="E1105" s="694" t="s">
        <v>176</v>
      </c>
      <c r="F1105" s="694" t="s">
        <v>177</v>
      </c>
      <c r="G1105" s="694" t="s">
        <v>922</v>
      </c>
      <c r="H1105" s="694" t="s">
        <v>923</v>
      </c>
      <c r="I1105" s="856" t="s">
        <v>924</v>
      </c>
    </row>
    <row r="1106" spans="1:14" s="384" customFormat="1" ht="13.5" thickTop="1" thickBot="1" x14ac:dyDescent="0.25">
      <c r="A1106" s="1254">
        <v>1</v>
      </c>
      <c r="B1106" s="1255">
        <v>2</v>
      </c>
      <c r="C1106" s="1255">
        <v>3</v>
      </c>
      <c r="D1106" s="1255">
        <v>4</v>
      </c>
      <c r="E1106" s="569">
        <v>5</v>
      </c>
      <c r="F1106" s="1256">
        <v>6</v>
      </c>
      <c r="G1106" s="1256">
        <v>7</v>
      </c>
      <c r="H1106" s="1257">
        <v>8</v>
      </c>
      <c r="I1106" s="1258" t="s">
        <v>801</v>
      </c>
    </row>
    <row r="1107" spans="1:14" s="534" customFormat="1" ht="16.5" thickTop="1" thickBot="1" x14ac:dyDescent="0.3">
      <c r="A1107" s="1266">
        <v>60005100302</v>
      </c>
      <c r="B1107" s="1007">
        <v>3522</v>
      </c>
      <c r="C1107" s="1267">
        <v>6121</v>
      </c>
      <c r="D1107" s="1008">
        <v>14</v>
      </c>
      <c r="E1107" s="1009" t="s">
        <v>640</v>
      </c>
      <c r="F1107" s="928"/>
      <c r="G1107" s="1269">
        <v>2079</v>
      </c>
      <c r="H1107" s="928">
        <v>1879</v>
      </c>
      <c r="I1107" s="1270">
        <f>(H1107/G1107)*100</f>
        <v>90.379990379990389</v>
      </c>
    </row>
    <row r="1108" spans="1:14" s="534" customFormat="1" ht="18" customHeight="1" thickTop="1" thickBot="1" x14ac:dyDescent="0.3">
      <c r="A1108" s="2699" t="s">
        <v>257</v>
      </c>
      <c r="B1108" s="2698"/>
      <c r="C1108" s="2698"/>
      <c r="D1108" s="2698"/>
      <c r="E1108" s="2698"/>
      <c r="F1108" s="911">
        <f>F1107</f>
        <v>0</v>
      </c>
      <c r="G1108" s="911">
        <f>G1107</f>
        <v>2079</v>
      </c>
      <c r="H1108" s="911">
        <f>H1107</f>
        <v>1879</v>
      </c>
      <c r="I1108" s="894">
        <f>(H1108/G1108)*100</f>
        <v>90.379990379990389</v>
      </c>
    </row>
    <row r="1109" spans="1:14" ht="13.5" thickTop="1" x14ac:dyDescent="0.2">
      <c r="K1109" s="951"/>
      <c r="L1109" s="951"/>
      <c r="M1109" s="951"/>
      <c r="N1109" s="433"/>
    </row>
    <row r="1110" spans="1:14" x14ac:dyDescent="0.2">
      <c r="K1110" s="951"/>
      <c r="L1110" s="951"/>
      <c r="M1110" s="951"/>
      <c r="N1110" s="433"/>
    </row>
    <row r="1111" spans="1:14" s="534" customFormat="1" ht="13.5" thickBot="1" x14ac:dyDescent="0.25">
      <c r="A1111" s="433" t="s">
        <v>19</v>
      </c>
      <c r="B1111" s="645"/>
      <c r="D1111" s="852"/>
      <c r="F1111" s="495"/>
      <c r="G1111" s="495"/>
      <c r="H1111" s="495"/>
      <c r="I1111" s="989" t="s">
        <v>173</v>
      </c>
    </row>
    <row r="1112" spans="1:14" s="107" customFormat="1" ht="20.25" customHeight="1" thickTop="1" thickBot="1" x14ac:dyDescent="0.25">
      <c r="A1112" s="690" t="s">
        <v>661</v>
      </c>
      <c r="B1112" s="693" t="s">
        <v>174</v>
      </c>
      <c r="C1112" s="691" t="s">
        <v>175</v>
      </c>
      <c r="D1112" s="636" t="s">
        <v>744</v>
      </c>
      <c r="E1112" s="694" t="s">
        <v>176</v>
      </c>
      <c r="F1112" s="694" t="s">
        <v>177</v>
      </c>
      <c r="G1112" s="694" t="s">
        <v>922</v>
      </c>
      <c r="H1112" s="694" t="s">
        <v>923</v>
      </c>
      <c r="I1112" s="856" t="s">
        <v>924</v>
      </c>
    </row>
    <row r="1113" spans="1:14" s="384" customFormat="1" ht="13.5" thickTop="1" thickBot="1" x14ac:dyDescent="0.25">
      <c r="A1113" s="1254">
        <v>1</v>
      </c>
      <c r="B1113" s="1255">
        <v>2</v>
      </c>
      <c r="C1113" s="1255">
        <v>3</v>
      </c>
      <c r="D1113" s="1255">
        <v>4</v>
      </c>
      <c r="E1113" s="569">
        <v>5</v>
      </c>
      <c r="F1113" s="1256">
        <v>6</v>
      </c>
      <c r="G1113" s="1256">
        <v>7</v>
      </c>
      <c r="H1113" s="1257">
        <v>8</v>
      </c>
      <c r="I1113" s="1258" t="s">
        <v>801</v>
      </c>
    </row>
    <row r="1114" spans="1:14" s="534" customFormat="1" ht="16.5" thickTop="1" thickBot="1" x14ac:dyDescent="0.3">
      <c r="A1114" s="1266">
        <v>60005100303</v>
      </c>
      <c r="B1114" s="1007">
        <v>3522</v>
      </c>
      <c r="C1114" s="1267">
        <v>6121</v>
      </c>
      <c r="D1114" s="1008">
        <v>14</v>
      </c>
      <c r="E1114" s="1009" t="s">
        <v>640</v>
      </c>
      <c r="F1114" s="928"/>
      <c r="G1114" s="1269">
        <v>60</v>
      </c>
      <c r="H1114" s="928">
        <v>60</v>
      </c>
      <c r="I1114" s="1270">
        <f>(H1114/G1114)*100</f>
        <v>100</v>
      </c>
    </row>
    <row r="1115" spans="1:14" s="534" customFormat="1" ht="18" customHeight="1" thickTop="1" thickBot="1" x14ac:dyDescent="0.3">
      <c r="A1115" s="2699" t="s">
        <v>257</v>
      </c>
      <c r="B1115" s="2698"/>
      <c r="C1115" s="2698"/>
      <c r="D1115" s="2698"/>
      <c r="E1115" s="2698"/>
      <c r="F1115" s="911">
        <f>F1114</f>
        <v>0</v>
      </c>
      <c r="G1115" s="911">
        <f>G1114</f>
        <v>60</v>
      </c>
      <c r="H1115" s="911">
        <f>H1114</f>
        <v>60</v>
      </c>
      <c r="I1115" s="894">
        <f>(H1115/G1115)*100</f>
        <v>100</v>
      </c>
    </row>
    <row r="1116" spans="1:14" ht="13.5" thickTop="1" x14ac:dyDescent="0.2">
      <c r="K1116" s="951"/>
      <c r="L1116" s="951"/>
      <c r="M1116" s="951"/>
      <c r="N1116" s="433"/>
    </row>
    <row r="1117" spans="1:14" x14ac:dyDescent="0.2">
      <c r="K1117" s="951"/>
      <c r="L1117" s="951"/>
      <c r="M1117" s="951"/>
      <c r="N1117" s="433"/>
    </row>
    <row r="1118" spans="1:14" s="534" customFormat="1" ht="13.5" thickBot="1" x14ac:dyDescent="0.25">
      <c r="A1118" s="433" t="s">
        <v>20</v>
      </c>
      <c r="B1118" s="645"/>
      <c r="D1118" s="852"/>
      <c r="F1118" s="495"/>
      <c r="G1118" s="495"/>
      <c r="H1118" s="495"/>
      <c r="I1118" s="989" t="s">
        <v>173</v>
      </c>
    </row>
    <row r="1119" spans="1:14" s="107" customFormat="1" ht="20.25" customHeight="1" thickTop="1" thickBot="1" x14ac:dyDescent="0.25">
      <c r="A1119" s="690" t="s">
        <v>661</v>
      </c>
      <c r="B1119" s="693" t="s">
        <v>174</v>
      </c>
      <c r="C1119" s="691" t="s">
        <v>175</v>
      </c>
      <c r="D1119" s="636" t="s">
        <v>744</v>
      </c>
      <c r="E1119" s="694" t="s">
        <v>176</v>
      </c>
      <c r="F1119" s="694" t="s">
        <v>177</v>
      </c>
      <c r="G1119" s="694" t="s">
        <v>922</v>
      </c>
      <c r="H1119" s="694" t="s">
        <v>923</v>
      </c>
      <c r="I1119" s="856" t="s">
        <v>924</v>
      </c>
    </row>
    <row r="1120" spans="1:14" s="384" customFormat="1" ht="13.5" thickTop="1" thickBot="1" x14ac:dyDescent="0.25">
      <c r="A1120" s="1254">
        <v>1</v>
      </c>
      <c r="B1120" s="1255">
        <v>2</v>
      </c>
      <c r="C1120" s="1255">
        <v>3</v>
      </c>
      <c r="D1120" s="1255">
        <v>4</v>
      </c>
      <c r="E1120" s="569">
        <v>5</v>
      </c>
      <c r="F1120" s="1256">
        <v>6</v>
      </c>
      <c r="G1120" s="1256">
        <v>7</v>
      </c>
      <c r="H1120" s="1257">
        <v>8</v>
      </c>
      <c r="I1120" s="1258" t="s">
        <v>801</v>
      </c>
    </row>
    <row r="1121" spans="1:14" s="534" customFormat="1" ht="16.5" thickTop="1" thickBot="1" x14ac:dyDescent="0.3">
      <c r="A1121" s="1266">
        <v>60005100304</v>
      </c>
      <c r="B1121" s="1007">
        <v>3522</v>
      </c>
      <c r="C1121" s="1267">
        <v>6121</v>
      </c>
      <c r="D1121" s="1008">
        <v>25</v>
      </c>
      <c r="E1121" s="1009" t="s">
        <v>640</v>
      </c>
      <c r="F1121" s="928"/>
      <c r="G1121" s="1269">
        <v>7082</v>
      </c>
      <c r="H1121" s="928">
        <v>7081</v>
      </c>
      <c r="I1121" s="1270">
        <f>(H1121/G1121)*100</f>
        <v>99.985879695001415</v>
      </c>
    </row>
    <row r="1122" spans="1:14" s="534" customFormat="1" ht="18" customHeight="1" thickTop="1" thickBot="1" x14ac:dyDescent="0.3">
      <c r="A1122" s="2699" t="s">
        <v>257</v>
      </c>
      <c r="B1122" s="2698"/>
      <c r="C1122" s="2698"/>
      <c r="D1122" s="2698"/>
      <c r="E1122" s="2698"/>
      <c r="F1122" s="911">
        <f>F1121</f>
        <v>0</v>
      </c>
      <c r="G1122" s="911">
        <f>G1121</f>
        <v>7082</v>
      </c>
      <c r="H1122" s="911">
        <f>H1121</f>
        <v>7081</v>
      </c>
      <c r="I1122" s="894">
        <f>(H1122/G1122)*100</f>
        <v>99.985879695001415</v>
      </c>
    </row>
    <row r="1123" spans="1:14" ht="13.5" thickTop="1" x14ac:dyDescent="0.2">
      <c r="K1123" s="951"/>
      <c r="L1123" s="951"/>
      <c r="M1123" s="951"/>
      <c r="N1123" s="433"/>
    </row>
    <row r="1124" spans="1:14" x14ac:dyDescent="0.2">
      <c r="K1124" s="951"/>
      <c r="L1124" s="951"/>
      <c r="M1124" s="951"/>
      <c r="N1124" s="433"/>
    </row>
    <row r="1125" spans="1:14" s="534" customFormat="1" ht="13.5" thickBot="1" x14ac:dyDescent="0.25">
      <c r="A1125" s="433" t="s">
        <v>21</v>
      </c>
      <c r="B1125" s="645"/>
      <c r="D1125" s="852"/>
      <c r="F1125" s="495"/>
      <c r="G1125" s="495"/>
      <c r="H1125" s="495"/>
      <c r="I1125" s="989" t="s">
        <v>173</v>
      </c>
    </row>
    <row r="1126" spans="1:14" s="107" customFormat="1" ht="20.25" customHeight="1" thickTop="1" thickBot="1" x14ac:dyDescent="0.25">
      <c r="A1126" s="690" t="s">
        <v>661</v>
      </c>
      <c r="B1126" s="693" t="s">
        <v>174</v>
      </c>
      <c r="C1126" s="691" t="s">
        <v>175</v>
      </c>
      <c r="D1126" s="636" t="s">
        <v>744</v>
      </c>
      <c r="E1126" s="694" t="s">
        <v>176</v>
      </c>
      <c r="F1126" s="694" t="s">
        <v>177</v>
      </c>
      <c r="G1126" s="694" t="s">
        <v>922</v>
      </c>
      <c r="H1126" s="694" t="s">
        <v>923</v>
      </c>
      <c r="I1126" s="856" t="s">
        <v>924</v>
      </c>
    </row>
    <row r="1127" spans="1:14" s="384" customFormat="1" ht="13.5" thickTop="1" thickBot="1" x14ac:dyDescent="0.25">
      <c r="A1127" s="1254">
        <v>1</v>
      </c>
      <c r="B1127" s="1255">
        <v>2</v>
      </c>
      <c r="C1127" s="1255">
        <v>3</v>
      </c>
      <c r="D1127" s="1255">
        <v>4</v>
      </c>
      <c r="E1127" s="569">
        <v>5</v>
      </c>
      <c r="F1127" s="1256">
        <v>6</v>
      </c>
      <c r="G1127" s="1256">
        <v>7</v>
      </c>
      <c r="H1127" s="1257">
        <v>8</v>
      </c>
      <c r="I1127" s="1258" t="s">
        <v>801</v>
      </c>
    </row>
    <row r="1128" spans="1:14" s="534" customFormat="1" ht="16.5" thickTop="1" thickBot="1" x14ac:dyDescent="0.3">
      <c r="A1128" s="1266">
        <v>60005100305</v>
      </c>
      <c r="B1128" s="1007">
        <v>3522</v>
      </c>
      <c r="C1128" s="1267">
        <v>6121</v>
      </c>
      <c r="D1128" s="1008">
        <v>25</v>
      </c>
      <c r="E1128" s="1009" t="s">
        <v>640</v>
      </c>
      <c r="F1128" s="928"/>
      <c r="G1128" s="1269">
        <v>366</v>
      </c>
      <c r="H1128" s="928">
        <v>339</v>
      </c>
      <c r="I1128" s="1270">
        <f>(H1128/G1128)*100</f>
        <v>92.622950819672127</v>
      </c>
    </row>
    <row r="1129" spans="1:14" s="534" customFormat="1" ht="18" customHeight="1" thickTop="1" thickBot="1" x14ac:dyDescent="0.3">
      <c r="A1129" s="2699" t="s">
        <v>257</v>
      </c>
      <c r="B1129" s="2698"/>
      <c r="C1129" s="2698"/>
      <c r="D1129" s="2698"/>
      <c r="E1129" s="2698"/>
      <c r="F1129" s="911">
        <f>F1128</f>
        <v>0</v>
      </c>
      <c r="G1129" s="911">
        <f>G1128</f>
        <v>366</v>
      </c>
      <c r="H1129" s="911">
        <f>H1128</f>
        <v>339</v>
      </c>
      <c r="I1129" s="894">
        <f>(H1129/G1129)*100</f>
        <v>92.622950819672127</v>
      </c>
    </row>
    <row r="1130" spans="1:14" ht="13.5" thickTop="1" x14ac:dyDescent="0.2">
      <c r="K1130" s="951"/>
      <c r="L1130" s="951"/>
      <c r="M1130" s="951"/>
      <c r="N1130" s="433"/>
    </row>
    <row r="1131" spans="1:14" x14ac:dyDescent="0.2">
      <c r="K1131" s="951"/>
      <c r="L1131" s="951"/>
      <c r="M1131" s="951"/>
      <c r="N1131" s="433"/>
    </row>
    <row r="1132" spans="1:14" x14ac:dyDescent="0.2">
      <c r="K1132" s="951"/>
      <c r="L1132" s="951"/>
      <c r="M1132" s="951"/>
      <c r="N1132" s="433"/>
    </row>
    <row r="1133" spans="1:14" x14ac:dyDescent="0.2">
      <c r="K1133" s="951"/>
      <c r="L1133" s="951"/>
      <c r="M1133" s="951"/>
      <c r="N1133" s="433"/>
    </row>
    <row r="1134" spans="1:14" x14ac:dyDescent="0.2">
      <c r="K1134" s="951"/>
      <c r="L1134" s="951"/>
      <c r="M1134" s="951"/>
      <c r="N1134" s="433"/>
    </row>
    <row r="1135" spans="1:14" x14ac:dyDescent="0.2">
      <c r="K1135" s="951"/>
      <c r="L1135" s="951"/>
      <c r="M1135" s="951"/>
      <c r="N1135" s="433"/>
    </row>
    <row r="1136" spans="1:14" s="534" customFormat="1" ht="13.5" thickBot="1" x14ac:dyDescent="0.25">
      <c r="A1136" s="433" t="s">
        <v>222</v>
      </c>
      <c r="B1136" s="645"/>
      <c r="D1136" s="852"/>
      <c r="F1136" s="495"/>
      <c r="G1136" s="495"/>
      <c r="H1136" s="495"/>
      <c r="I1136" s="989" t="s">
        <v>173</v>
      </c>
    </row>
    <row r="1137" spans="1:14" s="107" customFormat="1" ht="20.25" customHeight="1" thickTop="1" thickBot="1" x14ac:dyDescent="0.25">
      <c r="A1137" s="690" t="s">
        <v>661</v>
      </c>
      <c r="B1137" s="693" t="s">
        <v>174</v>
      </c>
      <c r="C1137" s="691" t="s">
        <v>175</v>
      </c>
      <c r="D1137" s="636" t="s">
        <v>744</v>
      </c>
      <c r="E1137" s="694" t="s">
        <v>176</v>
      </c>
      <c r="F1137" s="694" t="s">
        <v>177</v>
      </c>
      <c r="G1137" s="694" t="s">
        <v>922</v>
      </c>
      <c r="H1137" s="694" t="s">
        <v>923</v>
      </c>
      <c r="I1137" s="856" t="s">
        <v>924</v>
      </c>
    </row>
    <row r="1138" spans="1:14" s="384" customFormat="1" ht="13.5" thickTop="1" thickBot="1" x14ac:dyDescent="0.25">
      <c r="A1138" s="1254">
        <v>1</v>
      </c>
      <c r="B1138" s="1255">
        <v>2</v>
      </c>
      <c r="C1138" s="1255">
        <v>3</v>
      </c>
      <c r="D1138" s="1255">
        <v>4</v>
      </c>
      <c r="E1138" s="569">
        <v>5</v>
      </c>
      <c r="F1138" s="1256">
        <v>6</v>
      </c>
      <c r="G1138" s="1256">
        <v>7</v>
      </c>
      <c r="H1138" s="1257">
        <v>8</v>
      </c>
      <c r="I1138" s="1258" t="s">
        <v>801</v>
      </c>
    </row>
    <row r="1139" spans="1:14" s="534" customFormat="1" ht="16.5" thickTop="1" thickBot="1" x14ac:dyDescent="0.3">
      <c r="A1139" s="1266">
        <v>60005100306</v>
      </c>
      <c r="B1139" s="1007">
        <v>3522</v>
      </c>
      <c r="C1139" s="1267">
        <v>6121</v>
      </c>
      <c r="D1139" s="1008">
        <v>25</v>
      </c>
      <c r="E1139" s="1009" t="s">
        <v>640</v>
      </c>
      <c r="F1139" s="928"/>
      <c r="G1139" s="1269">
        <v>99</v>
      </c>
      <c r="H1139" s="928">
        <v>98</v>
      </c>
      <c r="I1139" s="1270">
        <f>(H1139/G1139)*100</f>
        <v>98.98989898989899</v>
      </c>
    </row>
    <row r="1140" spans="1:14" s="534" customFormat="1" ht="18" customHeight="1" thickTop="1" thickBot="1" x14ac:dyDescent="0.3">
      <c r="A1140" s="2699" t="s">
        <v>257</v>
      </c>
      <c r="B1140" s="2698"/>
      <c r="C1140" s="2698"/>
      <c r="D1140" s="2698"/>
      <c r="E1140" s="2698"/>
      <c r="F1140" s="911">
        <f>F1139</f>
        <v>0</v>
      </c>
      <c r="G1140" s="911">
        <f>G1139</f>
        <v>99</v>
      </c>
      <c r="H1140" s="911">
        <f>H1139</f>
        <v>98</v>
      </c>
      <c r="I1140" s="894">
        <f>(H1140/G1140)*100</f>
        <v>98.98989898989899</v>
      </c>
    </row>
    <row r="1141" spans="1:14" ht="13.5" thickTop="1" x14ac:dyDescent="0.2">
      <c r="K1141" s="951"/>
      <c r="L1141" s="951"/>
      <c r="M1141" s="951"/>
      <c r="N1141" s="433"/>
    </row>
    <row r="1142" spans="1:14" x14ac:dyDescent="0.2">
      <c r="K1142" s="951"/>
      <c r="L1142" s="951"/>
      <c r="M1142" s="951"/>
      <c r="N1142" s="433"/>
    </row>
    <row r="1143" spans="1:14" s="534" customFormat="1" ht="13.5" thickBot="1" x14ac:dyDescent="0.25">
      <c r="A1143" s="433" t="s">
        <v>632</v>
      </c>
      <c r="B1143" s="645"/>
      <c r="D1143" s="852"/>
      <c r="F1143" s="495"/>
      <c r="G1143" s="495"/>
      <c r="H1143" s="495"/>
      <c r="I1143" s="989" t="s">
        <v>173</v>
      </c>
    </row>
    <row r="1144" spans="1:14" s="107" customFormat="1" ht="20.25" customHeight="1" thickTop="1" thickBot="1" x14ac:dyDescent="0.25">
      <c r="A1144" s="690" t="s">
        <v>661</v>
      </c>
      <c r="B1144" s="693" t="s">
        <v>174</v>
      </c>
      <c r="C1144" s="691" t="s">
        <v>175</v>
      </c>
      <c r="D1144" s="636" t="s">
        <v>744</v>
      </c>
      <c r="E1144" s="694" t="s">
        <v>176</v>
      </c>
      <c r="F1144" s="694" t="s">
        <v>177</v>
      </c>
      <c r="G1144" s="694" t="s">
        <v>922</v>
      </c>
      <c r="H1144" s="694" t="s">
        <v>923</v>
      </c>
      <c r="I1144" s="856" t="s">
        <v>924</v>
      </c>
    </row>
    <row r="1145" spans="1:14" s="384" customFormat="1" ht="13.5" thickTop="1" thickBot="1" x14ac:dyDescent="0.25">
      <c r="A1145" s="1254">
        <v>1</v>
      </c>
      <c r="B1145" s="1255">
        <v>2</v>
      </c>
      <c r="C1145" s="1255">
        <v>3</v>
      </c>
      <c r="D1145" s="1255">
        <v>4</v>
      </c>
      <c r="E1145" s="569">
        <v>5</v>
      </c>
      <c r="F1145" s="1256">
        <v>6</v>
      </c>
      <c r="G1145" s="1256">
        <v>7</v>
      </c>
      <c r="H1145" s="1257">
        <v>8</v>
      </c>
      <c r="I1145" s="1258" t="s">
        <v>801</v>
      </c>
    </row>
    <row r="1146" spans="1:14" s="534" customFormat="1" ht="16.5" thickTop="1" thickBot="1" x14ac:dyDescent="0.3">
      <c r="A1146" s="1266">
        <v>60005100307</v>
      </c>
      <c r="B1146" s="1007">
        <v>3522</v>
      </c>
      <c r="C1146" s="1267">
        <v>6121</v>
      </c>
      <c r="D1146" s="1008">
        <v>25</v>
      </c>
      <c r="E1146" s="1009" t="s">
        <v>640</v>
      </c>
      <c r="F1146" s="928"/>
      <c r="G1146" s="1269">
        <v>171</v>
      </c>
      <c r="H1146" s="928">
        <v>100</v>
      </c>
      <c r="I1146" s="1270">
        <f>(H1146/G1146)*100</f>
        <v>58.479532163742689</v>
      </c>
    </row>
    <row r="1147" spans="1:14" s="534" customFormat="1" ht="18" customHeight="1" thickTop="1" thickBot="1" x14ac:dyDescent="0.3">
      <c r="A1147" s="2699" t="s">
        <v>257</v>
      </c>
      <c r="B1147" s="2698"/>
      <c r="C1147" s="2698"/>
      <c r="D1147" s="2698"/>
      <c r="E1147" s="2698"/>
      <c r="F1147" s="911">
        <f>F1146</f>
        <v>0</v>
      </c>
      <c r="G1147" s="911">
        <f>G1146</f>
        <v>171</v>
      </c>
      <c r="H1147" s="911">
        <f>H1146</f>
        <v>100</v>
      </c>
      <c r="I1147" s="894">
        <f>(H1147/G1147)*100</f>
        <v>58.479532163742689</v>
      </c>
    </row>
    <row r="1148" spans="1:14" ht="13.5" thickTop="1" x14ac:dyDescent="0.2">
      <c r="K1148" s="951"/>
      <c r="L1148" s="951"/>
      <c r="M1148" s="951"/>
      <c r="N1148" s="433"/>
    </row>
    <row r="1149" spans="1:14" x14ac:dyDescent="0.2">
      <c r="K1149" s="951"/>
      <c r="L1149" s="951"/>
      <c r="M1149" s="951"/>
      <c r="N1149" s="433"/>
    </row>
    <row r="1150" spans="1:14" s="534" customFormat="1" ht="13.5" thickBot="1" x14ac:dyDescent="0.25">
      <c r="A1150" s="433" t="s">
        <v>633</v>
      </c>
      <c r="B1150" s="645"/>
      <c r="D1150" s="852"/>
      <c r="F1150" s="495"/>
      <c r="G1150" s="495"/>
      <c r="H1150" s="495"/>
      <c r="I1150" s="989" t="s">
        <v>173</v>
      </c>
    </row>
    <row r="1151" spans="1:14" s="107" customFormat="1" ht="20.25" customHeight="1" thickTop="1" thickBot="1" x14ac:dyDescent="0.25">
      <c r="A1151" s="690" t="s">
        <v>661</v>
      </c>
      <c r="B1151" s="693" t="s">
        <v>174</v>
      </c>
      <c r="C1151" s="691" t="s">
        <v>175</v>
      </c>
      <c r="D1151" s="636" t="s">
        <v>744</v>
      </c>
      <c r="E1151" s="694" t="s">
        <v>176</v>
      </c>
      <c r="F1151" s="694" t="s">
        <v>177</v>
      </c>
      <c r="G1151" s="694" t="s">
        <v>922</v>
      </c>
      <c r="H1151" s="694" t="s">
        <v>923</v>
      </c>
      <c r="I1151" s="856" t="s">
        <v>924</v>
      </c>
    </row>
    <row r="1152" spans="1:14" s="384" customFormat="1" ht="13.5" thickTop="1" thickBot="1" x14ac:dyDescent="0.25">
      <c r="A1152" s="1254">
        <v>1</v>
      </c>
      <c r="B1152" s="1255">
        <v>2</v>
      </c>
      <c r="C1152" s="1255">
        <v>3</v>
      </c>
      <c r="D1152" s="1255">
        <v>4</v>
      </c>
      <c r="E1152" s="569">
        <v>5</v>
      </c>
      <c r="F1152" s="1256">
        <v>6</v>
      </c>
      <c r="G1152" s="1256">
        <v>7</v>
      </c>
      <c r="H1152" s="1257">
        <v>8</v>
      </c>
      <c r="I1152" s="1258" t="s">
        <v>801</v>
      </c>
    </row>
    <row r="1153" spans="1:14" s="534" customFormat="1" ht="16.5" thickTop="1" thickBot="1" x14ac:dyDescent="0.3">
      <c r="A1153" s="1266">
        <v>60005100308</v>
      </c>
      <c r="B1153" s="1007">
        <v>3522</v>
      </c>
      <c r="C1153" s="1267">
        <v>6121</v>
      </c>
      <c r="D1153" s="1008">
        <v>25</v>
      </c>
      <c r="E1153" s="1009" t="s">
        <v>640</v>
      </c>
      <c r="F1153" s="928"/>
      <c r="G1153" s="1269">
        <v>1698</v>
      </c>
      <c r="H1153" s="928">
        <v>1698</v>
      </c>
      <c r="I1153" s="1270">
        <f>(H1153/G1153)*100</f>
        <v>100</v>
      </c>
    </row>
    <row r="1154" spans="1:14" s="534" customFormat="1" ht="18" customHeight="1" thickTop="1" thickBot="1" x14ac:dyDescent="0.3">
      <c r="A1154" s="2699" t="s">
        <v>257</v>
      </c>
      <c r="B1154" s="2698"/>
      <c r="C1154" s="2698"/>
      <c r="D1154" s="2698"/>
      <c r="E1154" s="2698"/>
      <c r="F1154" s="911">
        <f>F1153</f>
        <v>0</v>
      </c>
      <c r="G1154" s="911">
        <f>G1153</f>
        <v>1698</v>
      </c>
      <c r="H1154" s="911">
        <f>H1153</f>
        <v>1698</v>
      </c>
      <c r="I1154" s="894">
        <f>(H1154/G1154)*100</f>
        <v>100</v>
      </c>
    </row>
    <row r="1155" spans="1:14" ht="13.5" thickTop="1" x14ac:dyDescent="0.2">
      <c r="K1155" s="951"/>
      <c r="L1155" s="951"/>
      <c r="M1155" s="951"/>
      <c r="N1155" s="433"/>
    </row>
    <row r="1156" spans="1:14" x14ac:dyDescent="0.2">
      <c r="K1156" s="951"/>
      <c r="L1156" s="951"/>
      <c r="M1156" s="951"/>
      <c r="N1156" s="433"/>
    </row>
    <row r="1157" spans="1:14" s="534" customFormat="1" ht="13.5" thickBot="1" x14ac:dyDescent="0.25">
      <c r="A1157" s="433" t="s">
        <v>634</v>
      </c>
      <c r="B1157" s="645"/>
      <c r="D1157" s="852"/>
      <c r="F1157" s="495"/>
      <c r="G1157" s="495"/>
      <c r="H1157" s="495"/>
      <c r="I1157" s="989" t="s">
        <v>173</v>
      </c>
    </row>
    <row r="1158" spans="1:14" s="107" customFormat="1" ht="20.25" customHeight="1" thickTop="1" thickBot="1" x14ac:dyDescent="0.25">
      <c r="A1158" s="690" t="s">
        <v>661</v>
      </c>
      <c r="B1158" s="693" t="s">
        <v>174</v>
      </c>
      <c r="C1158" s="691" t="s">
        <v>175</v>
      </c>
      <c r="D1158" s="636" t="s">
        <v>744</v>
      </c>
      <c r="E1158" s="694" t="s">
        <v>176</v>
      </c>
      <c r="F1158" s="694" t="s">
        <v>177</v>
      </c>
      <c r="G1158" s="694" t="s">
        <v>922</v>
      </c>
      <c r="H1158" s="694" t="s">
        <v>923</v>
      </c>
      <c r="I1158" s="856" t="s">
        <v>924</v>
      </c>
    </row>
    <row r="1159" spans="1:14" s="384" customFormat="1" ht="13.5" thickTop="1" thickBot="1" x14ac:dyDescent="0.25">
      <c r="A1159" s="1254">
        <v>1</v>
      </c>
      <c r="B1159" s="1255">
        <v>2</v>
      </c>
      <c r="C1159" s="1255">
        <v>3</v>
      </c>
      <c r="D1159" s="1255">
        <v>4</v>
      </c>
      <c r="E1159" s="569">
        <v>5</v>
      </c>
      <c r="F1159" s="1256">
        <v>6</v>
      </c>
      <c r="G1159" s="1256">
        <v>7</v>
      </c>
      <c r="H1159" s="1257">
        <v>8</v>
      </c>
      <c r="I1159" s="1258" t="s">
        <v>801</v>
      </c>
    </row>
    <row r="1160" spans="1:14" s="534" customFormat="1" ht="16.5" thickTop="1" thickBot="1" x14ac:dyDescent="0.3">
      <c r="A1160" s="1266">
        <v>60005100309</v>
      </c>
      <c r="B1160" s="1007">
        <v>3522</v>
      </c>
      <c r="C1160" s="1267">
        <v>6121</v>
      </c>
      <c r="D1160" s="1008">
        <v>25</v>
      </c>
      <c r="E1160" s="1009" t="s">
        <v>640</v>
      </c>
      <c r="F1160" s="928"/>
      <c r="G1160" s="1269">
        <v>5429</v>
      </c>
      <c r="H1160" s="928">
        <v>5429</v>
      </c>
      <c r="I1160" s="1270">
        <f>(H1160/G1160)*100</f>
        <v>100</v>
      </c>
    </row>
    <row r="1161" spans="1:14" s="534" customFormat="1" ht="18" customHeight="1" thickTop="1" thickBot="1" x14ac:dyDescent="0.3">
      <c r="A1161" s="2699" t="s">
        <v>257</v>
      </c>
      <c r="B1161" s="2698"/>
      <c r="C1161" s="2698"/>
      <c r="D1161" s="2698"/>
      <c r="E1161" s="2698"/>
      <c r="F1161" s="911">
        <f>F1160</f>
        <v>0</v>
      </c>
      <c r="G1161" s="911">
        <f>G1160</f>
        <v>5429</v>
      </c>
      <c r="H1161" s="911">
        <f>H1160</f>
        <v>5429</v>
      </c>
      <c r="I1161" s="894">
        <f>(H1161/G1161)*100</f>
        <v>100</v>
      </c>
    </row>
    <row r="1162" spans="1:14" ht="13.5" thickTop="1" x14ac:dyDescent="0.2">
      <c r="K1162" s="951"/>
      <c r="L1162" s="951"/>
      <c r="M1162" s="951"/>
      <c r="N1162" s="433"/>
    </row>
    <row r="1163" spans="1:14" x14ac:dyDescent="0.2">
      <c r="K1163" s="951"/>
      <c r="L1163" s="951"/>
      <c r="M1163" s="951"/>
      <c r="N1163" s="433"/>
    </row>
    <row r="1164" spans="1:14" s="534" customFormat="1" ht="13.5" thickBot="1" x14ac:dyDescent="0.25">
      <c r="A1164" s="433" t="s">
        <v>231</v>
      </c>
      <c r="B1164" s="645"/>
      <c r="D1164" s="852"/>
      <c r="F1164" s="495"/>
      <c r="G1164" s="495"/>
      <c r="H1164" s="495"/>
      <c r="I1164" s="989" t="s">
        <v>173</v>
      </c>
    </row>
    <row r="1165" spans="1:14" s="107" customFormat="1" ht="20.25" customHeight="1" thickTop="1" thickBot="1" x14ac:dyDescent="0.25">
      <c r="A1165" s="690" t="s">
        <v>661</v>
      </c>
      <c r="B1165" s="693" t="s">
        <v>174</v>
      </c>
      <c r="C1165" s="691" t="s">
        <v>175</v>
      </c>
      <c r="D1165" s="636" t="s">
        <v>744</v>
      </c>
      <c r="E1165" s="694" t="s">
        <v>176</v>
      </c>
      <c r="F1165" s="694" t="s">
        <v>177</v>
      </c>
      <c r="G1165" s="694" t="s">
        <v>922</v>
      </c>
      <c r="H1165" s="694" t="s">
        <v>923</v>
      </c>
      <c r="I1165" s="856" t="s">
        <v>924</v>
      </c>
    </row>
    <row r="1166" spans="1:14" s="384" customFormat="1" ht="13.5" thickTop="1" thickBot="1" x14ac:dyDescent="0.25">
      <c r="A1166" s="1254">
        <v>1</v>
      </c>
      <c r="B1166" s="1255">
        <v>2</v>
      </c>
      <c r="C1166" s="1255">
        <v>3</v>
      </c>
      <c r="D1166" s="1255">
        <v>4</v>
      </c>
      <c r="E1166" s="569">
        <v>5</v>
      </c>
      <c r="F1166" s="1256">
        <v>6</v>
      </c>
      <c r="G1166" s="1256">
        <v>7</v>
      </c>
      <c r="H1166" s="1257">
        <v>8</v>
      </c>
      <c r="I1166" s="1258" t="s">
        <v>801</v>
      </c>
    </row>
    <row r="1167" spans="1:14" s="534" customFormat="1" ht="16.5" thickTop="1" thickBot="1" x14ac:dyDescent="0.3">
      <c r="A1167" s="1266">
        <v>60005100310</v>
      </c>
      <c r="B1167" s="1007">
        <v>3522</v>
      </c>
      <c r="C1167" s="1267">
        <v>6121</v>
      </c>
      <c r="D1167" s="1008">
        <v>25</v>
      </c>
      <c r="E1167" s="1009" t="s">
        <v>640</v>
      </c>
      <c r="F1167" s="928"/>
      <c r="G1167" s="1269">
        <v>4115</v>
      </c>
      <c r="H1167" s="928">
        <v>0</v>
      </c>
      <c r="I1167" s="1270">
        <f>(H1167/G1167)*100</f>
        <v>0</v>
      </c>
    </row>
    <row r="1168" spans="1:14" s="534" customFormat="1" ht="18" customHeight="1" thickTop="1" thickBot="1" x14ac:dyDescent="0.3">
      <c r="A1168" s="2699" t="s">
        <v>257</v>
      </c>
      <c r="B1168" s="2698"/>
      <c r="C1168" s="2698"/>
      <c r="D1168" s="2698"/>
      <c r="E1168" s="2698"/>
      <c r="F1168" s="911">
        <f>F1167</f>
        <v>0</v>
      </c>
      <c r="G1168" s="911">
        <f>G1167</f>
        <v>4115</v>
      </c>
      <c r="H1168" s="911">
        <f>H1167</f>
        <v>0</v>
      </c>
      <c r="I1168" s="894">
        <f>(H1168/G1168)*100</f>
        <v>0</v>
      </c>
    </row>
    <row r="1169" spans="1:14" ht="13.5" thickTop="1" x14ac:dyDescent="0.2">
      <c r="K1169" s="951"/>
      <c r="L1169" s="951"/>
      <c r="M1169" s="951"/>
      <c r="N1169" s="433"/>
    </row>
    <row r="1170" spans="1:14" x14ac:dyDescent="0.2">
      <c r="K1170" s="951"/>
      <c r="L1170" s="951"/>
      <c r="M1170" s="951"/>
      <c r="N1170" s="433"/>
    </row>
    <row r="1171" spans="1:14" s="534" customFormat="1" ht="13.5" thickBot="1" x14ac:dyDescent="0.25">
      <c r="A1171" s="433" t="s">
        <v>232</v>
      </c>
      <c r="B1171" s="645"/>
      <c r="D1171" s="852"/>
      <c r="F1171" s="495"/>
      <c r="G1171" s="495"/>
      <c r="H1171" s="495"/>
      <c r="I1171" s="989" t="s">
        <v>173</v>
      </c>
    </row>
    <row r="1172" spans="1:14" s="107" customFormat="1" ht="20.25" customHeight="1" thickTop="1" thickBot="1" x14ac:dyDescent="0.25">
      <c r="A1172" s="690" t="s">
        <v>661</v>
      </c>
      <c r="B1172" s="693" t="s">
        <v>174</v>
      </c>
      <c r="C1172" s="691" t="s">
        <v>175</v>
      </c>
      <c r="D1172" s="636" t="s">
        <v>744</v>
      </c>
      <c r="E1172" s="694" t="s">
        <v>176</v>
      </c>
      <c r="F1172" s="694" t="s">
        <v>177</v>
      </c>
      <c r="G1172" s="694" t="s">
        <v>922</v>
      </c>
      <c r="H1172" s="694" t="s">
        <v>923</v>
      </c>
      <c r="I1172" s="856" t="s">
        <v>924</v>
      </c>
    </row>
    <row r="1173" spans="1:14" s="384" customFormat="1" ht="13.5" thickTop="1" thickBot="1" x14ac:dyDescent="0.25">
      <c r="A1173" s="1254">
        <v>1</v>
      </c>
      <c r="B1173" s="1255">
        <v>2</v>
      </c>
      <c r="C1173" s="1255">
        <v>3</v>
      </c>
      <c r="D1173" s="1255">
        <v>4</v>
      </c>
      <c r="E1173" s="569">
        <v>5</v>
      </c>
      <c r="F1173" s="1256">
        <v>6</v>
      </c>
      <c r="G1173" s="1256">
        <v>7</v>
      </c>
      <c r="H1173" s="1257">
        <v>8</v>
      </c>
      <c r="I1173" s="1258" t="s">
        <v>801</v>
      </c>
    </row>
    <row r="1174" spans="1:14" s="534" customFormat="1" ht="16.5" thickTop="1" thickBot="1" x14ac:dyDescent="0.3">
      <c r="A1174" s="1266">
        <v>60005100311</v>
      </c>
      <c r="B1174" s="1007">
        <v>3522</v>
      </c>
      <c r="C1174" s="1267">
        <v>6121</v>
      </c>
      <c r="D1174" s="1008">
        <v>25</v>
      </c>
      <c r="E1174" s="1009" t="s">
        <v>640</v>
      </c>
      <c r="F1174" s="928"/>
      <c r="G1174" s="1269">
        <v>843</v>
      </c>
      <c r="H1174" s="928">
        <v>842</v>
      </c>
      <c r="I1174" s="1270">
        <f>(H1174/G1174)*100</f>
        <v>99.881376037959669</v>
      </c>
    </row>
    <row r="1175" spans="1:14" s="534" customFormat="1" ht="18" customHeight="1" thickTop="1" thickBot="1" x14ac:dyDescent="0.3">
      <c r="A1175" s="2699" t="s">
        <v>257</v>
      </c>
      <c r="B1175" s="2698"/>
      <c r="C1175" s="2698"/>
      <c r="D1175" s="2698"/>
      <c r="E1175" s="2698"/>
      <c r="F1175" s="911">
        <f>F1174</f>
        <v>0</v>
      </c>
      <c r="G1175" s="911">
        <f>G1174</f>
        <v>843</v>
      </c>
      <c r="H1175" s="911">
        <f>H1174</f>
        <v>842</v>
      </c>
      <c r="I1175" s="894">
        <f>(H1175/G1175)*100</f>
        <v>99.881376037959669</v>
      </c>
    </row>
    <row r="1176" spans="1:14" ht="13.5" thickTop="1" x14ac:dyDescent="0.2">
      <c r="K1176" s="951"/>
      <c r="L1176" s="951"/>
      <c r="M1176" s="951"/>
      <c r="N1176" s="433"/>
    </row>
    <row r="1177" spans="1:14" x14ac:dyDescent="0.2">
      <c r="K1177" s="951"/>
      <c r="L1177" s="951"/>
      <c r="M1177" s="951"/>
      <c r="N1177" s="433"/>
    </row>
    <row r="1178" spans="1:14" s="534" customFormat="1" ht="13.5" thickBot="1" x14ac:dyDescent="0.25">
      <c r="A1178" s="433" t="s">
        <v>76</v>
      </c>
      <c r="B1178" s="645"/>
      <c r="D1178" s="852"/>
      <c r="F1178" s="495"/>
      <c r="G1178" s="495"/>
      <c r="H1178" s="495"/>
      <c r="I1178" s="989" t="s">
        <v>173</v>
      </c>
    </row>
    <row r="1179" spans="1:14" s="107" customFormat="1" ht="20.25" customHeight="1" thickTop="1" thickBot="1" x14ac:dyDescent="0.25">
      <c r="A1179" s="690" t="s">
        <v>661</v>
      </c>
      <c r="B1179" s="693" t="s">
        <v>174</v>
      </c>
      <c r="C1179" s="691" t="s">
        <v>175</v>
      </c>
      <c r="D1179" s="636" t="s">
        <v>744</v>
      </c>
      <c r="E1179" s="694" t="s">
        <v>176</v>
      </c>
      <c r="F1179" s="694" t="s">
        <v>177</v>
      </c>
      <c r="G1179" s="694" t="s">
        <v>922</v>
      </c>
      <c r="H1179" s="694" t="s">
        <v>923</v>
      </c>
      <c r="I1179" s="856" t="s">
        <v>924</v>
      </c>
    </row>
    <row r="1180" spans="1:14" s="384" customFormat="1" ht="13.5" thickTop="1" thickBot="1" x14ac:dyDescent="0.25">
      <c r="A1180" s="1254">
        <v>1</v>
      </c>
      <c r="B1180" s="1255">
        <v>2</v>
      </c>
      <c r="C1180" s="1255">
        <v>3</v>
      </c>
      <c r="D1180" s="1255">
        <v>4</v>
      </c>
      <c r="E1180" s="569">
        <v>5</v>
      </c>
      <c r="F1180" s="1256">
        <v>6</v>
      </c>
      <c r="G1180" s="1256">
        <v>7</v>
      </c>
      <c r="H1180" s="1257">
        <v>8</v>
      </c>
      <c r="I1180" s="1258" t="s">
        <v>801</v>
      </c>
    </row>
    <row r="1181" spans="1:14" s="534" customFormat="1" ht="16.5" thickTop="1" thickBot="1" x14ac:dyDescent="0.3">
      <c r="A1181" s="1266">
        <v>60005100312</v>
      </c>
      <c r="B1181" s="1007">
        <v>3522</v>
      </c>
      <c r="C1181" s="1267">
        <v>6121</v>
      </c>
      <c r="D1181" s="1008">
        <v>25</v>
      </c>
      <c r="E1181" s="1009" t="s">
        <v>640</v>
      </c>
      <c r="F1181" s="928"/>
      <c r="G1181" s="1269">
        <v>1549</v>
      </c>
      <c r="H1181" s="928">
        <v>0</v>
      </c>
      <c r="I1181" s="1270">
        <f>(H1181/G1181)*100</f>
        <v>0</v>
      </c>
    </row>
    <row r="1182" spans="1:14" s="534" customFormat="1" ht="18" customHeight="1" thickTop="1" thickBot="1" x14ac:dyDescent="0.3">
      <c r="A1182" s="2699" t="s">
        <v>257</v>
      </c>
      <c r="B1182" s="2698"/>
      <c r="C1182" s="2698"/>
      <c r="D1182" s="2698"/>
      <c r="E1182" s="2698"/>
      <c r="F1182" s="911">
        <f>F1181</f>
        <v>0</v>
      </c>
      <c r="G1182" s="911">
        <f>G1181</f>
        <v>1549</v>
      </c>
      <c r="H1182" s="911">
        <f>H1181</f>
        <v>0</v>
      </c>
      <c r="I1182" s="894">
        <f>(H1182/G1182)*100</f>
        <v>0</v>
      </c>
    </row>
    <row r="1183" spans="1:14" ht="13.5" thickTop="1" x14ac:dyDescent="0.2">
      <c r="K1183" s="951"/>
      <c r="L1183" s="951"/>
      <c r="M1183" s="951"/>
      <c r="N1183" s="433"/>
    </row>
    <row r="1184" spans="1:14" x14ac:dyDescent="0.2">
      <c r="K1184" s="951"/>
      <c r="L1184" s="951"/>
      <c r="M1184" s="951"/>
      <c r="N1184" s="433"/>
    </row>
    <row r="1185" spans="1:14" s="534" customFormat="1" ht="13.5" thickBot="1" x14ac:dyDescent="0.25">
      <c r="A1185" s="433" t="s">
        <v>77</v>
      </c>
      <c r="B1185" s="645"/>
      <c r="D1185" s="852"/>
      <c r="F1185" s="495"/>
      <c r="G1185" s="495"/>
      <c r="H1185" s="495"/>
      <c r="I1185" s="989" t="s">
        <v>173</v>
      </c>
    </row>
    <row r="1186" spans="1:14" s="107" customFormat="1" ht="20.25" customHeight="1" thickTop="1" thickBot="1" x14ac:dyDescent="0.25">
      <c r="A1186" s="690" t="s">
        <v>661</v>
      </c>
      <c r="B1186" s="693" t="s">
        <v>174</v>
      </c>
      <c r="C1186" s="691" t="s">
        <v>175</v>
      </c>
      <c r="D1186" s="636" t="s">
        <v>744</v>
      </c>
      <c r="E1186" s="694" t="s">
        <v>176</v>
      </c>
      <c r="F1186" s="694" t="s">
        <v>177</v>
      </c>
      <c r="G1186" s="694" t="s">
        <v>922</v>
      </c>
      <c r="H1186" s="694" t="s">
        <v>923</v>
      </c>
      <c r="I1186" s="856" t="s">
        <v>924</v>
      </c>
    </row>
    <row r="1187" spans="1:14" s="384" customFormat="1" ht="13.5" thickTop="1" thickBot="1" x14ac:dyDescent="0.25">
      <c r="A1187" s="1254">
        <v>1</v>
      </c>
      <c r="B1187" s="1255">
        <v>2</v>
      </c>
      <c r="C1187" s="1255">
        <v>3</v>
      </c>
      <c r="D1187" s="1255">
        <v>4</v>
      </c>
      <c r="E1187" s="569">
        <v>5</v>
      </c>
      <c r="F1187" s="1256">
        <v>6</v>
      </c>
      <c r="G1187" s="1256">
        <v>7</v>
      </c>
      <c r="H1187" s="1257">
        <v>8</v>
      </c>
      <c r="I1187" s="1258" t="s">
        <v>801</v>
      </c>
    </row>
    <row r="1188" spans="1:14" s="534" customFormat="1" ht="16.5" thickTop="1" thickBot="1" x14ac:dyDescent="0.3">
      <c r="A1188" s="1266">
        <v>60005100313</v>
      </c>
      <c r="B1188" s="1007">
        <v>3522</v>
      </c>
      <c r="C1188" s="1267">
        <v>6121</v>
      </c>
      <c r="D1188" s="1008">
        <v>25</v>
      </c>
      <c r="E1188" s="1009" t="s">
        <v>640</v>
      </c>
      <c r="F1188" s="928"/>
      <c r="G1188" s="1269">
        <v>380</v>
      </c>
      <c r="H1188" s="928">
        <v>173</v>
      </c>
      <c r="I1188" s="1270">
        <f>(H1188/G1188)*100</f>
        <v>45.526315789473685</v>
      </c>
    </row>
    <row r="1189" spans="1:14" s="534" customFormat="1" ht="18" customHeight="1" thickTop="1" thickBot="1" x14ac:dyDescent="0.3">
      <c r="A1189" s="2699" t="s">
        <v>257</v>
      </c>
      <c r="B1189" s="2698"/>
      <c r="C1189" s="2698"/>
      <c r="D1189" s="2698"/>
      <c r="E1189" s="2698"/>
      <c r="F1189" s="911">
        <f>F1188</f>
        <v>0</v>
      </c>
      <c r="G1189" s="911">
        <f>G1188</f>
        <v>380</v>
      </c>
      <c r="H1189" s="911">
        <f>H1188</f>
        <v>173</v>
      </c>
      <c r="I1189" s="894">
        <f>(H1189/G1189)*100</f>
        <v>45.526315789473685</v>
      </c>
    </row>
    <row r="1190" spans="1:14" ht="13.5" thickTop="1" x14ac:dyDescent="0.2">
      <c r="K1190" s="951"/>
      <c r="L1190" s="951"/>
      <c r="M1190" s="951"/>
      <c r="N1190" s="433"/>
    </row>
    <row r="1191" spans="1:14" x14ac:dyDescent="0.2">
      <c r="K1191" s="951"/>
      <c r="L1191" s="951"/>
      <c r="M1191" s="951"/>
      <c r="N1191" s="433"/>
    </row>
    <row r="1192" spans="1:14" s="534" customFormat="1" ht="13.5" thickBot="1" x14ac:dyDescent="0.25">
      <c r="A1192" s="433" t="s">
        <v>345</v>
      </c>
      <c r="B1192" s="645"/>
      <c r="D1192" s="852"/>
      <c r="F1192" s="495"/>
      <c r="G1192" s="495"/>
      <c r="H1192" s="495"/>
      <c r="I1192" s="989" t="s">
        <v>173</v>
      </c>
    </row>
    <row r="1193" spans="1:14" s="107" customFormat="1" ht="20.25" customHeight="1" thickTop="1" thickBot="1" x14ac:dyDescent="0.25">
      <c r="A1193" s="690" t="s">
        <v>661</v>
      </c>
      <c r="B1193" s="693" t="s">
        <v>174</v>
      </c>
      <c r="C1193" s="691" t="s">
        <v>175</v>
      </c>
      <c r="D1193" s="636" t="s">
        <v>744</v>
      </c>
      <c r="E1193" s="694" t="s">
        <v>176</v>
      </c>
      <c r="F1193" s="694" t="s">
        <v>177</v>
      </c>
      <c r="G1193" s="694" t="s">
        <v>922</v>
      </c>
      <c r="H1193" s="694" t="s">
        <v>923</v>
      </c>
      <c r="I1193" s="856" t="s">
        <v>924</v>
      </c>
    </row>
    <row r="1194" spans="1:14" s="384" customFormat="1" ht="13.5" thickTop="1" thickBot="1" x14ac:dyDescent="0.25">
      <c r="A1194" s="1254">
        <v>1</v>
      </c>
      <c r="B1194" s="1255">
        <v>2</v>
      </c>
      <c r="C1194" s="1255">
        <v>3</v>
      </c>
      <c r="D1194" s="1255">
        <v>4</v>
      </c>
      <c r="E1194" s="569">
        <v>5</v>
      </c>
      <c r="F1194" s="1256">
        <v>6</v>
      </c>
      <c r="G1194" s="1256">
        <v>7</v>
      </c>
      <c r="H1194" s="1257">
        <v>8</v>
      </c>
      <c r="I1194" s="1258" t="s">
        <v>801</v>
      </c>
    </row>
    <row r="1195" spans="1:14" s="534" customFormat="1" ht="16.5" thickTop="1" thickBot="1" x14ac:dyDescent="0.3">
      <c r="A1195" s="1266">
        <v>60005100339</v>
      </c>
      <c r="B1195" s="1007">
        <v>3522</v>
      </c>
      <c r="C1195" s="1267">
        <v>6121</v>
      </c>
      <c r="D1195" s="1008">
        <v>25</v>
      </c>
      <c r="E1195" s="1009" t="s">
        <v>640</v>
      </c>
      <c r="F1195" s="928"/>
      <c r="G1195" s="1269">
        <v>4918</v>
      </c>
      <c r="H1195" s="928">
        <v>845</v>
      </c>
      <c r="I1195" s="1270">
        <f>(H1195/G1195)*100</f>
        <v>17.181781211874746</v>
      </c>
    </row>
    <row r="1196" spans="1:14" s="534" customFormat="1" ht="18" customHeight="1" thickTop="1" thickBot="1" x14ac:dyDescent="0.3">
      <c r="A1196" s="2699" t="s">
        <v>257</v>
      </c>
      <c r="B1196" s="2698"/>
      <c r="C1196" s="2698"/>
      <c r="D1196" s="2698"/>
      <c r="E1196" s="2698"/>
      <c r="F1196" s="911">
        <f>F1195</f>
        <v>0</v>
      </c>
      <c r="G1196" s="911">
        <f>G1195</f>
        <v>4918</v>
      </c>
      <c r="H1196" s="911">
        <f>H1195</f>
        <v>845</v>
      </c>
      <c r="I1196" s="894">
        <f>(H1196/G1196)*100</f>
        <v>17.181781211874746</v>
      </c>
    </row>
    <row r="1197" spans="1:14" ht="13.5" thickTop="1" x14ac:dyDescent="0.2">
      <c r="K1197" s="951"/>
      <c r="L1197" s="951"/>
      <c r="M1197" s="951"/>
      <c r="N1197" s="433"/>
    </row>
    <row r="1198" spans="1:14" x14ac:dyDescent="0.2">
      <c r="K1198" s="951"/>
      <c r="L1198" s="951"/>
      <c r="M1198" s="951"/>
      <c r="N1198" s="433"/>
    </row>
    <row r="1199" spans="1:14" x14ac:dyDescent="0.2">
      <c r="K1199" s="951"/>
      <c r="L1199" s="951"/>
      <c r="M1199" s="951"/>
      <c r="N1199" s="433"/>
    </row>
    <row r="1200" spans="1:14" x14ac:dyDescent="0.2">
      <c r="K1200" s="951"/>
      <c r="L1200" s="951"/>
      <c r="M1200" s="951"/>
      <c r="N1200" s="433"/>
    </row>
    <row r="1201" spans="1:14" x14ac:dyDescent="0.2">
      <c r="K1201" s="951"/>
      <c r="L1201" s="951"/>
      <c r="M1201" s="951"/>
      <c r="N1201" s="433"/>
    </row>
    <row r="1202" spans="1:14" x14ac:dyDescent="0.2">
      <c r="K1202" s="951"/>
      <c r="L1202" s="951"/>
      <c r="M1202" s="951"/>
      <c r="N1202" s="433"/>
    </row>
    <row r="1203" spans="1:14" s="534" customFormat="1" ht="13.5" thickBot="1" x14ac:dyDescent="0.25">
      <c r="A1203" s="433" t="s">
        <v>346</v>
      </c>
      <c r="B1203" s="645"/>
      <c r="D1203" s="852"/>
      <c r="F1203" s="495"/>
      <c r="G1203" s="495"/>
      <c r="H1203" s="495"/>
      <c r="I1203" s="989" t="s">
        <v>173</v>
      </c>
    </row>
    <row r="1204" spans="1:14" s="107" customFormat="1" ht="20.25" customHeight="1" thickTop="1" thickBot="1" x14ac:dyDescent="0.25">
      <c r="A1204" s="690" t="s">
        <v>661</v>
      </c>
      <c r="B1204" s="693" t="s">
        <v>174</v>
      </c>
      <c r="C1204" s="691" t="s">
        <v>175</v>
      </c>
      <c r="D1204" s="636" t="s">
        <v>744</v>
      </c>
      <c r="E1204" s="694" t="s">
        <v>176</v>
      </c>
      <c r="F1204" s="694" t="s">
        <v>177</v>
      </c>
      <c r="G1204" s="694" t="s">
        <v>922</v>
      </c>
      <c r="H1204" s="694" t="s">
        <v>923</v>
      </c>
      <c r="I1204" s="856" t="s">
        <v>924</v>
      </c>
    </row>
    <row r="1205" spans="1:14" s="384" customFormat="1" ht="13.5" thickTop="1" thickBot="1" x14ac:dyDescent="0.25">
      <c r="A1205" s="1254">
        <v>1</v>
      </c>
      <c r="B1205" s="1255">
        <v>2</v>
      </c>
      <c r="C1205" s="1255">
        <v>3</v>
      </c>
      <c r="D1205" s="1255">
        <v>4</v>
      </c>
      <c r="E1205" s="569">
        <v>5</v>
      </c>
      <c r="F1205" s="1256">
        <v>6</v>
      </c>
      <c r="G1205" s="1256">
        <v>7</v>
      </c>
      <c r="H1205" s="1257">
        <v>8</v>
      </c>
      <c r="I1205" s="1258" t="s">
        <v>801</v>
      </c>
    </row>
    <row r="1206" spans="1:14" s="534" customFormat="1" ht="16.5" thickTop="1" thickBot="1" x14ac:dyDescent="0.3">
      <c r="A1206" s="1266">
        <v>60005100340</v>
      </c>
      <c r="B1206" s="1007">
        <v>3522</v>
      </c>
      <c r="C1206" s="1267">
        <v>6121</v>
      </c>
      <c r="D1206" s="1008">
        <v>25</v>
      </c>
      <c r="E1206" s="1009" t="s">
        <v>640</v>
      </c>
      <c r="F1206" s="928"/>
      <c r="G1206" s="1269">
        <v>100</v>
      </c>
      <c r="H1206" s="928">
        <v>94</v>
      </c>
      <c r="I1206" s="1270">
        <f>(H1206/G1206)*100</f>
        <v>94</v>
      </c>
    </row>
    <row r="1207" spans="1:14" s="534" customFormat="1" ht="18" customHeight="1" thickTop="1" thickBot="1" x14ac:dyDescent="0.3">
      <c r="A1207" s="2699" t="s">
        <v>257</v>
      </c>
      <c r="B1207" s="2698"/>
      <c r="C1207" s="2698"/>
      <c r="D1207" s="2698"/>
      <c r="E1207" s="2698"/>
      <c r="F1207" s="911">
        <f>F1206</f>
        <v>0</v>
      </c>
      <c r="G1207" s="911">
        <f>G1206</f>
        <v>100</v>
      </c>
      <c r="H1207" s="911">
        <f>H1206</f>
        <v>94</v>
      </c>
      <c r="I1207" s="894">
        <f>(H1207/G1207)*100</f>
        <v>94</v>
      </c>
    </row>
    <row r="1208" spans="1:14" ht="13.5" thickTop="1" x14ac:dyDescent="0.2">
      <c r="K1208" s="951"/>
      <c r="L1208" s="951"/>
      <c r="M1208" s="951"/>
      <c r="N1208" s="433"/>
    </row>
    <row r="1209" spans="1:14" x14ac:dyDescent="0.2">
      <c r="K1209" s="951"/>
      <c r="L1209" s="951"/>
      <c r="M1209" s="951"/>
      <c r="N1209" s="433"/>
    </row>
    <row r="1210" spans="1:14" s="534" customFormat="1" ht="13.5" thickBot="1" x14ac:dyDescent="0.25">
      <c r="A1210" s="433" t="s">
        <v>1122</v>
      </c>
      <c r="B1210" s="645"/>
      <c r="D1210" s="852"/>
      <c r="F1210" s="495"/>
      <c r="G1210" s="495"/>
      <c r="H1210" s="495"/>
      <c r="I1210" s="989" t="s">
        <v>173</v>
      </c>
    </row>
    <row r="1211" spans="1:14" s="107" customFormat="1" ht="20.25" customHeight="1" thickTop="1" thickBot="1" x14ac:dyDescent="0.25">
      <c r="A1211" s="690" t="s">
        <v>661</v>
      </c>
      <c r="B1211" s="693" t="s">
        <v>174</v>
      </c>
      <c r="C1211" s="691" t="s">
        <v>175</v>
      </c>
      <c r="D1211" s="636" t="s">
        <v>744</v>
      </c>
      <c r="E1211" s="694" t="s">
        <v>176</v>
      </c>
      <c r="F1211" s="694" t="s">
        <v>177</v>
      </c>
      <c r="G1211" s="694" t="s">
        <v>922</v>
      </c>
      <c r="H1211" s="694" t="s">
        <v>923</v>
      </c>
      <c r="I1211" s="856" t="s">
        <v>924</v>
      </c>
    </row>
    <row r="1212" spans="1:14" s="384" customFormat="1" ht="13.5" thickTop="1" thickBot="1" x14ac:dyDescent="0.25">
      <c r="A1212" s="1254">
        <v>1</v>
      </c>
      <c r="B1212" s="1255">
        <v>2</v>
      </c>
      <c r="C1212" s="1255">
        <v>3</v>
      </c>
      <c r="D1212" s="1255">
        <v>4</v>
      </c>
      <c r="E1212" s="569">
        <v>5</v>
      </c>
      <c r="F1212" s="1256">
        <v>6</v>
      </c>
      <c r="G1212" s="1256">
        <v>7</v>
      </c>
      <c r="H1212" s="1257">
        <v>8</v>
      </c>
      <c r="I1212" s="1258" t="s">
        <v>801</v>
      </c>
    </row>
    <row r="1213" spans="1:14" s="534" customFormat="1" ht="16.5" thickTop="1" thickBot="1" x14ac:dyDescent="0.3">
      <c r="A1213" s="1266">
        <v>60005100344</v>
      </c>
      <c r="B1213" s="1007">
        <v>3522</v>
      </c>
      <c r="C1213" s="1267">
        <v>6121</v>
      </c>
      <c r="D1213" s="1008">
        <v>25</v>
      </c>
      <c r="E1213" s="1009" t="s">
        <v>640</v>
      </c>
      <c r="F1213" s="928"/>
      <c r="G1213" s="1269">
        <v>380</v>
      </c>
      <c r="H1213" s="928">
        <v>0</v>
      </c>
      <c r="I1213" s="1270">
        <f>(H1213/G1213)*100</f>
        <v>0</v>
      </c>
    </row>
    <row r="1214" spans="1:14" s="534" customFormat="1" ht="18" customHeight="1" thickTop="1" thickBot="1" x14ac:dyDescent="0.3">
      <c r="A1214" s="2699" t="s">
        <v>257</v>
      </c>
      <c r="B1214" s="2698"/>
      <c r="C1214" s="2698"/>
      <c r="D1214" s="2698"/>
      <c r="E1214" s="2698"/>
      <c r="F1214" s="911">
        <f>F1213</f>
        <v>0</v>
      </c>
      <c r="G1214" s="911">
        <f>G1213</f>
        <v>380</v>
      </c>
      <c r="H1214" s="911">
        <f>H1213</f>
        <v>0</v>
      </c>
      <c r="I1214" s="894">
        <f>(H1214/G1214)*100</f>
        <v>0</v>
      </c>
      <c r="K1214" s="495">
        <f>F1034+F1041+F1049+F1054+F1061+F1073+F1080+F1087+F1094+F1101+F1108+F1115+F1122+F1129+F1140+F1147+F1154+F1161+F1168+F1175+F1182+F1189+F1196+F1207+F1214</f>
        <v>39307</v>
      </c>
      <c r="L1214" s="495">
        <f>G1034+G1041+G1049+G1054+G1061+G1073+G1080+G1087+G1094+G1101+G1108+G1115+G1122+G1129+G1140+G1147+G1154+G1161+G1168+G1175+G1182+G1189+G1196+G1207+G1214</f>
        <v>85331</v>
      </c>
      <c r="M1214" s="495">
        <f>H1034+H1041+H1049+H1054+H1061+H1073+H1080+H1087+H1094+H1101+H1108+H1115+H1122+H1129+H1140+H1147+H1154+H1161+H1168+H1175+H1182+H1189+H1196+H1207+H1214</f>
        <v>68509</v>
      </c>
      <c r="N1214" s="534" t="s">
        <v>1155</v>
      </c>
    </row>
    <row r="1215" spans="1:14" ht="13.5" thickTop="1" x14ac:dyDescent="0.2">
      <c r="K1215" s="951"/>
      <c r="L1215" s="951"/>
      <c r="M1215" s="951"/>
      <c r="N1215" s="433"/>
    </row>
    <row r="1216" spans="1:14" x14ac:dyDescent="0.2">
      <c r="K1216" s="951"/>
      <c r="L1216" s="951"/>
      <c r="M1216" s="951"/>
      <c r="N1216" s="433"/>
    </row>
    <row r="1217" spans="1:15" s="534" customFormat="1" ht="13.5" thickBot="1" x14ac:dyDescent="0.25">
      <c r="A1217" s="433" t="s">
        <v>1123</v>
      </c>
      <c r="B1217" s="645"/>
      <c r="D1217" s="852"/>
      <c r="F1217" s="495"/>
      <c r="G1217" s="495"/>
      <c r="H1217" s="495"/>
      <c r="I1217" s="989" t="s">
        <v>173</v>
      </c>
    </row>
    <row r="1218" spans="1:15" s="107" customFormat="1" ht="20.25" customHeight="1" thickTop="1" thickBot="1" x14ac:dyDescent="0.25">
      <c r="A1218" s="690" t="s">
        <v>661</v>
      </c>
      <c r="B1218" s="693" t="s">
        <v>174</v>
      </c>
      <c r="C1218" s="691" t="s">
        <v>175</v>
      </c>
      <c r="D1218" s="636" t="s">
        <v>744</v>
      </c>
      <c r="E1218" s="694" t="s">
        <v>176</v>
      </c>
      <c r="F1218" s="694" t="s">
        <v>177</v>
      </c>
      <c r="G1218" s="694" t="s">
        <v>922</v>
      </c>
      <c r="H1218" s="694" t="s">
        <v>923</v>
      </c>
      <c r="I1218" s="856" t="s">
        <v>924</v>
      </c>
    </row>
    <row r="1219" spans="1:15" s="384" customFormat="1" ht="13.5" thickTop="1" thickBot="1" x14ac:dyDescent="0.25">
      <c r="A1219" s="1254">
        <v>1</v>
      </c>
      <c r="B1219" s="1255">
        <v>2</v>
      </c>
      <c r="C1219" s="1255">
        <v>3</v>
      </c>
      <c r="D1219" s="1255">
        <v>4</v>
      </c>
      <c r="E1219" s="569">
        <v>5</v>
      </c>
      <c r="F1219" s="1256">
        <v>6</v>
      </c>
      <c r="G1219" s="1256">
        <v>7</v>
      </c>
      <c r="H1219" s="1257">
        <v>8</v>
      </c>
      <c r="I1219" s="1258" t="s">
        <v>801</v>
      </c>
    </row>
    <row r="1220" spans="1:15" s="534" customFormat="1" ht="16.5" thickTop="1" thickBot="1" x14ac:dyDescent="0.3">
      <c r="A1220" s="1266">
        <v>60008100137</v>
      </c>
      <c r="B1220" s="1007">
        <v>3315</v>
      </c>
      <c r="C1220" s="1267">
        <v>6121</v>
      </c>
      <c r="D1220" s="1008">
        <v>0</v>
      </c>
      <c r="E1220" s="1009" t="s">
        <v>640</v>
      </c>
      <c r="F1220" s="928"/>
      <c r="G1220" s="1269">
        <v>1590</v>
      </c>
      <c r="H1220" s="928">
        <v>248</v>
      </c>
      <c r="I1220" s="1270">
        <f>(H1220/G1220)*100</f>
        <v>15.59748427672956</v>
      </c>
    </row>
    <row r="1221" spans="1:15" s="534" customFormat="1" ht="18" customHeight="1" thickTop="1" thickBot="1" x14ac:dyDescent="0.3">
      <c r="A1221" s="2699" t="s">
        <v>257</v>
      </c>
      <c r="B1221" s="2698"/>
      <c r="C1221" s="2698"/>
      <c r="D1221" s="2698"/>
      <c r="E1221" s="2698"/>
      <c r="F1221" s="911">
        <f>F1220</f>
        <v>0</v>
      </c>
      <c r="G1221" s="911">
        <f>G1220</f>
        <v>1590</v>
      </c>
      <c r="H1221" s="911">
        <f>H1220</f>
        <v>248</v>
      </c>
      <c r="I1221" s="894">
        <f>(H1221/G1221)*100</f>
        <v>15.59748427672956</v>
      </c>
      <c r="K1221" s="495">
        <f>F1221</f>
        <v>0</v>
      </c>
      <c r="L1221" s="495">
        <f>G1221</f>
        <v>1590</v>
      </c>
      <c r="M1221" s="495">
        <f>H1221</f>
        <v>248</v>
      </c>
      <c r="N1221" s="534" t="s">
        <v>1156</v>
      </c>
    </row>
    <row r="1222" spans="1:15" ht="13.5" thickTop="1" x14ac:dyDescent="0.2">
      <c r="K1222" s="951"/>
      <c r="L1222" s="951"/>
      <c r="M1222" s="951"/>
      <c r="N1222" s="433"/>
    </row>
    <row r="1223" spans="1:15" x14ac:dyDescent="0.2">
      <c r="K1223" s="951"/>
      <c r="L1223" s="951"/>
      <c r="M1223" s="951"/>
      <c r="N1223" s="433"/>
    </row>
    <row r="1224" spans="1:15" s="1021" customFormat="1" ht="27.75" customHeight="1" thickBot="1" x14ac:dyDescent="0.4">
      <c r="A1224" s="1016" t="s">
        <v>630</v>
      </c>
      <c r="B1224" s="1017"/>
      <c r="C1224" s="1017"/>
      <c r="D1224" s="1017"/>
      <c r="E1224" s="1018"/>
      <c r="F1224" s="1019">
        <f>K1234</f>
        <v>253286</v>
      </c>
      <c r="G1224" s="1019">
        <f>L1234</f>
        <v>662054</v>
      </c>
      <c r="H1224" s="1019">
        <f>M1234</f>
        <v>597273</v>
      </c>
      <c r="I1224" s="1020">
        <f>(H1224/G1224)*100</f>
        <v>90.21514861325511</v>
      </c>
      <c r="K1224" s="1022"/>
      <c r="L1224" s="1022"/>
      <c r="M1224" s="1022"/>
      <c r="N1224" s="1023"/>
    </row>
    <row r="1225" spans="1:15" ht="13.5" thickTop="1" x14ac:dyDescent="0.2">
      <c r="K1225" s="951"/>
      <c r="L1225" s="951"/>
      <c r="M1225" s="951"/>
    </row>
    <row r="1227" spans="1:15" x14ac:dyDescent="0.2">
      <c r="A1227" s="2735" t="s">
        <v>470</v>
      </c>
      <c r="B1227" s="2657"/>
      <c r="C1227" s="2657"/>
      <c r="D1227" s="2657"/>
      <c r="E1227" s="2657"/>
      <c r="F1227" s="2657"/>
      <c r="G1227" s="2657"/>
      <c r="H1227" s="2657"/>
      <c r="I1227" s="2657"/>
      <c r="K1227" s="951"/>
      <c r="L1227" s="951"/>
      <c r="M1227" s="951"/>
    </row>
    <row r="1228" spans="1:15" s="534" customFormat="1" x14ac:dyDescent="0.2">
      <c r="A1228" s="2657"/>
      <c r="B1228" s="2657"/>
      <c r="C1228" s="2657"/>
      <c r="D1228" s="2657"/>
      <c r="E1228" s="2657"/>
      <c r="F1228" s="2657"/>
      <c r="G1228" s="2657"/>
      <c r="H1228" s="2657"/>
      <c r="I1228" s="2657"/>
      <c r="J1228" s="669"/>
      <c r="K1228" s="946">
        <f>K1027</f>
        <v>106635</v>
      </c>
      <c r="L1228" s="946">
        <f>L1027</f>
        <v>232034</v>
      </c>
      <c r="M1228" s="946">
        <f>M1027</f>
        <v>227096</v>
      </c>
      <c r="N1228" s="433" t="s">
        <v>1154</v>
      </c>
      <c r="O1228" s="107"/>
    </row>
    <row r="1229" spans="1:15" s="534" customFormat="1" x14ac:dyDescent="0.2">
      <c r="A1229" s="995"/>
      <c r="B1229" s="996"/>
      <c r="C1229" s="669"/>
      <c r="D1229" s="675"/>
      <c r="E1229" s="669"/>
      <c r="F1229" s="675"/>
      <c r="G1229" s="675"/>
      <c r="H1229" s="675"/>
      <c r="I1229" s="994"/>
      <c r="J1229" s="669"/>
      <c r="K1229" s="1015">
        <f>K413</f>
        <v>62847</v>
      </c>
      <c r="L1229" s="1015">
        <f>L413</f>
        <v>229852</v>
      </c>
      <c r="M1229" s="1015">
        <f>M413</f>
        <v>210636</v>
      </c>
      <c r="N1229" s="433" t="s">
        <v>1152</v>
      </c>
      <c r="O1229" s="384"/>
    </row>
    <row r="1230" spans="1:15" x14ac:dyDescent="0.2">
      <c r="K1230" s="675">
        <f>K764</f>
        <v>34847</v>
      </c>
      <c r="L1230" s="675">
        <f>L764</f>
        <v>70661</v>
      </c>
      <c r="M1230" s="675">
        <f>M764</f>
        <v>61431</v>
      </c>
      <c r="N1230" s="433" t="s">
        <v>1157</v>
      </c>
    </row>
    <row r="1231" spans="1:15" x14ac:dyDescent="0.2">
      <c r="K1231" s="675">
        <f>K640</f>
        <v>9650</v>
      </c>
      <c r="L1231" s="675">
        <f>L640</f>
        <v>42586</v>
      </c>
      <c r="M1231" s="675">
        <f>M640</f>
        <v>29353</v>
      </c>
      <c r="N1231" s="433" t="s">
        <v>1153</v>
      </c>
    </row>
    <row r="1232" spans="1:15" x14ac:dyDescent="0.2">
      <c r="K1232" s="675">
        <f>K1214</f>
        <v>39307</v>
      </c>
      <c r="L1232" s="675">
        <f>L1214</f>
        <v>85331</v>
      </c>
      <c r="M1232" s="675">
        <f>M1214</f>
        <v>68509</v>
      </c>
      <c r="N1232" s="433" t="s">
        <v>1155</v>
      </c>
    </row>
    <row r="1233" spans="11:15" ht="23.25" x14ac:dyDescent="0.35">
      <c r="K1233" s="1022">
        <f>K1221</f>
        <v>0</v>
      </c>
      <c r="L1233" s="1022">
        <f>L1221</f>
        <v>1590</v>
      </c>
      <c r="M1233" s="1022">
        <f>M1221</f>
        <v>248</v>
      </c>
      <c r="N1233" s="1023" t="s">
        <v>790</v>
      </c>
      <c r="O1233" s="1021"/>
    </row>
    <row r="1234" spans="11:15" x14ac:dyDescent="0.2">
      <c r="K1234" s="951">
        <f>K1228+K1229+K1230+K1231+K1232+K1233</f>
        <v>253286</v>
      </c>
      <c r="L1234" s="951">
        <f>L1228+L1229+L1230+L1231+L1232+L1233</f>
        <v>662054</v>
      </c>
      <c r="M1234" s="951">
        <f>M1228+M1229+M1230+M1231+M1232+M1233</f>
        <v>597273</v>
      </c>
      <c r="N1234" s="433" t="s">
        <v>802</v>
      </c>
    </row>
  </sheetData>
  <mergeCells count="173">
    <mergeCell ref="A864:E864"/>
    <mergeCell ref="A872:E872"/>
    <mergeCell ref="A880:E880"/>
    <mergeCell ref="A888:E888"/>
    <mergeCell ref="A903:E903"/>
    <mergeCell ref="A907:E907"/>
    <mergeCell ref="A800:E800"/>
    <mergeCell ref="A805:E805"/>
    <mergeCell ref="A812:E812"/>
    <mergeCell ref="A820:E820"/>
    <mergeCell ref="A857:E857"/>
    <mergeCell ref="A896:E896"/>
    <mergeCell ref="A850:E850"/>
    <mergeCell ref="A539:E539"/>
    <mergeCell ref="A546:E546"/>
    <mergeCell ref="A497:E497"/>
    <mergeCell ref="A504:E504"/>
    <mergeCell ref="A511:E511"/>
    <mergeCell ref="A518:E518"/>
    <mergeCell ref="A734:E734"/>
    <mergeCell ref="A739:E739"/>
    <mergeCell ref="A748:E748"/>
    <mergeCell ref="A641:E641"/>
    <mergeCell ref="A648:E648"/>
    <mergeCell ref="A655:E655"/>
    <mergeCell ref="A664:E664"/>
    <mergeCell ref="A662:E662"/>
    <mergeCell ref="A673:E673"/>
    <mergeCell ref="A706:E706"/>
    <mergeCell ref="A713:E713"/>
    <mergeCell ref="A720:E720"/>
    <mergeCell ref="A678:E678"/>
    <mergeCell ref="A685:E685"/>
    <mergeCell ref="A692:E692"/>
    <mergeCell ref="A699:E699"/>
    <mergeCell ref="A727:E727"/>
    <mergeCell ref="A244:E244"/>
    <mergeCell ref="A346:E346"/>
    <mergeCell ref="A354:E354"/>
    <mergeCell ref="A349:H350"/>
    <mergeCell ref="A329:E329"/>
    <mergeCell ref="A339:E339"/>
    <mergeCell ref="A251:E251"/>
    <mergeCell ref="A322:E322"/>
    <mergeCell ref="A258:E258"/>
    <mergeCell ref="A261:E261"/>
    <mergeCell ref="A272:E272"/>
    <mergeCell ref="A279:E279"/>
    <mergeCell ref="A315:E315"/>
    <mergeCell ref="A286:E286"/>
    <mergeCell ref="A294:E294"/>
    <mergeCell ref="A301:E301"/>
    <mergeCell ref="A308:E308"/>
    <mergeCell ref="A227:E227"/>
    <mergeCell ref="A230:E230"/>
    <mergeCell ref="A198:E198"/>
    <mergeCell ref="A219:E219"/>
    <mergeCell ref="A160:E160"/>
    <mergeCell ref="A237:E237"/>
    <mergeCell ref="A212:E212"/>
    <mergeCell ref="A170:E170"/>
    <mergeCell ref="A191:E191"/>
    <mergeCell ref="A14:E14"/>
    <mergeCell ref="A33:E33"/>
    <mergeCell ref="A41:E41"/>
    <mergeCell ref="A205:E205"/>
    <mergeCell ref="A163:E163"/>
    <mergeCell ref="A177:E177"/>
    <mergeCell ref="A21:E21"/>
    <mergeCell ref="A86:E86"/>
    <mergeCell ref="A29:E29"/>
    <mergeCell ref="A94:E94"/>
    <mergeCell ref="A101:E101"/>
    <mergeCell ref="A108:E108"/>
    <mergeCell ref="A115:E115"/>
    <mergeCell ref="A48:E48"/>
    <mergeCell ref="A56:E56"/>
    <mergeCell ref="A63:E63"/>
    <mergeCell ref="A72:E72"/>
    <mergeCell ref="A79:E79"/>
    <mergeCell ref="A139:E139"/>
    <mergeCell ref="A146:E146"/>
    <mergeCell ref="A153:E153"/>
    <mergeCell ref="A122:E122"/>
    <mergeCell ref="A129:E129"/>
    <mergeCell ref="A184:E184"/>
    <mergeCell ref="A361:E361"/>
    <mergeCell ref="A379:E379"/>
    <mergeCell ref="A413:E413"/>
    <mergeCell ref="A406:E406"/>
    <mergeCell ref="A387:E387"/>
    <mergeCell ref="A394:E394"/>
    <mergeCell ref="A369:E369"/>
    <mergeCell ref="A371:E371"/>
    <mergeCell ref="A420:E420"/>
    <mergeCell ref="A427:E427"/>
    <mergeCell ref="A434:E434"/>
    <mergeCell ref="A613:E613"/>
    <mergeCell ref="A620:E620"/>
    <mergeCell ref="A627:E627"/>
    <mergeCell ref="A634:E634"/>
    <mergeCell ref="A581:E581"/>
    <mergeCell ref="A589:E589"/>
    <mergeCell ref="A596:E596"/>
    <mergeCell ref="A606:E606"/>
    <mergeCell ref="A553:E553"/>
    <mergeCell ref="A560:E560"/>
    <mergeCell ref="A567:E567"/>
    <mergeCell ref="A574:E574"/>
    <mergeCell ref="A525:E525"/>
    <mergeCell ref="A473:E473"/>
    <mergeCell ref="A483:E483"/>
    <mergeCell ref="A490:E490"/>
    <mergeCell ref="A441:E441"/>
    <mergeCell ref="A448:E448"/>
    <mergeCell ref="A455:E455"/>
    <mergeCell ref="A462:E462"/>
    <mergeCell ref="A476:E476"/>
    <mergeCell ref="A532:E532"/>
    <mergeCell ref="A772:E772"/>
    <mergeCell ref="A779:E779"/>
    <mergeCell ref="A746:E746"/>
    <mergeCell ref="A793:E793"/>
    <mergeCell ref="A786:E786"/>
    <mergeCell ref="A764:E764"/>
    <mergeCell ref="A756:E756"/>
    <mergeCell ref="A835:E835"/>
    <mergeCell ref="A843:E843"/>
    <mergeCell ref="A827:E827"/>
    <mergeCell ref="A1041:E1041"/>
    <mergeCell ref="A1049:E1049"/>
    <mergeCell ref="A1054:E1054"/>
    <mergeCell ref="A1061:E1061"/>
    <mergeCell ref="A988:E988"/>
    <mergeCell ref="A990:E990"/>
    <mergeCell ref="A1027:E1027"/>
    <mergeCell ref="A1034:E1034"/>
    <mergeCell ref="A997:E997"/>
    <mergeCell ref="A1006:E1006"/>
    <mergeCell ref="A1013:E1013"/>
    <mergeCell ref="A1020:E1020"/>
    <mergeCell ref="A967:E967"/>
    <mergeCell ref="A928:E928"/>
    <mergeCell ref="A974:E974"/>
    <mergeCell ref="A981:E981"/>
    <mergeCell ref="A953:E953"/>
    <mergeCell ref="A960:E960"/>
    <mergeCell ref="A939:E939"/>
    <mergeCell ref="A946:E946"/>
    <mergeCell ref="A914:E914"/>
    <mergeCell ref="A921:E921"/>
    <mergeCell ref="A1129:E1129"/>
    <mergeCell ref="A1140:E1140"/>
    <mergeCell ref="A1147:E1147"/>
    <mergeCell ref="A1154:E1154"/>
    <mergeCell ref="A1101:E1101"/>
    <mergeCell ref="A1108:E1108"/>
    <mergeCell ref="A1115:E1115"/>
    <mergeCell ref="A1122:E1122"/>
    <mergeCell ref="A1073:E1073"/>
    <mergeCell ref="A1080:E1080"/>
    <mergeCell ref="A1087:E1087"/>
    <mergeCell ref="A1094:E1094"/>
    <mergeCell ref="A1227:I1228"/>
    <mergeCell ref="A1221:E1221"/>
    <mergeCell ref="A1189:E1189"/>
    <mergeCell ref="A1196:E1196"/>
    <mergeCell ref="A1207:E1207"/>
    <mergeCell ref="A1214:E1214"/>
    <mergeCell ref="A1161:E1161"/>
    <mergeCell ref="A1168:E1168"/>
    <mergeCell ref="A1175:E1175"/>
    <mergeCell ref="A1182:E1182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30" orientation="portrait" r:id="rId1"/>
  <headerFooter alignWithMargins="0">
    <oddFooter xml:space="preserve">&amp;L&amp;"Arial,Kurzíva"Rada Olomouckého kraje 3.6.2010
4.3.- Rozpočet Olomouckého kraje 2009 - závěrečný  účet
Příloha č. 3: Plnění rozpočtu výdajů Olomouckého kraje k 31.12.2009&amp;R&amp;"Arial,Kurzíva"Strana &amp;P (Celkem 458)
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51"/>
  <sheetViews>
    <sheetView showGridLines="0" view="pageBreakPreview" zoomScaleNormal="100" zoomScaleSheetLayoutView="100" workbookViewId="0">
      <selection activeCell="C63" sqref="C63:C67"/>
    </sheetView>
  </sheetViews>
  <sheetFormatPr defaultRowHeight="12.75" x14ac:dyDescent="0.2"/>
  <cols>
    <col min="1" max="1" width="5.7109375" style="349" customWidth="1"/>
    <col min="2" max="2" width="5.5703125" style="349" customWidth="1"/>
    <col min="3" max="3" width="10.140625" style="349" customWidth="1"/>
    <col min="4" max="4" width="47.42578125" style="349" customWidth="1"/>
    <col min="5" max="5" width="13.85546875" style="349" customWidth="1"/>
    <col min="6" max="6" width="12.7109375" style="349" customWidth="1"/>
    <col min="7" max="7" width="12.140625" style="349" customWidth="1"/>
    <col min="8" max="8" width="9.140625" style="630" customWidth="1"/>
    <col min="9" max="16384" width="9.140625" style="349"/>
  </cols>
  <sheetData>
    <row r="1" spans="1:9" ht="21.75" customHeight="1" thickBot="1" x14ac:dyDescent="0.3">
      <c r="A1" s="465" t="s">
        <v>1766</v>
      </c>
      <c r="B1" s="466"/>
      <c r="C1" s="466"/>
      <c r="D1" s="477"/>
      <c r="E1" s="478"/>
      <c r="F1" s="469" t="s">
        <v>1767</v>
      </c>
      <c r="G1" s="437"/>
      <c r="I1" s="17"/>
    </row>
    <row r="2" spans="1:9" ht="12.75" customHeight="1" x14ac:dyDescent="0.25">
      <c r="A2" s="6"/>
      <c r="B2" s="28"/>
      <c r="C2" s="28"/>
      <c r="D2" s="10"/>
      <c r="E2" s="15"/>
      <c r="F2" s="15"/>
      <c r="G2" s="16"/>
      <c r="H2" s="194"/>
      <c r="I2" s="17"/>
    </row>
    <row r="3" spans="1:9" ht="12.75" customHeight="1" x14ac:dyDescent="0.25">
      <c r="A3" s="67" t="s">
        <v>387</v>
      </c>
      <c r="B3" s="28"/>
      <c r="C3" s="525" t="s">
        <v>1769</v>
      </c>
      <c r="D3" s="629"/>
      <c r="E3" s="15"/>
      <c r="F3" s="16"/>
      <c r="G3" s="17"/>
      <c r="H3" s="194"/>
    </row>
    <row r="4" spans="1:9" ht="16.5" customHeight="1" x14ac:dyDescent="0.25">
      <c r="A4" s="6"/>
      <c r="B4" s="28"/>
      <c r="C4" s="525" t="s">
        <v>1768</v>
      </c>
      <c r="D4" s="437"/>
      <c r="E4" s="15"/>
      <c r="F4" s="16"/>
      <c r="G4" s="17"/>
      <c r="H4" s="194"/>
    </row>
    <row r="5" spans="1:9" ht="12.75" customHeight="1" x14ac:dyDescent="0.25">
      <c r="A5" s="6"/>
      <c r="B5" s="28"/>
      <c r="C5" s="28"/>
      <c r="D5" s="10"/>
      <c r="E5" s="15"/>
      <c r="F5" s="15"/>
      <c r="G5" s="16"/>
      <c r="H5" s="194"/>
      <c r="I5" s="17"/>
    </row>
    <row r="6" spans="1:9" ht="18" x14ac:dyDescent="0.25">
      <c r="A6" s="33" t="s">
        <v>925</v>
      </c>
      <c r="B6" s="28"/>
      <c r="C6" s="28"/>
      <c r="D6" s="10"/>
      <c r="E6" s="15"/>
      <c r="F6" s="15"/>
      <c r="G6" s="16"/>
      <c r="H6" s="194"/>
      <c r="I6" s="17"/>
    </row>
    <row r="7" spans="1:9" ht="13.5" thickBot="1" x14ac:dyDescent="0.25">
      <c r="A7" s="631"/>
      <c r="B7" s="631"/>
      <c r="C7" s="631"/>
      <c r="D7" s="632"/>
      <c r="E7" s="437"/>
      <c r="F7" s="437"/>
      <c r="G7" s="2303"/>
      <c r="H7" s="536" t="s">
        <v>173</v>
      </c>
    </row>
    <row r="8" spans="1:9" s="107" customFormat="1" ht="20.25" customHeight="1" thickTop="1" thickBot="1" x14ac:dyDescent="0.25">
      <c r="A8" s="633" t="s">
        <v>174</v>
      </c>
      <c r="B8" s="634" t="s">
        <v>175</v>
      </c>
      <c r="C8" s="635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637" t="s">
        <v>924</v>
      </c>
    </row>
    <row r="9" spans="1:9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638" t="s">
        <v>61</v>
      </c>
      <c r="I9" s="107"/>
    </row>
    <row r="10" spans="1:9" s="384" customFormat="1" ht="15.75" thickTop="1" x14ac:dyDescent="0.25">
      <c r="A10" s="1220">
        <v>3341</v>
      </c>
      <c r="B10" s="268">
        <v>5169</v>
      </c>
      <c r="C10" s="1120"/>
      <c r="D10" s="68" t="s">
        <v>892</v>
      </c>
      <c r="E10" s="124"/>
      <c r="F10" s="315">
        <v>2844</v>
      </c>
      <c r="G10" s="315">
        <v>2839</v>
      </c>
      <c r="H10" s="203">
        <f t="shared" ref="H10:H37" si="0">(G10/F10)*100</f>
        <v>99.824191279887486</v>
      </c>
      <c r="I10" s="107"/>
    </row>
    <row r="11" spans="1:9" s="384" customFormat="1" ht="14.25" x14ac:dyDescent="0.2">
      <c r="A11" s="1220"/>
      <c r="B11" s="268"/>
      <c r="C11" s="1120" t="s">
        <v>1409</v>
      </c>
      <c r="D11" s="1114" t="s">
        <v>1770</v>
      </c>
      <c r="E11" s="124"/>
      <c r="F11" s="314">
        <v>2844</v>
      </c>
      <c r="G11" s="316">
        <v>2839</v>
      </c>
      <c r="H11" s="1116">
        <f t="shared" si="0"/>
        <v>99.824191279887486</v>
      </c>
      <c r="I11" s="107"/>
    </row>
    <row r="12" spans="1:9" s="384" customFormat="1" ht="15" x14ac:dyDescent="0.25">
      <c r="A12" s="1220">
        <v>3349</v>
      </c>
      <c r="B12" s="268">
        <v>5169</v>
      </c>
      <c r="C12" s="1120"/>
      <c r="D12" s="68" t="s">
        <v>892</v>
      </c>
      <c r="E12" s="124"/>
      <c r="F12" s="313">
        <v>4679</v>
      </c>
      <c r="G12" s="315">
        <v>4288</v>
      </c>
      <c r="H12" s="203">
        <f t="shared" si="0"/>
        <v>91.643513571275918</v>
      </c>
      <c r="I12" s="107"/>
    </row>
    <row r="13" spans="1:9" s="384" customFormat="1" ht="14.25" x14ac:dyDescent="0.2">
      <c r="A13" s="1220"/>
      <c r="B13" s="268"/>
      <c r="C13" s="1120" t="s">
        <v>1409</v>
      </c>
      <c r="D13" s="1114" t="s">
        <v>1770</v>
      </c>
      <c r="E13" s="124"/>
      <c r="F13" s="314">
        <v>4679</v>
      </c>
      <c r="G13" s="316">
        <v>4288</v>
      </c>
      <c r="H13" s="1116">
        <f t="shared" si="0"/>
        <v>91.643513571275918</v>
      </c>
      <c r="I13" s="107"/>
    </row>
    <row r="14" spans="1:9" s="384" customFormat="1" ht="15" x14ac:dyDescent="0.25">
      <c r="A14" s="1220">
        <v>6113</v>
      </c>
      <c r="B14" s="268">
        <v>5021</v>
      </c>
      <c r="C14" s="1120"/>
      <c r="D14" s="68" t="s">
        <v>409</v>
      </c>
      <c r="E14" s="124"/>
      <c r="F14" s="313">
        <v>4465</v>
      </c>
      <c r="G14" s="315">
        <v>4444</v>
      </c>
      <c r="H14" s="203">
        <f t="shared" si="0"/>
        <v>99.529675251959688</v>
      </c>
      <c r="I14" s="107"/>
    </row>
    <row r="15" spans="1:9" s="384" customFormat="1" ht="15" x14ac:dyDescent="0.25">
      <c r="A15" s="1220">
        <v>6113</v>
      </c>
      <c r="B15" s="268">
        <v>5032</v>
      </c>
      <c r="C15" s="1120"/>
      <c r="D15" s="128" t="s">
        <v>1546</v>
      </c>
      <c r="E15" s="60"/>
      <c r="F15" s="60">
        <v>0</v>
      </c>
      <c r="G15" s="60">
        <v>400</v>
      </c>
      <c r="H15" s="2307">
        <v>0</v>
      </c>
      <c r="I15" s="107"/>
    </row>
    <row r="16" spans="1:9" s="384" customFormat="1" ht="15" x14ac:dyDescent="0.25">
      <c r="A16" s="1220">
        <v>6113</v>
      </c>
      <c r="B16" s="268">
        <v>5137</v>
      </c>
      <c r="C16" s="1120"/>
      <c r="D16" s="128" t="s">
        <v>167</v>
      </c>
      <c r="E16" s="60"/>
      <c r="F16" s="60">
        <v>90</v>
      </c>
      <c r="G16" s="60">
        <v>74</v>
      </c>
      <c r="H16" s="203">
        <f t="shared" si="0"/>
        <v>82.222222222222214</v>
      </c>
      <c r="I16" s="107"/>
    </row>
    <row r="17" spans="1:21" s="384" customFormat="1" ht="15" x14ac:dyDescent="0.25">
      <c r="A17" s="1220">
        <v>6113</v>
      </c>
      <c r="B17" s="268">
        <v>5139</v>
      </c>
      <c r="C17" s="1120"/>
      <c r="D17" s="128" t="s">
        <v>804</v>
      </c>
      <c r="E17" s="60"/>
      <c r="F17" s="313">
        <v>700</v>
      </c>
      <c r="G17" s="315">
        <v>669</v>
      </c>
      <c r="H17" s="203">
        <f t="shared" si="0"/>
        <v>95.571428571428569</v>
      </c>
      <c r="I17" s="107"/>
    </row>
    <row r="18" spans="1:21" s="384" customFormat="1" ht="15" x14ac:dyDescent="0.25">
      <c r="A18" s="1220">
        <v>6113</v>
      </c>
      <c r="B18" s="268">
        <v>5164</v>
      </c>
      <c r="C18" s="1120"/>
      <c r="D18" s="1108" t="s">
        <v>182</v>
      </c>
      <c r="E18" s="124"/>
      <c r="F18" s="313">
        <v>150</v>
      </c>
      <c r="G18" s="315">
        <v>14</v>
      </c>
      <c r="H18" s="203">
        <f t="shared" si="0"/>
        <v>9.3333333333333339</v>
      </c>
      <c r="I18" s="107"/>
    </row>
    <row r="19" spans="1:21" s="1107" customFormat="1" ht="15" x14ac:dyDescent="0.25">
      <c r="A19" s="1220">
        <v>6113</v>
      </c>
      <c r="B19" s="268">
        <v>5166</v>
      </c>
      <c r="C19" s="1120"/>
      <c r="D19" s="68" t="s">
        <v>709</v>
      </c>
      <c r="E19" s="124"/>
      <c r="F19" s="313">
        <v>1894</v>
      </c>
      <c r="G19" s="315">
        <v>1739</v>
      </c>
      <c r="H19" s="203">
        <f t="shared" si="0"/>
        <v>91.816261879619859</v>
      </c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</row>
    <row r="20" spans="1:21" s="1107" customFormat="1" ht="15" x14ac:dyDescent="0.25">
      <c r="A20" s="1220">
        <v>6113</v>
      </c>
      <c r="B20" s="268">
        <v>5167</v>
      </c>
      <c r="C20" s="1120"/>
      <c r="D20" s="128" t="s">
        <v>937</v>
      </c>
      <c r="E20" s="124"/>
      <c r="F20" s="315">
        <v>120</v>
      </c>
      <c r="G20" s="315">
        <v>119</v>
      </c>
      <c r="H20" s="203">
        <f t="shared" si="0"/>
        <v>99.166666666666671</v>
      </c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</row>
    <row r="21" spans="1:21" ht="15" x14ac:dyDescent="0.25">
      <c r="A21" s="1220">
        <v>6113</v>
      </c>
      <c r="B21" s="268">
        <v>5169</v>
      </c>
      <c r="C21" s="1120"/>
      <c r="D21" s="68" t="s">
        <v>892</v>
      </c>
      <c r="E21" s="124"/>
      <c r="F21" s="315">
        <f>F22+F23+F24</f>
        <v>2331</v>
      </c>
      <c r="G21" s="315">
        <f>G22+G23+G24</f>
        <v>1806</v>
      </c>
      <c r="H21" s="203">
        <f t="shared" si="0"/>
        <v>77.477477477477478</v>
      </c>
    </row>
    <row r="22" spans="1:21" ht="14.25" x14ac:dyDescent="0.2">
      <c r="A22" s="1220"/>
      <c r="B22" s="268"/>
      <c r="C22" s="1120" t="s">
        <v>792</v>
      </c>
      <c r="D22" s="1114" t="s">
        <v>1321</v>
      </c>
      <c r="E22" s="124"/>
      <c r="F22" s="314">
        <v>1565</v>
      </c>
      <c r="G22" s="316">
        <v>1545</v>
      </c>
      <c r="H22" s="1116">
        <f t="shared" si="0"/>
        <v>98.722044728434497</v>
      </c>
    </row>
    <row r="23" spans="1:21" ht="14.25" x14ac:dyDescent="0.2">
      <c r="A23" s="1220"/>
      <c r="B23" s="268"/>
      <c r="C23" s="1120" t="s">
        <v>1772</v>
      </c>
      <c r="D23" s="166" t="s">
        <v>1771</v>
      </c>
      <c r="E23" s="124"/>
      <c r="F23" s="314">
        <v>266</v>
      </c>
      <c r="G23" s="316">
        <v>136</v>
      </c>
      <c r="H23" s="1116">
        <f t="shared" si="0"/>
        <v>51.127819548872175</v>
      </c>
    </row>
    <row r="24" spans="1:21" ht="14.25" x14ac:dyDescent="0.2">
      <c r="A24" s="1220"/>
      <c r="B24" s="268"/>
      <c r="C24" s="1120" t="s">
        <v>1773</v>
      </c>
      <c r="D24" s="166" t="s">
        <v>1774</v>
      </c>
      <c r="E24" s="124"/>
      <c r="F24" s="314">
        <v>500</v>
      </c>
      <c r="G24" s="316">
        <v>125</v>
      </c>
      <c r="H24" s="1116">
        <f t="shared" si="0"/>
        <v>25</v>
      </c>
    </row>
    <row r="25" spans="1:21" ht="15" x14ac:dyDescent="0.25">
      <c r="A25" s="1220">
        <v>6113</v>
      </c>
      <c r="B25" s="268">
        <v>5175</v>
      </c>
      <c r="C25" s="1120"/>
      <c r="D25" s="128" t="s">
        <v>707</v>
      </c>
      <c r="E25" s="60"/>
      <c r="F25" s="315">
        <f>F26+F27+F28</f>
        <v>710</v>
      </c>
      <c r="G25" s="315">
        <f>G26+G27+G28</f>
        <v>342</v>
      </c>
      <c r="H25" s="203">
        <f t="shared" si="0"/>
        <v>48.169014084507047</v>
      </c>
    </row>
    <row r="26" spans="1:21" ht="15" x14ac:dyDescent="0.25">
      <c r="A26" s="1220"/>
      <c r="B26" s="268"/>
      <c r="C26" s="1120" t="s">
        <v>792</v>
      </c>
      <c r="D26" s="1114" t="s">
        <v>1321</v>
      </c>
      <c r="E26" s="60"/>
      <c r="F26" s="314">
        <v>375</v>
      </c>
      <c r="G26" s="316">
        <v>268</v>
      </c>
      <c r="H26" s="2308">
        <f t="shared" si="0"/>
        <v>71.466666666666669</v>
      </c>
    </row>
    <row r="27" spans="1:21" s="58" customFormat="1" ht="17.25" customHeight="1" x14ac:dyDescent="0.35">
      <c r="A27" s="1220"/>
      <c r="B27" s="268"/>
      <c r="C27" s="1120" t="s">
        <v>1772</v>
      </c>
      <c r="D27" s="166" t="s">
        <v>1771</v>
      </c>
      <c r="E27" s="60"/>
      <c r="F27" s="124">
        <v>134</v>
      </c>
      <c r="G27" s="124">
        <v>0</v>
      </c>
      <c r="H27" s="2309">
        <v>0</v>
      </c>
      <c r="I27" s="655"/>
    </row>
    <row r="28" spans="1:21" ht="14.25" x14ac:dyDescent="0.2">
      <c r="A28" s="1220"/>
      <c r="B28" s="268"/>
      <c r="C28" s="1120" t="s">
        <v>1773</v>
      </c>
      <c r="D28" s="166" t="s">
        <v>1774</v>
      </c>
      <c r="E28" s="124"/>
      <c r="F28" s="314">
        <v>201</v>
      </c>
      <c r="G28" s="316">
        <v>74</v>
      </c>
      <c r="H28" s="2308">
        <f t="shared" si="0"/>
        <v>36.815920398009951</v>
      </c>
    </row>
    <row r="29" spans="1:21" ht="15" x14ac:dyDescent="0.25">
      <c r="A29" s="1220">
        <v>6113</v>
      </c>
      <c r="B29" s="268">
        <v>5189</v>
      </c>
      <c r="C29" s="1120"/>
      <c r="D29" s="128" t="s">
        <v>906</v>
      </c>
      <c r="E29" s="60"/>
      <c r="F29" s="313">
        <v>50</v>
      </c>
      <c r="G29" s="315">
        <v>0</v>
      </c>
      <c r="H29" s="2305">
        <f t="shared" si="0"/>
        <v>0</v>
      </c>
    </row>
    <row r="30" spans="1:21" ht="15" x14ac:dyDescent="0.25">
      <c r="A30" s="223">
        <v>6113</v>
      </c>
      <c r="B30" s="96">
        <v>5229</v>
      </c>
      <c r="C30" s="1120"/>
      <c r="D30" s="1412" t="s">
        <v>1191</v>
      </c>
      <c r="E30" s="124"/>
      <c r="F30" s="315">
        <v>700</v>
      </c>
      <c r="G30" s="315">
        <v>700</v>
      </c>
      <c r="H30" s="2305">
        <f t="shared" si="0"/>
        <v>100</v>
      </c>
    </row>
    <row r="31" spans="1:21" ht="15" x14ac:dyDescent="0.25">
      <c r="A31" s="223">
        <v>6172</v>
      </c>
      <c r="B31" s="96">
        <v>5139</v>
      </c>
      <c r="C31" s="1120"/>
      <c r="D31" s="128" t="s">
        <v>804</v>
      </c>
      <c r="E31" s="124"/>
      <c r="F31" s="315">
        <v>2178</v>
      </c>
      <c r="G31" s="315">
        <v>2163</v>
      </c>
      <c r="H31" s="2305">
        <f t="shared" si="0"/>
        <v>99.311294765840216</v>
      </c>
    </row>
    <row r="32" spans="1:21" ht="14.25" x14ac:dyDescent="0.2">
      <c r="A32" s="223"/>
      <c r="B32" s="96"/>
      <c r="C32" s="1120" t="s">
        <v>1409</v>
      </c>
      <c r="D32" s="1114" t="s">
        <v>1770</v>
      </c>
      <c r="E32" s="124"/>
      <c r="F32" s="316">
        <v>2178</v>
      </c>
      <c r="G32" s="316">
        <v>2163</v>
      </c>
      <c r="H32" s="2308">
        <f t="shared" si="0"/>
        <v>99.311294765840216</v>
      </c>
    </row>
    <row r="33" spans="1:11" ht="15" x14ac:dyDescent="0.25">
      <c r="A33" s="223">
        <v>6172</v>
      </c>
      <c r="B33" s="96">
        <v>5169</v>
      </c>
      <c r="C33" s="1120"/>
      <c r="D33" s="68" t="s">
        <v>892</v>
      </c>
      <c r="E33" s="60"/>
      <c r="F33" s="60">
        <v>841</v>
      </c>
      <c r="G33" s="60">
        <v>802</v>
      </c>
      <c r="H33" s="2305">
        <f t="shared" si="0"/>
        <v>95.362663495838291</v>
      </c>
    </row>
    <row r="34" spans="1:11" ht="14.25" x14ac:dyDescent="0.2">
      <c r="A34" s="223"/>
      <c r="B34" s="96"/>
      <c r="C34" s="1120" t="s">
        <v>1409</v>
      </c>
      <c r="D34" s="1114" t="s">
        <v>1770</v>
      </c>
      <c r="E34" s="124"/>
      <c r="F34" s="316">
        <v>841</v>
      </c>
      <c r="G34" s="316">
        <v>802</v>
      </c>
      <c r="H34" s="2308">
        <f t="shared" si="0"/>
        <v>95.362663495838291</v>
      </c>
    </row>
    <row r="35" spans="1:11" ht="15" x14ac:dyDescent="0.25">
      <c r="A35" s="223">
        <v>6172</v>
      </c>
      <c r="B35" s="96">
        <v>5175</v>
      </c>
      <c r="C35" s="1120"/>
      <c r="D35" s="128" t="s">
        <v>707</v>
      </c>
      <c r="E35" s="60"/>
      <c r="F35" s="60">
        <v>100</v>
      </c>
      <c r="G35" s="60">
        <v>50</v>
      </c>
      <c r="H35" s="2305">
        <f t="shared" si="0"/>
        <v>50</v>
      </c>
    </row>
    <row r="36" spans="1:11" ht="14.25" x14ac:dyDescent="0.2">
      <c r="A36" s="223"/>
      <c r="B36" s="96"/>
      <c r="C36" s="1120" t="s">
        <v>1409</v>
      </c>
      <c r="D36" s="1114" t="s">
        <v>1770</v>
      </c>
      <c r="E36" s="124"/>
      <c r="F36" s="316">
        <v>100</v>
      </c>
      <c r="G36" s="316">
        <v>50</v>
      </c>
      <c r="H36" s="2308">
        <f t="shared" si="0"/>
        <v>50</v>
      </c>
    </row>
    <row r="37" spans="1:11" ht="15.75" thickBot="1" x14ac:dyDescent="0.3">
      <c r="A37" s="223">
        <v>6409</v>
      </c>
      <c r="B37" s="96">
        <v>5169</v>
      </c>
      <c r="C37" s="1120"/>
      <c r="D37" s="68" t="s">
        <v>892</v>
      </c>
      <c r="E37" s="124"/>
      <c r="F37" s="315">
        <v>4084</v>
      </c>
      <c r="G37" s="315">
        <v>4084</v>
      </c>
      <c r="H37" s="2305">
        <f t="shared" si="0"/>
        <v>100</v>
      </c>
    </row>
    <row r="38" spans="1:11" ht="32.25" customHeight="1" thickTop="1" thickBot="1" x14ac:dyDescent="0.35">
      <c r="A38" s="1031" t="s">
        <v>258</v>
      </c>
      <c r="B38" s="1032"/>
      <c r="C38" s="1033"/>
      <c r="D38" s="1034"/>
      <c r="E38" s="643">
        <f>E2+E15+E16+E18+E25+E32+E34+E35+E36+E37</f>
        <v>0</v>
      </c>
      <c r="F38" s="643">
        <f>F10+F12+F14+F15+F16+F17+F18+F19+F20+F21+F25+F29+F30+F31+F33+F35+F37</f>
        <v>25936</v>
      </c>
      <c r="G38" s="643">
        <f>G10+G12+G14+G15+G16+G17+G18+G19+G20+G21+G25+G29+G30+G31+G33+G35+G37</f>
        <v>24533</v>
      </c>
      <c r="H38" s="644">
        <f>G38/F38*100</f>
        <v>94.590530536705742</v>
      </c>
    </row>
    <row r="39" spans="1:11" ht="13.5" thickTop="1" x14ac:dyDescent="0.2"/>
    <row r="42" spans="1:11" s="669" customFormat="1" ht="15" customHeight="1" x14ac:dyDescent="0.25">
      <c r="A42" s="2739" t="s">
        <v>1775</v>
      </c>
      <c r="B42" s="2740"/>
      <c r="C42" s="2740"/>
      <c r="D42" s="2740"/>
      <c r="E42" s="974">
        <f>E44+E45+E46+E47</f>
        <v>0</v>
      </c>
      <c r="F42" s="974">
        <f>F44+F45+F46+F47</f>
        <v>25936</v>
      </c>
      <c r="G42" s="974">
        <f>G44+G45+G46+G47</f>
        <v>24533</v>
      </c>
      <c r="H42" s="305">
        <f>G42/F42*100</f>
        <v>94.590530536705742</v>
      </c>
    </row>
    <row r="43" spans="1:11" s="669" customFormat="1" ht="15" customHeight="1" x14ac:dyDescent="0.25">
      <c r="A43" s="2740"/>
      <c r="B43" s="2740"/>
      <c r="C43" s="2740"/>
      <c r="D43" s="2740"/>
      <c r="E43" s="974"/>
      <c r="F43" s="974"/>
      <c r="G43" s="974"/>
      <c r="H43" s="305"/>
    </row>
    <row r="44" spans="1:11" s="1325" customFormat="1" ht="15" x14ac:dyDescent="0.2">
      <c r="A44" s="557" t="s">
        <v>277</v>
      </c>
      <c r="B44" s="587"/>
      <c r="C44" s="588"/>
      <c r="D44" s="588"/>
      <c r="E44" s="975">
        <f>E38</f>
        <v>0</v>
      </c>
      <c r="F44" s="975">
        <f>F38</f>
        <v>25936</v>
      </c>
      <c r="G44" s="975">
        <f>G38</f>
        <v>24533</v>
      </c>
      <c r="H44" s="306">
        <f>G44/F44*100</f>
        <v>94.590530536705742</v>
      </c>
    </row>
    <row r="45" spans="1:11" s="1325" customFormat="1" ht="15" x14ac:dyDescent="0.2">
      <c r="A45" s="557" t="s">
        <v>278</v>
      </c>
      <c r="B45" s="592"/>
      <c r="C45" s="588"/>
      <c r="D45" s="588"/>
      <c r="E45" s="976">
        <f>E40</f>
        <v>0</v>
      </c>
      <c r="F45" s="976">
        <f>F40-F47</f>
        <v>0</v>
      </c>
      <c r="G45" s="976">
        <f>G40-G47</f>
        <v>0</v>
      </c>
      <c r="H45" s="306">
        <v>0</v>
      </c>
    </row>
    <row r="46" spans="1:11" s="1325" customFormat="1" ht="15" x14ac:dyDescent="0.2">
      <c r="A46" s="557" t="s">
        <v>221</v>
      </c>
      <c r="B46" s="592"/>
      <c r="C46" s="588"/>
      <c r="D46" s="588"/>
      <c r="E46" s="975">
        <v>0</v>
      </c>
      <c r="F46" s="590">
        <v>0</v>
      </c>
      <c r="G46" s="590">
        <v>0</v>
      </c>
      <c r="H46" s="306">
        <v>0</v>
      </c>
      <c r="J46" s="1326"/>
      <c r="K46" s="1326"/>
    </row>
    <row r="47" spans="1:11" s="1325" customFormat="1" ht="15" x14ac:dyDescent="0.2">
      <c r="A47" s="557" t="s">
        <v>1206</v>
      </c>
      <c r="B47" s="592"/>
      <c r="C47" s="588"/>
      <c r="D47" s="588"/>
      <c r="E47" s="975">
        <v>0</v>
      </c>
      <c r="F47" s="594">
        <v>0</v>
      </c>
      <c r="G47" s="594">
        <v>0</v>
      </c>
      <c r="H47" s="306">
        <v>0</v>
      </c>
    </row>
    <row r="48" spans="1:11" s="534" customFormat="1" ht="15" x14ac:dyDescent="0.25">
      <c r="A48" s="779"/>
      <c r="B48" s="779"/>
      <c r="C48" s="1037"/>
      <c r="D48" s="119"/>
      <c r="E48" s="1038"/>
      <c r="F48" s="314"/>
      <c r="G48" s="314"/>
      <c r="H48" s="1039"/>
      <c r="I48" s="495"/>
      <c r="J48" s="495"/>
    </row>
    <row r="49" spans="1:10" s="534" customFormat="1" ht="18" x14ac:dyDescent="0.25">
      <c r="A49" s="1040"/>
      <c r="B49" s="1040"/>
      <c r="C49" s="1041"/>
      <c r="D49" s="228"/>
      <c r="E49" s="1042"/>
      <c r="F49" s="1043"/>
      <c r="G49" s="1044"/>
      <c r="H49" s="1045"/>
      <c r="I49" s="495"/>
      <c r="J49" s="495"/>
    </row>
    <row r="50" spans="1:10" s="1021" customFormat="1" ht="37.5" customHeight="1" thickBot="1" x14ac:dyDescent="0.4">
      <c r="A50" s="2737" t="s">
        <v>1776</v>
      </c>
      <c r="B50" s="2738"/>
      <c r="C50" s="2738"/>
      <c r="D50" s="2738"/>
      <c r="E50" s="1046">
        <f>E42</f>
        <v>0</v>
      </c>
      <c r="F50" s="1046">
        <f>F42</f>
        <v>25936</v>
      </c>
      <c r="G50" s="1046">
        <f>G42</f>
        <v>24533</v>
      </c>
      <c r="H50" s="2310">
        <f>(G50/F50)*100</f>
        <v>94.590530536705742</v>
      </c>
      <c r="I50" s="1047"/>
    </row>
    <row r="51" spans="1:10" ht="13.5" thickTop="1" x14ac:dyDescent="0.2"/>
  </sheetData>
  <mergeCells count="2">
    <mergeCell ref="A42:D43"/>
    <mergeCell ref="A50:D50"/>
  </mergeCells>
  <pageMargins left="0.98425196850393704" right="0.98425196850393704" top="0.98425196850393704" bottom="0.98425196850393704" header="0.51181102362204722" footer="0.51181102362204722"/>
  <pageSetup paperSize="9" scale="70" firstPageNumber="116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480)&amp;"Arial,Obyčejné"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715"/>
  <sheetViews>
    <sheetView showGridLines="0" view="pageBreakPreview" zoomScaleNormal="100" zoomScaleSheetLayoutView="100" workbookViewId="0">
      <selection activeCell="I712" sqref="I712"/>
    </sheetView>
  </sheetViews>
  <sheetFormatPr defaultRowHeight="12.75" x14ac:dyDescent="0.2"/>
  <cols>
    <col min="1" max="1" width="5.7109375" style="1936" customWidth="1"/>
    <col min="2" max="2" width="6.7109375" style="1936" customWidth="1"/>
    <col min="3" max="3" width="10.28515625" style="1936" customWidth="1"/>
    <col min="4" max="4" width="46.42578125" style="1937" customWidth="1"/>
    <col min="5" max="5" width="13.85546875" style="1938" customWidth="1"/>
    <col min="6" max="6" width="14.85546875" style="1938" customWidth="1"/>
    <col min="7" max="7" width="13.85546875" style="1938" customWidth="1"/>
    <col min="8" max="8" width="8.5703125" style="1939" customWidth="1"/>
    <col min="9" max="9" width="9.140625" style="1937"/>
    <col min="10" max="12" width="16" style="1937" bestFit="1" customWidth="1"/>
    <col min="13" max="256" width="9.140625" style="1937"/>
    <col min="257" max="257" width="5.7109375" style="1937" customWidth="1"/>
    <col min="258" max="258" width="6.7109375" style="1937" customWidth="1"/>
    <col min="259" max="259" width="10.28515625" style="1937" customWidth="1"/>
    <col min="260" max="260" width="46.42578125" style="1937" customWidth="1"/>
    <col min="261" max="261" width="13.85546875" style="1937" customWidth="1"/>
    <col min="262" max="262" width="14.85546875" style="1937" customWidth="1"/>
    <col min="263" max="263" width="13.85546875" style="1937" customWidth="1"/>
    <col min="264" max="264" width="8.5703125" style="1937" customWidth="1"/>
    <col min="265" max="265" width="9.140625" style="1937"/>
    <col min="266" max="268" width="16" style="1937" bestFit="1" customWidth="1"/>
    <col min="269" max="512" width="9.140625" style="1937"/>
    <col min="513" max="513" width="5.7109375" style="1937" customWidth="1"/>
    <col min="514" max="514" width="6.7109375" style="1937" customWidth="1"/>
    <col min="515" max="515" width="10.28515625" style="1937" customWidth="1"/>
    <col min="516" max="516" width="46.42578125" style="1937" customWidth="1"/>
    <col min="517" max="517" width="13.85546875" style="1937" customWidth="1"/>
    <col min="518" max="518" width="14.85546875" style="1937" customWidth="1"/>
    <col min="519" max="519" width="13.85546875" style="1937" customWidth="1"/>
    <col min="520" max="520" width="8.5703125" style="1937" customWidth="1"/>
    <col min="521" max="521" width="9.140625" style="1937"/>
    <col min="522" max="524" width="16" style="1937" bestFit="1" customWidth="1"/>
    <col min="525" max="768" width="9.140625" style="1937"/>
    <col min="769" max="769" width="5.7109375" style="1937" customWidth="1"/>
    <col min="770" max="770" width="6.7109375" style="1937" customWidth="1"/>
    <col min="771" max="771" width="10.28515625" style="1937" customWidth="1"/>
    <col min="772" max="772" width="46.42578125" style="1937" customWidth="1"/>
    <col min="773" max="773" width="13.85546875" style="1937" customWidth="1"/>
    <col min="774" max="774" width="14.85546875" style="1937" customWidth="1"/>
    <col min="775" max="775" width="13.85546875" style="1937" customWidth="1"/>
    <col min="776" max="776" width="8.5703125" style="1937" customWidth="1"/>
    <col min="777" max="777" width="9.140625" style="1937"/>
    <col min="778" max="780" width="16" style="1937" bestFit="1" customWidth="1"/>
    <col min="781" max="1024" width="9.140625" style="1937"/>
    <col min="1025" max="1025" width="5.7109375" style="1937" customWidth="1"/>
    <col min="1026" max="1026" width="6.7109375" style="1937" customWidth="1"/>
    <col min="1027" max="1027" width="10.28515625" style="1937" customWidth="1"/>
    <col min="1028" max="1028" width="46.42578125" style="1937" customWidth="1"/>
    <col min="1029" max="1029" width="13.85546875" style="1937" customWidth="1"/>
    <col min="1030" max="1030" width="14.85546875" style="1937" customWidth="1"/>
    <col min="1031" max="1031" width="13.85546875" style="1937" customWidth="1"/>
    <col min="1032" max="1032" width="8.5703125" style="1937" customWidth="1"/>
    <col min="1033" max="1033" width="9.140625" style="1937"/>
    <col min="1034" max="1036" width="16" style="1937" bestFit="1" customWidth="1"/>
    <col min="1037" max="1280" width="9.140625" style="1937"/>
    <col min="1281" max="1281" width="5.7109375" style="1937" customWidth="1"/>
    <col min="1282" max="1282" width="6.7109375" style="1937" customWidth="1"/>
    <col min="1283" max="1283" width="10.28515625" style="1937" customWidth="1"/>
    <col min="1284" max="1284" width="46.42578125" style="1937" customWidth="1"/>
    <col min="1285" max="1285" width="13.85546875" style="1937" customWidth="1"/>
    <col min="1286" max="1286" width="14.85546875" style="1937" customWidth="1"/>
    <col min="1287" max="1287" width="13.85546875" style="1937" customWidth="1"/>
    <col min="1288" max="1288" width="8.5703125" style="1937" customWidth="1"/>
    <col min="1289" max="1289" width="9.140625" style="1937"/>
    <col min="1290" max="1292" width="16" style="1937" bestFit="1" customWidth="1"/>
    <col min="1293" max="1536" width="9.140625" style="1937"/>
    <col min="1537" max="1537" width="5.7109375" style="1937" customWidth="1"/>
    <col min="1538" max="1538" width="6.7109375" style="1937" customWidth="1"/>
    <col min="1539" max="1539" width="10.28515625" style="1937" customWidth="1"/>
    <col min="1540" max="1540" width="46.42578125" style="1937" customWidth="1"/>
    <col min="1541" max="1541" width="13.85546875" style="1937" customWidth="1"/>
    <col min="1542" max="1542" width="14.85546875" style="1937" customWidth="1"/>
    <col min="1543" max="1543" width="13.85546875" style="1937" customWidth="1"/>
    <col min="1544" max="1544" width="8.5703125" style="1937" customWidth="1"/>
    <col min="1545" max="1545" width="9.140625" style="1937"/>
    <col min="1546" max="1548" width="16" style="1937" bestFit="1" customWidth="1"/>
    <col min="1549" max="1792" width="9.140625" style="1937"/>
    <col min="1793" max="1793" width="5.7109375" style="1937" customWidth="1"/>
    <col min="1794" max="1794" width="6.7109375" style="1937" customWidth="1"/>
    <col min="1795" max="1795" width="10.28515625" style="1937" customWidth="1"/>
    <col min="1796" max="1796" width="46.42578125" style="1937" customWidth="1"/>
    <col min="1797" max="1797" width="13.85546875" style="1937" customWidth="1"/>
    <col min="1798" max="1798" width="14.85546875" style="1937" customWidth="1"/>
    <col min="1799" max="1799" width="13.85546875" style="1937" customWidth="1"/>
    <col min="1800" max="1800" width="8.5703125" style="1937" customWidth="1"/>
    <col min="1801" max="1801" width="9.140625" style="1937"/>
    <col min="1802" max="1804" width="16" style="1937" bestFit="1" customWidth="1"/>
    <col min="1805" max="2048" width="9.140625" style="1937"/>
    <col min="2049" max="2049" width="5.7109375" style="1937" customWidth="1"/>
    <col min="2050" max="2050" width="6.7109375" style="1937" customWidth="1"/>
    <col min="2051" max="2051" width="10.28515625" style="1937" customWidth="1"/>
    <col min="2052" max="2052" width="46.42578125" style="1937" customWidth="1"/>
    <col min="2053" max="2053" width="13.85546875" style="1937" customWidth="1"/>
    <col min="2054" max="2054" width="14.85546875" style="1937" customWidth="1"/>
    <col min="2055" max="2055" width="13.85546875" style="1937" customWidth="1"/>
    <col min="2056" max="2056" width="8.5703125" style="1937" customWidth="1"/>
    <col min="2057" max="2057" width="9.140625" style="1937"/>
    <col min="2058" max="2060" width="16" style="1937" bestFit="1" customWidth="1"/>
    <col min="2061" max="2304" width="9.140625" style="1937"/>
    <col min="2305" max="2305" width="5.7109375" style="1937" customWidth="1"/>
    <col min="2306" max="2306" width="6.7109375" style="1937" customWidth="1"/>
    <col min="2307" max="2307" width="10.28515625" style="1937" customWidth="1"/>
    <col min="2308" max="2308" width="46.42578125" style="1937" customWidth="1"/>
    <col min="2309" max="2309" width="13.85546875" style="1937" customWidth="1"/>
    <col min="2310" max="2310" width="14.85546875" style="1937" customWidth="1"/>
    <col min="2311" max="2311" width="13.85546875" style="1937" customWidth="1"/>
    <col min="2312" max="2312" width="8.5703125" style="1937" customWidth="1"/>
    <col min="2313" max="2313" width="9.140625" style="1937"/>
    <col min="2314" max="2316" width="16" style="1937" bestFit="1" customWidth="1"/>
    <col min="2317" max="2560" width="9.140625" style="1937"/>
    <col min="2561" max="2561" width="5.7109375" style="1937" customWidth="1"/>
    <col min="2562" max="2562" width="6.7109375" style="1937" customWidth="1"/>
    <col min="2563" max="2563" width="10.28515625" style="1937" customWidth="1"/>
    <col min="2564" max="2564" width="46.42578125" style="1937" customWidth="1"/>
    <col min="2565" max="2565" width="13.85546875" style="1937" customWidth="1"/>
    <col min="2566" max="2566" width="14.85546875" style="1937" customWidth="1"/>
    <col min="2567" max="2567" width="13.85546875" style="1937" customWidth="1"/>
    <col min="2568" max="2568" width="8.5703125" style="1937" customWidth="1"/>
    <col min="2569" max="2569" width="9.140625" style="1937"/>
    <col min="2570" max="2572" width="16" style="1937" bestFit="1" customWidth="1"/>
    <col min="2573" max="2816" width="9.140625" style="1937"/>
    <col min="2817" max="2817" width="5.7109375" style="1937" customWidth="1"/>
    <col min="2818" max="2818" width="6.7109375" style="1937" customWidth="1"/>
    <col min="2819" max="2819" width="10.28515625" style="1937" customWidth="1"/>
    <col min="2820" max="2820" width="46.42578125" style="1937" customWidth="1"/>
    <col min="2821" max="2821" width="13.85546875" style="1937" customWidth="1"/>
    <col min="2822" max="2822" width="14.85546875" style="1937" customWidth="1"/>
    <col min="2823" max="2823" width="13.85546875" style="1937" customWidth="1"/>
    <col min="2824" max="2824" width="8.5703125" style="1937" customWidth="1"/>
    <col min="2825" max="2825" width="9.140625" style="1937"/>
    <col min="2826" max="2828" width="16" style="1937" bestFit="1" customWidth="1"/>
    <col min="2829" max="3072" width="9.140625" style="1937"/>
    <col min="3073" max="3073" width="5.7109375" style="1937" customWidth="1"/>
    <col min="3074" max="3074" width="6.7109375" style="1937" customWidth="1"/>
    <col min="3075" max="3075" width="10.28515625" style="1937" customWidth="1"/>
    <col min="3076" max="3076" width="46.42578125" style="1937" customWidth="1"/>
    <col min="3077" max="3077" width="13.85546875" style="1937" customWidth="1"/>
    <col min="3078" max="3078" width="14.85546875" style="1937" customWidth="1"/>
    <col min="3079" max="3079" width="13.85546875" style="1937" customWidth="1"/>
    <col min="3080" max="3080" width="8.5703125" style="1937" customWidth="1"/>
    <col min="3081" max="3081" width="9.140625" style="1937"/>
    <col min="3082" max="3084" width="16" style="1937" bestFit="1" customWidth="1"/>
    <col min="3085" max="3328" width="9.140625" style="1937"/>
    <col min="3329" max="3329" width="5.7109375" style="1937" customWidth="1"/>
    <col min="3330" max="3330" width="6.7109375" style="1937" customWidth="1"/>
    <col min="3331" max="3331" width="10.28515625" style="1937" customWidth="1"/>
    <col min="3332" max="3332" width="46.42578125" style="1937" customWidth="1"/>
    <col min="3333" max="3333" width="13.85546875" style="1937" customWidth="1"/>
    <col min="3334" max="3334" width="14.85546875" style="1937" customWidth="1"/>
    <col min="3335" max="3335" width="13.85546875" style="1937" customWidth="1"/>
    <col min="3336" max="3336" width="8.5703125" style="1937" customWidth="1"/>
    <col min="3337" max="3337" width="9.140625" style="1937"/>
    <col min="3338" max="3340" width="16" style="1937" bestFit="1" customWidth="1"/>
    <col min="3341" max="3584" width="9.140625" style="1937"/>
    <col min="3585" max="3585" width="5.7109375" style="1937" customWidth="1"/>
    <col min="3586" max="3586" width="6.7109375" style="1937" customWidth="1"/>
    <col min="3587" max="3587" width="10.28515625" style="1937" customWidth="1"/>
    <col min="3588" max="3588" width="46.42578125" style="1937" customWidth="1"/>
    <col min="3589" max="3589" width="13.85546875" style="1937" customWidth="1"/>
    <col min="3590" max="3590" width="14.85546875" style="1937" customWidth="1"/>
    <col min="3591" max="3591" width="13.85546875" style="1937" customWidth="1"/>
    <col min="3592" max="3592" width="8.5703125" style="1937" customWidth="1"/>
    <col min="3593" max="3593" width="9.140625" style="1937"/>
    <col min="3594" max="3596" width="16" style="1937" bestFit="1" customWidth="1"/>
    <col min="3597" max="3840" width="9.140625" style="1937"/>
    <col min="3841" max="3841" width="5.7109375" style="1937" customWidth="1"/>
    <col min="3842" max="3842" width="6.7109375" style="1937" customWidth="1"/>
    <col min="3843" max="3843" width="10.28515625" style="1937" customWidth="1"/>
    <col min="3844" max="3844" width="46.42578125" style="1937" customWidth="1"/>
    <col min="3845" max="3845" width="13.85546875" style="1937" customWidth="1"/>
    <col min="3846" max="3846" width="14.85546875" style="1937" customWidth="1"/>
    <col min="3847" max="3847" width="13.85546875" style="1937" customWidth="1"/>
    <col min="3848" max="3848" width="8.5703125" style="1937" customWidth="1"/>
    <col min="3849" max="3849" width="9.140625" style="1937"/>
    <col min="3850" max="3852" width="16" style="1937" bestFit="1" customWidth="1"/>
    <col min="3853" max="4096" width="9.140625" style="1937"/>
    <col min="4097" max="4097" width="5.7109375" style="1937" customWidth="1"/>
    <col min="4098" max="4098" width="6.7109375" style="1937" customWidth="1"/>
    <col min="4099" max="4099" width="10.28515625" style="1937" customWidth="1"/>
    <col min="4100" max="4100" width="46.42578125" style="1937" customWidth="1"/>
    <col min="4101" max="4101" width="13.85546875" style="1937" customWidth="1"/>
    <col min="4102" max="4102" width="14.85546875" style="1937" customWidth="1"/>
    <col min="4103" max="4103" width="13.85546875" style="1937" customWidth="1"/>
    <col min="4104" max="4104" width="8.5703125" style="1937" customWidth="1"/>
    <col min="4105" max="4105" width="9.140625" style="1937"/>
    <col min="4106" max="4108" width="16" style="1937" bestFit="1" customWidth="1"/>
    <col min="4109" max="4352" width="9.140625" style="1937"/>
    <col min="4353" max="4353" width="5.7109375" style="1937" customWidth="1"/>
    <col min="4354" max="4354" width="6.7109375" style="1937" customWidth="1"/>
    <col min="4355" max="4355" width="10.28515625" style="1937" customWidth="1"/>
    <col min="4356" max="4356" width="46.42578125" style="1937" customWidth="1"/>
    <col min="4357" max="4357" width="13.85546875" style="1937" customWidth="1"/>
    <col min="4358" max="4358" width="14.85546875" style="1937" customWidth="1"/>
    <col min="4359" max="4359" width="13.85546875" style="1937" customWidth="1"/>
    <col min="4360" max="4360" width="8.5703125" style="1937" customWidth="1"/>
    <col min="4361" max="4361" width="9.140625" style="1937"/>
    <col min="4362" max="4364" width="16" style="1937" bestFit="1" customWidth="1"/>
    <col min="4365" max="4608" width="9.140625" style="1937"/>
    <col min="4609" max="4609" width="5.7109375" style="1937" customWidth="1"/>
    <col min="4610" max="4610" width="6.7109375" style="1937" customWidth="1"/>
    <col min="4611" max="4611" width="10.28515625" style="1937" customWidth="1"/>
    <col min="4612" max="4612" width="46.42578125" style="1937" customWidth="1"/>
    <col min="4613" max="4613" width="13.85546875" style="1937" customWidth="1"/>
    <col min="4614" max="4614" width="14.85546875" style="1937" customWidth="1"/>
    <col min="4615" max="4615" width="13.85546875" style="1937" customWidth="1"/>
    <col min="4616" max="4616" width="8.5703125" style="1937" customWidth="1"/>
    <col min="4617" max="4617" width="9.140625" style="1937"/>
    <col min="4618" max="4620" width="16" style="1937" bestFit="1" customWidth="1"/>
    <col min="4621" max="4864" width="9.140625" style="1937"/>
    <col min="4865" max="4865" width="5.7109375" style="1937" customWidth="1"/>
    <col min="4866" max="4866" width="6.7109375" style="1937" customWidth="1"/>
    <col min="4867" max="4867" width="10.28515625" style="1937" customWidth="1"/>
    <col min="4868" max="4868" width="46.42578125" style="1937" customWidth="1"/>
    <col min="4869" max="4869" width="13.85546875" style="1937" customWidth="1"/>
    <col min="4870" max="4870" width="14.85546875" style="1937" customWidth="1"/>
    <col min="4871" max="4871" width="13.85546875" style="1937" customWidth="1"/>
    <col min="4872" max="4872" width="8.5703125" style="1937" customWidth="1"/>
    <col min="4873" max="4873" width="9.140625" style="1937"/>
    <col min="4874" max="4876" width="16" style="1937" bestFit="1" customWidth="1"/>
    <col min="4877" max="5120" width="9.140625" style="1937"/>
    <col min="5121" max="5121" width="5.7109375" style="1937" customWidth="1"/>
    <col min="5122" max="5122" width="6.7109375" style="1937" customWidth="1"/>
    <col min="5123" max="5123" width="10.28515625" style="1937" customWidth="1"/>
    <col min="5124" max="5124" width="46.42578125" style="1937" customWidth="1"/>
    <col min="5125" max="5125" width="13.85546875" style="1937" customWidth="1"/>
    <col min="5126" max="5126" width="14.85546875" style="1937" customWidth="1"/>
    <col min="5127" max="5127" width="13.85546875" style="1937" customWidth="1"/>
    <col min="5128" max="5128" width="8.5703125" style="1937" customWidth="1"/>
    <col min="5129" max="5129" width="9.140625" style="1937"/>
    <col min="5130" max="5132" width="16" style="1937" bestFit="1" customWidth="1"/>
    <col min="5133" max="5376" width="9.140625" style="1937"/>
    <col min="5377" max="5377" width="5.7109375" style="1937" customWidth="1"/>
    <col min="5378" max="5378" width="6.7109375" style="1937" customWidth="1"/>
    <col min="5379" max="5379" width="10.28515625" style="1937" customWidth="1"/>
    <col min="5380" max="5380" width="46.42578125" style="1937" customWidth="1"/>
    <col min="5381" max="5381" width="13.85546875" style="1937" customWidth="1"/>
    <col min="5382" max="5382" width="14.85546875" style="1937" customWidth="1"/>
    <col min="5383" max="5383" width="13.85546875" style="1937" customWidth="1"/>
    <col min="5384" max="5384" width="8.5703125" style="1937" customWidth="1"/>
    <col min="5385" max="5385" width="9.140625" style="1937"/>
    <col min="5386" max="5388" width="16" style="1937" bestFit="1" customWidth="1"/>
    <col min="5389" max="5632" width="9.140625" style="1937"/>
    <col min="5633" max="5633" width="5.7109375" style="1937" customWidth="1"/>
    <col min="5634" max="5634" width="6.7109375" style="1937" customWidth="1"/>
    <col min="5635" max="5635" width="10.28515625" style="1937" customWidth="1"/>
    <col min="5636" max="5636" width="46.42578125" style="1937" customWidth="1"/>
    <col min="5637" max="5637" width="13.85546875" style="1937" customWidth="1"/>
    <col min="5638" max="5638" width="14.85546875" style="1937" customWidth="1"/>
    <col min="5639" max="5639" width="13.85546875" style="1937" customWidth="1"/>
    <col min="5640" max="5640" width="8.5703125" style="1937" customWidth="1"/>
    <col min="5641" max="5641" width="9.140625" style="1937"/>
    <col min="5642" max="5644" width="16" style="1937" bestFit="1" customWidth="1"/>
    <col min="5645" max="5888" width="9.140625" style="1937"/>
    <col min="5889" max="5889" width="5.7109375" style="1937" customWidth="1"/>
    <col min="5890" max="5890" width="6.7109375" style="1937" customWidth="1"/>
    <col min="5891" max="5891" width="10.28515625" style="1937" customWidth="1"/>
    <col min="5892" max="5892" width="46.42578125" style="1937" customWidth="1"/>
    <col min="5893" max="5893" width="13.85546875" style="1937" customWidth="1"/>
    <col min="5894" max="5894" width="14.85546875" style="1937" customWidth="1"/>
    <col min="5895" max="5895" width="13.85546875" style="1937" customWidth="1"/>
    <col min="5896" max="5896" width="8.5703125" style="1937" customWidth="1"/>
    <col min="5897" max="5897" width="9.140625" style="1937"/>
    <col min="5898" max="5900" width="16" style="1937" bestFit="1" customWidth="1"/>
    <col min="5901" max="6144" width="9.140625" style="1937"/>
    <col min="6145" max="6145" width="5.7109375" style="1937" customWidth="1"/>
    <col min="6146" max="6146" width="6.7109375" style="1937" customWidth="1"/>
    <col min="6147" max="6147" width="10.28515625" style="1937" customWidth="1"/>
    <col min="6148" max="6148" width="46.42578125" style="1937" customWidth="1"/>
    <col min="6149" max="6149" width="13.85546875" style="1937" customWidth="1"/>
    <col min="6150" max="6150" width="14.85546875" style="1937" customWidth="1"/>
    <col min="6151" max="6151" width="13.85546875" style="1937" customWidth="1"/>
    <col min="6152" max="6152" width="8.5703125" style="1937" customWidth="1"/>
    <col min="6153" max="6153" width="9.140625" style="1937"/>
    <col min="6154" max="6156" width="16" style="1937" bestFit="1" customWidth="1"/>
    <col min="6157" max="6400" width="9.140625" style="1937"/>
    <col min="6401" max="6401" width="5.7109375" style="1937" customWidth="1"/>
    <col min="6402" max="6402" width="6.7109375" style="1937" customWidth="1"/>
    <col min="6403" max="6403" width="10.28515625" style="1937" customWidth="1"/>
    <col min="6404" max="6404" width="46.42578125" style="1937" customWidth="1"/>
    <col min="6405" max="6405" width="13.85546875" style="1937" customWidth="1"/>
    <col min="6406" max="6406" width="14.85546875" style="1937" customWidth="1"/>
    <col min="6407" max="6407" width="13.85546875" style="1937" customWidth="1"/>
    <col min="6408" max="6408" width="8.5703125" style="1937" customWidth="1"/>
    <col min="6409" max="6409" width="9.140625" style="1937"/>
    <col min="6410" max="6412" width="16" style="1937" bestFit="1" customWidth="1"/>
    <col min="6413" max="6656" width="9.140625" style="1937"/>
    <col min="6657" max="6657" width="5.7109375" style="1937" customWidth="1"/>
    <col min="6658" max="6658" width="6.7109375" style="1937" customWidth="1"/>
    <col min="6659" max="6659" width="10.28515625" style="1937" customWidth="1"/>
    <col min="6660" max="6660" width="46.42578125" style="1937" customWidth="1"/>
    <col min="6661" max="6661" width="13.85546875" style="1937" customWidth="1"/>
    <col min="6662" max="6662" width="14.85546875" style="1937" customWidth="1"/>
    <col min="6663" max="6663" width="13.85546875" style="1937" customWidth="1"/>
    <col min="6664" max="6664" width="8.5703125" style="1937" customWidth="1"/>
    <col min="6665" max="6665" width="9.140625" style="1937"/>
    <col min="6666" max="6668" width="16" style="1937" bestFit="1" customWidth="1"/>
    <col min="6669" max="6912" width="9.140625" style="1937"/>
    <col min="6913" max="6913" width="5.7109375" style="1937" customWidth="1"/>
    <col min="6914" max="6914" width="6.7109375" style="1937" customWidth="1"/>
    <col min="6915" max="6915" width="10.28515625" style="1937" customWidth="1"/>
    <col min="6916" max="6916" width="46.42578125" style="1937" customWidth="1"/>
    <col min="6917" max="6917" width="13.85546875" style="1937" customWidth="1"/>
    <col min="6918" max="6918" width="14.85546875" style="1937" customWidth="1"/>
    <col min="6919" max="6919" width="13.85546875" style="1937" customWidth="1"/>
    <col min="6920" max="6920" width="8.5703125" style="1937" customWidth="1"/>
    <col min="6921" max="6921" width="9.140625" style="1937"/>
    <col min="6922" max="6924" width="16" style="1937" bestFit="1" customWidth="1"/>
    <col min="6925" max="7168" width="9.140625" style="1937"/>
    <col min="7169" max="7169" width="5.7109375" style="1937" customWidth="1"/>
    <col min="7170" max="7170" width="6.7109375" style="1937" customWidth="1"/>
    <col min="7171" max="7171" width="10.28515625" style="1937" customWidth="1"/>
    <col min="7172" max="7172" width="46.42578125" style="1937" customWidth="1"/>
    <col min="7173" max="7173" width="13.85546875" style="1937" customWidth="1"/>
    <col min="7174" max="7174" width="14.85546875" style="1937" customWidth="1"/>
    <col min="7175" max="7175" width="13.85546875" style="1937" customWidth="1"/>
    <col min="7176" max="7176" width="8.5703125" style="1937" customWidth="1"/>
    <col min="7177" max="7177" width="9.140625" style="1937"/>
    <col min="7178" max="7180" width="16" style="1937" bestFit="1" customWidth="1"/>
    <col min="7181" max="7424" width="9.140625" style="1937"/>
    <col min="7425" max="7425" width="5.7109375" style="1937" customWidth="1"/>
    <col min="7426" max="7426" width="6.7109375" style="1937" customWidth="1"/>
    <col min="7427" max="7427" width="10.28515625" style="1937" customWidth="1"/>
    <col min="7428" max="7428" width="46.42578125" style="1937" customWidth="1"/>
    <col min="7429" max="7429" width="13.85546875" style="1937" customWidth="1"/>
    <col min="7430" max="7430" width="14.85546875" style="1937" customWidth="1"/>
    <col min="7431" max="7431" width="13.85546875" style="1937" customWidth="1"/>
    <col min="7432" max="7432" width="8.5703125" style="1937" customWidth="1"/>
    <col min="7433" max="7433" width="9.140625" style="1937"/>
    <col min="7434" max="7436" width="16" style="1937" bestFit="1" customWidth="1"/>
    <col min="7437" max="7680" width="9.140625" style="1937"/>
    <col min="7681" max="7681" width="5.7109375" style="1937" customWidth="1"/>
    <col min="7682" max="7682" width="6.7109375" style="1937" customWidth="1"/>
    <col min="7683" max="7683" width="10.28515625" style="1937" customWidth="1"/>
    <col min="7684" max="7684" width="46.42578125" style="1937" customWidth="1"/>
    <col min="7685" max="7685" width="13.85546875" style="1937" customWidth="1"/>
    <col min="7686" max="7686" width="14.85546875" style="1937" customWidth="1"/>
    <col min="7687" max="7687" width="13.85546875" style="1937" customWidth="1"/>
    <col min="7688" max="7688" width="8.5703125" style="1937" customWidth="1"/>
    <col min="7689" max="7689" width="9.140625" style="1937"/>
    <col min="7690" max="7692" width="16" style="1937" bestFit="1" customWidth="1"/>
    <col min="7693" max="7936" width="9.140625" style="1937"/>
    <col min="7937" max="7937" width="5.7109375" style="1937" customWidth="1"/>
    <col min="7938" max="7938" width="6.7109375" style="1937" customWidth="1"/>
    <col min="7939" max="7939" width="10.28515625" style="1937" customWidth="1"/>
    <col min="7940" max="7940" width="46.42578125" style="1937" customWidth="1"/>
    <col min="7941" max="7941" width="13.85546875" style="1937" customWidth="1"/>
    <col min="7942" max="7942" width="14.85546875" style="1937" customWidth="1"/>
    <col min="7943" max="7943" width="13.85546875" style="1937" customWidth="1"/>
    <col min="7944" max="7944" width="8.5703125" style="1937" customWidth="1"/>
    <col min="7945" max="7945" width="9.140625" style="1937"/>
    <col min="7946" max="7948" width="16" style="1937" bestFit="1" customWidth="1"/>
    <col min="7949" max="8192" width="9.140625" style="1937"/>
    <col min="8193" max="8193" width="5.7109375" style="1937" customWidth="1"/>
    <col min="8194" max="8194" width="6.7109375" style="1937" customWidth="1"/>
    <col min="8195" max="8195" width="10.28515625" style="1937" customWidth="1"/>
    <col min="8196" max="8196" width="46.42578125" style="1937" customWidth="1"/>
    <col min="8197" max="8197" width="13.85546875" style="1937" customWidth="1"/>
    <col min="8198" max="8198" width="14.85546875" style="1937" customWidth="1"/>
    <col min="8199" max="8199" width="13.85546875" style="1937" customWidth="1"/>
    <col min="8200" max="8200" width="8.5703125" style="1937" customWidth="1"/>
    <col min="8201" max="8201" width="9.140625" style="1937"/>
    <col min="8202" max="8204" width="16" style="1937" bestFit="1" customWidth="1"/>
    <col min="8205" max="8448" width="9.140625" style="1937"/>
    <col min="8449" max="8449" width="5.7109375" style="1937" customWidth="1"/>
    <col min="8450" max="8450" width="6.7109375" style="1937" customWidth="1"/>
    <col min="8451" max="8451" width="10.28515625" style="1937" customWidth="1"/>
    <col min="8452" max="8452" width="46.42578125" style="1937" customWidth="1"/>
    <col min="8453" max="8453" width="13.85546875" style="1937" customWidth="1"/>
    <col min="8454" max="8454" width="14.85546875" style="1937" customWidth="1"/>
    <col min="8455" max="8455" width="13.85546875" style="1937" customWidth="1"/>
    <col min="8456" max="8456" width="8.5703125" style="1937" customWidth="1"/>
    <col min="8457" max="8457" width="9.140625" style="1937"/>
    <col min="8458" max="8460" width="16" style="1937" bestFit="1" customWidth="1"/>
    <col min="8461" max="8704" width="9.140625" style="1937"/>
    <col min="8705" max="8705" width="5.7109375" style="1937" customWidth="1"/>
    <col min="8706" max="8706" width="6.7109375" style="1937" customWidth="1"/>
    <col min="8707" max="8707" width="10.28515625" style="1937" customWidth="1"/>
    <col min="8708" max="8708" width="46.42578125" style="1937" customWidth="1"/>
    <col min="8709" max="8709" width="13.85546875" style="1937" customWidth="1"/>
    <col min="8710" max="8710" width="14.85546875" style="1937" customWidth="1"/>
    <col min="8711" max="8711" width="13.85546875" style="1937" customWidth="1"/>
    <col min="8712" max="8712" width="8.5703125" style="1937" customWidth="1"/>
    <col min="8713" max="8713" width="9.140625" style="1937"/>
    <col min="8714" max="8716" width="16" style="1937" bestFit="1" customWidth="1"/>
    <col min="8717" max="8960" width="9.140625" style="1937"/>
    <col min="8961" max="8961" width="5.7109375" style="1937" customWidth="1"/>
    <col min="8962" max="8962" width="6.7109375" style="1937" customWidth="1"/>
    <col min="8963" max="8963" width="10.28515625" style="1937" customWidth="1"/>
    <col min="8964" max="8964" width="46.42578125" style="1937" customWidth="1"/>
    <col min="8965" max="8965" width="13.85546875" style="1937" customWidth="1"/>
    <col min="8966" max="8966" width="14.85546875" style="1937" customWidth="1"/>
    <col min="8967" max="8967" width="13.85546875" style="1937" customWidth="1"/>
    <col min="8968" max="8968" width="8.5703125" style="1937" customWidth="1"/>
    <col min="8969" max="8969" width="9.140625" style="1937"/>
    <col min="8970" max="8972" width="16" style="1937" bestFit="1" customWidth="1"/>
    <col min="8973" max="9216" width="9.140625" style="1937"/>
    <col min="9217" max="9217" width="5.7109375" style="1937" customWidth="1"/>
    <col min="9218" max="9218" width="6.7109375" style="1937" customWidth="1"/>
    <col min="9219" max="9219" width="10.28515625" style="1937" customWidth="1"/>
    <col min="9220" max="9220" width="46.42578125" style="1937" customWidth="1"/>
    <col min="9221" max="9221" width="13.85546875" style="1937" customWidth="1"/>
    <col min="9222" max="9222" width="14.85546875" style="1937" customWidth="1"/>
    <col min="9223" max="9223" width="13.85546875" style="1937" customWidth="1"/>
    <col min="9224" max="9224" width="8.5703125" style="1937" customWidth="1"/>
    <col min="9225" max="9225" width="9.140625" style="1937"/>
    <col min="9226" max="9228" width="16" style="1937" bestFit="1" customWidth="1"/>
    <col min="9229" max="9472" width="9.140625" style="1937"/>
    <col min="9473" max="9473" width="5.7109375" style="1937" customWidth="1"/>
    <col min="9474" max="9474" width="6.7109375" style="1937" customWidth="1"/>
    <col min="9475" max="9475" width="10.28515625" style="1937" customWidth="1"/>
    <col min="9476" max="9476" width="46.42578125" style="1937" customWidth="1"/>
    <col min="9477" max="9477" width="13.85546875" style="1937" customWidth="1"/>
    <col min="9478" max="9478" width="14.85546875" style="1937" customWidth="1"/>
    <col min="9479" max="9479" width="13.85546875" style="1937" customWidth="1"/>
    <col min="9480" max="9480" width="8.5703125" style="1937" customWidth="1"/>
    <col min="9481" max="9481" width="9.140625" style="1937"/>
    <col min="9482" max="9484" width="16" style="1937" bestFit="1" customWidth="1"/>
    <col min="9485" max="9728" width="9.140625" style="1937"/>
    <col min="9729" max="9729" width="5.7109375" style="1937" customWidth="1"/>
    <col min="9730" max="9730" width="6.7109375" style="1937" customWidth="1"/>
    <col min="9731" max="9731" width="10.28515625" style="1937" customWidth="1"/>
    <col min="9732" max="9732" width="46.42578125" style="1937" customWidth="1"/>
    <col min="9733" max="9733" width="13.85546875" style="1937" customWidth="1"/>
    <col min="9734" max="9734" width="14.85546875" style="1937" customWidth="1"/>
    <col min="9735" max="9735" width="13.85546875" style="1937" customWidth="1"/>
    <col min="9736" max="9736" width="8.5703125" style="1937" customWidth="1"/>
    <col min="9737" max="9737" width="9.140625" style="1937"/>
    <col min="9738" max="9740" width="16" style="1937" bestFit="1" customWidth="1"/>
    <col min="9741" max="9984" width="9.140625" style="1937"/>
    <col min="9985" max="9985" width="5.7109375" style="1937" customWidth="1"/>
    <col min="9986" max="9986" width="6.7109375" style="1937" customWidth="1"/>
    <col min="9987" max="9987" width="10.28515625" style="1937" customWidth="1"/>
    <col min="9988" max="9988" width="46.42578125" style="1937" customWidth="1"/>
    <col min="9989" max="9989" width="13.85546875" style="1937" customWidth="1"/>
    <col min="9990" max="9990" width="14.85546875" style="1937" customWidth="1"/>
    <col min="9991" max="9991" width="13.85546875" style="1937" customWidth="1"/>
    <col min="9992" max="9992" width="8.5703125" style="1937" customWidth="1"/>
    <col min="9993" max="9993" width="9.140625" style="1937"/>
    <col min="9994" max="9996" width="16" style="1937" bestFit="1" customWidth="1"/>
    <col min="9997" max="10240" width="9.140625" style="1937"/>
    <col min="10241" max="10241" width="5.7109375" style="1937" customWidth="1"/>
    <col min="10242" max="10242" width="6.7109375" style="1937" customWidth="1"/>
    <col min="10243" max="10243" width="10.28515625" style="1937" customWidth="1"/>
    <col min="10244" max="10244" width="46.42578125" style="1937" customWidth="1"/>
    <col min="10245" max="10245" width="13.85546875" style="1937" customWidth="1"/>
    <col min="10246" max="10246" width="14.85546875" style="1937" customWidth="1"/>
    <col min="10247" max="10247" width="13.85546875" style="1937" customWidth="1"/>
    <col min="10248" max="10248" width="8.5703125" style="1937" customWidth="1"/>
    <col min="10249" max="10249" width="9.140625" style="1937"/>
    <col min="10250" max="10252" width="16" style="1937" bestFit="1" customWidth="1"/>
    <col min="10253" max="10496" width="9.140625" style="1937"/>
    <col min="10497" max="10497" width="5.7109375" style="1937" customWidth="1"/>
    <col min="10498" max="10498" width="6.7109375" style="1937" customWidth="1"/>
    <col min="10499" max="10499" width="10.28515625" style="1937" customWidth="1"/>
    <col min="10500" max="10500" width="46.42578125" style="1937" customWidth="1"/>
    <col min="10501" max="10501" width="13.85546875" style="1937" customWidth="1"/>
    <col min="10502" max="10502" width="14.85546875" style="1937" customWidth="1"/>
    <col min="10503" max="10503" width="13.85546875" style="1937" customWidth="1"/>
    <col min="10504" max="10504" width="8.5703125" style="1937" customWidth="1"/>
    <col min="10505" max="10505" width="9.140625" style="1937"/>
    <col min="10506" max="10508" width="16" style="1937" bestFit="1" customWidth="1"/>
    <col min="10509" max="10752" width="9.140625" style="1937"/>
    <col min="10753" max="10753" width="5.7109375" style="1937" customWidth="1"/>
    <col min="10754" max="10754" width="6.7109375" style="1937" customWidth="1"/>
    <col min="10755" max="10755" width="10.28515625" style="1937" customWidth="1"/>
    <col min="10756" max="10756" width="46.42578125" style="1937" customWidth="1"/>
    <col min="10757" max="10757" width="13.85546875" style="1937" customWidth="1"/>
    <col min="10758" max="10758" width="14.85546875" style="1937" customWidth="1"/>
    <col min="10759" max="10759" width="13.85546875" style="1937" customWidth="1"/>
    <col min="10760" max="10760" width="8.5703125" style="1937" customWidth="1"/>
    <col min="10761" max="10761" width="9.140625" style="1937"/>
    <col min="10762" max="10764" width="16" style="1937" bestFit="1" customWidth="1"/>
    <col min="10765" max="11008" width="9.140625" style="1937"/>
    <col min="11009" max="11009" width="5.7109375" style="1937" customWidth="1"/>
    <col min="11010" max="11010" width="6.7109375" style="1937" customWidth="1"/>
    <col min="11011" max="11011" width="10.28515625" style="1937" customWidth="1"/>
    <col min="11012" max="11012" width="46.42578125" style="1937" customWidth="1"/>
    <col min="11013" max="11013" width="13.85546875" style="1937" customWidth="1"/>
    <col min="11014" max="11014" width="14.85546875" style="1937" customWidth="1"/>
    <col min="11015" max="11015" width="13.85546875" style="1937" customWidth="1"/>
    <col min="11016" max="11016" width="8.5703125" style="1937" customWidth="1"/>
    <col min="11017" max="11017" width="9.140625" style="1937"/>
    <col min="11018" max="11020" width="16" style="1937" bestFit="1" customWidth="1"/>
    <col min="11021" max="11264" width="9.140625" style="1937"/>
    <col min="11265" max="11265" width="5.7109375" style="1937" customWidth="1"/>
    <col min="11266" max="11266" width="6.7109375" style="1937" customWidth="1"/>
    <col min="11267" max="11267" width="10.28515625" style="1937" customWidth="1"/>
    <col min="11268" max="11268" width="46.42578125" style="1937" customWidth="1"/>
    <col min="11269" max="11269" width="13.85546875" style="1937" customWidth="1"/>
    <col min="11270" max="11270" width="14.85546875" style="1937" customWidth="1"/>
    <col min="11271" max="11271" width="13.85546875" style="1937" customWidth="1"/>
    <col min="11272" max="11272" width="8.5703125" style="1937" customWidth="1"/>
    <col min="11273" max="11273" width="9.140625" style="1937"/>
    <col min="11274" max="11276" width="16" style="1937" bestFit="1" customWidth="1"/>
    <col min="11277" max="11520" width="9.140625" style="1937"/>
    <col min="11521" max="11521" width="5.7109375" style="1937" customWidth="1"/>
    <col min="11522" max="11522" width="6.7109375" style="1937" customWidth="1"/>
    <col min="11523" max="11523" width="10.28515625" style="1937" customWidth="1"/>
    <col min="11524" max="11524" width="46.42578125" style="1937" customWidth="1"/>
    <col min="11525" max="11525" width="13.85546875" style="1937" customWidth="1"/>
    <col min="11526" max="11526" width="14.85546875" style="1937" customWidth="1"/>
    <col min="11527" max="11527" width="13.85546875" style="1937" customWidth="1"/>
    <col min="11528" max="11528" width="8.5703125" style="1937" customWidth="1"/>
    <col min="11529" max="11529" width="9.140625" style="1937"/>
    <col min="11530" max="11532" width="16" style="1937" bestFit="1" customWidth="1"/>
    <col min="11533" max="11776" width="9.140625" style="1937"/>
    <col min="11777" max="11777" width="5.7109375" style="1937" customWidth="1"/>
    <col min="11778" max="11778" width="6.7109375" style="1937" customWidth="1"/>
    <col min="11779" max="11779" width="10.28515625" style="1937" customWidth="1"/>
    <col min="11780" max="11780" width="46.42578125" style="1937" customWidth="1"/>
    <col min="11781" max="11781" width="13.85546875" style="1937" customWidth="1"/>
    <col min="11782" max="11782" width="14.85546875" style="1937" customWidth="1"/>
    <col min="11783" max="11783" width="13.85546875" style="1937" customWidth="1"/>
    <col min="11784" max="11784" width="8.5703125" style="1937" customWidth="1"/>
    <col min="11785" max="11785" width="9.140625" style="1937"/>
    <col min="11786" max="11788" width="16" style="1937" bestFit="1" customWidth="1"/>
    <col min="11789" max="12032" width="9.140625" style="1937"/>
    <col min="12033" max="12033" width="5.7109375" style="1937" customWidth="1"/>
    <col min="12034" max="12034" width="6.7109375" style="1937" customWidth="1"/>
    <col min="12035" max="12035" width="10.28515625" style="1937" customWidth="1"/>
    <col min="12036" max="12036" width="46.42578125" style="1937" customWidth="1"/>
    <col min="12037" max="12037" width="13.85546875" style="1937" customWidth="1"/>
    <col min="12038" max="12038" width="14.85546875" style="1937" customWidth="1"/>
    <col min="12039" max="12039" width="13.85546875" style="1937" customWidth="1"/>
    <col min="12040" max="12040" width="8.5703125" style="1937" customWidth="1"/>
    <col min="12041" max="12041" width="9.140625" style="1937"/>
    <col min="12042" max="12044" width="16" style="1937" bestFit="1" customWidth="1"/>
    <col min="12045" max="12288" width="9.140625" style="1937"/>
    <col min="12289" max="12289" width="5.7109375" style="1937" customWidth="1"/>
    <col min="12290" max="12290" width="6.7109375" style="1937" customWidth="1"/>
    <col min="12291" max="12291" width="10.28515625" style="1937" customWidth="1"/>
    <col min="12292" max="12292" width="46.42578125" style="1937" customWidth="1"/>
    <col min="12293" max="12293" width="13.85546875" style="1937" customWidth="1"/>
    <col min="12294" max="12294" width="14.85546875" style="1937" customWidth="1"/>
    <col min="12295" max="12295" width="13.85546875" style="1937" customWidth="1"/>
    <col min="12296" max="12296" width="8.5703125" style="1937" customWidth="1"/>
    <col min="12297" max="12297" width="9.140625" style="1937"/>
    <col min="12298" max="12300" width="16" style="1937" bestFit="1" customWidth="1"/>
    <col min="12301" max="12544" width="9.140625" style="1937"/>
    <col min="12545" max="12545" width="5.7109375" style="1937" customWidth="1"/>
    <col min="12546" max="12546" width="6.7109375" style="1937" customWidth="1"/>
    <col min="12547" max="12547" width="10.28515625" style="1937" customWidth="1"/>
    <col min="12548" max="12548" width="46.42578125" style="1937" customWidth="1"/>
    <col min="12549" max="12549" width="13.85546875" style="1937" customWidth="1"/>
    <col min="12550" max="12550" width="14.85546875" style="1937" customWidth="1"/>
    <col min="12551" max="12551" width="13.85546875" style="1937" customWidth="1"/>
    <col min="12552" max="12552" width="8.5703125" style="1937" customWidth="1"/>
    <col min="12553" max="12553" width="9.140625" style="1937"/>
    <col min="12554" max="12556" width="16" style="1937" bestFit="1" customWidth="1"/>
    <col min="12557" max="12800" width="9.140625" style="1937"/>
    <col min="12801" max="12801" width="5.7109375" style="1937" customWidth="1"/>
    <col min="12802" max="12802" width="6.7109375" style="1937" customWidth="1"/>
    <col min="12803" max="12803" width="10.28515625" style="1937" customWidth="1"/>
    <col min="12804" max="12804" width="46.42578125" style="1937" customWidth="1"/>
    <col min="12805" max="12805" width="13.85546875" style="1937" customWidth="1"/>
    <col min="12806" max="12806" width="14.85546875" style="1937" customWidth="1"/>
    <col min="12807" max="12807" width="13.85546875" style="1937" customWidth="1"/>
    <col min="12808" max="12808" width="8.5703125" style="1937" customWidth="1"/>
    <col min="12809" max="12809" width="9.140625" style="1937"/>
    <col min="12810" max="12812" width="16" style="1937" bestFit="1" customWidth="1"/>
    <col min="12813" max="13056" width="9.140625" style="1937"/>
    <col min="13057" max="13057" width="5.7109375" style="1937" customWidth="1"/>
    <col min="13058" max="13058" width="6.7109375" style="1937" customWidth="1"/>
    <col min="13059" max="13059" width="10.28515625" style="1937" customWidth="1"/>
    <col min="13060" max="13060" width="46.42578125" style="1937" customWidth="1"/>
    <col min="13061" max="13061" width="13.85546875" style="1937" customWidth="1"/>
    <col min="13062" max="13062" width="14.85546875" style="1937" customWidth="1"/>
    <col min="13063" max="13063" width="13.85546875" style="1937" customWidth="1"/>
    <col min="13064" max="13064" width="8.5703125" style="1937" customWidth="1"/>
    <col min="13065" max="13065" width="9.140625" style="1937"/>
    <col min="13066" max="13068" width="16" style="1937" bestFit="1" customWidth="1"/>
    <col min="13069" max="13312" width="9.140625" style="1937"/>
    <col min="13313" max="13313" width="5.7109375" style="1937" customWidth="1"/>
    <col min="13314" max="13314" width="6.7109375" style="1937" customWidth="1"/>
    <col min="13315" max="13315" width="10.28515625" style="1937" customWidth="1"/>
    <col min="13316" max="13316" width="46.42578125" style="1937" customWidth="1"/>
    <col min="13317" max="13317" width="13.85546875" style="1937" customWidth="1"/>
    <col min="13318" max="13318" width="14.85546875" style="1937" customWidth="1"/>
    <col min="13319" max="13319" width="13.85546875" style="1937" customWidth="1"/>
    <col min="13320" max="13320" width="8.5703125" style="1937" customWidth="1"/>
    <col min="13321" max="13321" width="9.140625" style="1937"/>
    <col min="13322" max="13324" width="16" style="1937" bestFit="1" customWidth="1"/>
    <col min="13325" max="13568" width="9.140625" style="1937"/>
    <col min="13569" max="13569" width="5.7109375" style="1937" customWidth="1"/>
    <col min="13570" max="13570" width="6.7109375" style="1937" customWidth="1"/>
    <col min="13571" max="13571" width="10.28515625" style="1937" customWidth="1"/>
    <col min="13572" max="13572" width="46.42578125" style="1937" customWidth="1"/>
    <col min="13573" max="13573" width="13.85546875" style="1937" customWidth="1"/>
    <col min="13574" max="13574" width="14.85546875" style="1937" customWidth="1"/>
    <col min="13575" max="13575" width="13.85546875" style="1937" customWidth="1"/>
    <col min="13576" max="13576" width="8.5703125" style="1937" customWidth="1"/>
    <col min="13577" max="13577" width="9.140625" style="1937"/>
    <col min="13578" max="13580" width="16" style="1937" bestFit="1" customWidth="1"/>
    <col min="13581" max="13824" width="9.140625" style="1937"/>
    <col min="13825" max="13825" width="5.7109375" style="1937" customWidth="1"/>
    <col min="13826" max="13826" width="6.7109375" style="1937" customWidth="1"/>
    <col min="13827" max="13827" width="10.28515625" style="1937" customWidth="1"/>
    <col min="13828" max="13828" width="46.42578125" style="1937" customWidth="1"/>
    <col min="13829" max="13829" width="13.85546875" style="1937" customWidth="1"/>
    <col min="13830" max="13830" width="14.85546875" style="1937" customWidth="1"/>
    <col min="13831" max="13831" width="13.85546875" style="1937" customWidth="1"/>
    <col min="13832" max="13832" width="8.5703125" style="1937" customWidth="1"/>
    <col min="13833" max="13833" width="9.140625" style="1937"/>
    <col min="13834" max="13836" width="16" style="1937" bestFit="1" customWidth="1"/>
    <col min="13837" max="14080" width="9.140625" style="1937"/>
    <col min="14081" max="14081" width="5.7109375" style="1937" customWidth="1"/>
    <col min="14082" max="14082" width="6.7109375" style="1937" customWidth="1"/>
    <col min="14083" max="14083" width="10.28515625" style="1937" customWidth="1"/>
    <col min="14084" max="14084" width="46.42578125" style="1937" customWidth="1"/>
    <col min="14085" max="14085" width="13.85546875" style="1937" customWidth="1"/>
    <col min="14086" max="14086" width="14.85546875" style="1937" customWidth="1"/>
    <col min="14087" max="14087" width="13.85546875" style="1937" customWidth="1"/>
    <col min="14088" max="14088" width="8.5703125" style="1937" customWidth="1"/>
    <col min="14089" max="14089" width="9.140625" style="1937"/>
    <col min="14090" max="14092" width="16" style="1937" bestFit="1" customWidth="1"/>
    <col min="14093" max="14336" width="9.140625" style="1937"/>
    <col min="14337" max="14337" width="5.7109375" style="1937" customWidth="1"/>
    <col min="14338" max="14338" width="6.7109375" style="1937" customWidth="1"/>
    <col min="14339" max="14339" width="10.28515625" style="1937" customWidth="1"/>
    <col min="14340" max="14340" width="46.42578125" style="1937" customWidth="1"/>
    <col min="14341" max="14341" width="13.85546875" style="1937" customWidth="1"/>
    <col min="14342" max="14342" width="14.85546875" style="1937" customWidth="1"/>
    <col min="14343" max="14343" width="13.85546875" style="1937" customWidth="1"/>
    <col min="14344" max="14344" width="8.5703125" style="1937" customWidth="1"/>
    <col min="14345" max="14345" width="9.140625" style="1937"/>
    <col min="14346" max="14348" width="16" style="1937" bestFit="1" customWidth="1"/>
    <col min="14349" max="14592" width="9.140625" style="1937"/>
    <col min="14593" max="14593" width="5.7109375" style="1937" customWidth="1"/>
    <col min="14594" max="14594" width="6.7109375" style="1937" customWidth="1"/>
    <col min="14595" max="14595" width="10.28515625" style="1937" customWidth="1"/>
    <col min="14596" max="14596" width="46.42578125" style="1937" customWidth="1"/>
    <col min="14597" max="14597" width="13.85546875" style="1937" customWidth="1"/>
    <col min="14598" max="14598" width="14.85546875" style="1937" customWidth="1"/>
    <col min="14599" max="14599" width="13.85546875" style="1937" customWidth="1"/>
    <col min="14600" max="14600" width="8.5703125" style="1937" customWidth="1"/>
    <col min="14601" max="14601" width="9.140625" style="1937"/>
    <col min="14602" max="14604" width="16" style="1937" bestFit="1" customWidth="1"/>
    <col min="14605" max="14848" width="9.140625" style="1937"/>
    <col min="14849" max="14849" width="5.7109375" style="1937" customWidth="1"/>
    <col min="14850" max="14850" width="6.7109375" style="1937" customWidth="1"/>
    <col min="14851" max="14851" width="10.28515625" style="1937" customWidth="1"/>
    <col min="14852" max="14852" width="46.42578125" style="1937" customWidth="1"/>
    <col min="14853" max="14853" width="13.85546875" style="1937" customWidth="1"/>
    <col min="14854" max="14854" width="14.85546875" style="1937" customWidth="1"/>
    <col min="14855" max="14855" width="13.85546875" style="1937" customWidth="1"/>
    <col min="14856" max="14856" width="8.5703125" style="1937" customWidth="1"/>
    <col min="14857" max="14857" width="9.140625" style="1937"/>
    <col min="14858" max="14860" width="16" style="1937" bestFit="1" customWidth="1"/>
    <col min="14861" max="15104" width="9.140625" style="1937"/>
    <col min="15105" max="15105" width="5.7109375" style="1937" customWidth="1"/>
    <col min="15106" max="15106" width="6.7109375" style="1937" customWidth="1"/>
    <col min="15107" max="15107" width="10.28515625" style="1937" customWidth="1"/>
    <col min="15108" max="15108" width="46.42578125" style="1937" customWidth="1"/>
    <col min="15109" max="15109" width="13.85546875" style="1937" customWidth="1"/>
    <col min="15110" max="15110" width="14.85546875" style="1937" customWidth="1"/>
    <col min="15111" max="15111" width="13.85546875" style="1937" customWidth="1"/>
    <col min="15112" max="15112" width="8.5703125" style="1937" customWidth="1"/>
    <col min="15113" max="15113" width="9.140625" style="1937"/>
    <col min="15114" max="15116" width="16" style="1937" bestFit="1" customWidth="1"/>
    <col min="15117" max="15360" width="9.140625" style="1937"/>
    <col min="15361" max="15361" width="5.7109375" style="1937" customWidth="1"/>
    <col min="15362" max="15362" width="6.7109375" style="1937" customWidth="1"/>
    <col min="15363" max="15363" width="10.28515625" style="1937" customWidth="1"/>
    <col min="15364" max="15364" width="46.42578125" style="1937" customWidth="1"/>
    <col min="15365" max="15365" width="13.85546875" style="1937" customWidth="1"/>
    <col min="15366" max="15366" width="14.85546875" style="1937" customWidth="1"/>
    <col min="15367" max="15367" width="13.85546875" style="1937" customWidth="1"/>
    <col min="15368" max="15368" width="8.5703125" style="1937" customWidth="1"/>
    <col min="15369" max="15369" width="9.140625" style="1937"/>
    <col min="15370" max="15372" width="16" style="1937" bestFit="1" customWidth="1"/>
    <col min="15373" max="15616" width="9.140625" style="1937"/>
    <col min="15617" max="15617" width="5.7109375" style="1937" customWidth="1"/>
    <col min="15618" max="15618" width="6.7109375" style="1937" customWidth="1"/>
    <col min="15619" max="15619" width="10.28515625" style="1937" customWidth="1"/>
    <col min="15620" max="15620" width="46.42578125" style="1937" customWidth="1"/>
    <col min="15621" max="15621" width="13.85546875" style="1937" customWidth="1"/>
    <col min="15622" max="15622" width="14.85546875" style="1937" customWidth="1"/>
    <col min="15623" max="15623" width="13.85546875" style="1937" customWidth="1"/>
    <col min="15624" max="15624" width="8.5703125" style="1937" customWidth="1"/>
    <col min="15625" max="15625" width="9.140625" style="1937"/>
    <col min="15626" max="15628" width="16" style="1937" bestFit="1" customWidth="1"/>
    <col min="15629" max="15872" width="9.140625" style="1937"/>
    <col min="15873" max="15873" width="5.7109375" style="1937" customWidth="1"/>
    <col min="15874" max="15874" width="6.7109375" style="1937" customWidth="1"/>
    <col min="15875" max="15875" width="10.28515625" style="1937" customWidth="1"/>
    <col min="15876" max="15876" width="46.42578125" style="1937" customWidth="1"/>
    <col min="15877" max="15877" width="13.85546875" style="1937" customWidth="1"/>
    <col min="15878" max="15878" width="14.85546875" style="1937" customWidth="1"/>
    <col min="15879" max="15879" width="13.85546875" style="1937" customWidth="1"/>
    <col min="15880" max="15880" width="8.5703125" style="1937" customWidth="1"/>
    <col min="15881" max="15881" width="9.140625" style="1937"/>
    <col min="15882" max="15884" width="16" style="1937" bestFit="1" customWidth="1"/>
    <col min="15885" max="16128" width="9.140625" style="1937"/>
    <col min="16129" max="16129" width="5.7109375" style="1937" customWidth="1"/>
    <col min="16130" max="16130" width="6.7109375" style="1937" customWidth="1"/>
    <col min="16131" max="16131" width="10.28515625" style="1937" customWidth="1"/>
    <col min="16132" max="16132" width="46.42578125" style="1937" customWidth="1"/>
    <col min="16133" max="16133" width="13.85546875" style="1937" customWidth="1"/>
    <col min="16134" max="16134" width="14.85546875" style="1937" customWidth="1"/>
    <col min="16135" max="16135" width="13.85546875" style="1937" customWidth="1"/>
    <col min="16136" max="16136" width="8.5703125" style="1937" customWidth="1"/>
    <col min="16137" max="16137" width="9.140625" style="1937"/>
    <col min="16138" max="16140" width="16" style="1937" bestFit="1" customWidth="1"/>
    <col min="16141" max="16384" width="9.140625" style="1937"/>
  </cols>
  <sheetData>
    <row r="1" spans="1:9" s="1677" customFormat="1" ht="18.75" thickBot="1" x14ac:dyDescent="0.3">
      <c r="A1" s="1820" t="s">
        <v>847</v>
      </c>
      <c r="B1" s="1819"/>
      <c r="C1" s="1932"/>
      <c r="D1" s="1818"/>
      <c r="E1" s="1753"/>
      <c r="F1" s="1751"/>
      <c r="G1" s="2752" t="s">
        <v>134</v>
      </c>
      <c r="H1" s="2753"/>
      <c r="I1" s="1682"/>
    </row>
    <row r="2" spans="1:9" s="1677" customFormat="1" ht="12.75" customHeight="1" x14ac:dyDescent="0.25">
      <c r="A2" s="1812"/>
      <c r="B2" s="1756"/>
      <c r="C2" s="1933"/>
      <c r="D2" s="1811"/>
      <c r="E2" s="1753"/>
      <c r="F2" s="1753"/>
      <c r="G2" s="2335"/>
      <c r="H2" s="1934"/>
      <c r="I2" s="1682"/>
    </row>
    <row r="3" spans="1:9" s="1677" customFormat="1" ht="12.75" customHeight="1" x14ac:dyDescent="0.25">
      <c r="A3" s="1815" t="s">
        <v>387</v>
      </c>
      <c r="B3" s="1756"/>
      <c r="C3" s="1935" t="s">
        <v>363</v>
      </c>
      <c r="D3" s="1814"/>
      <c r="E3" s="1753"/>
      <c r="F3" s="2335"/>
      <c r="G3" s="1751"/>
      <c r="H3" s="1934"/>
    </row>
    <row r="4" spans="1:9" s="1677" customFormat="1" ht="12.75" customHeight="1" x14ac:dyDescent="0.25">
      <c r="A4" s="1812"/>
      <c r="B4" s="1756"/>
      <c r="C4" s="1935" t="s">
        <v>364</v>
      </c>
      <c r="D4" s="1682"/>
      <c r="E4" s="1753"/>
      <c r="F4" s="2335"/>
      <c r="G4" s="1751"/>
      <c r="H4" s="1934"/>
    </row>
    <row r="5" spans="1:9" hidden="1" x14ac:dyDescent="0.2"/>
    <row r="6" spans="1:9" ht="18" x14ac:dyDescent="0.25">
      <c r="A6" s="1940" t="s">
        <v>799</v>
      </c>
    </row>
    <row r="7" spans="1:9" ht="12" customHeight="1" x14ac:dyDescent="0.25">
      <c r="A7" s="1941"/>
    </row>
    <row r="8" spans="1:9" ht="17.25" customHeight="1" x14ac:dyDescent="0.2">
      <c r="A8" s="2748" t="s">
        <v>1612</v>
      </c>
      <c r="B8" s="2748"/>
      <c r="C8" s="2748"/>
      <c r="D8" s="2748"/>
      <c r="E8" s="2748"/>
      <c r="F8" s="2748"/>
      <c r="G8" s="2748"/>
      <c r="H8" s="2748"/>
    </row>
    <row r="9" spans="1:9" s="1735" customFormat="1" ht="12" x14ac:dyDescent="0.2">
      <c r="A9" s="2748"/>
      <c r="B9" s="2748"/>
      <c r="C9" s="2748"/>
      <c r="D9" s="2748"/>
      <c r="E9" s="2748"/>
      <c r="F9" s="2748"/>
      <c r="G9" s="2748"/>
      <c r="H9" s="2748"/>
    </row>
    <row r="10" spans="1:9" s="1735" customFormat="1" ht="15.75" thickBot="1" x14ac:dyDescent="0.3">
      <c r="A10" s="1942" t="s">
        <v>365</v>
      </c>
      <c r="B10" s="2337"/>
      <c r="C10" s="2337"/>
      <c r="D10" s="2337"/>
      <c r="E10" s="2337"/>
      <c r="F10" s="2337"/>
      <c r="G10" s="2337"/>
      <c r="H10" s="1939" t="s">
        <v>173</v>
      </c>
    </row>
    <row r="11" spans="1:9" s="1735" customFormat="1" ht="25.5" thickTop="1" thickBot="1" x14ac:dyDescent="0.25">
      <c r="A11" s="1943" t="s">
        <v>174</v>
      </c>
      <c r="B11" s="1944" t="s">
        <v>800</v>
      </c>
      <c r="C11" s="1944" t="s">
        <v>397</v>
      </c>
      <c r="D11" s="1945" t="s">
        <v>176</v>
      </c>
      <c r="E11" s="1946" t="s">
        <v>669</v>
      </c>
      <c r="F11" s="1946" t="s">
        <v>670</v>
      </c>
      <c r="G11" s="1947" t="s">
        <v>923</v>
      </c>
      <c r="H11" s="1948" t="s">
        <v>924</v>
      </c>
    </row>
    <row r="12" spans="1:9" s="1735" customFormat="1" ht="13.5" thickTop="1" thickBot="1" x14ac:dyDescent="0.25">
      <c r="A12" s="1740">
        <v>1</v>
      </c>
      <c r="B12" s="1739">
        <v>2</v>
      </c>
      <c r="C12" s="1739">
        <v>3</v>
      </c>
      <c r="D12" s="1739">
        <v>4</v>
      </c>
      <c r="E12" s="1949">
        <v>5</v>
      </c>
      <c r="F12" s="1949">
        <v>6</v>
      </c>
      <c r="G12" s="1950">
        <v>7</v>
      </c>
      <c r="H12" s="1951" t="s">
        <v>61</v>
      </c>
    </row>
    <row r="13" spans="1:9" s="1735" customFormat="1" ht="16.5" thickTop="1" thickBot="1" x14ac:dyDescent="0.3">
      <c r="A13" s="1952">
        <v>3122</v>
      </c>
      <c r="B13" s="1953">
        <v>6121</v>
      </c>
      <c r="C13" s="1954"/>
      <c r="D13" s="1955" t="s">
        <v>640</v>
      </c>
      <c r="E13" s="1956">
        <v>0</v>
      </c>
      <c r="F13" s="1957">
        <v>10</v>
      </c>
      <c r="G13" s="1956">
        <v>6</v>
      </c>
      <c r="H13" s="1958">
        <f>G13/F13*100</f>
        <v>60</v>
      </c>
    </row>
    <row r="14" spans="1:9" s="1735" customFormat="1" ht="16.5" hidden="1" thickTop="1" thickBot="1" x14ac:dyDescent="0.3">
      <c r="A14" s="1952">
        <v>3122</v>
      </c>
      <c r="B14" s="1953">
        <v>6121</v>
      </c>
      <c r="C14" s="1953"/>
      <c r="D14" s="1955" t="s">
        <v>640</v>
      </c>
      <c r="E14" s="1959">
        <v>0</v>
      </c>
      <c r="F14" s="1960">
        <v>0</v>
      </c>
      <c r="G14" s="1960">
        <v>0</v>
      </c>
      <c r="H14" s="1961" t="e">
        <f>G14/F14*100</f>
        <v>#DIV/0!</v>
      </c>
    </row>
    <row r="15" spans="1:9" s="1735" customFormat="1" ht="16.5" thickTop="1" thickBot="1" x14ac:dyDescent="0.3">
      <c r="A15" s="2750" t="s">
        <v>802</v>
      </c>
      <c r="B15" s="2751"/>
      <c r="C15" s="2751"/>
      <c r="D15" s="2751"/>
      <c r="E15" s="1957">
        <f>SUM(E13:E14)</f>
        <v>0</v>
      </c>
      <c r="F15" s="1960">
        <f>SUM(F13:F14)</f>
        <v>10</v>
      </c>
      <c r="G15" s="1957">
        <f>SUM(G13:G14)</f>
        <v>6</v>
      </c>
      <c r="H15" s="1962">
        <f>G15/F15*100</f>
        <v>60</v>
      </c>
    </row>
    <row r="16" spans="1:9" ht="15.75" thickTop="1" x14ac:dyDescent="0.25">
      <c r="A16" s="1963"/>
      <c r="B16" s="1963"/>
      <c r="C16" s="1963"/>
      <c r="D16" s="1963"/>
      <c r="E16" s="1964"/>
      <c r="F16" s="1964"/>
      <c r="G16" s="1964"/>
      <c r="H16" s="1965"/>
    </row>
    <row r="17" spans="1:8" ht="15" hidden="1" x14ac:dyDescent="0.25">
      <c r="A17" s="1942" t="s">
        <v>1146</v>
      </c>
    </row>
    <row r="18" spans="1:8" s="1735" customFormat="1" ht="15" hidden="1" x14ac:dyDescent="0.25">
      <c r="A18" s="1942" t="s">
        <v>1147</v>
      </c>
      <c r="B18" s="1936"/>
      <c r="C18" s="1936"/>
      <c r="D18" s="1937"/>
      <c r="E18" s="1938"/>
      <c r="F18" s="1938"/>
      <c r="G18" s="1938"/>
      <c r="H18" s="1939" t="s">
        <v>1289</v>
      </c>
    </row>
    <row r="19" spans="1:8" s="1735" customFormat="1" ht="25.5" hidden="1" thickTop="1" thickBot="1" x14ac:dyDescent="0.25">
      <c r="A19" s="1943" t="s">
        <v>174</v>
      </c>
      <c r="B19" s="1944" t="s">
        <v>800</v>
      </c>
      <c r="C19" s="1944" t="s">
        <v>397</v>
      </c>
      <c r="D19" s="1945" t="s">
        <v>176</v>
      </c>
      <c r="E19" s="1946" t="s">
        <v>669</v>
      </c>
      <c r="F19" s="1946" t="s">
        <v>670</v>
      </c>
      <c r="G19" s="1947" t="s">
        <v>923</v>
      </c>
      <c r="H19" s="1948" t="s">
        <v>924</v>
      </c>
    </row>
    <row r="20" spans="1:8" s="1735" customFormat="1" ht="13.5" hidden="1" thickTop="1" thickBot="1" x14ac:dyDescent="0.25">
      <c r="A20" s="1740">
        <v>1</v>
      </c>
      <c r="B20" s="1739">
        <v>2</v>
      </c>
      <c r="C20" s="1739">
        <v>3</v>
      </c>
      <c r="D20" s="1739">
        <v>4</v>
      </c>
      <c r="E20" s="1949">
        <v>5</v>
      </c>
      <c r="F20" s="1949">
        <v>6</v>
      </c>
      <c r="G20" s="1950">
        <v>7</v>
      </c>
      <c r="H20" s="1951" t="s">
        <v>61</v>
      </c>
    </row>
    <row r="21" spans="1:8" s="1735" customFormat="1" ht="16.5" hidden="1" thickTop="1" thickBot="1" x14ac:dyDescent="0.3">
      <c r="A21" s="1952">
        <v>3122</v>
      </c>
      <c r="B21" s="1953">
        <v>6121</v>
      </c>
      <c r="C21" s="1953"/>
      <c r="D21" s="1955" t="s">
        <v>640</v>
      </c>
      <c r="E21" s="1956">
        <v>0</v>
      </c>
      <c r="F21" s="1957">
        <v>0</v>
      </c>
      <c r="G21" s="1957">
        <v>0</v>
      </c>
      <c r="H21" s="1958" t="e">
        <f>G21/F21*100</f>
        <v>#DIV/0!</v>
      </c>
    </row>
    <row r="22" spans="1:8" s="1735" customFormat="1" ht="16.5" hidden="1" thickTop="1" thickBot="1" x14ac:dyDescent="0.3">
      <c r="A22" s="2750" t="s">
        <v>802</v>
      </c>
      <c r="B22" s="2751"/>
      <c r="C22" s="2751"/>
      <c r="D22" s="2751"/>
      <c r="E22" s="1957">
        <f>SUM(E21:E21)</f>
        <v>0</v>
      </c>
      <c r="F22" s="1960">
        <f>SUM(F21:F21)</f>
        <v>0</v>
      </c>
      <c r="G22" s="1960">
        <f>SUM(G21:G21)</f>
        <v>0</v>
      </c>
      <c r="H22" s="1962" t="e">
        <f>G22/F22*100</f>
        <v>#DIV/0!</v>
      </c>
    </row>
    <row r="23" spans="1:8" ht="18" hidden="1" x14ac:dyDescent="0.25">
      <c r="A23" s="1940"/>
    </row>
    <row r="24" spans="1:8" ht="15" x14ac:dyDescent="0.25">
      <c r="A24" s="1942" t="s">
        <v>1148</v>
      </c>
    </row>
    <row r="25" spans="1:8" s="1735" customFormat="1" ht="15.75" thickBot="1" x14ac:dyDescent="0.3">
      <c r="A25" s="1942" t="s">
        <v>1149</v>
      </c>
      <c r="B25" s="1936"/>
      <c r="C25" s="1936"/>
      <c r="D25" s="1937"/>
      <c r="E25" s="1938"/>
      <c r="F25" s="1938"/>
      <c r="G25" s="1938"/>
      <c r="H25" s="1966" t="s">
        <v>173</v>
      </c>
    </row>
    <row r="26" spans="1:8" s="1735" customFormat="1" ht="25.5" thickTop="1" thickBot="1" x14ac:dyDescent="0.25">
      <c r="A26" s="1943" t="s">
        <v>174</v>
      </c>
      <c r="B26" s="1944" t="s">
        <v>800</v>
      </c>
      <c r="C26" s="1944" t="s">
        <v>397</v>
      </c>
      <c r="D26" s="1945" t="s">
        <v>176</v>
      </c>
      <c r="E26" s="1946" t="s">
        <v>669</v>
      </c>
      <c r="F26" s="1946" t="s">
        <v>670</v>
      </c>
      <c r="G26" s="1947" t="s">
        <v>923</v>
      </c>
      <c r="H26" s="1948" t="s">
        <v>924</v>
      </c>
    </row>
    <row r="27" spans="1:8" s="1735" customFormat="1" ht="13.5" thickTop="1" thickBot="1" x14ac:dyDescent="0.25">
      <c r="A27" s="1740">
        <v>1</v>
      </c>
      <c r="B27" s="1739">
        <v>2</v>
      </c>
      <c r="C27" s="1739">
        <v>3</v>
      </c>
      <c r="D27" s="1739">
        <v>4</v>
      </c>
      <c r="E27" s="1949">
        <v>5</v>
      </c>
      <c r="F27" s="1949">
        <v>6</v>
      </c>
      <c r="G27" s="1950">
        <v>7</v>
      </c>
      <c r="H27" s="1951" t="s">
        <v>61</v>
      </c>
    </row>
    <row r="28" spans="1:8" s="1735" customFormat="1" ht="16.5" thickTop="1" thickBot="1" x14ac:dyDescent="0.3">
      <c r="A28" s="1952">
        <v>3122</v>
      </c>
      <c r="B28" s="1953">
        <v>6121</v>
      </c>
      <c r="C28" s="1953"/>
      <c r="D28" s="1955" t="s">
        <v>640</v>
      </c>
      <c r="E28" s="1956">
        <v>0</v>
      </c>
      <c r="F28" s="1957">
        <v>148</v>
      </c>
      <c r="G28" s="1957">
        <v>148</v>
      </c>
      <c r="H28" s="1961">
        <f>G28/F28*100</f>
        <v>100</v>
      </c>
    </row>
    <row r="29" spans="1:8" s="1735" customFormat="1" ht="16.5" thickTop="1" thickBot="1" x14ac:dyDescent="0.3">
      <c r="A29" s="2750" t="s">
        <v>802</v>
      </c>
      <c r="B29" s="2751"/>
      <c r="C29" s="2751"/>
      <c r="D29" s="2751"/>
      <c r="E29" s="1957">
        <f>SUM(E28)</f>
        <v>0</v>
      </c>
      <c r="F29" s="1960">
        <f>SUM(F28:F28)</f>
        <v>148</v>
      </c>
      <c r="G29" s="1960">
        <f>SUM(G28:G28)</f>
        <v>148</v>
      </c>
      <c r="H29" s="1962">
        <f>G29/F29*100</f>
        <v>100</v>
      </c>
    </row>
    <row r="30" spans="1:8" s="1735" customFormat="1" ht="18.75" thickTop="1" x14ac:dyDescent="0.25">
      <c r="A30" s="1940"/>
      <c r="B30" s="1936"/>
      <c r="C30" s="1936"/>
      <c r="D30" s="1937"/>
      <c r="E30" s="1938"/>
      <c r="F30" s="1938"/>
      <c r="G30" s="1938"/>
      <c r="H30" s="1939"/>
    </row>
    <row r="31" spans="1:8" s="1735" customFormat="1" ht="15" hidden="1" x14ac:dyDescent="0.25">
      <c r="A31" s="1942" t="s">
        <v>1150</v>
      </c>
      <c r="B31" s="1936"/>
      <c r="C31" s="1936"/>
      <c r="D31" s="1937"/>
      <c r="E31" s="1938"/>
      <c r="F31" s="1938"/>
      <c r="G31" s="1938"/>
      <c r="H31" s="1939"/>
    </row>
    <row r="32" spans="1:8" s="1735" customFormat="1" ht="15" hidden="1" x14ac:dyDescent="0.25">
      <c r="A32" s="1942" t="s">
        <v>1151</v>
      </c>
      <c r="B32" s="1936"/>
      <c r="C32" s="1936"/>
      <c r="D32" s="1937"/>
      <c r="E32" s="1938"/>
      <c r="F32" s="1938"/>
      <c r="G32" s="1938"/>
      <c r="H32" s="1939" t="s">
        <v>1289</v>
      </c>
    </row>
    <row r="33" spans="1:9" s="1735" customFormat="1" ht="25.5" hidden="1" thickTop="1" thickBot="1" x14ac:dyDescent="0.25">
      <c r="A33" s="1943" t="s">
        <v>174</v>
      </c>
      <c r="B33" s="1944" t="s">
        <v>800</v>
      </c>
      <c r="C33" s="1944" t="s">
        <v>397</v>
      </c>
      <c r="D33" s="1945" t="s">
        <v>176</v>
      </c>
      <c r="E33" s="1946" t="s">
        <v>669</v>
      </c>
      <c r="F33" s="1946" t="s">
        <v>670</v>
      </c>
      <c r="G33" s="1947" t="s">
        <v>923</v>
      </c>
      <c r="H33" s="1948" t="s">
        <v>924</v>
      </c>
    </row>
    <row r="34" spans="1:9" s="1735" customFormat="1" ht="13.5" hidden="1" thickTop="1" thickBot="1" x14ac:dyDescent="0.25">
      <c r="A34" s="1740">
        <v>1</v>
      </c>
      <c r="B34" s="1739">
        <v>2</v>
      </c>
      <c r="C34" s="1739">
        <v>3</v>
      </c>
      <c r="D34" s="1739">
        <v>4</v>
      </c>
      <c r="E34" s="1949">
        <v>5</v>
      </c>
      <c r="F34" s="1949">
        <v>6</v>
      </c>
      <c r="G34" s="1950">
        <v>7</v>
      </c>
      <c r="H34" s="1951" t="s">
        <v>61</v>
      </c>
    </row>
    <row r="35" spans="1:9" ht="15.75" hidden="1" thickTop="1" x14ac:dyDescent="0.25">
      <c r="A35" s="1952">
        <v>3121</v>
      </c>
      <c r="B35" s="1953">
        <v>5166</v>
      </c>
      <c r="C35" s="1954"/>
      <c r="D35" s="1955" t="s">
        <v>646</v>
      </c>
      <c r="E35" s="1956">
        <v>0</v>
      </c>
      <c r="F35" s="1956">
        <v>0</v>
      </c>
      <c r="G35" s="1956">
        <v>0</v>
      </c>
      <c r="H35" s="1958" t="e">
        <f>G35/F35*100</f>
        <v>#DIV/0!</v>
      </c>
    </row>
    <row r="36" spans="1:9" ht="15.75" hidden="1" thickBot="1" x14ac:dyDescent="0.3">
      <c r="A36" s="1952">
        <v>3122</v>
      </c>
      <c r="B36" s="1953">
        <v>5166</v>
      </c>
      <c r="C36" s="1967"/>
      <c r="D36" s="1955" t="s">
        <v>646</v>
      </c>
      <c r="E36" s="1960">
        <v>0</v>
      </c>
      <c r="F36" s="1960">
        <v>0</v>
      </c>
      <c r="G36" s="1960">
        <v>0</v>
      </c>
      <c r="H36" s="1968" t="e">
        <f>G36/F36*100</f>
        <v>#DIV/0!</v>
      </c>
    </row>
    <row r="37" spans="1:9" ht="16.5" hidden="1" thickTop="1" thickBot="1" x14ac:dyDescent="0.3">
      <c r="A37" s="2750" t="s">
        <v>802</v>
      </c>
      <c r="B37" s="2751"/>
      <c r="C37" s="2751"/>
      <c r="D37" s="2751"/>
      <c r="E37" s="1957">
        <f>SUM(E35:E36)</f>
        <v>0</v>
      </c>
      <c r="F37" s="1957">
        <f>SUM(F35:F36)</f>
        <v>0</v>
      </c>
      <c r="G37" s="1957">
        <f>SUM(G35:G36)</f>
        <v>0</v>
      </c>
      <c r="H37" s="1962" t="e">
        <f>G37/F37*100</f>
        <v>#DIV/0!</v>
      </c>
    </row>
    <row r="38" spans="1:9" ht="15" hidden="1" x14ac:dyDescent="0.25">
      <c r="A38" s="1963"/>
      <c r="B38" s="1963"/>
      <c r="C38" s="1963"/>
      <c r="D38" s="1963"/>
      <c r="E38" s="1964"/>
      <c r="F38" s="1964"/>
      <c r="G38" s="1964"/>
      <c r="H38" s="1965"/>
    </row>
    <row r="39" spans="1:9" s="1969" customFormat="1" ht="30" hidden="1" customHeight="1" x14ac:dyDescent="0.25">
      <c r="A39" s="2748" t="s">
        <v>81</v>
      </c>
      <c r="B39" s="2748"/>
      <c r="C39" s="2748"/>
      <c r="D39" s="2748"/>
      <c r="E39" s="2748"/>
      <c r="F39" s="2748"/>
      <c r="G39" s="2748"/>
      <c r="H39" s="2748"/>
      <c r="I39" s="2337"/>
    </row>
    <row r="40" spans="1:9" s="1969" customFormat="1" ht="15" hidden="1" x14ac:dyDescent="0.25">
      <c r="A40" s="1942" t="s">
        <v>82</v>
      </c>
      <c r="B40" s="1936"/>
      <c r="C40" s="1936"/>
      <c r="D40" s="1936"/>
      <c r="E40" s="1937"/>
      <c r="F40" s="1970"/>
      <c r="G40" s="1970"/>
      <c r="H40" s="1966" t="s">
        <v>173</v>
      </c>
      <c r="I40" s="1937"/>
    </row>
    <row r="41" spans="1:9" s="1969" customFormat="1" ht="25.5" hidden="1" thickTop="1" thickBot="1" x14ac:dyDescent="0.3">
      <c r="A41" s="1943" t="s">
        <v>174</v>
      </c>
      <c r="B41" s="1944" t="s">
        <v>800</v>
      </c>
      <c r="C41" s="1944" t="s">
        <v>397</v>
      </c>
      <c r="D41" s="1945" t="s">
        <v>176</v>
      </c>
      <c r="E41" s="1946" t="s">
        <v>669</v>
      </c>
      <c r="F41" s="1946" t="s">
        <v>670</v>
      </c>
      <c r="G41" s="1947" t="s">
        <v>923</v>
      </c>
      <c r="H41" s="1948" t="s">
        <v>924</v>
      </c>
    </row>
    <row r="42" spans="1:9" s="1735" customFormat="1" ht="13.5" hidden="1" thickTop="1" thickBot="1" x14ac:dyDescent="0.25">
      <c r="A42" s="1740">
        <v>1</v>
      </c>
      <c r="B42" s="1739">
        <v>2</v>
      </c>
      <c r="C42" s="1739">
        <v>3</v>
      </c>
      <c r="D42" s="1739">
        <v>4</v>
      </c>
      <c r="E42" s="1949">
        <v>5</v>
      </c>
      <c r="F42" s="1949">
        <v>6</v>
      </c>
      <c r="G42" s="1950">
        <v>7</v>
      </c>
      <c r="H42" s="1951" t="s">
        <v>61</v>
      </c>
    </row>
    <row r="43" spans="1:9" ht="16.5" hidden="1" thickTop="1" thickBot="1" x14ac:dyDescent="0.3">
      <c r="A43" s="1952">
        <v>3122</v>
      </c>
      <c r="B43" s="1953">
        <v>6121</v>
      </c>
      <c r="C43" s="1953"/>
      <c r="D43" s="1955" t="s">
        <v>640</v>
      </c>
      <c r="E43" s="1957">
        <v>0</v>
      </c>
      <c r="F43" s="1957">
        <v>0</v>
      </c>
      <c r="G43" s="1957">
        <v>0</v>
      </c>
      <c r="H43" s="1958" t="e">
        <f>G43/F43*100</f>
        <v>#DIV/0!</v>
      </c>
    </row>
    <row r="44" spans="1:9" s="1735" customFormat="1" ht="16.5" hidden="1" thickTop="1" thickBot="1" x14ac:dyDescent="0.3">
      <c r="A44" s="2750" t="s">
        <v>802</v>
      </c>
      <c r="B44" s="2751"/>
      <c r="C44" s="2751"/>
      <c r="D44" s="2751"/>
      <c r="E44" s="1960">
        <f>SUM(E43:E43)</f>
        <v>0</v>
      </c>
      <c r="F44" s="1960">
        <f>SUM(F43:F43)</f>
        <v>0</v>
      </c>
      <c r="G44" s="1960">
        <f>SUM(G43:G43)</f>
        <v>0</v>
      </c>
      <c r="H44" s="1962" t="e">
        <f>G44/F44*100</f>
        <v>#DIV/0!</v>
      </c>
    </row>
    <row r="45" spans="1:9" s="1735" customFormat="1" ht="18" hidden="1" x14ac:dyDescent="0.25">
      <c r="A45" s="1940"/>
      <c r="B45" s="1936"/>
      <c r="C45" s="1936"/>
      <c r="D45" s="1937"/>
      <c r="E45" s="1938"/>
      <c r="F45" s="1938"/>
      <c r="G45" s="1938"/>
      <c r="H45" s="1939"/>
    </row>
    <row r="46" spans="1:9" s="1735" customFormat="1" ht="15" hidden="1" x14ac:dyDescent="0.25">
      <c r="A46" s="2748" t="s">
        <v>83</v>
      </c>
      <c r="B46" s="2748"/>
      <c r="C46" s="2748"/>
      <c r="D46" s="2748"/>
      <c r="E46" s="2748"/>
      <c r="F46" s="2748"/>
      <c r="G46" s="2748"/>
      <c r="H46" s="2748"/>
    </row>
    <row r="47" spans="1:9" s="1735" customFormat="1" ht="15" hidden="1" x14ac:dyDescent="0.25">
      <c r="A47" s="1942" t="s">
        <v>84</v>
      </c>
      <c r="B47" s="1936"/>
      <c r="C47" s="1936"/>
      <c r="D47" s="1937"/>
      <c r="E47" s="1938"/>
      <c r="F47" s="1938"/>
      <c r="G47" s="1938"/>
      <c r="H47" s="1939" t="s">
        <v>1289</v>
      </c>
    </row>
    <row r="48" spans="1:9" s="1735" customFormat="1" ht="25.5" hidden="1" thickTop="1" thickBot="1" x14ac:dyDescent="0.25">
      <c r="A48" s="1943" t="s">
        <v>174</v>
      </c>
      <c r="B48" s="1944" t="s">
        <v>800</v>
      </c>
      <c r="C48" s="1944" t="s">
        <v>397</v>
      </c>
      <c r="D48" s="1945" t="s">
        <v>176</v>
      </c>
      <c r="E48" s="1946" t="s">
        <v>669</v>
      </c>
      <c r="F48" s="1946" t="s">
        <v>670</v>
      </c>
      <c r="G48" s="1947" t="s">
        <v>923</v>
      </c>
      <c r="H48" s="1948" t="s">
        <v>924</v>
      </c>
    </row>
    <row r="49" spans="1:8" s="1735" customFormat="1" ht="13.5" hidden="1" thickTop="1" thickBot="1" x14ac:dyDescent="0.25">
      <c r="A49" s="1740">
        <v>1</v>
      </c>
      <c r="B49" s="1739">
        <v>2</v>
      </c>
      <c r="C49" s="1739">
        <v>3</v>
      </c>
      <c r="D49" s="1739">
        <v>4</v>
      </c>
      <c r="E49" s="1949">
        <v>5</v>
      </c>
      <c r="F49" s="1949">
        <v>6</v>
      </c>
      <c r="G49" s="1950">
        <v>7</v>
      </c>
      <c r="H49" s="1951" t="s">
        <v>61</v>
      </c>
    </row>
    <row r="50" spans="1:8" s="1735" customFormat="1" ht="16.5" hidden="1" thickTop="1" thickBot="1" x14ac:dyDescent="0.3">
      <c r="A50" s="1952">
        <v>3122</v>
      </c>
      <c r="B50" s="1953">
        <v>6121</v>
      </c>
      <c r="C50" s="1953"/>
      <c r="D50" s="1955" t="s">
        <v>640</v>
      </c>
      <c r="E50" s="1956">
        <v>0</v>
      </c>
      <c r="F50" s="1957">
        <v>0</v>
      </c>
      <c r="G50" s="1957">
        <v>0</v>
      </c>
      <c r="H50" s="1958" t="e">
        <f>G50/F50*100</f>
        <v>#DIV/0!</v>
      </c>
    </row>
    <row r="51" spans="1:8" s="1735" customFormat="1" ht="16.5" hidden="1" thickTop="1" thickBot="1" x14ac:dyDescent="0.3">
      <c r="A51" s="2750" t="s">
        <v>802</v>
      </c>
      <c r="B51" s="2751"/>
      <c r="C51" s="2751"/>
      <c r="D51" s="2751"/>
      <c r="E51" s="1957">
        <f>SUM(E50:E50)</f>
        <v>0</v>
      </c>
      <c r="F51" s="1960">
        <f>SUM(F50:F50)</f>
        <v>0</v>
      </c>
      <c r="G51" s="1960">
        <f>SUM(G50:G50)</f>
        <v>0</v>
      </c>
      <c r="H51" s="1962" t="e">
        <f>G51/F51*100</f>
        <v>#DIV/0!</v>
      </c>
    </row>
    <row r="52" spans="1:8" s="1735" customFormat="1" ht="18" hidden="1" x14ac:dyDescent="0.25">
      <c r="A52" s="1940"/>
      <c r="B52" s="1936"/>
      <c r="C52" s="1936"/>
      <c r="D52" s="1937"/>
      <c r="E52" s="1938"/>
      <c r="F52" s="1938"/>
      <c r="G52" s="1938"/>
      <c r="H52" s="1939"/>
    </row>
    <row r="53" spans="1:8" s="1735" customFormat="1" ht="15" x14ac:dyDescent="0.25">
      <c r="A53" s="2748" t="s">
        <v>85</v>
      </c>
      <c r="B53" s="2748"/>
      <c r="C53" s="2748"/>
      <c r="D53" s="2748"/>
      <c r="E53" s="2748"/>
      <c r="F53" s="2748"/>
      <c r="G53" s="2748"/>
      <c r="H53" s="2748"/>
    </row>
    <row r="54" spans="1:8" s="1735" customFormat="1" ht="15.75" thickBot="1" x14ac:dyDescent="0.3">
      <c r="A54" s="1942" t="s">
        <v>86</v>
      </c>
      <c r="B54" s="1936"/>
      <c r="C54" s="1936"/>
      <c r="D54" s="1937"/>
      <c r="E54" s="1938"/>
      <c r="F54" s="1938"/>
      <c r="G54" s="1938"/>
      <c r="H54" s="1939" t="s">
        <v>1289</v>
      </c>
    </row>
    <row r="55" spans="1:8" s="1735" customFormat="1" ht="25.5" thickTop="1" thickBot="1" x14ac:dyDescent="0.25">
      <c r="A55" s="1943" t="s">
        <v>174</v>
      </c>
      <c r="B55" s="1944" t="s">
        <v>800</v>
      </c>
      <c r="C55" s="1944" t="s">
        <v>397</v>
      </c>
      <c r="D55" s="1945" t="s">
        <v>176</v>
      </c>
      <c r="E55" s="1946" t="s">
        <v>669</v>
      </c>
      <c r="F55" s="1946" t="s">
        <v>670</v>
      </c>
      <c r="G55" s="1947" t="s">
        <v>923</v>
      </c>
      <c r="H55" s="1948" t="s">
        <v>924</v>
      </c>
    </row>
    <row r="56" spans="1:8" s="1735" customFormat="1" ht="13.5" thickTop="1" thickBot="1" x14ac:dyDescent="0.25">
      <c r="A56" s="1740">
        <v>1</v>
      </c>
      <c r="B56" s="1739">
        <v>2</v>
      </c>
      <c r="C56" s="1739">
        <v>3</v>
      </c>
      <c r="D56" s="1739">
        <v>4</v>
      </c>
      <c r="E56" s="1949">
        <v>5</v>
      </c>
      <c r="F56" s="1949">
        <v>6</v>
      </c>
      <c r="G56" s="1950">
        <v>7</v>
      </c>
      <c r="H56" s="1951" t="s">
        <v>61</v>
      </c>
    </row>
    <row r="57" spans="1:8" s="1735" customFormat="1" ht="16.5" thickTop="1" thickBot="1" x14ac:dyDescent="0.3">
      <c r="A57" s="1952">
        <v>3122</v>
      </c>
      <c r="B57" s="1953">
        <v>6121</v>
      </c>
      <c r="C57" s="1953"/>
      <c r="D57" s="1955" t="s">
        <v>640</v>
      </c>
      <c r="E57" s="1956">
        <v>0</v>
      </c>
      <c r="F57" s="1957">
        <v>148</v>
      </c>
      <c r="G57" s="1957">
        <v>148</v>
      </c>
      <c r="H57" s="1958">
        <f>G57/F57*100</f>
        <v>100</v>
      </c>
    </row>
    <row r="58" spans="1:8" s="1735" customFormat="1" ht="16.5" thickTop="1" thickBot="1" x14ac:dyDescent="0.3">
      <c r="A58" s="2750" t="s">
        <v>802</v>
      </c>
      <c r="B58" s="2751"/>
      <c r="C58" s="2751"/>
      <c r="D58" s="2751"/>
      <c r="E58" s="1957">
        <f>SUM(E57:E57)</f>
        <v>0</v>
      </c>
      <c r="F58" s="1960">
        <f>SUM(F57:F57)</f>
        <v>148</v>
      </c>
      <c r="G58" s="1960">
        <f>SUM(G57:G57)</f>
        <v>148</v>
      </c>
      <c r="H58" s="1962">
        <f>G58/F58*100</f>
        <v>100</v>
      </c>
    </row>
    <row r="59" spans="1:8" s="1735" customFormat="1" ht="18.75" thickTop="1" x14ac:dyDescent="0.25">
      <c r="A59" s="1940"/>
      <c r="B59" s="1936"/>
      <c r="C59" s="1936"/>
      <c r="D59" s="1937"/>
      <c r="E59" s="1938"/>
      <c r="F59" s="1938"/>
      <c r="G59" s="1938"/>
      <c r="H59" s="1939"/>
    </row>
    <row r="60" spans="1:8" ht="15" x14ac:dyDescent="0.25">
      <c r="A60" s="1942" t="s">
        <v>87</v>
      </c>
    </row>
    <row r="61" spans="1:8" ht="15.75" thickBot="1" x14ac:dyDescent="0.3">
      <c r="A61" s="1942" t="s">
        <v>88</v>
      </c>
      <c r="H61" s="1939" t="s">
        <v>1289</v>
      </c>
    </row>
    <row r="62" spans="1:8" ht="25.5" thickTop="1" thickBot="1" x14ac:dyDescent="0.25">
      <c r="A62" s="1943" t="s">
        <v>174</v>
      </c>
      <c r="B62" s="1944" t="s">
        <v>800</v>
      </c>
      <c r="C62" s="1944" t="s">
        <v>397</v>
      </c>
      <c r="D62" s="1945" t="s">
        <v>176</v>
      </c>
      <c r="E62" s="1946" t="s">
        <v>669</v>
      </c>
      <c r="F62" s="1946" t="s">
        <v>670</v>
      </c>
      <c r="G62" s="1947" t="s">
        <v>923</v>
      </c>
      <c r="H62" s="1948" t="s">
        <v>924</v>
      </c>
    </row>
    <row r="63" spans="1:8" s="1735" customFormat="1" ht="13.5" thickTop="1" thickBot="1" x14ac:dyDescent="0.25">
      <c r="A63" s="1740">
        <v>1</v>
      </c>
      <c r="B63" s="1739">
        <v>2</v>
      </c>
      <c r="C63" s="1739">
        <v>3</v>
      </c>
      <c r="D63" s="1739">
        <v>4</v>
      </c>
      <c r="E63" s="1949">
        <v>5</v>
      </c>
      <c r="F63" s="1949">
        <v>6</v>
      </c>
      <c r="G63" s="1950">
        <v>7</v>
      </c>
      <c r="H63" s="1951" t="s">
        <v>61</v>
      </c>
    </row>
    <row r="64" spans="1:8" ht="16.5" thickTop="1" thickBot="1" x14ac:dyDescent="0.3">
      <c r="A64" s="1971">
        <v>3121</v>
      </c>
      <c r="B64" s="1967">
        <v>6121</v>
      </c>
      <c r="C64" s="1967"/>
      <c r="D64" s="1972" t="s">
        <v>640</v>
      </c>
      <c r="E64" s="1956">
        <v>0</v>
      </c>
      <c r="F64" s="1960">
        <v>213</v>
      </c>
      <c r="G64" s="1960">
        <v>213</v>
      </c>
      <c r="H64" s="1961">
        <f>G64/F64*100</f>
        <v>100</v>
      </c>
    </row>
    <row r="65" spans="1:9" ht="16.5" thickTop="1" thickBot="1" x14ac:dyDescent="0.3">
      <c r="A65" s="2750" t="s">
        <v>802</v>
      </c>
      <c r="B65" s="2751"/>
      <c r="C65" s="2751"/>
      <c r="D65" s="2751"/>
      <c r="E65" s="1957">
        <f>SUM(E64:E64)</f>
        <v>0</v>
      </c>
      <c r="F65" s="1960">
        <f>SUM(F64:F64)</f>
        <v>213</v>
      </c>
      <c r="G65" s="1960">
        <f>SUM(G64:G64)</f>
        <v>213</v>
      </c>
      <c r="H65" s="1962">
        <f>G65/F65*100</f>
        <v>100</v>
      </c>
    </row>
    <row r="66" spans="1:9" ht="18.75" thickTop="1" x14ac:dyDescent="0.25">
      <c r="A66" s="1940"/>
    </row>
    <row r="67" spans="1:9" ht="15" x14ac:dyDescent="0.25">
      <c r="A67" s="1942" t="s">
        <v>866</v>
      </c>
      <c r="B67" s="1973"/>
      <c r="C67" s="1973"/>
      <c r="D67" s="1973"/>
      <c r="E67" s="1973"/>
      <c r="F67" s="1973"/>
      <c r="G67" s="1973"/>
      <c r="H67" s="1973"/>
      <c r="I67" s="1973"/>
    </row>
    <row r="68" spans="1:9" ht="15.75" thickBot="1" x14ac:dyDescent="0.3">
      <c r="A68" s="1942" t="s">
        <v>867</v>
      </c>
      <c r="D68" s="1936"/>
      <c r="E68" s="1937"/>
      <c r="F68" s="1970"/>
      <c r="G68" s="1970"/>
      <c r="H68" s="1966" t="s">
        <v>173</v>
      </c>
    </row>
    <row r="69" spans="1:9" ht="25.5" thickTop="1" thickBot="1" x14ac:dyDescent="0.25">
      <c r="A69" s="1943" t="s">
        <v>174</v>
      </c>
      <c r="B69" s="1944" t="s">
        <v>800</v>
      </c>
      <c r="C69" s="1944" t="s">
        <v>397</v>
      </c>
      <c r="D69" s="1945" t="s">
        <v>176</v>
      </c>
      <c r="E69" s="1946" t="s">
        <v>669</v>
      </c>
      <c r="F69" s="1946" t="s">
        <v>670</v>
      </c>
      <c r="G69" s="1947" t="s">
        <v>923</v>
      </c>
      <c r="H69" s="1948" t="s">
        <v>924</v>
      </c>
    </row>
    <row r="70" spans="1:9" s="1735" customFormat="1" ht="13.5" thickTop="1" thickBot="1" x14ac:dyDescent="0.25">
      <c r="A70" s="1740">
        <v>1</v>
      </c>
      <c r="B70" s="1739">
        <v>2</v>
      </c>
      <c r="C70" s="1739">
        <v>3</v>
      </c>
      <c r="D70" s="1739">
        <v>4</v>
      </c>
      <c r="E70" s="1949">
        <v>5</v>
      </c>
      <c r="F70" s="1949">
        <v>6</v>
      </c>
      <c r="G70" s="1950">
        <v>7</v>
      </c>
      <c r="H70" s="1951" t="s">
        <v>61</v>
      </c>
    </row>
    <row r="71" spans="1:9" ht="16.5" thickTop="1" thickBot="1" x14ac:dyDescent="0.3">
      <c r="A71" s="1971">
        <v>3122</v>
      </c>
      <c r="B71" s="1954">
        <v>6121</v>
      </c>
      <c r="C71" s="1954"/>
      <c r="D71" s="1974" t="s">
        <v>640</v>
      </c>
      <c r="E71" s="1975">
        <v>0</v>
      </c>
      <c r="F71" s="1960">
        <v>137</v>
      </c>
      <c r="G71" s="1960">
        <v>128</v>
      </c>
      <c r="H71" s="1961">
        <f>G71/F71*100</f>
        <v>93.430656934306569</v>
      </c>
    </row>
    <row r="72" spans="1:9" ht="16.5" thickTop="1" thickBot="1" x14ac:dyDescent="0.3">
      <c r="A72" s="2750" t="s">
        <v>802</v>
      </c>
      <c r="B72" s="2751"/>
      <c r="C72" s="2751"/>
      <c r="D72" s="2751"/>
      <c r="E72" s="1957">
        <f>SUM(E71:E71)</f>
        <v>0</v>
      </c>
      <c r="F72" s="1960">
        <f>SUM(F71:F71)</f>
        <v>137</v>
      </c>
      <c r="G72" s="1960">
        <f>SUM(G71:G71)</f>
        <v>128</v>
      </c>
      <c r="H72" s="1962">
        <f>G72/F72*100</f>
        <v>93.430656934306569</v>
      </c>
    </row>
    <row r="73" spans="1:9" ht="18.75" thickTop="1" x14ac:dyDescent="0.25">
      <c r="A73" s="1940"/>
    </row>
    <row r="74" spans="1:9" ht="13.5" x14ac:dyDescent="0.25">
      <c r="A74" s="2748" t="s">
        <v>1733</v>
      </c>
      <c r="B74" s="2749"/>
      <c r="C74" s="2749"/>
      <c r="D74" s="2749"/>
      <c r="E74" s="2749"/>
      <c r="F74" s="2749"/>
      <c r="G74" s="2749"/>
      <c r="H74" s="2749"/>
      <c r="I74" s="2749"/>
    </row>
    <row r="75" spans="1:9" ht="15.75" thickBot="1" x14ac:dyDescent="0.3">
      <c r="A75" s="1942" t="s">
        <v>95</v>
      </c>
      <c r="D75" s="1936"/>
      <c r="E75" s="1937"/>
      <c r="F75" s="1970"/>
      <c r="G75" s="1970"/>
      <c r="H75" s="1966" t="s">
        <v>173</v>
      </c>
    </row>
    <row r="76" spans="1:9" ht="25.5" thickTop="1" thickBot="1" x14ac:dyDescent="0.25">
      <c r="A76" s="1943" t="s">
        <v>174</v>
      </c>
      <c r="B76" s="1944" t="s">
        <v>800</v>
      </c>
      <c r="C76" s="1944" t="s">
        <v>397</v>
      </c>
      <c r="D76" s="1945" t="s">
        <v>176</v>
      </c>
      <c r="E76" s="1976" t="s">
        <v>669</v>
      </c>
      <c r="F76" s="1976" t="s">
        <v>670</v>
      </c>
      <c r="G76" s="1977" t="s">
        <v>923</v>
      </c>
      <c r="H76" s="1978" t="s">
        <v>924</v>
      </c>
    </row>
    <row r="77" spans="1:9" s="1735" customFormat="1" ht="13.5" thickTop="1" thickBot="1" x14ac:dyDescent="0.25">
      <c r="A77" s="1740">
        <v>1</v>
      </c>
      <c r="B77" s="1739">
        <v>2</v>
      </c>
      <c r="C77" s="1739">
        <v>3</v>
      </c>
      <c r="D77" s="1739">
        <v>4</v>
      </c>
      <c r="E77" s="1949">
        <v>5</v>
      </c>
      <c r="F77" s="1949">
        <v>6</v>
      </c>
      <c r="G77" s="1950">
        <v>7</v>
      </c>
      <c r="H77" s="1951" t="s">
        <v>61</v>
      </c>
    </row>
    <row r="78" spans="1:9" ht="16.5" thickTop="1" thickBot="1" x14ac:dyDescent="0.3">
      <c r="A78" s="1971">
        <v>3123</v>
      </c>
      <c r="B78" s="1954">
        <v>6121</v>
      </c>
      <c r="C78" s="1954"/>
      <c r="D78" s="1979" t="s">
        <v>640</v>
      </c>
      <c r="E78" s="1975">
        <v>0</v>
      </c>
      <c r="F78" s="1960">
        <v>331</v>
      </c>
      <c r="G78" s="1960">
        <v>331</v>
      </c>
      <c r="H78" s="1961">
        <f>G78/F78*100</f>
        <v>100</v>
      </c>
    </row>
    <row r="79" spans="1:9" ht="16.5" thickTop="1" thickBot="1" x14ac:dyDescent="0.3">
      <c r="A79" s="1980" t="s">
        <v>802</v>
      </c>
      <c r="B79" s="1981"/>
      <c r="C79" s="1981"/>
      <c r="D79" s="1982"/>
      <c r="E79" s="1957">
        <f>SUM(E78:E78)</f>
        <v>0</v>
      </c>
      <c r="F79" s="1960">
        <f>SUM(F78:F78)</f>
        <v>331</v>
      </c>
      <c r="G79" s="1960">
        <f>SUM(G78:G78)</f>
        <v>331</v>
      </c>
      <c r="H79" s="1962">
        <f>G79/F79*100</f>
        <v>100</v>
      </c>
    </row>
    <row r="80" spans="1:9" ht="18.75" thickTop="1" x14ac:dyDescent="0.25">
      <c r="A80" s="1940"/>
      <c r="D80" s="1936"/>
      <c r="E80" s="1937"/>
      <c r="F80" s="1970"/>
      <c r="G80" s="1970"/>
      <c r="H80" s="1970"/>
    </row>
    <row r="81" spans="1:9" ht="17.25" customHeight="1" x14ac:dyDescent="0.25">
      <c r="A81" s="2748" t="s">
        <v>1816</v>
      </c>
      <c r="B81" s="2749"/>
      <c r="C81" s="2749"/>
      <c r="D81" s="2749"/>
      <c r="E81" s="2749"/>
      <c r="F81" s="2749"/>
      <c r="G81" s="2749"/>
      <c r="H81" s="2749"/>
      <c r="I81" s="2749"/>
    </row>
    <row r="82" spans="1:9" ht="15.75" thickBot="1" x14ac:dyDescent="0.3">
      <c r="A82" s="1942" t="s">
        <v>1817</v>
      </c>
      <c r="D82" s="1936"/>
      <c r="E82" s="1937"/>
      <c r="F82" s="1970"/>
      <c r="G82" s="1970"/>
      <c r="H82" s="1966" t="s">
        <v>173</v>
      </c>
    </row>
    <row r="83" spans="1:9" ht="25.5" thickTop="1" thickBot="1" x14ac:dyDescent="0.25">
      <c r="A83" s="1943" t="s">
        <v>174</v>
      </c>
      <c r="B83" s="1944" t="s">
        <v>800</v>
      </c>
      <c r="C83" s="1944" t="s">
        <v>744</v>
      </c>
      <c r="D83" s="1945" t="s">
        <v>176</v>
      </c>
      <c r="E83" s="1976" t="s">
        <v>669</v>
      </c>
      <c r="F83" s="1976" t="s">
        <v>670</v>
      </c>
      <c r="G83" s="1977" t="s">
        <v>923</v>
      </c>
      <c r="H83" s="1978" t="s">
        <v>924</v>
      </c>
    </row>
    <row r="84" spans="1:9" s="1735" customFormat="1" ht="13.5" thickTop="1" thickBot="1" x14ac:dyDescent="0.25">
      <c r="A84" s="1740">
        <v>1</v>
      </c>
      <c r="B84" s="1739">
        <v>2</v>
      </c>
      <c r="C84" s="1739">
        <v>3</v>
      </c>
      <c r="D84" s="1739">
        <v>4</v>
      </c>
      <c r="E84" s="1949">
        <v>5</v>
      </c>
      <c r="F84" s="1949">
        <v>6</v>
      </c>
      <c r="G84" s="1950">
        <v>7</v>
      </c>
      <c r="H84" s="1951" t="s">
        <v>61</v>
      </c>
    </row>
    <row r="85" spans="1:9" ht="16.5" thickTop="1" thickBot="1" x14ac:dyDescent="0.3">
      <c r="A85" s="1971">
        <v>3121</v>
      </c>
      <c r="B85" s="1954">
        <v>6121</v>
      </c>
      <c r="C85" s="1954"/>
      <c r="D85" s="1979" t="s">
        <v>640</v>
      </c>
      <c r="E85" s="1975">
        <v>0</v>
      </c>
      <c r="F85" s="1960">
        <v>154</v>
      </c>
      <c r="G85" s="1960">
        <v>130</v>
      </c>
      <c r="H85" s="1961">
        <f>G85/F85*100</f>
        <v>84.415584415584405</v>
      </c>
    </row>
    <row r="86" spans="1:9" ht="16.5" thickTop="1" thickBot="1" x14ac:dyDescent="0.3">
      <c r="A86" s="1980" t="s">
        <v>802</v>
      </c>
      <c r="B86" s="1981"/>
      <c r="C86" s="1981"/>
      <c r="D86" s="1982"/>
      <c r="E86" s="1957">
        <f>SUM(E85:E85)</f>
        <v>0</v>
      </c>
      <c r="F86" s="1960">
        <f>SUM(F85:F85)</f>
        <v>154</v>
      </c>
      <c r="G86" s="1960">
        <f>SUM(G85:G85)</f>
        <v>130</v>
      </c>
      <c r="H86" s="1962">
        <f>G86/F86*100</f>
        <v>84.415584415584405</v>
      </c>
    </row>
    <row r="87" spans="1:9" ht="18.75" thickTop="1" x14ac:dyDescent="0.25">
      <c r="A87" s="1940"/>
      <c r="D87" s="1936"/>
      <c r="E87" s="1937"/>
      <c r="F87" s="1970"/>
      <c r="G87" s="1970"/>
      <c r="H87" s="1970"/>
    </row>
    <row r="88" spans="1:9" ht="17.25" customHeight="1" x14ac:dyDescent="0.25">
      <c r="A88" s="2748" t="s">
        <v>96</v>
      </c>
      <c r="B88" s="2749"/>
      <c r="C88" s="2749"/>
      <c r="D88" s="2749"/>
      <c r="E88" s="2749"/>
      <c r="F88" s="2749"/>
      <c r="G88" s="2749"/>
      <c r="H88" s="2749"/>
      <c r="I88" s="2749"/>
    </row>
    <row r="89" spans="1:9" ht="15.75" thickBot="1" x14ac:dyDescent="0.3">
      <c r="A89" s="1942" t="s">
        <v>97</v>
      </c>
      <c r="D89" s="1936"/>
      <c r="E89" s="1937"/>
      <c r="F89" s="1970"/>
      <c r="G89" s="1970"/>
      <c r="H89" s="1966" t="s">
        <v>173</v>
      </c>
    </row>
    <row r="90" spans="1:9" ht="25.5" thickTop="1" thickBot="1" x14ac:dyDescent="0.25">
      <c r="A90" s="1943" t="s">
        <v>174</v>
      </c>
      <c r="B90" s="1944" t="s">
        <v>800</v>
      </c>
      <c r="C90" s="1944" t="s">
        <v>744</v>
      </c>
      <c r="D90" s="1945" t="s">
        <v>176</v>
      </c>
      <c r="E90" s="1976" t="s">
        <v>669</v>
      </c>
      <c r="F90" s="1976" t="s">
        <v>670</v>
      </c>
      <c r="G90" s="1977" t="s">
        <v>923</v>
      </c>
      <c r="H90" s="1978" t="s">
        <v>924</v>
      </c>
    </row>
    <row r="91" spans="1:9" s="1735" customFormat="1" ht="13.5" thickTop="1" thickBot="1" x14ac:dyDescent="0.25">
      <c r="A91" s="1740">
        <v>1</v>
      </c>
      <c r="B91" s="1739">
        <v>2</v>
      </c>
      <c r="C91" s="1739">
        <v>3</v>
      </c>
      <c r="D91" s="1739">
        <v>4</v>
      </c>
      <c r="E91" s="1949">
        <v>5</v>
      </c>
      <c r="F91" s="1949">
        <v>6</v>
      </c>
      <c r="G91" s="1950">
        <v>7</v>
      </c>
      <c r="H91" s="1951" t="s">
        <v>61</v>
      </c>
    </row>
    <row r="92" spans="1:9" ht="16.5" thickTop="1" thickBot="1" x14ac:dyDescent="0.3">
      <c r="A92" s="1971">
        <v>3122</v>
      </c>
      <c r="B92" s="1954">
        <v>6121</v>
      </c>
      <c r="C92" s="1954"/>
      <c r="D92" s="1979" t="s">
        <v>640</v>
      </c>
      <c r="E92" s="1975">
        <v>0</v>
      </c>
      <c r="F92" s="1960">
        <v>91</v>
      </c>
      <c r="G92" s="1960">
        <v>85</v>
      </c>
      <c r="H92" s="1961">
        <f>G92/F92*100</f>
        <v>93.406593406593402</v>
      </c>
    </row>
    <row r="93" spans="1:9" ht="16.5" thickTop="1" thickBot="1" x14ac:dyDescent="0.3">
      <c r="A93" s="1980" t="s">
        <v>802</v>
      </c>
      <c r="B93" s="1981"/>
      <c r="C93" s="1981"/>
      <c r="D93" s="1982"/>
      <c r="E93" s="1957">
        <f>SUM(E92:E92)</f>
        <v>0</v>
      </c>
      <c r="F93" s="1960">
        <f>SUM(F92:F92)</f>
        <v>91</v>
      </c>
      <c r="G93" s="1960">
        <f>SUM(G92:G92)</f>
        <v>85</v>
      </c>
      <c r="H93" s="1962">
        <f>G93/F93*100</f>
        <v>93.406593406593402</v>
      </c>
    </row>
    <row r="94" spans="1:9" ht="18.75" thickTop="1" x14ac:dyDescent="0.25">
      <c r="A94" s="1940"/>
      <c r="D94" s="1936"/>
      <c r="E94" s="1937"/>
      <c r="F94" s="1970"/>
      <c r="G94" s="1970"/>
      <c r="H94" s="1970"/>
    </row>
    <row r="95" spans="1:9" ht="13.5" x14ac:dyDescent="0.25">
      <c r="A95" s="2748" t="s">
        <v>98</v>
      </c>
      <c r="B95" s="2749"/>
      <c r="C95" s="2749"/>
      <c r="D95" s="2749"/>
      <c r="E95" s="2749"/>
      <c r="F95" s="2749"/>
      <c r="G95" s="2749"/>
      <c r="H95" s="2749"/>
      <c r="I95" s="2749"/>
    </row>
    <row r="96" spans="1:9" ht="15.75" thickBot="1" x14ac:dyDescent="0.3">
      <c r="A96" s="1942" t="s">
        <v>99</v>
      </c>
      <c r="D96" s="1936"/>
      <c r="E96" s="1937"/>
      <c r="F96" s="1970"/>
      <c r="G96" s="1970"/>
      <c r="H96" s="1966" t="s">
        <v>173</v>
      </c>
    </row>
    <row r="97" spans="1:9" ht="25.5" thickTop="1" thickBot="1" x14ac:dyDescent="0.25">
      <c r="A97" s="1943" t="s">
        <v>174</v>
      </c>
      <c r="B97" s="1944" t="s">
        <v>800</v>
      </c>
      <c r="C97" s="1944" t="s">
        <v>397</v>
      </c>
      <c r="D97" s="1945" t="s">
        <v>176</v>
      </c>
      <c r="E97" s="1976" t="s">
        <v>669</v>
      </c>
      <c r="F97" s="1976" t="s">
        <v>670</v>
      </c>
      <c r="G97" s="1977" t="s">
        <v>923</v>
      </c>
      <c r="H97" s="1978" t="s">
        <v>924</v>
      </c>
    </row>
    <row r="98" spans="1:9" s="1735" customFormat="1" ht="13.5" thickTop="1" thickBot="1" x14ac:dyDescent="0.25">
      <c r="A98" s="1740">
        <v>1</v>
      </c>
      <c r="B98" s="1739">
        <v>2</v>
      </c>
      <c r="C98" s="1739">
        <v>3</v>
      </c>
      <c r="D98" s="1739">
        <v>4</v>
      </c>
      <c r="E98" s="1949">
        <v>5</v>
      </c>
      <c r="F98" s="1949">
        <v>6</v>
      </c>
      <c r="G98" s="1950">
        <v>7</v>
      </c>
      <c r="H98" s="1951" t="s">
        <v>61</v>
      </c>
    </row>
    <row r="99" spans="1:9" ht="16.5" thickTop="1" thickBot="1" x14ac:dyDescent="0.3">
      <c r="A99" s="1971">
        <v>3122</v>
      </c>
      <c r="B99" s="1954">
        <v>6121</v>
      </c>
      <c r="C99" s="1954"/>
      <c r="D99" s="1979" t="s">
        <v>640</v>
      </c>
      <c r="E99" s="1975">
        <v>0</v>
      </c>
      <c r="F99" s="1956">
        <v>95</v>
      </c>
      <c r="G99" s="1957">
        <v>90</v>
      </c>
      <c r="H99" s="1961">
        <f>G99/F99*100</f>
        <v>94.73684210526315</v>
      </c>
    </row>
    <row r="100" spans="1:9" ht="16.5" thickTop="1" thickBot="1" x14ac:dyDescent="0.3">
      <c r="A100" s="1980" t="s">
        <v>802</v>
      </c>
      <c r="B100" s="1981"/>
      <c r="C100" s="1981"/>
      <c r="D100" s="1982"/>
      <c r="E100" s="1957">
        <f>SUM(E99:E99)</f>
        <v>0</v>
      </c>
      <c r="F100" s="1957">
        <f>SUM(F99:F99)</f>
        <v>95</v>
      </c>
      <c r="G100" s="1960">
        <f>SUM(G99:G99)</f>
        <v>90</v>
      </c>
      <c r="H100" s="1962">
        <f>G100/F100*100</f>
        <v>94.73684210526315</v>
      </c>
    </row>
    <row r="101" spans="1:9" ht="18.75" thickTop="1" x14ac:dyDescent="0.25">
      <c r="A101" s="1940"/>
      <c r="D101" s="1936"/>
      <c r="E101" s="1937"/>
      <c r="F101" s="1970"/>
      <c r="G101" s="1970"/>
      <c r="H101" s="1970"/>
    </row>
    <row r="102" spans="1:9" ht="13.5" x14ac:dyDescent="0.25">
      <c r="A102" s="2748" t="s">
        <v>100</v>
      </c>
      <c r="B102" s="2749"/>
      <c r="C102" s="2749"/>
      <c r="D102" s="2749"/>
      <c r="E102" s="2749"/>
      <c r="F102" s="2749"/>
      <c r="G102" s="2749"/>
      <c r="H102" s="2749"/>
      <c r="I102" s="2749"/>
    </row>
    <row r="103" spans="1:9" ht="15.75" thickBot="1" x14ac:dyDescent="0.3">
      <c r="A103" s="1942" t="s">
        <v>101</v>
      </c>
      <c r="D103" s="1936"/>
      <c r="E103" s="1937"/>
      <c r="F103" s="1970"/>
      <c r="G103" s="1970"/>
      <c r="H103" s="1966" t="s">
        <v>173</v>
      </c>
    </row>
    <row r="104" spans="1:9" ht="25.5" thickTop="1" thickBot="1" x14ac:dyDescent="0.25">
      <c r="A104" s="1943" t="s">
        <v>174</v>
      </c>
      <c r="B104" s="1944" t="s">
        <v>800</v>
      </c>
      <c r="C104" s="1944" t="s">
        <v>397</v>
      </c>
      <c r="D104" s="1945" t="s">
        <v>176</v>
      </c>
      <c r="E104" s="1976" t="s">
        <v>669</v>
      </c>
      <c r="F104" s="1976" t="s">
        <v>670</v>
      </c>
      <c r="G104" s="1977" t="s">
        <v>923</v>
      </c>
      <c r="H104" s="1978" t="s">
        <v>924</v>
      </c>
    </row>
    <row r="105" spans="1:9" s="1735" customFormat="1" ht="13.5" thickTop="1" thickBot="1" x14ac:dyDescent="0.25">
      <c r="A105" s="1740">
        <v>1</v>
      </c>
      <c r="B105" s="1739">
        <v>2</v>
      </c>
      <c r="C105" s="1739">
        <v>3</v>
      </c>
      <c r="D105" s="1739">
        <v>4</v>
      </c>
      <c r="E105" s="1949">
        <v>5</v>
      </c>
      <c r="F105" s="1949">
        <v>6</v>
      </c>
      <c r="G105" s="1950">
        <v>7</v>
      </c>
      <c r="H105" s="1951" t="s">
        <v>61</v>
      </c>
    </row>
    <row r="106" spans="1:9" ht="16.5" thickTop="1" thickBot="1" x14ac:dyDescent="0.3">
      <c r="A106" s="1971">
        <v>3121</v>
      </c>
      <c r="B106" s="1954">
        <v>6121</v>
      </c>
      <c r="C106" s="1954"/>
      <c r="D106" s="1979" t="s">
        <v>640</v>
      </c>
      <c r="E106" s="1975">
        <v>0</v>
      </c>
      <c r="F106" s="1959">
        <v>242</v>
      </c>
      <c r="G106" s="1959">
        <v>242</v>
      </c>
      <c r="H106" s="1961">
        <f>G106/F106*100</f>
        <v>100</v>
      </c>
    </row>
    <row r="107" spans="1:9" ht="15.75" hidden="1" thickBot="1" x14ac:dyDescent="0.3">
      <c r="A107" s="1983">
        <v>3122</v>
      </c>
      <c r="B107" s="1967">
        <v>6121</v>
      </c>
      <c r="C107" s="1984"/>
      <c r="D107" s="1985" t="s">
        <v>640</v>
      </c>
      <c r="E107" s="1986"/>
      <c r="F107" s="1960">
        <v>0</v>
      </c>
      <c r="G107" s="1960">
        <v>0</v>
      </c>
      <c r="H107" s="1961" t="e">
        <f>G107/F107*100</f>
        <v>#DIV/0!</v>
      </c>
    </row>
    <row r="108" spans="1:9" ht="16.5" thickTop="1" thickBot="1" x14ac:dyDescent="0.3">
      <c r="A108" s="1980" t="s">
        <v>802</v>
      </c>
      <c r="B108" s="1981"/>
      <c r="C108" s="1981"/>
      <c r="D108" s="1982"/>
      <c r="E108" s="1957">
        <f>SUM(E106:E107)</f>
        <v>0</v>
      </c>
      <c r="F108" s="1957">
        <f>SUM(F106:F107)</f>
        <v>242</v>
      </c>
      <c r="G108" s="1957">
        <f>SUM(G106:G107)</f>
        <v>242</v>
      </c>
      <c r="H108" s="1962">
        <f>G108/F108*100</f>
        <v>100</v>
      </c>
    </row>
    <row r="109" spans="1:9" ht="18.75" thickTop="1" x14ac:dyDescent="0.25">
      <c r="A109" s="1940"/>
      <c r="D109" s="1936"/>
      <c r="E109" s="1937"/>
      <c r="F109" s="1970"/>
      <c r="G109" s="1970"/>
      <c r="H109" s="1970"/>
    </row>
    <row r="110" spans="1:9" ht="13.5" x14ac:dyDescent="0.25">
      <c r="A110" s="2748" t="s">
        <v>102</v>
      </c>
      <c r="B110" s="2749"/>
      <c r="C110" s="2749"/>
      <c r="D110" s="2749"/>
      <c r="E110" s="2749"/>
      <c r="F110" s="2749"/>
      <c r="G110" s="2749"/>
      <c r="H110" s="2749"/>
      <c r="I110" s="2749"/>
    </row>
    <row r="111" spans="1:9" ht="15.75" thickBot="1" x14ac:dyDescent="0.3">
      <c r="A111" s="1942" t="s">
        <v>103</v>
      </c>
      <c r="D111" s="1936"/>
      <c r="E111" s="1937"/>
      <c r="F111" s="1970"/>
      <c r="G111" s="1970"/>
      <c r="H111" s="1966" t="s">
        <v>173</v>
      </c>
    </row>
    <row r="112" spans="1:9" ht="25.5" thickTop="1" thickBot="1" x14ac:dyDescent="0.25">
      <c r="A112" s="1943" t="s">
        <v>174</v>
      </c>
      <c r="B112" s="1944" t="s">
        <v>800</v>
      </c>
      <c r="C112" s="1944" t="s">
        <v>397</v>
      </c>
      <c r="D112" s="1945" t="s">
        <v>176</v>
      </c>
      <c r="E112" s="1976" t="s">
        <v>669</v>
      </c>
      <c r="F112" s="1976" t="s">
        <v>670</v>
      </c>
      <c r="G112" s="1977" t="s">
        <v>923</v>
      </c>
      <c r="H112" s="1978" t="s">
        <v>924</v>
      </c>
    </row>
    <row r="113" spans="1:9" s="1735" customFormat="1" ht="13.5" thickTop="1" thickBot="1" x14ac:dyDescent="0.25">
      <c r="A113" s="1740">
        <v>1</v>
      </c>
      <c r="B113" s="1739">
        <v>2</v>
      </c>
      <c r="C113" s="1739">
        <v>3</v>
      </c>
      <c r="D113" s="1739">
        <v>4</v>
      </c>
      <c r="E113" s="1949">
        <v>5</v>
      </c>
      <c r="F113" s="1949">
        <v>6</v>
      </c>
      <c r="G113" s="1950">
        <v>7</v>
      </c>
      <c r="H113" s="1951" t="s">
        <v>61</v>
      </c>
    </row>
    <row r="114" spans="1:9" s="1990" customFormat="1" ht="16.5" thickTop="1" thickBot="1" x14ac:dyDescent="0.25">
      <c r="A114" s="1987">
        <v>3122</v>
      </c>
      <c r="B114" s="1988">
        <v>6121</v>
      </c>
      <c r="C114" s="1988"/>
      <c r="D114" s="1979" t="s">
        <v>640</v>
      </c>
      <c r="E114" s="1986">
        <v>0</v>
      </c>
      <c r="F114" s="1989">
        <v>125</v>
      </c>
      <c r="G114" s="1989">
        <v>120</v>
      </c>
      <c r="H114" s="1961">
        <f>G114/F114*100</f>
        <v>96</v>
      </c>
    </row>
    <row r="115" spans="1:9" ht="16.5" thickTop="1" thickBot="1" x14ac:dyDescent="0.3">
      <c r="A115" s="1980" t="s">
        <v>802</v>
      </c>
      <c r="B115" s="1981"/>
      <c r="C115" s="1981"/>
      <c r="D115" s="1982"/>
      <c r="E115" s="1957">
        <f>SUM(E114:E114)</f>
        <v>0</v>
      </c>
      <c r="F115" s="1957">
        <f>SUM(F114:F114)</f>
        <v>125</v>
      </c>
      <c r="G115" s="1957">
        <f>SUM(G114:G114)</f>
        <v>120</v>
      </c>
      <c r="H115" s="1962">
        <f>G115/F115*100</f>
        <v>96</v>
      </c>
    </row>
    <row r="116" spans="1:9" ht="18.75" thickTop="1" x14ac:dyDescent="0.25">
      <c r="A116" s="1940"/>
      <c r="D116" s="1936"/>
      <c r="E116" s="1937"/>
      <c r="F116" s="1970"/>
      <c r="G116" s="1970"/>
      <c r="H116" s="1970"/>
    </row>
    <row r="117" spans="1:9" ht="13.5" x14ac:dyDescent="0.25">
      <c r="A117" s="2748" t="s">
        <v>1734</v>
      </c>
      <c r="B117" s="2749"/>
      <c r="C117" s="2749"/>
      <c r="D117" s="2749"/>
      <c r="E117" s="2749"/>
      <c r="F117" s="2749"/>
      <c r="G117" s="2749"/>
      <c r="H117" s="2749"/>
      <c r="I117" s="2749"/>
    </row>
    <row r="118" spans="1:9" ht="15.75" thickBot="1" x14ac:dyDescent="0.3">
      <c r="A118" s="1942" t="s">
        <v>104</v>
      </c>
      <c r="D118" s="1936"/>
      <c r="E118" s="1937"/>
      <c r="F118" s="1970"/>
      <c r="G118" s="1970"/>
      <c r="H118" s="1966" t="s">
        <v>173</v>
      </c>
    </row>
    <row r="119" spans="1:9" ht="25.5" thickTop="1" thickBot="1" x14ac:dyDescent="0.25">
      <c r="A119" s="1943" t="s">
        <v>174</v>
      </c>
      <c r="B119" s="1944" t="s">
        <v>800</v>
      </c>
      <c r="C119" s="1944" t="s">
        <v>397</v>
      </c>
      <c r="D119" s="1945" t="s">
        <v>176</v>
      </c>
      <c r="E119" s="1976" t="s">
        <v>669</v>
      </c>
      <c r="F119" s="1976" t="s">
        <v>670</v>
      </c>
      <c r="G119" s="1977" t="s">
        <v>923</v>
      </c>
      <c r="H119" s="1978" t="s">
        <v>924</v>
      </c>
    </row>
    <row r="120" spans="1:9" s="1735" customFormat="1" ht="13.5" thickTop="1" thickBot="1" x14ac:dyDescent="0.25">
      <c r="A120" s="1740">
        <v>1</v>
      </c>
      <c r="B120" s="1739">
        <v>2</v>
      </c>
      <c r="C120" s="1739">
        <v>3</v>
      </c>
      <c r="D120" s="1739">
        <v>4</v>
      </c>
      <c r="E120" s="1949">
        <v>5</v>
      </c>
      <c r="F120" s="1949">
        <v>6</v>
      </c>
      <c r="G120" s="1950">
        <v>7</v>
      </c>
      <c r="H120" s="1951" t="s">
        <v>61</v>
      </c>
    </row>
    <row r="121" spans="1:9" ht="16.5" thickTop="1" thickBot="1" x14ac:dyDescent="0.3">
      <c r="A121" s="1991">
        <v>3122</v>
      </c>
      <c r="B121" s="1967">
        <v>6121</v>
      </c>
      <c r="C121" s="1953"/>
      <c r="D121" s="1979" t="s">
        <v>640</v>
      </c>
      <c r="E121" s="1959">
        <v>0</v>
      </c>
      <c r="F121" s="1960">
        <v>103</v>
      </c>
      <c r="G121" s="1960">
        <v>87</v>
      </c>
      <c r="H121" s="1961">
        <f>G121/F121*100</f>
        <v>84.466019417475721</v>
      </c>
    </row>
    <row r="122" spans="1:9" ht="16.5" thickTop="1" thickBot="1" x14ac:dyDescent="0.3">
      <c r="A122" s="1980" t="s">
        <v>802</v>
      </c>
      <c r="B122" s="1981"/>
      <c r="C122" s="1981"/>
      <c r="D122" s="1982"/>
      <c r="E122" s="1957">
        <f>SUM(E121:E121)</f>
        <v>0</v>
      </c>
      <c r="F122" s="1960">
        <f>SUM(F121:F121)</f>
        <v>103</v>
      </c>
      <c r="G122" s="1960">
        <f>SUM(G121:G121)</f>
        <v>87</v>
      </c>
      <c r="H122" s="1962">
        <f>G122/F122*100</f>
        <v>84.466019417475721</v>
      </c>
    </row>
    <row r="123" spans="1:9" ht="18.75" thickTop="1" x14ac:dyDescent="0.25">
      <c r="A123" s="1940"/>
      <c r="D123" s="1936"/>
      <c r="E123" s="1937"/>
      <c r="F123" s="1970"/>
      <c r="G123" s="1970"/>
      <c r="H123" s="1970"/>
    </row>
    <row r="124" spans="1:9" ht="13.5" x14ac:dyDescent="0.25">
      <c r="A124" s="2748" t="s">
        <v>105</v>
      </c>
      <c r="B124" s="2749"/>
      <c r="C124" s="2749"/>
      <c r="D124" s="2749"/>
      <c r="E124" s="2749"/>
      <c r="F124" s="2749"/>
      <c r="G124" s="2749"/>
      <c r="H124" s="2749"/>
      <c r="I124" s="2749"/>
    </row>
    <row r="125" spans="1:9" ht="15.75" thickBot="1" x14ac:dyDescent="0.3">
      <c r="A125" s="1942" t="s">
        <v>106</v>
      </c>
      <c r="D125" s="1936"/>
      <c r="E125" s="1937"/>
      <c r="F125" s="1970"/>
      <c r="G125" s="1970"/>
      <c r="H125" s="1966" t="s">
        <v>173</v>
      </c>
    </row>
    <row r="126" spans="1:9" ht="25.5" thickTop="1" thickBot="1" x14ac:dyDescent="0.25">
      <c r="A126" s="1943" t="s">
        <v>174</v>
      </c>
      <c r="B126" s="1944" t="s">
        <v>800</v>
      </c>
      <c r="C126" s="1944" t="s">
        <v>397</v>
      </c>
      <c r="D126" s="1945" t="s">
        <v>176</v>
      </c>
      <c r="E126" s="1976" t="s">
        <v>669</v>
      </c>
      <c r="F126" s="1976" t="s">
        <v>670</v>
      </c>
      <c r="G126" s="1977" t="s">
        <v>923</v>
      </c>
      <c r="H126" s="1978" t="s">
        <v>924</v>
      </c>
    </row>
    <row r="127" spans="1:9" s="1735" customFormat="1" ht="13.5" thickTop="1" thickBot="1" x14ac:dyDescent="0.25">
      <c r="A127" s="1740">
        <v>1</v>
      </c>
      <c r="B127" s="1739">
        <v>2</v>
      </c>
      <c r="C127" s="1739">
        <v>3</v>
      </c>
      <c r="D127" s="1739">
        <v>4</v>
      </c>
      <c r="E127" s="1949">
        <v>5</v>
      </c>
      <c r="F127" s="1949">
        <v>6</v>
      </c>
      <c r="G127" s="1950">
        <v>7</v>
      </c>
      <c r="H127" s="1951" t="s">
        <v>61</v>
      </c>
    </row>
    <row r="128" spans="1:9" ht="16.5" thickTop="1" thickBot="1" x14ac:dyDescent="0.3">
      <c r="A128" s="1971">
        <v>3122</v>
      </c>
      <c r="B128" s="1954">
        <v>6121</v>
      </c>
      <c r="C128" s="1954"/>
      <c r="D128" s="1979" t="s">
        <v>640</v>
      </c>
      <c r="E128" s="1959">
        <v>0</v>
      </c>
      <c r="F128" s="1960">
        <v>53</v>
      </c>
      <c r="G128" s="1960">
        <v>34</v>
      </c>
      <c r="H128" s="1961">
        <f>G128/F128*100</f>
        <v>64.15094339622641</v>
      </c>
    </row>
    <row r="129" spans="1:9" ht="16.5" thickTop="1" thickBot="1" x14ac:dyDescent="0.3">
      <c r="A129" s="1980" t="s">
        <v>802</v>
      </c>
      <c r="B129" s="1981"/>
      <c r="C129" s="1981"/>
      <c r="D129" s="1982"/>
      <c r="E129" s="1957">
        <f>SUM(E128:E128)</f>
        <v>0</v>
      </c>
      <c r="F129" s="1960">
        <f>SUM(F128:F128)</f>
        <v>53</v>
      </c>
      <c r="G129" s="1960">
        <f>SUM(G128:G128)</f>
        <v>34</v>
      </c>
      <c r="H129" s="1962">
        <f>G129/F129*100</f>
        <v>64.15094339622641</v>
      </c>
    </row>
    <row r="130" spans="1:9" ht="18.75" thickTop="1" x14ac:dyDescent="0.25">
      <c r="A130" s="1940"/>
      <c r="D130" s="1936"/>
      <c r="E130" s="1937"/>
      <c r="F130" s="1970"/>
      <c r="G130" s="1970"/>
      <c r="H130" s="1970"/>
    </row>
    <row r="131" spans="1:9" ht="13.5" customHeight="1" x14ac:dyDescent="0.25">
      <c r="A131" s="2748" t="s">
        <v>107</v>
      </c>
      <c r="B131" s="2749"/>
      <c r="C131" s="2749"/>
      <c r="D131" s="2749"/>
      <c r="E131" s="2749"/>
      <c r="F131" s="2749"/>
      <c r="G131" s="2749"/>
      <c r="H131" s="2749"/>
      <c r="I131" s="2749"/>
    </row>
    <row r="132" spans="1:9" ht="15.75" thickBot="1" x14ac:dyDescent="0.3">
      <c r="A132" s="1942" t="s">
        <v>108</v>
      </c>
      <c r="D132" s="1936"/>
      <c r="E132" s="1937"/>
      <c r="F132" s="1970"/>
      <c r="G132" s="1970"/>
      <c r="H132" s="1966" t="s">
        <v>173</v>
      </c>
    </row>
    <row r="133" spans="1:9" ht="25.5" thickTop="1" thickBot="1" x14ac:dyDescent="0.25">
      <c r="A133" s="1943" t="s">
        <v>174</v>
      </c>
      <c r="B133" s="1944" t="s">
        <v>800</v>
      </c>
      <c r="C133" s="1944" t="s">
        <v>397</v>
      </c>
      <c r="D133" s="1945" t="s">
        <v>176</v>
      </c>
      <c r="E133" s="1976" t="s">
        <v>669</v>
      </c>
      <c r="F133" s="1976" t="s">
        <v>670</v>
      </c>
      <c r="G133" s="1977" t="s">
        <v>923</v>
      </c>
      <c r="H133" s="1978" t="s">
        <v>924</v>
      </c>
    </row>
    <row r="134" spans="1:9" s="1735" customFormat="1" ht="13.5" thickTop="1" thickBot="1" x14ac:dyDescent="0.25">
      <c r="A134" s="1740">
        <v>1</v>
      </c>
      <c r="B134" s="1739">
        <v>2</v>
      </c>
      <c r="C134" s="1739">
        <v>3</v>
      </c>
      <c r="D134" s="1739">
        <v>4</v>
      </c>
      <c r="E134" s="1949">
        <v>5</v>
      </c>
      <c r="F134" s="1949">
        <v>6</v>
      </c>
      <c r="G134" s="1950">
        <v>7</v>
      </c>
      <c r="H134" s="1951" t="s">
        <v>61</v>
      </c>
    </row>
    <row r="135" spans="1:9" ht="16.5" thickTop="1" thickBot="1" x14ac:dyDescent="0.3">
      <c r="A135" s="1971">
        <v>3122</v>
      </c>
      <c r="B135" s="1954">
        <v>6121</v>
      </c>
      <c r="C135" s="1954"/>
      <c r="D135" s="1979" t="s">
        <v>640</v>
      </c>
      <c r="E135" s="1959">
        <v>0</v>
      </c>
      <c r="F135" s="1960">
        <v>102</v>
      </c>
      <c r="G135" s="1960">
        <v>83</v>
      </c>
      <c r="H135" s="1961">
        <f>G135/F135*100</f>
        <v>81.372549019607845</v>
      </c>
    </row>
    <row r="136" spans="1:9" ht="16.5" thickTop="1" thickBot="1" x14ac:dyDescent="0.3">
      <c r="A136" s="1980" t="s">
        <v>802</v>
      </c>
      <c r="B136" s="1981"/>
      <c r="C136" s="1981"/>
      <c r="D136" s="1982"/>
      <c r="E136" s="1957">
        <f>SUM(E135:E135)</f>
        <v>0</v>
      </c>
      <c r="F136" s="1960">
        <f>SUM(F135:F135)</f>
        <v>102</v>
      </c>
      <c r="G136" s="1960">
        <f>SUM(G135:G135)</f>
        <v>83</v>
      </c>
      <c r="H136" s="1962">
        <f>G136/F136*100</f>
        <v>81.372549019607845</v>
      </c>
    </row>
    <row r="137" spans="1:9" ht="18.75" thickTop="1" x14ac:dyDescent="0.25">
      <c r="A137" s="1940"/>
      <c r="D137" s="1936"/>
      <c r="E137" s="1937"/>
      <c r="F137" s="1970"/>
      <c r="G137" s="1970"/>
      <c r="H137" s="1970"/>
    </row>
    <row r="138" spans="1:9" ht="13.5" x14ac:dyDescent="0.25">
      <c r="A138" s="2748" t="s">
        <v>109</v>
      </c>
      <c r="B138" s="2749"/>
      <c r="C138" s="2749"/>
      <c r="D138" s="2749"/>
      <c r="E138" s="2749"/>
      <c r="F138" s="2749"/>
      <c r="G138" s="2749"/>
      <c r="H138" s="2749"/>
      <c r="I138" s="2749"/>
    </row>
    <row r="139" spans="1:9" ht="15.75" thickBot="1" x14ac:dyDescent="0.3">
      <c r="A139" s="1942" t="s">
        <v>110</v>
      </c>
      <c r="D139" s="1936"/>
      <c r="E139" s="1937"/>
      <c r="F139" s="1970"/>
      <c r="G139" s="1970"/>
      <c r="H139" s="1966" t="s">
        <v>173</v>
      </c>
    </row>
    <row r="140" spans="1:9" ht="25.5" thickTop="1" thickBot="1" x14ac:dyDescent="0.25">
      <c r="A140" s="1943" t="s">
        <v>174</v>
      </c>
      <c r="B140" s="1944" t="s">
        <v>800</v>
      </c>
      <c r="C140" s="1944" t="s">
        <v>397</v>
      </c>
      <c r="D140" s="1945" t="s">
        <v>176</v>
      </c>
      <c r="E140" s="1976" t="s">
        <v>669</v>
      </c>
      <c r="F140" s="1976" t="s">
        <v>670</v>
      </c>
      <c r="G140" s="1977" t="s">
        <v>923</v>
      </c>
      <c r="H140" s="1978" t="s">
        <v>924</v>
      </c>
    </row>
    <row r="141" spans="1:9" s="1735" customFormat="1" ht="13.5" thickTop="1" thickBot="1" x14ac:dyDescent="0.25">
      <c r="A141" s="1740">
        <v>1</v>
      </c>
      <c r="B141" s="1739">
        <v>2</v>
      </c>
      <c r="C141" s="1739">
        <v>3</v>
      </c>
      <c r="D141" s="1739">
        <v>4</v>
      </c>
      <c r="E141" s="1949">
        <v>5</v>
      </c>
      <c r="F141" s="1949">
        <v>6</v>
      </c>
      <c r="G141" s="1950">
        <v>7</v>
      </c>
      <c r="H141" s="1951" t="s">
        <v>61</v>
      </c>
    </row>
    <row r="142" spans="1:9" ht="16.5" thickTop="1" thickBot="1" x14ac:dyDescent="0.3">
      <c r="A142" s="1992">
        <v>3122</v>
      </c>
      <c r="B142" s="1954">
        <v>6121</v>
      </c>
      <c r="C142" s="1954"/>
      <c r="D142" s="1979" t="s">
        <v>640</v>
      </c>
      <c r="E142" s="1959">
        <v>0</v>
      </c>
      <c r="F142" s="1993">
        <v>42</v>
      </c>
      <c r="G142" s="1993">
        <v>36</v>
      </c>
      <c r="H142" s="1961">
        <f>G142/F142*100</f>
        <v>85.714285714285708</v>
      </c>
    </row>
    <row r="143" spans="1:9" ht="16.5" thickTop="1" thickBot="1" x14ac:dyDescent="0.3">
      <c r="A143" s="1980" t="s">
        <v>802</v>
      </c>
      <c r="B143" s="1981"/>
      <c r="C143" s="1981"/>
      <c r="D143" s="1982"/>
      <c r="E143" s="1957">
        <f>SUM(E142:E142)</f>
        <v>0</v>
      </c>
      <c r="F143" s="1960">
        <f>SUM(F142:F142)</f>
        <v>42</v>
      </c>
      <c r="G143" s="1960">
        <f>SUM(G142:G142)</f>
        <v>36</v>
      </c>
      <c r="H143" s="1962">
        <f>G143/F143*100</f>
        <v>85.714285714285708</v>
      </c>
    </row>
    <row r="144" spans="1:9" ht="18.75" thickTop="1" x14ac:dyDescent="0.25">
      <c r="A144" s="1940"/>
      <c r="D144" s="1936"/>
      <c r="E144" s="1937"/>
      <c r="F144" s="1970"/>
      <c r="G144" s="1970"/>
      <c r="H144" s="1970"/>
    </row>
    <row r="145" spans="1:9" ht="13.5" customHeight="1" x14ac:dyDescent="0.25">
      <c r="A145" s="1942" t="s">
        <v>111</v>
      </c>
      <c r="B145" s="1973"/>
      <c r="C145" s="1973"/>
      <c r="D145" s="1973"/>
      <c r="E145" s="1973"/>
      <c r="F145" s="1973"/>
      <c r="G145" s="1973"/>
      <c r="H145" s="1973"/>
      <c r="I145" s="1973"/>
    </row>
    <row r="146" spans="1:9" ht="15.75" thickBot="1" x14ac:dyDescent="0.3">
      <c r="A146" s="1942" t="s">
        <v>112</v>
      </c>
      <c r="D146" s="1936"/>
      <c r="E146" s="1937"/>
      <c r="F146" s="1970"/>
      <c r="G146" s="1970"/>
      <c r="H146" s="1966" t="s">
        <v>173</v>
      </c>
    </row>
    <row r="147" spans="1:9" ht="25.5" thickTop="1" thickBot="1" x14ac:dyDescent="0.25">
      <c r="A147" s="1943" t="s">
        <v>174</v>
      </c>
      <c r="B147" s="1944" t="s">
        <v>800</v>
      </c>
      <c r="C147" s="1944" t="s">
        <v>397</v>
      </c>
      <c r="D147" s="1945" t="s">
        <v>176</v>
      </c>
      <c r="E147" s="1976" t="s">
        <v>669</v>
      </c>
      <c r="F147" s="1976" t="s">
        <v>670</v>
      </c>
      <c r="G147" s="1977" t="s">
        <v>923</v>
      </c>
      <c r="H147" s="1978" t="s">
        <v>924</v>
      </c>
    </row>
    <row r="148" spans="1:9" s="1735" customFormat="1" ht="13.5" thickTop="1" thickBot="1" x14ac:dyDescent="0.25">
      <c r="A148" s="1740">
        <v>1</v>
      </c>
      <c r="B148" s="1739">
        <v>2</v>
      </c>
      <c r="C148" s="1739">
        <v>3</v>
      </c>
      <c r="D148" s="1739">
        <v>4</v>
      </c>
      <c r="E148" s="1949">
        <v>5</v>
      </c>
      <c r="F148" s="1949">
        <v>6</v>
      </c>
      <c r="G148" s="1950">
        <v>7</v>
      </c>
      <c r="H148" s="1951" t="s">
        <v>61</v>
      </c>
    </row>
    <row r="149" spans="1:9" ht="16.5" thickTop="1" thickBot="1" x14ac:dyDescent="0.3">
      <c r="A149" s="1992">
        <v>3113</v>
      </c>
      <c r="B149" s="1954">
        <v>6121</v>
      </c>
      <c r="C149" s="1954"/>
      <c r="D149" s="1979" t="s">
        <v>640</v>
      </c>
      <c r="E149" s="1959">
        <v>0</v>
      </c>
      <c r="F149" s="1993">
        <v>182</v>
      </c>
      <c r="G149" s="1993">
        <v>180</v>
      </c>
      <c r="H149" s="1961">
        <f>G149/F149*100</f>
        <v>98.901098901098905</v>
      </c>
    </row>
    <row r="150" spans="1:9" ht="16.5" thickTop="1" thickBot="1" x14ac:dyDescent="0.3">
      <c r="A150" s="1980" t="s">
        <v>802</v>
      </c>
      <c r="B150" s="1981"/>
      <c r="C150" s="1981"/>
      <c r="D150" s="1982"/>
      <c r="E150" s="1957">
        <f>SUM(E149:E149)</f>
        <v>0</v>
      </c>
      <c r="F150" s="1960">
        <f>SUM(F149:F149)</f>
        <v>182</v>
      </c>
      <c r="G150" s="1960">
        <f>SUM(G149:G149)</f>
        <v>180</v>
      </c>
      <c r="H150" s="1962">
        <f>G150/F150*100</f>
        <v>98.901098901098905</v>
      </c>
    </row>
    <row r="151" spans="1:9" ht="15.75" thickTop="1" x14ac:dyDescent="0.25">
      <c r="A151" s="1994"/>
      <c r="B151" s="1994"/>
      <c r="C151" s="1994"/>
      <c r="D151" s="1994"/>
      <c r="E151" s="1964"/>
      <c r="F151" s="1964"/>
      <c r="G151" s="1964"/>
      <c r="H151" s="1995"/>
    </row>
    <row r="152" spans="1:9" ht="15" x14ac:dyDescent="0.25">
      <c r="A152" s="1942" t="s">
        <v>113</v>
      </c>
      <c r="B152" s="1973"/>
      <c r="C152" s="1973"/>
      <c r="D152" s="1973"/>
      <c r="E152" s="1973"/>
      <c r="F152" s="1973"/>
      <c r="G152" s="1973"/>
      <c r="H152" s="1973"/>
    </row>
    <row r="153" spans="1:9" ht="15.75" thickBot="1" x14ac:dyDescent="0.3">
      <c r="A153" s="1942" t="s">
        <v>114</v>
      </c>
      <c r="D153" s="1936"/>
      <c r="E153" s="1937"/>
      <c r="F153" s="1970"/>
      <c r="G153" s="1970"/>
      <c r="H153" s="1966" t="s">
        <v>173</v>
      </c>
    </row>
    <row r="154" spans="1:9" ht="25.5" thickTop="1" thickBot="1" x14ac:dyDescent="0.25">
      <c r="A154" s="1943" t="s">
        <v>174</v>
      </c>
      <c r="B154" s="1944" t="s">
        <v>800</v>
      </c>
      <c r="C154" s="1944" t="s">
        <v>397</v>
      </c>
      <c r="D154" s="1945" t="s">
        <v>176</v>
      </c>
      <c r="E154" s="1976" t="s">
        <v>669</v>
      </c>
      <c r="F154" s="1976" t="s">
        <v>670</v>
      </c>
      <c r="G154" s="1977" t="s">
        <v>923</v>
      </c>
      <c r="H154" s="1978" t="s">
        <v>924</v>
      </c>
    </row>
    <row r="155" spans="1:9" ht="14.25" thickTop="1" thickBot="1" x14ac:dyDescent="0.25">
      <c r="A155" s="1740">
        <v>1</v>
      </c>
      <c r="B155" s="1739">
        <v>2</v>
      </c>
      <c r="C155" s="1739">
        <v>3</v>
      </c>
      <c r="D155" s="1739">
        <v>4</v>
      </c>
      <c r="E155" s="1949">
        <v>5</v>
      </c>
      <c r="F155" s="1949">
        <v>6</v>
      </c>
      <c r="G155" s="1950">
        <v>7</v>
      </c>
      <c r="H155" s="1951" t="s">
        <v>61</v>
      </c>
    </row>
    <row r="156" spans="1:9" ht="16.5" thickTop="1" thickBot="1" x14ac:dyDescent="0.3">
      <c r="A156" s="1992">
        <v>3121</v>
      </c>
      <c r="B156" s="1954">
        <v>6121</v>
      </c>
      <c r="C156" s="1954"/>
      <c r="D156" s="1979" t="s">
        <v>640</v>
      </c>
      <c r="E156" s="1959">
        <v>0</v>
      </c>
      <c r="F156" s="1993">
        <v>65</v>
      </c>
      <c r="G156" s="1993">
        <v>65</v>
      </c>
      <c r="H156" s="1961">
        <f>G156/F156*100</f>
        <v>100</v>
      </c>
    </row>
    <row r="157" spans="1:9" ht="16.5" thickTop="1" thickBot="1" x14ac:dyDescent="0.3">
      <c r="A157" s="1980" t="s">
        <v>802</v>
      </c>
      <c r="B157" s="1981"/>
      <c r="C157" s="1981"/>
      <c r="D157" s="1982"/>
      <c r="E157" s="1957">
        <f>SUM(E156:E156)</f>
        <v>0</v>
      </c>
      <c r="F157" s="1960">
        <f>SUM(F156:F156)</f>
        <v>65</v>
      </c>
      <c r="G157" s="1960">
        <f>SUM(G156:G156)</f>
        <v>65</v>
      </c>
      <c r="H157" s="1962">
        <f>G157/F157*100</f>
        <v>100</v>
      </c>
    </row>
    <row r="158" spans="1:9" ht="15.75" thickTop="1" x14ac:dyDescent="0.25">
      <c r="A158" s="1994"/>
      <c r="B158" s="1994"/>
      <c r="C158" s="1994"/>
      <c r="D158" s="1994"/>
      <c r="E158" s="1964"/>
      <c r="F158" s="1964"/>
      <c r="G158" s="1964"/>
      <c r="H158" s="1995"/>
    </row>
    <row r="159" spans="1:9" ht="15" x14ac:dyDescent="0.25">
      <c r="A159" s="1942" t="s">
        <v>1340</v>
      </c>
      <c r="B159" s="1973"/>
      <c r="C159" s="1973"/>
      <c r="D159" s="1973"/>
      <c r="E159" s="1973"/>
      <c r="F159" s="1973"/>
      <c r="G159" s="1973"/>
      <c r="H159" s="1973"/>
    </row>
    <row r="160" spans="1:9" ht="15.75" thickBot="1" x14ac:dyDescent="0.3">
      <c r="A160" s="1942" t="s">
        <v>1341</v>
      </c>
      <c r="D160" s="1936"/>
      <c r="E160" s="1937"/>
      <c r="F160" s="1970"/>
      <c r="G160" s="1970"/>
      <c r="H160" s="1966" t="s">
        <v>173</v>
      </c>
    </row>
    <row r="161" spans="1:8" ht="25.5" thickTop="1" thickBot="1" x14ac:dyDescent="0.25">
      <c r="A161" s="1943" t="s">
        <v>174</v>
      </c>
      <c r="B161" s="1944" t="s">
        <v>800</v>
      </c>
      <c r="C161" s="1944" t="s">
        <v>397</v>
      </c>
      <c r="D161" s="1945" t="s">
        <v>176</v>
      </c>
      <c r="E161" s="1976" t="s">
        <v>669</v>
      </c>
      <c r="F161" s="1976" t="s">
        <v>670</v>
      </c>
      <c r="G161" s="1977" t="s">
        <v>923</v>
      </c>
      <c r="H161" s="1978" t="s">
        <v>924</v>
      </c>
    </row>
    <row r="162" spans="1:8" ht="14.25" thickTop="1" thickBot="1" x14ac:dyDescent="0.25">
      <c r="A162" s="1740">
        <v>1</v>
      </c>
      <c r="B162" s="1739">
        <v>2</v>
      </c>
      <c r="C162" s="1739">
        <v>3</v>
      </c>
      <c r="D162" s="1739">
        <v>4</v>
      </c>
      <c r="E162" s="1949">
        <v>5</v>
      </c>
      <c r="F162" s="1949">
        <v>6</v>
      </c>
      <c r="G162" s="1950">
        <v>7</v>
      </c>
      <c r="H162" s="1951" t="s">
        <v>61</v>
      </c>
    </row>
    <row r="163" spans="1:8" ht="16.5" thickTop="1" thickBot="1" x14ac:dyDescent="0.3">
      <c r="A163" s="1992">
        <v>3122</v>
      </c>
      <c r="B163" s="1954">
        <v>6121</v>
      </c>
      <c r="C163" s="1954"/>
      <c r="D163" s="1979" t="s">
        <v>640</v>
      </c>
      <c r="E163" s="1959">
        <v>0</v>
      </c>
      <c r="F163" s="1993">
        <v>197</v>
      </c>
      <c r="G163" s="1993">
        <v>191</v>
      </c>
      <c r="H163" s="1961">
        <f>G163/F163*100</f>
        <v>96.954314720812178</v>
      </c>
    </row>
    <row r="164" spans="1:8" ht="16.5" thickTop="1" thickBot="1" x14ac:dyDescent="0.3">
      <c r="A164" s="1980" t="s">
        <v>802</v>
      </c>
      <c r="B164" s="1981"/>
      <c r="C164" s="1981"/>
      <c r="D164" s="1982"/>
      <c r="E164" s="1957">
        <f>SUM(E163:E163)</f>
        <v>0</v>
      </c>
      <c r="F164" s="1960">
        <f>SUM(F163:F163)</f>
        <v>197</v>
      </c>
      <c r="G164" s="1960">
        <f>SUM(G163:G163)</f>
        <v>191</v>
      </c>
      <c r="H164" s="1962">
        <f>G164/F164*100</f>
        <v>96.954314720812178</v>
      </c>
    </row>
    <row r="165" spans="1:8" ht="15.75" thickTop="1" x14ac:dyDescent="0.25">
      <c r="A165" s="1994"/>
      <c r="B165" s="1994"/>
      <c r="C165" s="1994"/>
      <c r="D165" s="1994"/>
      <c r="E165" s="1964"/>
      <c r="F165" s="1964"/>
      <c r="G165" s="1964"/>
      <c r="H165" s="1995"/>
    </row>
    <row r="166" spans="1:8" ht="15" x14ac:dyDescent="0.25">
      <c r="A166" s="1942" t="s">
        <v>1342</v>
      </c>
      <c r="B166" s="1973"/>
      <c r="C166" s="1973"/>
      <c r="D166" s="1973"/>
      <c r="E166" s="1973"/>
      <c r="F166" s="1973"/>
      <c r="G166" s="1973"/>
      <c r="H166" s="1973"/>
    </row>
    <row r="167" spans="1:8" ht="15.75" thickBot="1" x14ac:dyDescent="0.3">
      <c r="A167" s="1942" t="s">
        <v>1343</v>
      </c>
      <c r="D167" s="1936"/>
      <c r="E167" s="1937"/>
      <c r="F167" s="1970"/>
      <c r="G167" s="1970"/>
      <c r="H167" s="1966" t="s">
        <v>173</v>
      </c>
    </row>
    <row r="168" spans="1:8" ht="25.5" thickTop="1" thickBot="1" x14ac:dyDescent="0.25">
      <c r="A168" s="1943" t="s">
        <v>174</v>
      </c>
      <c r="B168" s="1944" t="s">
        <v>800</v>
      </c>
      <c r="C168" s="1944" t="s">
        <v>397</v>
      </c>
      <c r="D168" s="1945" t="s">
        <v>176</v>
      </c>
      <c r="E168" s="1976" t="s">
        <v>669</v>
      </c>
      <c r="F168" s="1976" t="s">
        <v>670</v>
      </c>
      <c r="G168" s="1977" t="s">
        <v>923</v>
      </c>
      <c r="H168" s="1978" t="s">
        <v>924</v>
      </c>
    </row>
    <row r="169" spans="1:8" ht="14.25" thickTop="1" thickBot="1" x14ac:dyDescent="0.25">
      <c r="A169" s="1740">
        <v>1</v>
      </c>
      <c r="B169" s="1739">
        <v>2</v>
      </c>
      <c r="C169" s="1739">
        <v>3</v>
      </c>
      <c r="D169" s="1739">
        <v>4</v>
      </c>
      <c r="E169" s="1949">
        <v>5</v>
      </c>
      <c r="F169" s="1949">
        <v>6</v>
      </c>
      <c r="G169" s="1950">
        <v>7</v>
      </c>
      <c r="H169" s="1951" t="s">
        <v>61</v>
      </c>
    </row>
    <row r="170" spans="1:8" ht="16.5" thickTop="1" thickBot="1" x14ac:dyDescent="0.3">
      <c r="A170" s="1992">
        <v>3122</v>
      </c>
      <c r="B170" s="1954">
        <v>6121</v>
      </c>
      <c r="C170" s="1954"/>
      <c r="D170" s="1979" t="s">
        <v>640</v>
      </c>
      <c r="E170" s="1959">
        <v>0</v>
      </c>
      <c r="F170" s="1993">
        <v>69</v>
      </c>
      <c r="G170" s="1993">
        <v>69</v>
      </c>
      <c r="H170" s="1961">
        <f>G170/F170*100</f>
        <v>100</v>
      </c>
    </row>
    <row r="171" spans="1:8" ht="16.5" thickTop="1" thickBot="1" x14ac:dyDescent="0.3">
      <c r="A171" s="1980" t="s">
        <v>802</v>
      </c>
      <c r="B171" s="1981"/>
      <c r="C171" s="1981"/>
      <c r="D171" s="1982"/>
      <c r="E171" s="1957">
        <f>SUM(E170:E170)</f>
        <v>0</v>
      </c>
      <c r="F171" s="1960">
        <f>SUM(F170:F170)</f>
        <v>69</v>
      </c>
      <c r="G171" s="1960">
        <f>SUM(G170:G170)</f>
        <v>69</v>
      </c>
      <c r="H171" s="1962">
        <f>G171/F171*100</f>
        <v>100</v>
      </c>
    </row>
    <row r="172" spans="1:8" ht="15.75" thickTop="1" x14ac:dyDescent="0.25">
      <c r="A172" s="1994"/>
      <c r="B172" s="1994"/>
      <c r="C172" s="1994"/>
      <c r="D172" s="1994"/>
      <c r="E172" s="1964"/>
      <c r="F172" s="1964"/>
      <c r="G172" s="1964"/>
      <c r="H172" s="1995"/>
    </row>
    <row r="173" spans="1:8" ht="15" x14ac:dyDescent="0.25">
      <c r="A173" s="1942" t="s">
        <v>1344</v>
      </c>
      <c r="B173" s="1973"/>
      <c r="C173" s="1973"/>
      <c r="D173" s="1973"/>
      <c r="E173" s="1973"/>
      <c r="F173" s="1973"/>
      <c r="G173" s="1973"/>
      <c r="H173" s="1973"/>
    </row>
    <row r="174" spans="1:8" ht="15.75" thickBot="1" x14ac:dyDescent="0.3">
      <c r="A174" s="1942" t="s">
        <v>1345</v>
      </c>
      <c r="D174" s="1936"/>
      <c r="E174" s="1937"/>
      <c r="F174" s="1970"/>
      <c r="G174" s="1970"/>
      <c r="H174" s="1966" t="s">
        <v>173</v>
      </c>
    </row>
    <row r="175" spans="1:8" ht="25.5" thickTop="1" thickBot="1" x14ac:dyDescent="0.25">
      <c r="A175" s="1943" t="s">
        <v>174</v>
      </c>
      <c r="B175" s="1944" t="s">
        <v>800</v>
      </c>
      <c r="C175" s="1944" t="s">
        <v>397</v>
      </c>
      <c r="D175" s="1945" t="s">
        <v>176</v>
      </c>
      <c r="E175" s="1976" t="s">
        <v>669</v>
      </c>
      <c r="F175" s="1976" t="s">
        <v>670</v>
      </c>
      <c r="G175" s="1977" t="s">
        <v>923</v>
      </c>
      <c r="H175" s="1978" t="s">
        <v>924</v>
      </c>
    </row>
    <row r="176" spans="1:8" ht="14.25" thickTop="1" thickBot="1" x14ac:dyDescent="0.25">
      <c r="A176" s="1740">
        <v>1</v>
      </c>
      <c r="B176" s="1739">
        <v>2</v>
      </c>
      <c r="C176" s="1739">
        <v>3</v>
      </c>
      <c r="D176" s="1739">
        <v>4</v>
      </c>
      <c r="E176" s="1949">
        <v>5</v>
      </c>
      <c r="F176" s="1949">
        <v>6</v>
      </c>
      <c r="G176" s="1950">
        <v>7</v>
      </c>
      <c r="H176" s="1951" t="s">
        <v>61</v>
      </c>
    </row>
    <row r="177" spans="1:8" ht="16.5" thickTop="1" thickBot="1" x14ac:dyDescent="0.3">
      <c r="A177" s="1992">
        <v>3121</v>
      </c>
      <c r="B177" s="1954">
        <v>6121</v>
      </c>
      <c r="C177" s="1954"/>
      <c r="D177" s="1979" t="s">
        <v>640</v>
      </c>
      <c r="E177" s="1959">
        <v>0</v>
      </c>
      <c r="F177" s="1993">
        <v>133</v>
      </c>
      <c r="G177" s="1993">
        <v>121</v>
      </c>
      <c r="H177" s="1961">
        <f>G177/F177*100</f>
        <v>90.977443609022558</v>
      </c>
    </row>
    <row r="178" spans="1:8" ht="16.5" thickTop="1" thickBot="1" x14ac:dyDescent="0.3">
      <c r="A178" s="1980" t="s">
        <v>802</v>
      </c>
      <c r="B178" s="1981"/>
      <c r="C178" s="1981"/>
      <c r="D178" s="1982"/>
      <c r="E178" s="1957">
        <f>SUM(E177:E177)</f>
        <v>0</v>
      </c>
      <c r="F178" s="1960">
        <f>SUM(F177:F177)</f>
        <v>133</v>
      </c>
      <c r="G178" s="1960">
        <f>SUM(G177:G177)</f>
        <v>121</v>
      </c>
      <c r="H178" s="1962">
        <f>G178/F178*100</f>
        <v>90.977443609022558</v>
      </c>
    </row>
    <row r="179" spans="1:8" ht="15.75" thickTop="1" x14ac:dyDescent="0.25">
      <c r="A179" s="1994"/>
      <c r="B179" s="1994"/>
      <c r="C179" s="1994"/>
      <c r="D179" s="1994"/>
      <c r="E179" s="1964"/>
      <c r="F179" s="1964"/>
      <c r="G179" s="1964"/>
      <c r="H179" s="1995"/>
    </row>
    <row r="180" spans="1:8" ht="15" x14ac:dyDescent="0.25">
      <c r="A180" s="1942" t="s">
        <v>1346</v>
      </c>
      <c r="B180" s="1973"/>
      <c r="C180" s="1973"/>
      <c r="D180" s="1973"/>
      <c r="E180" s="1973"/>
      <c r="F180" s="1973"/>
      <c r="G180" s="1973"/>
      <c r="H180" s="1973"/>
    </row>
    <row r="181" spans="1:8" ht="15.75" thickBot="1" x14ac:dyDescent="0.3">
      <c r="A181" s="1942" t="s">
        <v>1347</v>
      </c>
      <c r="D181" s="1936"/>
      <c r="E181" s="1937"/>
      <c r="F181" s="1970"/>
      <c r="G181" s="1970"/>
      <c r="H181" s="1966" t="s">
        <v>173</v>
      </c>
    </row>
    <row r="182" spans="1:8" ht="25.5" thickTop="1" thickBot="1" x14ac:dyDescent="0.25">
      <c r="A182" s="1943" t="s">
        <v>174</v>
      </c>
      <c r="B182" s="1944" t="s">
        <v>800</v>
      </c>
      <c r="C182" s="1944" t="s">
        <v>397</v>
      </c>
      <c r="D182" s="1945" t="s">
        <v>176</v>
      </c>
      <c r="E182" s="1976" t="s">
        <v>669</v>
      </c>
      <c r="F182" s="1976" t="s">
        <v>670</v>
      </c>
      <c r="G182" s="1977" t="s">
        <v>923</v>
      </c>
      <c r="H182" s="1978" t="s">
        <v>924</v>
      </c>
    </row>
    <row r="183" spans="1:8" ht="14.25" thickTop="1" thickBot="1" x14ac:dyDescent="0.25">
      <c r="A183" s="1740">
        <v>1</v>
      </c>
      <c r="B183" s="1739">
        <v>2</v>
      </c>
      <c r="C183" s="1739">
        <v>3</v>
      </c>
      <c r="D183" s="1739">
        <v>4</v>
      </c>
      <c r="E183" s="1949">
        <v>5</v>
      </c>
      <c r="F183" s="1949">
        <v>6</v>
      </c>
      <c r="G183" s="1950">
        <v>7</v>
      </c>
      <c r="H183" s="1951" t="s">
        <v>61</v>
      </c>
    </row>
    <row r="184" spans="1:8" ht="16.5" thickTop="1" thickBot="1" x14ac:dyDescent="0.3">
      <c r="A184" s="1992">
        <v>3122</v>
      </c>
      <c r="B184" s="1954">
        <v>6121</v>
      </c>
      <c r="C184" s="1954"/>
      <c r="D184" s="1979" t="s">
        <v>640</v>
      </c>
      <c r="E184" s="1959">
        <v>0</v>
      </c>
      <c r="F184" s="1993">
        <v>118</v>
      </c>
      <c r="G184" s="1993">
        <v>118</v>
      </c>
      <c r="H184" s="1961">
        <f>G184/F184*100</f>
        <v>100</v>
      </c>
    </row>
    <row r="185" spans="1:8" ht="16.5" thickTop="1" thickBot="1" x14ac:dyDescent="0.3">
      <c r="A185" s="1980" t="s">
        <v>802</v>
      </c>
      <c r="B185" s="1981"/>
      <c r="C185" s="1981"/>
      <c r="D185" s="1982"/>
      <c r="E185" s="1957">
        <f>SUM(E184:E184)</f>
        <v>0</v>
      </c>
      <c r="F185" s="1960">
        <f>SUM(F184:F184)</f>
        <v>118</v>
      </c>
      <c r="G185" s="1960">
        <f>SUM(G184:G184)</f>
        <v>118</v>
      </c>
      <c r="H185" s="1962">
        <f>G185/F185*100</f>
        <v>100</v>
      </c>
    </row>
    <row r="186" spans="1:8" ht="15.75" thickTop="1" x14ac:dyDescent="0.25">
      <c r="A186" s="1994"/>
      <c r="B186" s="1994"/>
      <c r="C186" s="1994"/>
      <c r="D186" s="1994"/>
      <c r="E186" s="1964"/>
      <c r="F186" s="1964"/>
      <c r="G186" s="1964"/>
      <c r="H186" s="1995"/>
    </row>
    <row r="187" spans="1:8" ht="15" x14ac:dyDescent="0.25">
      <c r="A187" s="1942" t="s">
        <v>1348</v>
      </c>
      <c r="B187" s="1973"/>
      <c r="C187" s="1973"/>
      <c r="D187" s="1973"/>
      <c r="E187" s="1973"/>
      <c r="F187" s="1973"/>
      <c r="G187" s="1973"/>
      <c r="H187" s="1973"/>
    </row>
    <row r="188" spans="1:8" ht="15.75" thickBot="1" x14ac:dyDescent="0.3">
      <c r="A188" s="1942" t="s">
        <v>1349</v>
      </c>
      <c r="D188" s="1936"/>
      <c r="E188" s="1937"/>
      <c r="F188" s="1970"/>
      <c r="G188" s="1970"/>
      <c r="H188" s="1966" t="s">
        <v>173</v>
      </c>
    </row>
    <row r="189" spans="1:8" ht="25.5" thickTop="1" thickBot="1" x14ac:dyDescent="0.25">
      <c r="A189" s="1943" t="s">
        <v>174</v>
      </c>
      <c r="B189" s="1944" t="s">
        <v>800</v>
      </c>
      <c r="C189" s="1944" t="s">
        <v>397</v>
      </c>
      <c r="D189" s="1945" t="s">
        <v>176</v>
      </c>
      <c r="E189" s="1976" t="s">
        <v>669</v>
      </c>
      <c r="F189" s="1976" t="s">
        <v>670</v>
      </c>
      <c r="G189" s="1977" t="s">
        <v>923</v>
      </c>
      <c r="H189" s="1978" t="s">
        <v>924</v>
      </c>
    </row>
    <row r="190" spans="1:8" ht="14.25" thickTop="1" thickBot="1" x14ac:dyDescent="0.25">
      <c r="A190" s="1740">
        <v>1</v>
      </c>
      <c r="B190" s="1739">
        <v>2</v>
      </c>
      <c r="C190" s="1739">
        <v>3</v>
      </c>
      <c r="D190" s="1739">
        <v>4</v>
      </c>
      <c r="E190" s="1949">
        <v>5</v>
      </c>
      <c r="F190" s="1949">
        <v>6</v>
      </c>
      <c r="G190" s="1950">
        <v>7</v>
      </c>
      <c r="H190" s="1951" t="s">
        <v>61</v>
      </c>
    </row>
    <row r="191" spans="1:8" ht="16.5" thickTop="1" thickBot="1" x14ac:dyDescent="0.3">
      <c r="A191" s="1992">
        <v>3122</v>
      </c>
      <c r="B191" s="1954">
        <v>6121</v>
      </c>
      <c r="C191" s="1954"/>
      <c r="D191" s="1979" t="s">
        <v>640</v>
      </c>
      <c r="E191" s="1959">
        <v>0</v>
      </c>
      <c r="F191" s="1993">
        <v>107</v>
      </c>
      <c r="G191" s="1993">
        <v>107</v>
      </c>
      <c r="H191" s="1961">
        <f>G191/F191*100</f>
        <v>100</v>
      </c>
    </row>
    <row r="192" spans="1:8" ht="16.5" thickTop="1" thickBot="1" x14ac:dyDescent="0.3">
      <c r="A192" s="1980" t="s">
        <v>802</v>
      </c>
      <c r="B192" s="1981"/>
      <c r="C192" s="1981"/>
      <c r="D192" s="1982"/>
      <c r="E192" s="1957">
        <f>SUM(E191:E191)</f>
        <v>0</v>
      </c>
      <c r="F192" s="1960">
        <f>SUM(F191:F191)</f>
        <v>107</v>
      </c>
      <c r="G192" s="1960">
        <f>SUM(G191:G191)</f>
        <v>107</v>
      </c>
      <c r="H192" s="1962">
        <f>G192/F192*100</f>
        <v>100</v>
      </c>
    </row>
    <row r="193" spans="1:8" ht="15.75" thickTop="1" x14ac:dyDescent="0.25">
      <c r="A193" s="1994"/>
      <c r="B193" s="1994"/>
      <c r="C193" s="1994"/>
      <c r="D193" s="1994"/>
      <c r="E193" s="1964"/>
      <c r="F193" s="1964"/>
      <c r="G193" s="1964"/>
      <c r="H193" s="1995"/>
    </row>
    <row r="194" spans="1:8" ht="15" x14ac:dyDescent="0.25">
      <c r="A194" s="1942" t="s">
        <v>1350</v>
      </c>
      <c r="B194" s="1973"/>
      <c r="C194" s="1973"/>
      <c r="D194" s="1973"/>
      <c r="E194" s="1973"/>
      <c r="F194" s="1973"/>
      <c r="G194" s="1973"/>
      <c r="H194" s="1973"/>
    </row>
    <row r="195" spans="1:8" ht="15.75" thickBot="1" x14ac:dyDescent="0.3">
      <c r="A195" s="1942" t="s">
        <v>1351</v>
      </c>
      <c r="D195" s="1936"/>
      <c r="E195" s="1937"/>
      <c r="F195" s="1970"/>
      <c r="G195" s="1970"/>
      <c r="H195" s="1966" t="s">
        <v>173</v>
      </c>
    </row>
    <row r="196" spans="1:8" ht="25.5" thickTop="1" thickBot="1" x14ac:dyDescent="0.25">
      <c r="A196" s="1943" t="s">
        <v>174</v>
      </c>
      <c r="B196" s="1944" t="s">
        <v>800</v>
      </c>
      <c r="C196" s="1944" t="s">
        <v>397</v>
      </c>
      <c r="D196" s="1945" t="s">
        <v>176</v>
      </c>
      <c r="E196" s="1976" t="s">
        <v>669</v>
      </c>
      <c r="F196" s="1976" t="s">
        <v>670</v>
      </c>
      <c r="G196" s="1977" t="s">
        <v>923</v>
      </c>
      <c r="H196" s="1978" t="s">
        <v>924</v>
      </c>
    </row>
    <row r="197" spans="1:8" ht="14.25" thickTop="1" thickBot="1" x14ac:dyDescent="0.25">
      <c r="A197" s="1740">
        <v>1</v>
      </c>
      <c r="B197" s="1739">
        <v>2</v>
      </c>
      <c r="C197" s="1739">
        <v>3</v>
      </c>
      <c r="D197" s="1739">
        <v>4</v>
      </c>
      <c r="E197" s="1949">
        <v>5</v>
      </c>
      <c r="F197" s="1949">
        <v>6</v>
      </c>
      <c r="G197" s="1950">
        <v>7</v>
      </c>
      <c r="H197" s="1951" t="s">
        <v>61</v>
      </c>
    </row>
    <row r="198" spans="1:8" ht="16.5" thickTop="1" thickBot="1" x14ac:dyDescent="0.3">
      <c r="A198" s="1992">
        <v>3122</v>
      </c>
      <c r="B198" s="1954">
        <v>6121</v>
      </c>
      <c r="C198" s="1954"/>
      <c r="D198" s="1979" t="s">
        <v>640</v>
      </c>
      <c r="E198" s="1959">
        <v>0</v>
      </c>
      <c r="F198" s="1993">
        <v>84</v>
      </c>
      <c r="G198" s="1993">
        <v>84</v>
      </c>
      <c r="H198" s="1961">
        <f>G198/F198*100</f>
        <v>100</v>
      </c>
    </row>
    <row r="199" spans="1:8" ht="16.5" thickTop="1" thickBot="1" x14ac:dyDescent="0.3">
      <c r="A199" s="1980" t="s">
        <v>802</v>
      </c>
      <c r="B199" s="1981"/>
      <c r="C199" s="1981"/>
      <c r="D199" s="1982"/>
      <c r="E199" s="1957">
        <f>SUM(E198:E198)</f>
        <v>0</v>
      </c>
      <c r="F199" s="1960">
        <f>SUM(F198:F198)</f>
        <v>84</v>
      </c>
      <c r="G199" s="1960">
        <f>SUM(G198:G198)</f>
        <v>84</v>
      </c>
      <c r="H199" s="1962">
        <f>G199/F199*100</f>
        <v>100</v>
      </c>
    </row>
    <row r="200" spans="1:8" ht="15.75" thickTop="1" x14ac:dyDescent="0.25">
      <c r="A200" s="1994"/>
      <c r="B200" s="1994"/>
      <c r="C200" s="1994"/>
      <c r="D200" s="1994"/>
      <c r="E200" s="1964"/>
      <c r="F200" s="1964"/>
      <c r="G200" s="1964"/>
      <c r="H200" s="1995"/>
    </row>
    <row r="201" spans="1:8" ht="15" x14ac:dyDescent="0.25">
      <c r="A201" s="1942" t="s">
        <v>121</v>
      </c>
      <c r="B201" s="1973"/>
      <c r="C201" s="1973"/>
      <c r="D201" s="1973"/>
      <c r="E201" s="1973"/>
      <c r="F201" s="1973"/>
      <c r="G201" s="1973"/>
      <c r="H201" s="1973"/>
    </row>
    <row r="202" spans="1:8" ht="15.75" thickBot="1" x14ac:dyDescent="0.3">
      <c r="A202" s="1942" t="s">
        <v>122</v>
      </c>
      <c r="D202" s="1936"/>
      <c r="E202" s="1937"/>
      <c r="F202" s="1970"/>
      <c r="G202" s="1970"/>
      <c r="H202" s="1966" t="s">
        <v>173</v>
      </c>
    </row>
    <row r="203" spans="1:8" ht="25.5" thickTop="1" thickBot="1" x14ac:dyDescent="0.25">
      <c r="A203" s="1943" t="s">
        <v>174</v>
      </c>
      <c r="B203" s="1944" t="s">
        <v>800</v>
      </c>
      <c r="C203" s="1944" t="s">
        <v>397</v>
      </c>
      <c r="D203" s="1945" t="s">
        <v>176</v>
      </c>
      <c r="E203" s="1976" t="s">
        <v>669</v>
      </c>
      <c r="F203" s="1976" t="s">
        <v>670</v>
      </c>
      <c r="G203" s="1977" t="s">
        <v>923</v>
      </c>
      <c r="H203" s="1978" t="s">
        <v>924</v>
      </c>
    </row>
    <row r="204" spans="1:8" ht="14.25" thickTop="1" thickBot="1" x14ac:dyDescent="0.25">
      <c r="A204" s="1740">
        <v>1</v>
      </c>
      <c r="B204" s="1739">
        <v>2</v>
      </c>
      <c r="C204" s="1739">
        <v>3</v>
      </c>
      <c r="D204" s="1739">
        <v>4</v>
      </c>
      <c r="E204" s="1949">
        <v>5</v>
      </c>
      <c r="F204" s="1949">
        <v>6</v>
      </c>
      <c r="G204" s="1950">
        <v>7</v>
      </c>
      <c r="H204" s="1951" t="s">
        <v>61</v>
      </c>
    </row>
    <row r="205" spans="1:8" ht="16.5" thickTop="1" thickBot="1" x14ac:dyDescent="0.3">
      <c r="A205" s="1992">
        <v>3122</v>
      </c>
      <c r="B205" s="1954">
        <v>6121</v>
      </c>
      <c r="C205" s="1954"/>
      <c r="D205" s="1979" t="s">
        <v>640</v>
      </c>
      <c r="E205" s="1959">
        <v>0</v>
      </c>
      <c r="F205" s="1993">
        <v>32</v>
      </c>
      <c r="G205" s="1993">
        <v>32</v>
      </c>
      <c r="H205" s="1961">
        <f>G205/F205*100</f>
        <v>100</v>
      </c>
    </row>
    <row r="206" spans="1:8" ht="16.5" thickTop="1" thickBot="1" x14ac:dyDescent="0.3">
      <c r="A206" s="1980" t="s">
        <v>802</v>
      </c>
      <c r="B206" s="1981"/>
      <c r="C206" s="1981"/>
      <c r="D206" s="1982"/>
      <c r="E206" s="1957">
        <f>SUM(E205:E205)</f>
        <v>0</v>
      </c>
      <c r="F206" s="1960">
        <f>SUM(F205:F205)</f>
        <v>32</v>
      </c>
      <c r="G206" s="1960">
        <f>SUM(G205:G205)</f>
        <v>32</v>
      </c>
      <c r="H206" s="1962">
        <f>G206/F206*100</f>
        <v>100</v>
      </c>
    </row>
    <row r="207" spans="1:8" ht="15.75" thickTop="1" x14ac:dyDescent="0.25">
      <c r="A207" s="1994"/>
      <c r="B207" s="1994"/>
      <c r="C207" s="1994"/>
      <c r="D207" s="1994"/>
      <c r="E207" s="1964"/>
      <c r="F207" s="1964"/>
      <c r="G207" s="1964"/>
      <c r="H207" s="1995"/>
    </row>
    <row r="208" spans="1:8" ht="15" hidden="1" x14ac:dyDescent="0.25">
      <c r="A208" s="1942" t="s">
        <v>123</v>
      </c>
      <c r="B208" s="1973"/>
      <c r="C208" s="1973"/>
      <c r="D208" s="1973"/>
      <c r="E208" s="1973"/>
      <c r="F208" s="1973"/>
      <c r="G208" s="1973"/>
      <c r="H208" s="1973"/>
    </row>
    <row r="209" spans="1:8" ht="15" hidden="1" x14ac:dyDescent="0.25">
      <c r="A209" s="1942" t="s">
        <v>124</v>
      </c>
      <c r="D209" s="1936"/>
      <c r="E209" s="1937"/>
      <c r="F209" s="1970"/>
      <c r="G209" s="1970"/>
      <c r="H209" s="1937" t="s">
        <v>173</v>
      </c>
    </row>
    <row r="210" spans="1:8" ht="25.5" hidden="1" thickTop="1" thickBot="1" x14ac:dyDescent="0.25">
      <c r="A210" s="1943" t="s">
        <v>174</v>
      </c>
      <c r="B210" s="1944" t="s">
        <v>800</v>
      </c>
      <c r="C210" s="1944" t="s">
        <v>397</v>
      </c>
      <c r="D210" s="1945" t="s">
        <v>176</v>
      </c>
      <c r="E210" s="1976" t="s">
        <v>669</v>
      </c>
      <c r="F210" s="1976" t="s">
        <v>670</v>
      </c>
      <c r="G210" s="1977" t="s">
        <v>923</v>
      </c>
      <c r="H210" s="1978" t="s">
        <v>924</v>
      </c>
    </row>
    <row r="211" spans="1:8" ht="14.25" hidden="1" thickTop="1" thickBot="1" x14ac:dyDescent="0.25">
      <c r="A211" s="1740">
        <v>1</v>
      </c>
      <c r="B211" s="1739">
        <v>2</v>
      </c>
      <c r="C211" s="1739">
        <v>3</v>
      </c>
      <c r="D211" s="1739">
        <v>4</v>
      </c>
      <c r="E211" s="1949">
        <v>5</v>
      </c>
      <c r="F211" s="1949">
        <v>6</v>
      </c>
      <c r="G211" s="1950">
        <v>7</v>
      </c>
      <c r="H211" s="1996" t="s">
        <v>61</v>
      </c>
    </row>
    <row r="212" spans="1:8" ht="16.5" hidden="1" thickTop="1" thickBot="1" x14ac:dyDescent="0.3">
      <c r="A212" s="1992">
        <v>3122</v>
      </c>
      <c r="B212" s="1954">
        <v>6121</v>
      </c>
      <c r="C212" s="1954"/>
      <c r="D212" s="1979" t="s">
        <v>640</v>
      </c>
      <c r="E212" s="1959">
        <v>0</v>
      </c>
      <c r="F212" s="1993">
        <v>0</v>
      </c>
      <c r="G212" s="1993">
        <v>0</v>
      </c>
      <c r="H212" s="1997" t="e">
        <f>G212/F212*100</f>
        <v>#DIV/0!</v>
      </c>
    </row>
    <row r="213" spans="1:8" ht="16.5" hidden="1" thickTop="1" thickBot="1" x14ac:dyDescent="0.3">
      <c r="A213" s="1980" t="s">
        <v>802</v>
      </c>
      <c r="B213" s="1981"/>
      <c r="C213" s="1981"/>
      <c r="D213" s="1982"/>
      <c r="E213" s="1957">
        <f>SUM(E212:E212)</f>
        <v>0</v>
      </c>
      <c r="F213" s="1960">
        <f>SUM(F212:F212)</f>
        <v>0</v>
      </c>
      <c r="G213" s="1960">
        <f>SUM(G212:G212)</f>
        <v>0</v>
      </c>
      <c r="H213" s="1962" t="e">
        <f>G213/F213*100</f>
        <v>#DIV/0!</v>
      </c>
    </row>
    <row r="214" spans="1:8" ht="15" hidden="1" x14ac:dyDescent="0.25">
      <c r="A214" s="1994"/>
      <c r="B214" s="1994"/>
      <c r="C214" s="1994"/>
      <c r="D214" s="1994"/>
      <c r="E214" s="1964"/>
      <c r="F214" s="1964"/>
      <c r="G214" s="1964"/>
      <c r="H214" s="1995"/>
    </row>
    <row r="215" spans="1:8" ht="15" x14ac:dyDescent="0.25">
      <c r="A215" s="1942" t="s">
        <v>125</v>
      </c>
      <c r="B215" s="1973"/>
      <c r="C215" s="1973"/>
      <c r="D215" s="1973"/>
      <c r="E215" s="1973"/>
      <c r="F215" s="1973"/>
      <c r="G215" s="1973"/>
      <c r="H215" s="1973"/>
    </row>
    <row r="216" spans="1:8" ht="15.75" thickBot="1" x14ac:dyDescent="0.3">
      <c r="A216" s="1942" t="s">
        <v>126</v>
      </c>
      <c r="D216" s="1936"/>
      <c r="E216" s="1937"/>
      <c r="F216" s="1970"/>
      <c r="G216" s="1970"/>
      <c r="H216" s="1966" t="s">
        <v>173</v>
      </c>
    </row>
    <row r="217" spans="1:8" ht="25.5" thickTop="1" thickBot="1" x14ac:dyDescent="0.25">
      <c r="A217" s="1943" t="s">
        <v>174</v>
      </c>
      <c r="B217" s="1944" t="s">
        <v>800</v>
      </c>
      <c r="C217" s="1944" t="s">
        <v>397</v>
      </c>
      <c r="D217" s="1945" t="s">
        <v>176</v>
      </c>
      <c r="E217" s="1976" t="s">
        <v>669</v>
      </c>
      <c r="F217" s="1976" t="s">
        <v>670</v>
      </c>
      <c r="G217" s="1977" t="s">
        <v>923</v>
      </c>
      <c r="H217" s="1978" t="s">
        <v>924</v>
      </c>
    </row>
    <row r="218" spans="1:8" ht="14.25" thickTop="1" thickBot="1" x14ac:dyDescent="0.25">
      <c r="A218" s="1740">
        <v>1</v>
      </c>
      <c r="B218" s="1739">
        <v>2</v>
      </c>
      <c r="C218" s="1739">
        <v>3</v>
      </c>
      <c r="D218" s="1739">
        <v>4</v>
      </c>
      <c r="E218" s="1949">
        <v>5</v>
      </c>
      <c r="F218" s="1949">
        <v>6</v>
      </c>
      <c r="G218" s="1950">
        <v>7</v>
      </c>
      <c r="H218" s="1951" t="s">
        <v>61</v>
      </c>
    </row>
    <row r="219" spans="1:8" ht="16.5" thickTop="1" thickBot="1" x14ac:dyDescent="0.3">
      <c r="A219" s="1992">
        <v>3122</v>
      </c>
      <c r="B219" s="1954">
        <v>6121</v>
      </c>
      <c r="C219" s="1954"/>
      <c r="D219" s="1979" t="s">
        <v>640</v>
      </c>
      <c r="E219" s="1959">
        <v>0</v>
      </c>
      <c r="F219" s="1993">
        <v>1</v>
      </c>
      <c r="G219" s="1993">
        <v>1</v>
      </c>
      <c r="H219" s="1961">
        <f>G219/F219*100</f>
        <v>100</v>
      </c>
    </row>
    <row r="220" spans="1:8" ht="16.5" thickTop="1" thickBot="1" x14ac:dyDescent="0.3">
      <c r="A220" s="1980" t="s">
        <v>802</v>
      </c>
      <c r="B220" s="1981"/>
      <c r="C220" s="1981"/>
      <c r="D220" s="1982"/>
      <c r="E220" s="1957">
        <f>SUM(E219:E219)</f>
        <v>0</v>
      </c>
      <c r="F220" s="1960">
        <f>SUM(F219:F219)</f>
        <v>1</v>
      </c>
      <c r="G220" s="1960">
        <f>SUM(G219:G219)</f>
        <v>1</v>
      </c>
      <c r="H220" s="1962">
        <f>G220/F220*100</f>
        <v>100</v>
      </c>
    </row>
    <row r="221" spans="1:8" ht="15.75" thickTop="1" x14ac:dyDescent="0.25">
      <c r="A221" s="1994"/>
      <c r="B221" s="1994"/>
      <c r="C221" s="1994"/>
      <c r="D221" s="1994"/>
      <c r="E221" s="1964"/>
      <c r="F221" s="1964"/>
      <c r="G221" s="1964"/>
      <c r="H221" s="1995"/>
    </row>
    <row r="222" spans="1:8" ht="15" x14ac:dyDescent="0.25">
      <c r="A222" s="1942" t="s">
        <v>1613</v>
      </c>
      <c r="B222" s="1973"/>
      <c r="C222" s="1973"/>
      <c r="D222" s="1973"/>
      <c r="E222" s="1973"/>
      <c r="F222" s="1973"/>
      <c r="G222" s="1973"/>
      <c r="H222" s="1973"/>
    </row>
    <row r="223" spans="1:8" ht="15.75" thickBot="1" x14ac:dyDescent="0.3">
      <c r="A223" s="1942" t="s">
        <v>1614</v>
      </c>
      <c r="D223" s="1936"/>
      <c r="E223" s="1937"/>
      <c r="F223" s="1970"/>
      <c r="G223" s="1970"/>
      <c r="H223" s="1966" t="s">
        <v>173</v>
      </c>
    </row>
    <row r="224" spans="1:8" ht="25.5" thickTop="1" thickBot="1" x14ac:dyDescent="0.25">
      <c r="A224" s="1943" t="s">
        <v>174</v>
      </c>
      <c r="B224" s="1944" t="s">
        <v>800</v>
      </c>
      <c r="C224" s="1944" t="s">
        <v>397</v>
      </c>
      <c r="D224" s="1945" t="s">
        <v>176</v>
      </c>
      <c r="E224" s="1976" t="s">
        <v>669</v>
      </c>
      <c r="F224" s="1976" t="s">
        <v>670</v>
      </c>
      <c r="G224" s="1977" t="s">
        <v>923</v>
      </c>
      <c r="H224" s="1978" t="s">
        <v>924</v>
      </c>
    </row>
    <row r="225" spans="1:8" ht="14.25" thickTop="1" thickBot="1" x14ac:dyDescent="0.25">
      <c r="A225" s="1740">
        <v>1</v>
      </c>
      <c r="B225" s="1739">
        <v>2</v>
      </c>
      <c r="C225" s="1739">
        <v>3</v>
      </c>
      <c r="D225" s="1739">
        <v>4</v>
      </c>
      <c r="E225" s="1949">
        <v>5</v>
      </c>
      <c r="F225" s="1949">
        <v>6</v>
      </c>
      <c r="G225" s="1950">
        <v>7</v>
      </c>
      <c r="H225" s="1951" t="s">
        <v>61</v>
      </c>
    </row>
    <row r="226" spans="1:8" ht="16.5" thickTop="1" thickBot="1" x14ac:dyDescent="0.3">
      <c r="A226" s="1992">
        <v>3122</v>
      </c>
      <c r="B226" s="1954">
        <v>6121</v>
      </c>
      <c r="C226" s="1954"/>
      <c r="D226" s="1979" t="s">
        <v>640</v>
      </c>
      <c r="E226" s="1959">
        <v>0</v>
      </c>
      <c r="F226" s="1993">
        <v>141</v>
      </c>
      <c r="G226" s="1993">
        <v>137</v>
      </c>
      <c r="H226" s="1961">
        <f>G226/F226*100</f>
        <v>97.163120567375884</v>
      </c>
    </row>
    <row r="227" spans="1:8" ht="16.5" thickTop="1" thickBot="1" x14ac:dyDescent="0.3">
      <c r="A227" s="1980" t="s">
        <v>802</v>
      </c>
      <c r="B227" s="1981"/>
      <c r="C227" s="1981"/>
      <c r="D227" s="1982"/>
      <c r="E227" s="1957">
        <f>SUM(E226:E226)</f>
        <v>0</v>
      </c>
      <c r="F227" s="1960">
        <f>SUM(F226:F226)</f>
        <v>141</v>
      </c>
      <c r="G227" s="1960">
        <f>SUM(G226:G226)</f>
        <v>137</v>
      </c>
      <c r="H227" s="1962">
        <f>G227/F227*100</f>
        <v>97.163120567375884</v>
      </c>
    </row>
    <row r="228" spans="1:8" ht="15.75" thickTop="1" x14ac:dyDescent="0.25">
      <c r="A228" s="1994"/>
      <c r="B228" s="1994"/>
      <c r="C228" s="1994"/>
      <c r="D228" s="1994"/>
      <c r="E228" s="1964"/>
      <c r="F228" s="1964"/>
      <c r="G228" s="1964"/>
      <c r="H228" s="1995"/>
    </row>
    <row r="229" spans="1:8" ht="15" x14ac:dyDescent="0.25">
      <c r="A229" s="1942" t="s">
        <v>1615</v>
      </c>
      <c r="B229" s="1973"/>
      <c r="C229" s="1973"/>
      <c r="D229" s="1973"/>
      <c r="E229" s="1973"/>
      <c r="F229" s="1973"/>
      <c r="G229" s="1973"/>
      <c r="H229" s="1973"/>
    </row>
    <row r="230" spans="1:8" ht="15.75" thickBot="1" x14ac:dyDescent="0.3">
      <c r="A230" s="1942" t="s">
        <v>1616</v>
      </c>
      <c r="D230" s="1936"/>
      <c r="E230" s="1937"/>
      <c r="F230" s="1970"/>
      <c r="G230" s="1970"/>
      <c r="H230" s="1966" t="s">
        <v>173</v>
      </c>
    </row>
    <row r="231" spans="1:8" ht="25.5" thickTop="1" thickBot="1" x14ac:dyDescent="0.25">
      <c r="A231" s="1943" t="s">
        <v>174</v>
      </c>
      <c r="B231" s="1944" t="s">
        <v>800</v>
      </c>
      <c r="C231" s="1944" t="s">
        <v>397</v>
      </c>
      <c r="D231" s="1945" t="s">
        <v>176</v>
      </c>
      <c r="E231" s="1976" t="s">
        <v>669</v>
      </c>
      <c r="F231" s="1976" t="s">
        <v>670</v>
      </c>
      <c r="G231" s="1977" t="s">
        <v>923</v>
      </c>
      <c r="H231" s="1978" t="s">
        <v>924</v>
      </c>
    </row>
    <row r="232" spans="1:8" ht="14.25" thickTop="1" thickBot="1" x14ac:dyDescent="0.25">
      <c r="A232" s="1740">
        <v>1</v>
      </c>
      <c r="B232" s="1739">
        <v>2</v>
      </c>
      <c r="C232" s="1739">
        <v>3</v>
      </c>
      <c r="D232" s="1739">
        <v>4</v>
      </c>
      <c r="E232" s="1949">
        <v>5</v>
      </c>
      <c r="F232" s="1949">
        <v>6</v>
      </c>
      <c r="G232" s="1950">
        <v>7</v>
      </c>
      <c r="H232" s="1951" t="s">
        <v>61</v>
      </c>
    </row>
    <row r="233" spans="1:8" ht="16.5" thickTop="1" thickBot="1" x14ac:dyDescent="0.3">
      <c r="A233" s="1992">
        <v>3122</v>
      </c>
      <c r="B233" s="1954">
        <v>6121</v>
      </c>
      <c r="C233" s="1954"/>
      <c r="D233" s="1979" t="s">
        <v>640</v>
      </c>
      <c r="E233" s="1959">
        <v>0</v>
      </c>
      <c r="F233" s="1993">
        <v>64</v>
      </c>
      <c r="G233" s="1993">
        <v>63</v>
      </c>
      <c r="H233" s="1961">
        <f>G233/F233*100</f>
        <v>98.4375</v>
      </c>
    </row>
    <row r="234" spans="1:8" ht="16.5" thickTop="1" thickBot="1" x14ac:dyDescent="0.3">
      <c r="A234" s="1980" t="s">
        <v>802</v>
      </c>
      <c r="B234" s="1981"/>
      <c r="C234" s="1981"/>
      <c r="D234" s="1982"/>
      <c r="E234" s="1957">
        <f>SUM(E233:E233)</f>
        <v>0</v>
      </c>
      <c r="F234" s="1960">
        <f>SUM(F233:F233)</f>
        <v>64</v>
      </c>
      <c r="G234" s="1960">
        <f>SUM(G233:G233)</f>
        <v>63</v>
      </c>
      <c r="H234" s="1962">
        <f>G234/F234*100</f>
        <v>98.4375</v>
      </c>
    </row>
    <row r="235" spans="1:8" ht="15.75" thickTop="1" x14ac:dyDescent="0.25">
      <c r="A235" s="1994"/>
      <c r="B235" s="1994"/>
      <c r="C235" s="1994"/>
      <c r="D235" s="1994"/>
      <c r="E235" s="1964"/>
      <c r="F235" s="1964"/>
      <c r="G235" s="1964"/>
      <c r="H235" s="1995"/>
    </row>
    <row r="236" spans="1:8" ht="15" hidden="1" x14ac:dyDescent="0.25">
      <c r="A236" s="1942" t="s">
        <v>1617</v>
      </c>
      <c r="B236" s="1973"/>
      <c r="C236" s="1973"/>
      <c r="D236" s="1973"/>
      <c r="E236" s="1973"/>
      <c r="F236" s="1973"/>
      <c r="G236" s="1973"/>
      <c r="H236" s="1973"/>
    </row>
    <row r="237" spans="1:8" ht="15" hidden="1" x14ac:dyDescent="0.25">
      <c r="A237" s="1942" t="s">
        <v>1618</v>
      </c>
      <c r="D237" s="1936"/>
      <c r="E237" s="1937"/>
      <c r="F237" s="1970"/>
      <c r="G237" s="1970"/>
      <c r="H237" s="1937" t="s">
        <v>173</v>
      </c>
    </row>
    <row r="238" spans="1:8" ht="25.5" hidden="1" thickTop="1" thickBot="1" x14ac:dyDescent="0.25">
      <c r="A238" s="1943" t="s">
        <v>174</v>
      </c>
      <c r="B238" s="1944" t="s">
        <v>800</v>
      </c>
      <c r="C238" s="1944" t="s">
        <v>397</v>
      </c>
      <c r="D238" s="1945" t="s">
        <v>176</v>
      </c>
      <c r="E238" s="1976" t="s">
        <v>669</v>
      </c>
      <c r="F238" s="1976" t="s">
        <v>670</v>
      </c>
      <c r="G238" s="1977" t="s">
        <v>923</v>
      </c>
      <c r="H238" s="1978" t="s">
        <v>924</v>
      </c>
    </row>
    <row r="239" spans="1:8" ht="14.25" hidden="1" thickTop="1" thickBot="1" x14ac:dyDescent="0.25">
      <c r="A239" s="1740">
        <v>1</v>
      </c>
      <c r="B239" s="1739">
        <v>2</v>
      </c>
      <c r="C239" s="1739">
        <v>3</v>
      </c>
      <c r="D239" s="1739">
        <v>4</v>
      </c>
      <c r="E239" s="1949">
        <v>5</v>
      </c>
      <c r="F239" s="1949">
        <v>6</v>
      </c>
      <c r="G239" s="1950">
        <v>7</v>
      </c>
      <c r="H239" s="1951" t="s">
        <v>61</v>
      </c>
    </row>
    <row r="240" spans="1:8" ht="16.5" hidden="1" thickTop="1" thickBot="1" x14ac:dyDescent="0.3">
      <c r="A240" s="1992">
        <v>3122</v>
      </c>
      <c r="B240" s="1954">
        <v>6122</v>
      </c>
      <c r="C240" s="1954"/>
      <c r="D240" s="1979" t="s">
        <v>641</v>
      </c>
      <c r="E240" s="1959">
        <v>0</v>
      </c>
      <c r="F240" s="1993">
        <v>0</v>
      </c>
      <c r="G240" s="1993">
        <v>0</v>
      </c>
      <c r="H240" s="1961" t="e">
        <f>G240/F240*100</f>
        <v>#DIV/0!</v>
      </c>
    </row>
    <row r="241" spans="1:8" ht="16.5" hidden="1" thickTop="1" thickBot="1" x14ac:dyDescent="0.3">
      <c r="A241" s="1980" t="s">
        <v>802</v>
      </c>
      <c r="B241" s="1981"/>
      <c r="C241" s="1981"/>
      <c r="D241" s="1982"/>
      <c r="E241" s="1957">
        <f>SUM(E240:E240)</f>
        <v>0</v>
      </c>
      <c r="F241" s="1960">
        <f>SUM(F240:F240)</f>
        <v>0</v>
      </c>
      <c r="G241" s="1960">
        <f>SUM(G240:G240)</f>
        <v>0</v>
      </c>
      <c r="H241" s="1962" t="e">
        <f>G241/F241*100</f>
        <v>#DIV/0!</v>
      </c>
    </row>
    <row r="242" spans="1:8" ht="15" hidden="1" x14ac:dyDescent="0.25">
      <c r="A242" s="1994"/>
      <c r="B242" s="1994"/>
      <c r="C242" s="1994"/>
      <c r="D242" s="1994"/>
      <c r="E242" s="1964"/>
      <c r="F242" s="1964"/>
      <c r="G242" s="1964"/>
      <c r="H242" s="1995"/>
    </row>
    <row r="243" spans="1:8" ht="15" hidden="1" x14ac:dyDescent="0.25">
      <c r="A243" s="1942" t="s">
        <v>1619</v>
      </c>
      <c r="B243" s="1973"/>
      <c r="C243" s="1973"/>
      <c r="D243" s="1973"/>
      <c r="E243" s="1973"/>
      <c r="F243" s="1973"/>
      <c r="G243" s="1973"/>
      <c r="H243" s="1973"/>
    </row>
    <row r="244" spans="1:8" ht="15" hidden="1" x14ac:dyDescent="0.25">
      <c r="A244" s="1942" t="s">
        <v>1620</v>
      </c>
      <c r="D244" s="1936"/>
      <c r="E244" s="1937"/>
      <c r="F244" s="1970"/>
      <c r="G244" s="1970"/>
      <c r="H244" s="1966" t="s">
        <v>173</v>
      </c>
    </row>
    <row r="245" spans="1:8" ht="25.5" hidden="1" thickTop="1" thickBot="1" x14ac:dyDescent="0.25">
      <c r="A245" s="1943" t="s">
        <v>174</v>
      </c>
      <c r="B245" s="1944" t="s">
        <v>800</v>
      </c>
      <c r="C245" s="1944" t="s">
        <v>397</v>
      </c>
      <c r="D245" s="1945" t="s">
        <v>176</v>
      </c>
      <c r="E245" s="1976" t="s">
        <v>669</v>
      </c>
      <c r="F245" s="1976" t="s">
        <v>670</v>
      </c>
      <c r="G245" s="1977" t="s">
        <v>923</v>
      </c>
      <c r="H245" s="1978" t="s">
        <v>924</v>
      </c>
    </row>
    <row r="246" spans="1:8" ht="14.25" hidden="1" thickTop="1" thickBot="1" x14ac:dyDescent="0.25">
      <c r="A246" s="1740">
        <v>1</v>
      </c>
      <c r="B246" s="1739">
        <v>2</v>
      </c>
      <c r="C246" s="1739">
        <v>3</v>
      </c>
      <c r="D246" s="1739">
        <v>4</v>
      </c>
      <c r="E246" s="1949">
        <v>5</v>
      </c>
      <c r="F246" s="1949">
        <v>6</v>
      </c>
      <c r="G246" s="1950">
        <v>7</v>
      </c>
      <c r="H246" s="1951" t="s">
        <v>61</v>
      </c>
    </row>
    <row r="247" spans="1:8" ht="16.5" hidden="1" thickTop="1" thickBot="1" x14ac:dyDescent="0.3">
      <c r="A247" s="1992">
        <v>3122</v>
      </c>
      <c r="B247" s="1954">
        <v>6122</v>
      </c>
      <c r="C247" s="1954"/>
      <c r="D247" s="1979" t="s">
        <v>641</v>
      </c>
      <c r="E247" s="1959">
        <v>0</v>
      </c>
      <c r="F247" s="1993">
        <v>0</v>
      </c>
      <c r="G247" s="1993">
        <v>0</v>
      </c>
      <c r="H247" s="1961" t="e">
        <f>G247/F247*100</f>
        <v>#DIV/0!</v>
      </c>
    </row>
    <row r="248" spans="1:8" ht="16.5" hidden="1" thickTop="1" thickBot="1" x14ac:dyDescent="0.3">
      <c r="A248" s="1980" t="s">
        <v>802</v>
      </c>
      <c r="B248" s="1981"/>
      <c r="C248" s="1981"/>
      <c r="D248" s="1982"/>
      <c r="E248" s="1957">
        <f>SUM(E247:E247)</f>
        <v>0</v>
      </c>
      <c r="F248" s="1960">
        <f>SUM(F247:F247)</f>
        <v>0</v>
      </c>
      <c r="G248" s="1960">
        <f>SUM(G247:G247)</f>
        <v>0</v>
      </c>
      <c r="H248" s="1962" t="e">
        <f>G248/F248*100</f>
        <v>#DIV/0!</v>
      </c>
    </row>
    <row r="249" spans="1:8" ht="15" hidden="1" x14ac:dyDescent="0.25">
      <c r="A249" s="1994"/>
      <c r="B249" s="1994"/>
      <c r="C249" s="1994"/>
      <c r="D249" s="1994"/>
      <c r="E249" s="1964"/>
      <c r="F249" s="1964"/>
      <c r="G249" s="1964"/>
      <c r="H249" s="1995"/>
    </row>
    <row r="250" spans="1:8" ht="15" hidden="1" x14ac:dyDescent="0.25">
      <c r="A250" s="1942" t="s">
        <v>1621</v>
      </c>
      <c r="B250" s="1973"/>
      <c r="C250" s="1973"/>
      <c r="D250" s="1973"/>
      <c r="E250" s="1973"/>
      <c r="F250" s="1973"/>
      <c r="G250" s="1973"/>
      <c r="H250" s="1973"/>
    </row>
    <row r="251" spans="1:8" ht="15" hidden="1" x14ac:dyDescent="0.25">
      <c r="A251" s="1942" t="s">
        <v>1622</v>
      </c>
      <c r="D251" s="1936"/>
      <c r="E251" s="1937"/>
      <c r="F251" s="1970"/>
      <c r="G251" s="1970"/>
      <c r="H251" s="1966" t="s">
        <v>173</v>
      </c>
    </row>
    <row r="252" spans="1:8" ht="25.5" hidden="1" thickTop="1" thickBot="1" x14ac:dyDescent="0.25">
      <c r="A252" s="1943" t="s">
        <v>174</v>
      </c>
      <c r="B252" s="1944" t="s">
        <v>800</v>
      </c>
      <c r="C252" s="1944" t="s">
        <v>397</v>
      </c>
      <c r="D252" s="1945" t="s">
        <v>176</v>
      </c>
      <c r="E252" s="1976" t="s">
        <v>669</v>
      </c>
      <c r="F252" s="1976" t="s">
        <v>670</v>
      </c>
      <c r="G252" s="1977" t="s">
        <v>923</v>
      </c>
      <c r="H252" s="1978" t="s">
        <v>924</v>
      </c>
    </row>
    <row r="253" spans="1:8" ht="14.25" hidden="1" thickTop="1" thickBot="1" x14ac:dyDescent="0.25">
      <c r="A253" s="1740">
        <v>1</v>
      </c>
      <c r="B253" s="1739">
        <v>2</v>
      </c>
      <c r="C253" s="1739">
        <v>3</v>
      </c>
      <c r="D253" s="1739">
        <v>4</v>
      </c>
      <c r="E253" s="1949">
        <v>5</v>
      </c>
      <c r="F253" s="1949">
        <v>6</v>
      </c>
      <c r="G253" s="1950">
        <v>7</v>
      </c>
      <c r="H253" s="1951" t="s">
        <v>61</v>
      </c>
    </row>
    <row r="254" spans="1:8" ht="16.5" hidden="1" thickTop="1" thickBot="1" x14ac:dyDescent="0.3">
      <c r="A254" s="1992">
        <v>3122</v>
      </c>
      <c r="B254" s="1954">
        <v>6122</v>
      </c>
      <c r="C254" s="1954"/>
      <c r="D254" s="1979" t="s">
        <v>641</v>
      </c>
      <c r="E254" s="1959">
        <v>0</v>
      </c>
      <c r="F254" s="1993">
        <v>0</v>
      </c>
      <c r="G254" s="1993">
        <v>0</v>
      </c>
      <c r="H254" s="1961" t="e">
        <f>G254/F254*100</f>
        <v>#DIV/0!</v>
      </c>
    </row>
    <row r="255" spans="1:8" ht="16.5" hidden="1" thickTop="1" thickBot="1" x14ac:dyDescent="0.3">
      <c r="A255" s="1980" t="s">
        <v>802</v>
      </c>
      <c r="B255" s="1981"/>
      <c r="C255" s="1981"/>
      <c r="D255" s="1982"/>
      <c r="E255" s="1957">
        <f>SUM(E254:E254)</f>
        <v>0</v>
      </c>
      <c r="F255" s="1960">
        <f>SUM(F254:F254)</f>
        <v>0</v>
      </c>
      <c r="G255" s="1960">
        <f>SUM(G254:G254)</f>
        <v>0</v>
      </c>
      <c r="H255" s="1962" t="e">
        <f>G255/F255*100</f>
        <v>#DIV/0!</v>
      </c>
    </row>
    <row r="256" spans="1:8" ht="15" hidden="1" x14ac:dyDescent="0.25">
      <c r="A256" s="1994"/>
      <c r="B256" s="1994"/>
      <c r="C256" s="1994"/>
      <c r="D256" s="1994"/>
      <c r="E256" s="1964"/>
      <c r="F256" s="1964"/>
      <c r="G256" s="1964"/>
      <c r="H256" s="1995"/>
    </row>
    <row r="257" spans="1:8" ht="15" x14ac:dyDescent="0.25">
      <c r="A257" s="1942" t="s">
        <v>1623</v>
      </c>
      <c r="B257" s="1973"/>
      <c r="C257" s="1973"/>
      <c r="D257" s="1973"/>
      <c r="E257" s="1973"/>
      <c r="F257" s="1973"/>
      <c r="G257" s="1973"/>
      <c r="H257" s="1973"/>
    </row>
    <row r="258" spans="1:8" ht="15.75" thickBot="1" x14ac:dyDescent="0.3">
      <c r="A258" s="1942" t="s">
        <v>1624</v>
      </c>
      <c r="D258" s="1936"/>
      <c r="E258" s="1937"/>
      <c r="F258" s="1970"/>
      <c r="G258" s="1970"/>
      <c r="H258" s="1966" t="s">
        <v>173</v>
      </c>
    </row>
    <row r="259" spans="1:8" ht="25.5" thickTop="1" thickBot="1" x14ac:dyDescent="0.25">
      <c r="A259" s="1943" t="s">
        <v>174</v>
      </c>
      <c r="B259" s="1944" t="s">
        <v>800</v>
      </c>
      <c r="C259" s="1944" t="s">
        <v>397</v>
      </c>
      <c r="D259" s="1945" t="s">
        <v>176</v>
      </c>
      <c r="E259" s="1976" t="s">
        <v>669</v>
      </c>
      <c r="F259" s="1976" t="s">
        <v>670</v>
      </c>
      <c r="G259" s="1977" t="s">
        <v>923</v>
      </c>
      <c r="H259" s="1978" t="s">
        <v>924</v>
      </c>
    </row>
    <row r="260" spans="1:8" ht="14.25" thickTop="1" thickBot="1" x14ac:dyDescent="0.25">
      <c r="A260" s="1740">
        <v>1</v>
      </c>
      <c r="B260" s="1739">
        <v>2</v>
      </c>
      <c r="C260" s="1739">
        <v>3</v>
      </c>
      <c r="D260" s="1739">
        <v>4</v>
      </c>
      <c r="E260" s="1949">
        <v>5</v>
      </c>
      <c r="F260" s="1949">
        <v>6</v>
      </c>
      <c r="G260" s="1950">
        <v>7</v>
      </c>
      <c r="H260" s="1951" t="s">
        <v>61</v>
      </c>
    </row>
    <row r="261" spans="1:8" ht="16.5" thickTop="1" thickBot="1" x14ac:dyDescent="0.3">
      <c r="A261" s="1992">
        <v>3122</v>
      </c>
      <c r="B261" s="1954">
        <v>6122</v>
      </c>
      <c r="C261" s="1954"/>
      <c r="D261" s="1979" t="s">
        <v>641</v>
      </c>
      <c r="E261" s="1959">
        <v>0</v>
      </c>
      <c r="F261" s="1993">
        <v>55</v>
      </c>
      <c r="G261" s="1993">
        <v>54</v>
      </c>
      <c r="H261" s="1961">
        <f>G261/F261*100</f>
        <v>98.181818181818187</v>
      </c>
    </row>
    <row r="262" spans="1:8" ht="16.5" thickTop="1" thickBot="1" x14ac:dyDescent="0.3">
      <c r="A262" s="1980" t="s">
        <v>802</v>
      </c>
      <c r="B262" s="1981"/>
      <c r="C262" s="1981"/>
      <c r="D262" s="1982"/>
      <c r="E262" s="1957">
        <f>SUM(E261:E261)</f>
        <v>0</v>
      </c>
      <c r="F262" s="1960">
        <f>SUM(F261:F261)</f>
        <v>55</v>
      </c>
      <c r="G262" s="1960">
        <f>SUM(G261:G261)</f>
        <v>54</v>
      </c>
      <c r="H262" s="1962">
        <f>G262/F262*100</f>
        <v>98.181818181818187</v>
      </c>
    </row>
    <row r="263" spans="1:8" ht="15.75" thickTop="1" x14ac:dyDescent="0.25">
      <c r="A263" s="1994"/>
      <c r="B263" s="1994"/>
      <c r="C263" s="1994"/>
      <c r="D263" s="1994"/>
      <c r="E263" s="1964"/>
      <c r="F263" s="1964"/>
      <c r="G263" s="1964"/>
      <c r="H263" s="1995"/>
    </row>
    <row r="264" spans="1:8" ht="15" x14ac:dyDescent="0.25">
      <c r="A264" s="1942" t="s">
        <v>1818</v>
      </c>
      <c r="B264" s="1973"/>
      <c r="C264" s="1973"/>
      <c r="D264" s="1973"/>
      <c r="E264" s="1973"/>
      <c r="F264" s="1973"/>
      <c r="G264" s="1973"/>
      <c r="H264" s="1973"/>
    </row>
    <row r="265" spans="1:8" ht="15.75" thickBot="1" x14ac:dyDescent="0.3">
      <c r="A265" s="1942" t="s">
        <v>1819</v>
      </c>
      <c r="D265" s="1936"/>
      <c r="E265" s="1937"/>
      <c r="F265" s="1970"/>
      <c r="G265" s="1970"/>
      <c r="H265" s="1966" t="s">
        <v>173</v>
      </c>
    </row>
    <row r="266" spans="1:8" ht="25.5" thickTop="1" thickBot="1" x14ac:dyDescent="0.25">
      <c r="A266" s="1943" t="s">
        <v>174</v>
      </c>
      <c r="B266" s="1944" t="s">
        <v>800</v>
      </c>
      <c r="C266" s="1944" t="s">
        <v>397</v>
      </c>
      <c r="D266" s="1945" t="s">
        <v>176</v>
      </c>
      <c r="E266" s="1976" t="s">
        <v>669</v>
      </c>
      <c r="F266" s="1976" t="s">
        <v>670</v>
      </c>
      <c r="G266" s="1977" t="s">
        <v>923</v>
      </c>
      <c r="H266" s="1978" t="s">
        <v>924</v>
      </c>
    </row>
    <row r="267" spans="1:8" ht="14.25" thickTop="1" thickBot="1" x14ac:dyDescent="0.25">
      <c r="A267" s="1740">
        <v>1</v>
      </c>
      <c r="B267" s="1739">
        <v>2</v>
      </c>
      <c r="C267" s="1739">
        <v>3</v>
      </c>
      <c r="D267" s="1739">
        <v>4</v>
      </c>
      <c r="E267" s="1949">
        <v>5</v>
      </c>
      <c r="F267" s="1949">
        <v>6</v>
      </c>
      <c r="G267" s="1950">
        <v>7</v>
      </c>
      <c r="H267" s="1951" t="s">
        <v>61</v>
      </c>
    </row>
    <row r="268" spans="1:8" ht="16.5" thickTop="1" thickBot="1" x14ac:dyDescent="0.3">
      <c r="A268" s="1992">
        <v>3122</v>
      </c>
      <c r="B268" s="1954">
        <v>6121</v>
      </c>
      <c r="C268" s="1954"/>
      <c r="D268" s="1979" t="s">
        <v>640</v>
      </c>
      <c r="E268" s="1959">
        <v>0</v>
      </c>
      <c r="F268" s="1993">
        <v>276</v>
      </c>
      <c r="G268" s="1993">
        <v>276</v>
      </c>
      <c r="H268" s="1961">
        <f>G268/F268*100</f>
        <v>100</v>
      </c>
    </row>
    <row r="269" spans="1:8" ht="16.5" thickTop="1" thickBot="1" x14ac:dyDescent="0.3">
      <c r="A269" s="1980" t="s">
        <v>802</v>
      </c>
      <c r="B269" s="1981"/>
      <c r="C269" s="1981"/>
      <c r="D269" s="1982"/>
      <c r="E269" s="1957">
        <f>SUM(E268:E268)</f>
        <v>0</v>
      </c>
      <c r="F269" s="1960">
        <f>SUM(F268:F268)</f>
        <v>276</v>
      </c>
      <c r="G269" s="1960">
        <f>SUM(G268:G268)</f>
        <v>276</v>
      </c>
      <c r="H269" s="1962">
        <f>G269/F269*100</f>
        <v>100</v>
      </c>
    </row>
    <row r="270" spans="1:8" ht="15.75" thickTop="1" x14ac:dyDescent="0.25">
      <c r="A270" s="1994"/>
      <c r="B270" s="1994"/>
      <c r="C270" s="1994"/>
      <c r="D270" s="1994"/>
      <c r="E270" s="1964"/>
      <c r="F270" s="1964"/>
      <c r="G270" s="1964"/>
      <c r="H270" s="1995"/>
    </row>
    <row r="271" spans="1:8" ht="15" x14ac:dyDescent="0.25">
      <c r="A271" s="1942" t="s">
        <v>1820</v>
      </c>
      <c r="B271" s="1973"/>
      <c r="C271" s="1973"/>
      <c r="D271" s="1973"/>
      <c r="E271" s="1973"/>
      <c r="F271" s="1973"/>
      <c r="G271" s="1973"/>
      <c r="H271" s="1973"/>
    </row>
    <row r="272" spans="1:8" ht="15.75" thickBot="1" x14ac:dyDescent="0.3">
      <c r="A272" s="1942" t="s">
        <v>1821</v>
      </c>
      <c r="D272" s="1936"/>
      <c r="E272" s="1937"/>
      <c r="F272" s="1970"/>
      <c r="G272" s="1970"/>
      <c r="H272" s="1966" t="s">
        <v>173</v>
      </c>
    </row>
    <row r="273" spans="1:8" ht="25.5" thickTop="1" thickBot="1" x14ac:dyDescent="0.25">
      <c r="A273" s="1943" t="s">
        <v>174</v>
      </c>
      <c r="B273" s="1944" t="s">
        <v>800</v>
      </c>
      <c r="C273" s="1944" t="s">
        <v>397</v>
      </c>
      <c r="D273" s="1945" t="s">
        <v>176</v>
      </c>
      <c r="E273" s="1976" t="s">
        <v>669</v>
      </c>
      <c r="F273" s="1976" t="s">
        <v>670</v>
      </c>
      <c r="G273" s="1977" t="s">
        <v>923</v>
      </c>
      <c r="H273" s="1978" t="s">
        <v>924</v>
      </c>
    </row>
    <row r="274" spans="1:8" ht="14.25" thickTop="1" thickBot="1" x14ac:dyDescent="0.25">
      <c r="A274" s="1740">
        <v>1</v>
      </c>
      <c r="B274" s="1739">
        <v>2</v>
      </c>
      <c r="C274" s="1739">
        <v>3</v>
      </c>
      <c r="D274" s="1739">
        <v>4</v>
      </c>
      <c r="E274" s="1949">
        <v>5</v>
      </c>
      <c r="F274" s="1949">
        <v>6</v>
      </c>
      <c r="G274" s="1950">
        <v>7</v>
      </c>
      <c r="H274" s="1951" t="s">
        <v>61</v>
      </c>
    </row>
    <row r="275" spans="1:8" ht="16.5" thickTop="1" thickBot="1" x14ac:dyDescent="0.3">
      <c r="A275" s="1992">
        <v>3121</v>
      </c>
      <c r="B275" s="1954">
        <v>6121</v>
      </c>
      <c r="C275" s="1954"/>
      <c r="D275" s="1979" t="s">
        <v>640</v>
      </c>
      <c r="E275" s="1959">
        <v>0</v>
      </c>
      <c r="F275" s="1993">
        <v>48</v>
      </c>
      <c r="G275" s="1993">
        <v>24</v>
      </c>
      <c r="H275" s="1961">
        <f>G275/F275*100</f>
        <v>50</v>
      </c>
    </row>
    <row r="276" spans="1:8" ht="16.5" thickTop="1" thickBot="1" x14ac:dyDescent="0.3">
      <c r="A276" s="1980" t="s">
        <v>802</v>
      </c>
      <c r="B276" s="1981"/>
      <c r="C276" s="1981"/>
      <c r="D276" s="1982"/>
      <c r="E276" s="1957">
        <f>SUM(E275:E275)</f>
        <v>0</v>
      </c>
      <c r="F276" s="1960">
        <f>SUM(F275:F275)</f>
        <v>48</v>
      </c>
      <c r="G276" s="1960">
        <f>SUM(G275:G275)</f>
        <v>24</v>
      </c>
      <c r="H276" s="1962">
        <f>G276/F276*100</f>
        <v>50</v>
      </c>
    </row>
    <row r="277" spans="1:8" ht="15.75" thickTop="1" x14ac:dyDescent="0.25">
      <c r="A277" s="1994"/>
      <c r="B277" s="1994"/>
      <c r="C277" s="1994"/>
      <c r="D277" s="1994"/>
      <c r="E277" s="1964"/>
      <c r="F277" s="1964"/>
      <c r="G277" s="1964"/>
      <c r="H277" s="1995"/>
    </row>
    <row r="278" spans="1:8" ht="15" x14ac:dyDescent="0.25">
      <c r="A278" s="1942" t="s">
        <v>1822</v>
      </c>
      <c r="B278" s="1973"/>
      <c r="C278" s="1973"/>
      <c r="D278" s="1973"/>
      <c r="E278" s="1973"/>
      <c r="F278" s="1973"/>
      <c r="G278" s="1973"/>
      <c r="H278" s="1973"/>
    </row>
    <row r="279" spans="1:8" ht="15.75" thickBot="1" x14ac:dyDescent="0.3">
      <c r="A279" s="1942" t="s">
        <v>1823</v>
      </c>
      <c r="D279" s="1936"/>
      <c r="E279" s="1937"/>
      <c r="F279" s="1970"/>
      <c r="G279" s="1970"/>
      <c r="H279" s="1966" t="s">
        <v>173</v>
      </c>
    </row>
    <row r="280" spans="1:8" ht="25.5" thickTop="1" thickBot="1" x14ac:dyDescent="0.25">
      <c r="A280" s="1943" t="s">
        <v>174</v>
      </c>
      <c r="B280" s="1944" t="s">
        <v>800</v>
      </c>
      <c r="C280" s="1944" t="s">
        <v>397</v>
      </c>
      <c r="D280" s="1945" t="s">
        <v>176</v>
      </c>
      <c r="E280" s="1976" t="s">
        <v>669</v>
      </c>
      <c r="F280" s="1976" t="s">
        <v>670</v>
      </c>
      <c r="G280" s="1977" t="s">
        <v>923</v>
      </c>
      <c r="H280" s="1978" t="s">
        <v>924</v>
      </c>
    </row>
    <row r="281" spans="1:8" ht="14.25" thickTop="1" thickBot="1" x14ac:dyDescent="0.25">
      <c r="A281" s="1740">
        <v>1</v>
      </c>
      <c r="B281" s="1739">
        <v>2</v>
      </c>
      <c r="C281" s="1739">
        <v>3</v>
      </c>
      <c r="D281" s="1739">
        <v>4</v>
      </c>
      <c r="E281" s="1949">
        <v>5</v>
      </c>
      <c r="F281" s="1949">
        <v>6</v>
      </c>
      <c r="G281" s="1950">
        <v>7</v>
      </c>
      <c r="H281" s="1951" t="s">
        <v>61</v>
      </c>
    </row>
    <row r="282" spans="1:8" ht="16.5" thickTop="1" thickBot="1" x14ac:dyDescent="0.3">
      <c r="A282" s="1992">
        <v>3122</v>
      </c>
      <c r="B282" s="1954">
        <v>5166</v>
      </c>
      <c r="C282" s="1954"/>
      <c r="D282" s="1979" t="s">
        <v>641</v>
      </c>
      <c r="E282" s="1959">
        <v>0</v>
      </c>
      <c r="F282" s="1993">
        <v>208</v>
      </c>
      <c r="G282" s="1993">
        <v>206</v>
      </c>
      <c r="H282" s="1961">
        <f>G282/F282*100</f>
        <v>99.038461538461547</v>
      </c>
    </row>
    <row r="283" spans="1:8" ht="16.5" thickTop="1" thickBot="1" x14ac:dyDescent="0.3">
      <c r="A283" s="1980" t="s">
        <v>802</v>
      </c>
      <c r="B283" s="1981"/>
      <c r="C283" s="1981"/>
      <c r="D283" s="1982"/>
      <c r="E283" s="1957">
        <f>SUM(E282:E282)</f>
        <v>0</v>
      </c>
      <c r="F283" s="1960">
        <f>SUM(F282:F282)</f>
        <v>208</v>
      </c>
      <c r="G283" s="1960">
        <f>SUM(G282:G282)</f>
        <v>206</v>
      </c>
      <c r="H283" s="1962">
        <f>G283/F283*100</f>
        <v>99.038461538461547</v>
      </c>
    </row>
    <row r="284" spans="1:8" ht="15.75" thickTop="1" x14ac:dyDescent="0.25">
      <c r="A284" s="1994"/>
      <c r="B284" s="1994"/>
      <c r="C284" s="1994"/>
      <c r="D284" s="1994"/>
      <c r="E284" s="1964"/>
      <c r="F284" s="1964"/>
      <c r="G284" s="1964"/>
      <c r="H284" s="1995"/>
    </row>
    <row r="285" spans="1:8" ht="15" x14ac:dyDescent="0.25">
      <c r="A285" s="1942" t="s">
        <v>1824</v>
      </c>
      <c r="B285" s="1973"/>
      <c r="C285" s="1973"/>
      <c r="D285" s="1973"/>
      <c r="E285" s="1973"/>
      <c r="F285" s="1973"/>
      <c r="G285" s="1973"/>
      <c r="H285" s="1973"/>
    </row>
    <row r="286" spans="1:8" ht="15.75" thickBot="1" x14ac:dyDescent="0.3">
      <c r="A286" s="1942" t="s">
        <v>1825</v>
      </c>
      <c r="D286" s="1936"/>
      <c r="E286" s="1937"/>
      <c r="F286" s="1970"/>
      <c r="G286" s="1970"/>
      <c r="H286" s="1966" t="s">
        <v>173</v>
      </c>
    </row>
    <row r="287" spans="1:8" ht="25.5" thickTop="1" thickBot="1" x14ac:dyDescent="0.25">
      <c r="A287" s="1943" t="s">
        <v>174</v>
      </c>
      <c r="B287" s="1944" t="s">
        <v>800</v>
      </c>
      <c r="C287" s="1944" t="s">
        <v>397</v>
      </c>
      <c r="D287" s="1945" t="s">
        <v>176</v>
      </c>
      <c r="E287" s="1976" t="s">
        <v>669</v>
      </c>
      <c r="F287" s="1976" t="s">
        <v>670</v>
      </c>
      <c r="G287" s="1977" t="s">
        <v>923</v>
      </c>
      <c r="H287" s="1978" t="s">
        <v>924</v>
      </c>
    </row>
    <row r="288" spans="1:8" ht="14.25" thickTop="1" thickBot="1" x14ac:dyDescent="0.25">
      <c r="A288" s="1740">
        <v>1</v>
      </c>
      <c r="B288" s="1739">
        <v>2</v>
      </c>
      <c r="C288" s="1739">
        <v>3</v>
      </c>
      <c r="D288" s="1739">
        <v>4</v>
      </c>
      <c r="E288" s="1949">
        <v>5</v>
      </c>
      <c r="F288" s="1949">
        <v>6</v>
      </c>
      <c r="G288" s="1950">
        <v>7</v>
      </c>
      <c r="H288" s="1951" t="s">
        <v>61</v>
      </c>
    </row>
    <row r="289" spans="1:8" ht="16.5" thickTop="1" thickBot="1" x14ac:dyDescent="0.3">
      <c r="A289" s="1992">
        <v>3122</v>
      </c>
      <c r="B289" s="1954">
        <v>6121</v>
      </c>
      <c r="C289" s="1954"/>
      <c r="D289" s="1979" t="s">
        <v>640</v>
      </c>
      <c r="E289" s="1959">
        <v>0</v>
      </c>
      <c r="F289" s="1993">
        <v>140</v>
      </c>
      <c r="G289" s="1993">
        <v>124</v>
      </c>
      <c r="H289" s="1961">
        <f>G289/F289*100</f>
        <v>88.571428571428569</v>
      </c>
    </row>
    <row r="290" spans="1:8" ht="16.5" thickTop="1" thickBot="1" x14ac:dyDescent="0.3">
      <c r="A290" s="1980" t="s">
        <v>802</v>
      </c>
      <c r="B290" s="1981"/>
      <c r="C290" s="1981"/>
      <c r="D290" s="1982"/>
      <c r="E290" s="1957">
        <f>SUM(E289:E289)</f>
        <v>0</v>
      </c>
      <c r="F290" s="1960">
        <f>SUM(F289:F289)</f>
        <v>140</v>
      </c>
      <c r="G290" s="1960">
        <f>SUM(G289:G289)</f>
        <v>124</v>
      </c>
      <c r="H290" s="1962">
        <f>G290/F290*100</f>
        <v>88.571428571428569</v>
      </c>
    </row>
    <row r="291" spans="1:8" ht="15.75" thickTop="1" x14ac:dyDescent="0.25">
      <c r="A291" s="1994"/>
      <c r="B291" s="1994"/>
      <c r="C291" s="1994"/>
      <c r="D291" s="1994"/>
      <c r="E291" s="1964"/>
      <c r="F291" s="1964"/>
      <c r="G291" s="1964"/>
      <c r="H291" s="1995"/>
    </row>
    <row r="292" spans="1:8" ht="15" x14ac:dyDescent="0.25">
      <c r="A292" s="1942" t="s">
        <v>1826</v>
      </c>
      <c r="B292" s="1973"/>
      <c r="C292" s="1973"/>
      <c r="D292" s="1973"/>
      <c r="E292" s="1973"/>
      <c r="F292" s="1973"/>
      <c r="G292" s="1973"/>
      <c r="H292" s="1973"/>
    </row>
    <row r="293" spans="1:8" ht="15.75" thickBot="1" x14ac:dyDescent="0.3">
      <c r="A293" s="1942" t="s">
        <v>1827</v>
      </c>
      <c r="D293" s="1936"/>
      <c r="E293" s="1937"/>
      <c r="F293" s="1970"/>
      <c r="G293" s="1970"/>
      <c r="H293" s="1966" t="s">
        <v>173</v>
      </c>
    </row>
    <row r="294" spans="1:8" ht="25.5" thickTop="1" thickBot="1" x14ac:dyDescent="0.25">
      <c r="A294" s="1943" t="s">
        <v>174</v>
      </c>
      <c r="B294" s="1944" t="s">
        <v>800</v>
      </c>
      <c r="C294" s="1944" t="s">
        <v>397</v>
      </c>
      <c r="D294" s="1945" t="s">
        <v>176</v>
      </c>
      <c r="E294" s="1976" t="s">
        <v>669</v>
      </c>
      <c r="F294" s="1976" t="s">
        <v>670</v>
      </c>
      <c r="G294" s="1977" t="s">
        <v>923</v>
      </c>
      <c r="H294" s="1978" t="s">
        <v>924</v>
      </c>
    </row>
    <row r="295" spans="1:8" ht="14.25" thickTop="1" thickBot="1" x14ac:dyDescent="0.25">
      <c r="A295" s="1740">
        <v>1</v>
      </c>
      <c r="B295" s="1739">
        <v>2</v>
      </c>
      <c r="C295" s="1739">
        <v>3</v>
      </c>
      <c r="D295" s="1739">
        <v>4</v>
      </c>
      <c r="E295" s="1949">
        <v>5</v>
      </c>
      <c r="F295" s="1949">
        <v>6</v>
      </c>
      <c r="G295" s="1950">
        <v>7</v>
      </c>
      <c r="H295" s="1951" t="s">
        <v>61</v>
      </c>
    </row>
    <row r="296" spans="1:8" ht="16.5" thickTop="1" thickBot="1" x14ac:dyDescent="0.3">
      <c r="A296" s="1992">
        <v>3122</v>
      </c>
      <c r="B296" s="1954">
        <v>6121</v>
      </c>
      <c r="C296" s="1954"/>
      <c r="D296" s="1979" t="s">
        <v>640</v>
      </c>
      <c r="E296" s="1959">
        <v>0</v>
      </c>
      <c r="F296" s="1993">
        <v>365</v>
      </c>
      <c r="G296" s="1993">
        <v>348</v>
      </c>
      <c r="H296" s="1961">
        <f>G296/F296*100</f>
        <v>95.342465753424648</v>
      </c>
    </row>
    <row r="297" spans="1:8" ht="16.5" thickTop="1" thickBot="1" x14ac:dyDescent="0.3">
      <c r="A297" s="1980" t="s">
        <v>802</v>
      </c>
      <c r="B297" s="1981"/>
      <c r="C297" s="1981"/>
      <c r="D297" s="1982"/>
      <c r="E297" s="1957">
        <f>SUM(E296:E296)</f>
        <v>0</v>
      </c>
      <c r="F297" s="1960">
        <f>SUM(F296:F296)</f>
        <v>365</v>
      </c>
      <c r="G297" s="1960">
        <f>SUM(G296:G296)</f>
        <v>348</v>
      </c>
      <c r="H297" s="1962">
        <f>G297/F297*100</f>
        <v>95.342465753424648</v>
      </c>
    </row>
    <row r="298" spans="1:8" ht="15.75" thickTop="1" x14ac:dyDescent="0.25">
      <c r="A298" s="1994"/>
      <c r="B298" s="1994"/>
      <c r="C298" s="1994"/>
      <c r="D298" s="1994"/>
      <c r="E298" s="1964"/>
      <c r="F298" s="1964"/>
      <c r="G298" s="1964"/>
      <c r="H298" s="1995"/>
    </row>
    <row r="299" spans="1:8" ht="15" x14ac:dyDescent="0.25">
      <c r="A299" s="1994"/>
      <c r="B299" s="1994"/>
      <c r="C299" s="1994"/>
      <c r="D299" s="1994"/>
      <c r="E299" s="1964"/>
      <c r="F299" s="1964"/>
      <c r="G299" s="1964"/>
      <c r="H299" s="1995"/>
    </row>
    <row r="300" spans="1:8" ht="15" x14ac:dyDescent="0.25">
      <c r="A300" s="1942" t="s">
        <v>1625</v>
      </c>
      <c r="B300" s="1973"/>
      <c r="C300" s="1973"/>
      <c r="D300" s="1973"/>
      <c r="E300" s="1973"/>
      <c r="F300" s="1973"/>
      <c r="G300" s="1973"/>
      <c r="H300" s="1973"/>
    </row>
    <row r="301" spans="1:8" ht="15.75" thickBot="1" x14ac:dyDescent="0.3">
      <c r="A301" s="1942" t="s">
        <v>1626</v>
      </c>
      <c r="D301" s="1936"/>
      <c r="E301" s="1937"/>
      <c r="F301" s="1970"/>
      <c r="G301" s="1970"/>
      <c r="H301" s="1966" t="s">
        <v>173</v>
      </c>
    </row>
    <row r="302" spans="1:8" ht="25.5" thickTop="1" thickBot="1" x14ac:dyDescent="0.25">
      <c r="A302" s="1943" t="s">
        <v>174</v>
      </c>
      <c r="B302" s="1944" t="s">
        <v>800</v>
      </c>
      <c r="C302" s="1944" t="s">
        <v>397</v>
      </c>
      <c r="D302" s="1945" t="s">
        <v>176</v>
      </c>
      <c r="E302" s="1976" t="s">
        <v>669</v>
      </c>
      <c r="F302" s="1976" t="s">
        <v>670</v>
      </c>
      <c r="G302" s="1977" t="s">
        <v>923</v>
      </c>
      <c r="H302" s="1978" t="s">
        <v>924</v>
      </c>
    </row>
    <row r="303" spans="1:8" ht="14.25" thickTop="1" thickBot="1" x14ac:dyDescent="0.25">
      <c r="A303" s="1740">
        <v>1</v>
      </c>
      <c r="B303" s="1739">
        <v>2</v>
      </c>
      <c r="C303" s="1739">
        <v>3</v>
      </c>
      <c r="D303" s="1739">
        <v>4</v>
      </c>
      <c r="E303" s="1949">
        <v>5</v>
      </c>
      <c r="F303" s="1949">
        <v>6</v>
      </c>
      <c r="G303" s="1950">
        <v>7</v>
      </c>
      <c r="H303" s="1951" t="s">
        <v>61</v>
      </c>
    </row>
    <row r="304" spans="1:8" ht="16.5" thickTop="1" thickBot="1" x14ac:dyDescent="0.3">
      <c r="A304" s="1992">
        <v>4357</v>
      </c>
      <c r="B304" s="1954">
        <v>6121</v>
      </c>
      <c r="C304" s="1954"/>
      <c r="D304" s="1979" t="s">
        <v>640</v>
      </c>
      <c r="E304" s="1959">
        <v>0</v>
      </c>
      <c r="F304" s="1993">
        <v>39</v>
      </c>
      <c r="G304" s="1993">
        <v>35</v>
      </c>
      <c r="H304" s="1961">
        <f>G304/F304*100</f>
        <v>89.743589743589752</v>
      </c>
    </row>
    <row r="305" spans="1:11" ht="16.5" thickTop="1" thickBot="1" x14ac:dyDescent="0.3">
      <c r="A305" s="1980" t="s">
        <v>802</v>
      </c>
      <c r="B305" s="1981"/>
      <c r="C305" s="1981"/>
      <c r="D305" s="1982"/>
      <c r="E305" s="1957">
        <f>SUM(E304:E304)</f>
        <v>0</v>
      </c>
      <c r="F305" s="1960">
        <f>SUM(F304:F304)</f>
        <v>39</v>
      </c>
      <c r="G305" s="1960">
        <f>SUM(G304:G304)</f>
        <v>35</v>
      </c>
      <c r="H305" s="1962">
        <f>G305/F305*100</f>
        <v>89.743589743589752</v>
      </c>
    </row>
    <row r="306" spans="1:11" ht="15.75" thickTop="1" x14ac:dyDescent="0.25">
      <c r="A306" s="1994"/>
      <c r="B306" s="1994"/>
      <c r="C306" s="1994"/>
      <c r="D306" s="1994"/>
      <c r="E306" s="1964"/>
      <c r="F306" s="1964"/>
      <c r="G306" s="1964"/>
      <c r="H306" s="1995"/>
    </row>
    <row r="307" spans="1:11" ht="15" hidden="1" x14ac:dyDescent="0.25">
      <c r="A307" s="1942" t="s">
        <v>521</v>
      </c>
      <c r="B307" s="1973"/>
      <c r="C307" s="1973"/>
      <c r="D307" s="1973"/>
      <c r="E307" s="1973"/>
      <c r="F307" s="1973"/>
      <c r="G307" s="1973"/>
      <c r="H307" s="1973"/>
    </row>
    <row r="308" spans="1:11" ht="15" hidden="1" x14ac:dyDescent="0.25">
      <c r="A308" s="1942" t="s">
        <v>522</v>
      </c>
      <c r="D308" s="1936"/>
      <c r="E308" s="1937"/>
      <c r="F308" s="1970"/>
      <c r="G308" s="1970"/>
      <c r="H308" s="1966" t="s">
        <v>173</v>
      </c>
    </row>
    <row r="309" spans="1:11" ht="25.5" hidden="1" thickTop="1" thickBot="1" x14ac:dyDescent="0.25">
      <c r="A309" s="1943" t="s">
        <v>174</v>
      </c>
      <c r="B309" s="1944" t="s">
        <v>800</v>
      </c>
      <c r="C309" s="1944" t="s">
        <v>397</v>
      </c>
      <c r="D309" s="1945" t="s">
        <v>176</v>
      </c>
      <c r="E309" s="1976" t="s">
        <v>669</v>
      </c>
      <c r="F309" s="1976" t="s">
        <v>670</v>
      </c>
      <c r="G309" s="1977" t="s">
        <v>923</v>
      </c>
      <c r="H309" s="1978" t="s">
        <v>924</v>
      </c>
    </row>
    <row r="310" spans="1:11" ht="14.25" hidden="1" thickTop="1" thickBot="1" x14ac:dyDescent="0.25">
      <c r="A310" s="1740">
        <v>1</v>
      </c>
      <c r="B310" s="1739">
        <v>2</v>
      </c>
      <c r="C310" s="1739">
        <v>3</v>
      </c>
      <c r="D310" s="1739">
        <v>4</v>
      </c>
      <c r="E310" s="1949">
        <v>5</v>
      </c>
      <c r="F310" s="1949">
        <v>6</v>
      </c>
      <c r="G310" s="1950">
        <v>7</v>
      </c>
      <c r="H310" s="1951" t="s">
        <v>61</v>
      </c>
    </row>
    <row r="311" spans="1:11" ht="16.5" hidden="1" thickTop="1" thickBot="1" x14ac:dyDescent="0.3">
      <c r="A311" s="1992">
        <v>4357</v>
      </c>
      <c r="B311" s="1954">
        <v>6121</v>
      </c>
      <c r="C311" s="1954"/>
      <c r="D311" s="1979" t="s">
        <v>640</v>
      </c>
      <c r="E311" s="1959">
        <v>0</v>
      </c>
      <c r="F311" s="1993">
        <v>0</v>
      </c>
      <c r="G311" s="1993">
        <v>0</v>
      </c>
      <c r="H311" s="1961" t="e">
        <f>G311/F311*100</f>
        <v>#DIV/0!</v>
      </c>
    </row>
    <row r="312" spans="1:11" ht="16.5" hidden="1" thickTop="1" thickBot="1" x14ac:dyDescent="0.3">
      <c r="A312" s="1980" t="s">
        <v>802</v>
      </c>
      <c r="B312" s="1981"/>
      <c r="C312" s="1981"/>
      <c r="D312" s="1982"/>
      <c r="E312" s="1957">
        <f>SUM(E311:E311)</f>
        <v>0</v>
      </c>
      <c r="F312" s="1960">
        <f>SUM(F311:F311)</f>
        <v>0</v>
      </c>
      <c r="G312" s="1960">
        <f>SUM(G311:G311)</f>
        <v>0</v>
      </c>
      <c r="H312" s="1962" t="e">
        <f>G312/F312*100</f>
        <v>#DIV/0!</v>
      </c>
    </row>
    <row r="313" spans="1:11" ht="15" hidden="1" x14ac:dyDescent="0.25">
      <c r="A313" s="1994"/>
      <c r="B313" s="1994"/>
      <c r="C313" s="1994"/>
      <c r="D313" s="1994"/>
      <c r="E313" s="1964"/>
      <c r="F313" s="1964"/>
      <c r="G313" s="1964"/>
      <c r="H313" s="1995"/>
    </row>
    <row r="314" spans="1:11" ht="17.25" customHeight="1" x14ac:dyDescent="0.2">
      <c r="A314" s="2744" t="s">
        <v>523</v>
      </c>
      <c r="B314" s="2745"/>
      <c r="C314" s="2745"/>
      <c r="D314" s="2745"/>
      <c r="E314" s="2745"/>
      <c r="F314" s="2745"/>
      <c r="G314" s="2745"/>
      <c r="H314" s="2745"/>
    </row>
    <row r="315" spans="1:11" x14ac:dyDescent="0.2">
      <c r="A315" s="2745"/>
      <c r="B315" s="2745"/>
      <c r="C315" s="2745"/>
      <c r="D315" s="2745"/>
      <c r="E315" s="2745"/>
      <c r="F315" s="2745"/>
      <c r="G315" s="2745"/>
      <c r="H315" s="2745"/>
    </row>
    <row r="316" spans="1:11" ht="15.75" thickBot="1" x14ac:dyDescent="0.3">
      <c r="A316" s="1942" t="s">
        <v>524</v>
      </c>
      <c r="D316" s="1936"/>
      <c r="E316" s="1937"/>
      <c r="F316" s="1970"/>
      <c r="G316" s="1970"/>
      <c r="H316" s="1966" t="s">
        <v>173</v>
      </c>
    </row>
    <row r="317" spans="1:11" ht="25.5" thickTop="1" thickBot="1" x14ac:dyDescent="0.25">
      <c r="A317" s="1943" t="s">
        <v>174</v>
      </c>
      <c r="B317" s="1944" t="s">
        <v>800</v>
      </c>
      <c r="C317" s="1944" t="s">
        <v>397</v>
      </c>
      <c r="D317" s="1945" t="s">
        <v>176</v>
      </c>
      <c r="E317" s="1976" t="s">
        <v>669</v>
      </c>
      <c r="F317" s="1976" t="s">
        <v>670</v>
      </c>
      <c r="G317" s="1977" t="s">
        <v>923</v>
      </c>
      <c r="H317" s="1978" t="s">
        <v>924</v>
      </c>
    </row>
    <row r="318" spans="1:11" ht="14.25" thickTop="1" thickBot="1" x14ac:dyDescent="0.25">
      <c r="A318" s="1740">
        <v>1</v>
      </c>
      <c r="B318" s="1739">
        <v>2</v>
      </c>
      <c r="C318" s="1739">
        <v>3</v>
      </c>
      <c r="D318" s="1739">
        <v>4</v>
      </c>
      <c r="E318" s="1949">
        <v>5</v>
      </c>
      <c r="F318" s="1949">
        <v>6</v>
      </c>
      <c r="G318" s="1950">
        <v>7</v>
      </c>
      <c r="H318" s="1951" t="s">
        <v>61</v>
      </c>
      <c r="K318" s="1998"/>
    </row>
    <row r="319" spans="1:11" ht="15.75" hidden="1" thickTop="1" x14ac:dyDescent="0.25">
      <c r="A319" s="1999">
        <v>4357</v>
      </c>
      <c r="B319" s="1953">
        <v>5169</v>
      </c>
      <c r="C319" s="1953"/>
      <c r="D319" s="1979" t="s">
        <v>892</v>
      </c>
      <c r="E319" s="1959">
        <v>0</v>
      </c>
      <c r="F319" s="2000">
        <v>0</v>
      </c>
      <c r="G319" s="2001">
        <v>0</v>
      </c>
      <c r="H319" s="1961" t="e">
        <f>G319/F319*100</f>
        <v>#DIV/0!</v>
      </c>
    </row>
    <row r="320" spans="1:11" ht="16.5" thickTop="1" thickBot="1" x14ac:dyDescent="0.3">
      <c r="A320" s="2002">
        <v>4357</v>
      </c>
      <c r="B320" s="1967">
        <v>6121</v>
      </c>
      <c r="C320" s="1967"/>
      <c r="D320" s="1979" t="s">
        <v>640</v>
      </c>
      <c r="E320" s="1959">
        <v>0</v>
      </c>
      <c r="F320" s="1993">
        <v>689</v>
      </c>
      <c r="G320" s="1993">
        <v>689</v>
      </c>
      <c r="H320" s="1961">
        <f>G320/F320*100</f>
        <v>100</v>
      </c>
    </row>
    <row r="321" spans="1:8" ht="16.5" thickTop="1" thickBot="1" x14ac:dyDescent="0.3">
      <c r="A321" s="1980" t="s">
        <v>802</v>
      </c>
      <c r="B321" s="1981"/>
      <c r="C321" s="1981"/>
      <c r="D321" s="1982"/>
      <c r="E321" s="1957">
        <f>SUM(E320:E320)</f>
        <v>0</v>
      </c>
      <c r="F321" s="1960">
        <f>SUM(F319:F320)</f>
        <v>689</v>
      </c>
      <c r="G321" s="1960">
        <f>SUM(G319:G320)</f>
        <v>689</v>
      </c>
      <c r="H321" s="1962">
        <f>G321/F321*100</f>
        <v>100</v>
      </c>
    </row>
    <row r="322" spans="1:8" ht="15.75" thickTop="1" x14ac:dyDescent="0.25">
      <c r="A322" s="1994"/>
      <c r="B322" s="1994"/>
      <c r="C322" s="1994"/>
      <c r="D322" s="1994"/>
      <c r="E322" s="1964"/>
      <c r="F322" s="1964"/>
      <c r="G322" s="1964"/>
      <c r="H322" s="1995"/>
    </row>
    <row r="323" spans="1:8" ht="15" x14ac:dyDescent="0.25">
      <c r="A323" s="1942" t="s">
        <v>525</v>
      </c>
      <c r="B323" s="1973"/>
      <c r="C323" s="1973"/>
      <c r="D323" s="1973"/>
      <c r="E323" s="1973"/>
      <c r="F323" s="1973"/>
      <c r="G323" s="1973"/>
      <c r="H323" s="1973"/>
    </row>
    <row r="324" spans="1:8" ht="15.75" thickBot="1" x14ac:dyDescent="0.3">
      <c r="A324" s="1942" t="s">
        <v>375</v>
      </c>
      <c r="D324" s="1936"/>
      <c r="E324" s="1937"/>
      <c r="F324" s="1970"/>
      <c r="G324" s="1970"/>
      <c r="H324" s="1966" t="s">
        <v>173</v>
      </c>
    </row>
    <row r="325" spans="1:8" ht="25.5" thickTop="1" thickBot="1" x14ac:dyDescent="0.25">
      <c r="A325" s="1943" t="s">
        <v>174</v>
      </c>
      <c r="B325" s="1944" t="s">
        <v>800</v>
      </c>
      <c r="C325" s="1944" t="s">
        <v>397</v>
      </c>
      <c r="D325" s="1945" t="s">
        <v>176</v>
      </c>
      <c r="E325" s="1976" t="s">
        <v>669</v>
      </c>
      <c r="F325" s="1976" t="s">
        <v>670</v>
      </c>
      <c r="G325" s="1977" t="s">
        <v>923</v>
      </c>
      <c r="H325" s="1978" t="s">
        <v>924</v>
      </c>
    </row>
    <row r="326" spans="1:8" ht="14.25" thickTop="1" thickBot="1" x14ac:dyDescent="0.25">
      <c r="A326" s="1740">
        <v>1</v>
      </c>
      <c r="B326" s="1739">
        <v>2</v>
      </c>
      <c r="C326" s="1739">
        <v>3</v>
      </c>
      <c r="D326" s="1739">
        <v>4</v>
      </c>
      <c r="E326" s="1949">
        <v>5</v>
      </c>
      <c r="F326" s="1949">
        <v>6</v>
      </c>
      <c r="G326" s="1950">
        <v>7</v>
      </c>
      <c r="H326" s="1951" t="s">
        <v>61</v>
      </c>
    </row>
    <row r="327" spans="1:8" ht="16.5" thickTop="1" thickBot="1" x14ac:dyDescent="0.3">
      <c r="A327" s="1992">
        <v>4351</v>
      </c>
      <c r="B327" s="1954">
        <v>6121</v>
      </c>
      <c r="C327" s="1954"/>
      <c r="D327" s="1979" t="s">
        <v>640</v>
      </c>
      <c r="E327" s="1959">
        <v>0</v>
      </c>
      <c r="F327" s="1993">
        <v>46</v>
      </c>
      <c r="G327" s="1993">
        <v>44</v>
      </c>
      <c r="H327" s="1961">
        <f>G327/F327*100</f>
        <v>95.652173913043484</v>
      </c>
    </row>
    <row r="328" spans="1:8" ht="16.5" thickTop="1" thickBot="1" x14ac:dyDescent="0.3">
      <c r="A328" s="1980" t="s">
        <v>802</v>
      </c>
      <c r="B328" s="1981"/>
      <c r="C328" s="1981"/>
      <c r="D328" s="1982"/>
      <c r="E328" s="1957">
        <f>SUM(E327:E327)</f>
        <v>0</v>
      </c>
      <c r="F328" s="1960">
        <f>SUM(F327:F327)</f>
        <v>46</v>
      </c>
      <c r="G328" s="1960">
        <f>SUM(G327:G327)</f>
        <v>44</v>
      </c>
      <c r="H328" s="1962">
        <f>G328/F328*100</f>
        <v>95.652173913043484</v>
      </c>
    </row>
    <row r="329" spans="1:8" ht="15.75" thickTop="1" x14ac:dyDescent="0.25">
      <c r="A329" s="1994"/>
      <c r="B329" s="1994"/>
      <c r="C329" s="1994"/>
      <c r="D329" s="1994"/>
      <c r="E329" s="1964"/>
      <c r="F329" s="1964"/>
      <c r="G329" s="1964"/>
      <c r="H329" s="1995"/>
    </row>
    <row r="330" spans="1:8" ht="15" x14ac:dyDescent="0.25">
      <c r="A330" s="1942" t="s">
        <v>1627</v>
      </c>
      <c r="B330" s="1973"/>
      <c r="C330" s="1973"/>
      <c r="D330" s="1973"/>
      <c r="E330" s="1973"/>
      <c r="F330" s="1973"/>
      <c r="G330" s="1973"/>
      <c r="H330" s="1973"/>
    </row>
    <row r="331" spans="1:8" ht="15.75" thickBot="1" x14ac:dyDescent="0.3">
      <c r="A331" s="1942" t="s">
        <v>1628</v>
      </c>
      <c r="D331" s="1936"/>
      <c r="E331" s="1937"/>
      <c r="F331" s="1970"/>
      <c r="G331" s="1970"/>
      <c r="H331" s="1966" t="s">
        <v>173</v>
      </c>
    </row>
    <row r="332" spans="1:8" ht="25.5" thickTop="1" thickBot="1" x14ac:dyDescent="0.25">
      <c r="A332" s="1943" t="s">
        <v>174</v>
      </c>
      <c r="B332" s="1944" t="s">
        <v>800</v>
      </c>
      <c r="C332" s="1944" t="s">
        <v>397</v>
      </c>
      <c r="D332" s="1945" t="s">
        <v>176</v>
      </c>
      <c r="E332" s="1976" t="s">
        <v>669</v>
      </c>
      <c r="F332" s="1976" t="s">
        <v>670</v>
      </c>
      <c r="G332" s="1977" t="s">
        <v>923</v>
      </c>
      <c r="H332" s="1978" t="s">
        <v>924</v>
      </c>
    </row>
    <row r="333" spans="1:8" ht="14.25" thickTop="1" thickBot="1" x14ac:dyDescent="0.25">
      <c r="A333" s="1740">
        <v>1</v>
      </c>
      <c r="B333" s="1739">
        <v>2</v>
      </c>
      <c r="C333" s="1739">
        <v>3</v>
      </c>
      <c r="D333" s="1739">
        <v>4</v>
      </c>
      <c r="E333" s="1949">
        <v>5</v>
      </c>
      <c r="F333" s="1949">
        <v>6</v>
      </c>
      <c r="G333" s="1950">
        <v>7</v>
      </c>
      <c r="H333" s="1951" t="s">
        <v>61</v>
      </c>
    </row>
    <row r="334" spans="1:8" ht="16.5" thickTop="1" thickBot="1" x14ac:dyDescent="0.3">
      <c r="A334" s="1992">
        <v>4357</v>
      </c>
      <c r="B334" s="1954">
        <v>6121</v>
      </c>
      <c r="C334" s="1954"/>
      <c r="D334" s="1979" t="s">
        <v>640</v>
      </c>
      <c r="E334" s="1959">
        <v>0</v>
      </c>
      <c r="F334" s="1993">
        <v>150</v>
      </c>
      <c r="G334" s="1993">
        <v>150</v>
      </c>
      <c r="H334" s="1961">
        <f>G334/F334*100</f>
        <v>100</v>
      </c>
    </row>
    <row r="335" spans="1:8" ht="16.5" thickTop="1" thickBot="1" x14ac:dyDescent="0.3">
      <c r="A335" s="1980" t="s">
        <v>802</v>
      </c>
      <c r="B335" s="1981"/>
      <c r="C335" s="1981"/>
      <c r="D335" s="1982"/>
      <c r="E335" s="1957">
        <f>SUM(E334:E334)</f>
        <v>0</v>
      </c>
      <c r="F335" s="1960">
        <f>SUM(F334:F334)</f>
        <v>150</v>
      </c>
      <c r="G335" s="1960">
        <f>SUM(G334:G334)</f>
        <v>150</v>
      </c>
      <c r="H335" s="1962">
        <f>G335/F335*100</f>
        <v>100</v>
      </c>
    </row>
    <row r="336" spans="1:8" ht="15.75" thickTop="1" x14ac:dyDescent="0.25">
      <c r="A336" s="1994"/>
      <c r="B336" s="1994"/>
      <c r="C336" s="1994"/>
      <c r="D336" s="1994"/>
      <c r="E336" s="1964"/>
      <c r="F336" s="1964"/>
      <c r="G336" s="1964"/>
      <c r="H336" s="1995"/>
    </row>
    <row r="337" spans="1:8" ht="15" x14ac:dyDescent="0.25">
      <c r="A337" s="1942" t="s">
        <v>528</v>
      </c>
      <c r="B337" s="2003"/>
      <c r="C337" s="2003"/>
      <c r="D337" s="2003"/>
      <c r="E337" s="2003"/>
      <c r="F337" s="2003"/>
      <c r="G337" s="2003"/>
      <c r="H337" s="2003"/>
    </row>
    <row r="338" spans="1:8" ht="15.75" thickBot="1" x14ac:dyDescent="0.3">
      <c r="A338" s="1942" t="s">
        <v>529</v>
      </c>
      <c r="D338" s="1936"/>
      <c r="E338" s="1937"/>
      <c r="F338" s="1970"/>
      <c r="G338" s="1970"/>
      <c r="H338" s="1937" t="s">
        <v>173</v>
      </c>
    </row>
    <row r="339" spans="1:8" ht="25.5" thickTop="1" thickBot="1" x14ac:dyDescent="0.25">
      <c r="A339" s="1943" t="s">
        <v>174</v>
      </c>
      <c r="B339" s="1944" t="s">
        <v>800</v>
      </c>
      <c r="C339" s="1944" t="s">
        <v>397</v>
      </c>
      <c r="D339" s="1945" t="s">
        <v>176</v>
      </c>
      <c r="E339" s="1976" t="s">
        <v>669</v>
      </c>
      <c r="F339" s="1976" t="s">
        <v>670</v>
      </c>
      <c r="G339" s="1977" t="s">
        <v>923</v>
      </c>
      <c r="H339" s="1978" t="s">
        <v>924</v>
      </c>
    </row>
    <row r="340" spans="1:8" ht="14.25" thickTop="1" thickBot="1" x14ac:dyDescent="0.25">
      <c r="A340" s="1740">
        <v>1</v>
      </c>
      <c r="B340" s="1739">
        <v>2</v>
      </c>
      <c r="C340" s="1739">
        <v>3</v>
      </c>
      <c r="D340" s="1739">
        <v>4</v>
      </c>
      <c r="E340" s="1949">
        <v>5</v>
      </c>
      <c r="F340" s="1949">
        <v>6</v>
      </c>
      <c r="G340" s="1950">
        <v>7</v>
      </c>
      <c r="H340" s="1996" t="s">
        <v>61</v>
      </c>
    </row>
    <row r="341" spans="1:8" ht="16.5" thickTop="1" thickBot="1" x14ac:dyDescent="0.3">
      <c r="A341" s="1992">
        <v>4357</v>
      </c>
      <c r="B341" s="1954">
        <v>6121</v>
      </c>
      <c r="C341" s="1954"/>
      <c r="D341" s="1979" t="s">
        <v>640</v>
      </c>
      <c r="E341" s="1959">
        <v>0</v>
      </c>
      <c r="F341" s="1993">
        <v>71</v>
      </c>
      <c r="G341" s="1993">
        <v>70</v>
      </c>
      <c r="H341" s="1997">
        <f>G341/F341*100</f>
        <v>98.591549295774655</v>
      </c>
    </row>
    <row r="342" spans="1:8" ht="16.5" thickTop="1" thickBot="1" x14ac:dyDescent="0.3">
      <c r="A342" s="1980" t="s">
        <v>802</v>
      </c>
      <c r="B342" s="1981"/>
      <c r="C342" s="1981"/>
      <c r="D342" s="1982"/>
      <c r="E342" s="1957">
        <f>SUM(E341:E341)</f>
        <v>0</v>
      </c>
      <c r="F342" s="1960">
        <f>SUM(F341:F341)</f>
        <v>71</v>
      </c>
      <c r="G342" s="1960">
        <f>SUM(G341:G341)</f>
        <v>70</v>
      </c>
      <c r="H342" s="1962">
        <f>G342/F342*100</f>
        <v>98.591549295774655</v>
      </c>
    </row>
    <row r="343" spans="1:8" ht="15.75" thickTop="1" x14ac:dyDescent="0.25">
      <c r="A343" s="1994"/>
      <c r="B343" s="1994"/>
      <c r="C343" s="1994"/>
      <c r="D343" s="1994"/>
      <c r="E343" s="1964"/>
      <c r="F343" s="1964"/>
      <c r="G343" s="1964"/>
      <c r="H343" s="1995"/>
    </row>
    <row r="344" spans="1:8" ht="15" x14ac:dyDescent="0.25">
      <c r="A344" s="1942" t="s">
        <v>1653</v>
      </c>
      <c r="B344" s="1973"/>
      <c r="C344" s="1973"/>
      <c r="D344" s="1973"/>
      <c r="E344" s="1973"/>
      <c r="F344" s="1973"/>
      <c r="G344" s="1973"/>
      <c r="H344" s="1973"/>
    </row>
    <row r="345" spans="1:8" ht="15.75" thickBot="1" x14ac:dyDescent="0.3">
      <c r="A345" s="1942" t="s">
        <v>530</v>
      </c>
      <c r="D345" s="1936"/>
      <c r="E345" s="1937"/>
      <c r="F345" s="1970"/>
      <c r="G345" s="1970"/>
      <c r="H345" s="1966" t="s">
        <v>173</v>
      </c>
    </row>
    <row r="346" spans="1:8" ht="25.5" thickTop="1" thickBot="1" x14ac:dyDescent="0.25">
      <c r="A346" s="1943" t="s">
        <v>174</v>
      </c>
      <c r="B346" s="1944" t="s">
        <v>800</v>
      </c>
      <c r="C346" s="1944" t="s">
        <v>397</v>
      </c>
      <c r="D346" s="1945" t="s">
        <v>176</v>
      </c>
      <c r="E346" s="1976" t="s">
        <v>669</v>
      </c>
      <c r="F346" s="1976" t="s">
        <v>670</v>
      </c>
      <c r="G346" s="1977" t="s">
        <v>923</v>
      </c>
      <c r="H346" s="1978" t="s">
        <v>924</v>
      </c>
    </row>
    <row r="347" spans="1:8" ht="14.25" thickTop="1" thickBot="1" x14ac:dyDescent="0.25">
      <c r="A347" s="1740">
        <v>1</v>
      </c>
      <c r="B347" s="1739">
        <v>2</v>
      </c>
      <c r="C347" s="1739">
        <v>3</v>
      </c>
      <c r="D347" s="1739">
        <v>4</v>
      </c>
      <c r="E347" s="1949">
        <v>5</v>
      </c>
      <c r="F347" s="1949">
        <v>6</v>
      </c>
      <c r="G347" s="1950">
        <v>7</v>
      </c>
      <c r="H347" s="1951" t="s">
        <v>61</v>
      </c>
    </row>
    <row r="348" spans="1:8" ht="15.75" hidden="1" thickTop="1" x14ac:dyDescent="0.25">
      <c r="A348" s="1992">
        <v>4357</v>
      </c>
      <c r="B348" s="1954">
        <v>5166</v>
      </c>
      <c r="C348" s="1954"/>
      <c r="D348" s="1979" t="s">
        <v>646</v>
      </c>
      <c r="E348" s="1959">
        <v>0</v>
      </c>
      <c r="F348" s="2000">
        <v>0</v>
      </c>
      <c r="G348" s="2001">
        <v>0</v>
      </c>
      <c r="H348" s="1961" t="e">
        <f>G348/F348*100</f>
        <v>#DIV/0!</v>
      </c>
    </row>
    <row r="349" spans="1:8" ht="16.5" thickTop="1" thickBot="1" x14ac:dyDescent="0.3">
      <c r="A349" s="2002">
        <v>4357</v>
      </c>
      <c r="B349" s="1967">
        <v>6121</v>
      </c>
      <c r="C349" s="1967"/>
      <c r="D349" s="1979" t="s">
        <v>640</v>
      </c>
      <c r="E349" s="1959">
        <v>0</v>
      </c>
      <c r="F349" s="1993">
        <v>216</v>
      </c>
      <c r="G349" s="1993">
        <v>181</v>
      </c>
      <c r="H349" s="1961">
        <f>G349/F349*100</f>
        <v>83.796296296296291</v>
      </c>
    </row>
    <row r="350" spans="1:8" ht="16.5" thickTop="1" thickBot="1" x14ac:dyDescent="0.3">
      <c r="A350" s="1980" t="s">
        <v>802</v>
      </c>
      <c r="B350" s="1981"/>
      <c r="C350" s="1981"/>
      <c r="D350" s="1982"/>
      <c r="E350" s="1957">
        <f>SUM(E349:E349)</f>
        <v>0</v>
      </c>
      <c r="F350" s="1960">
        <f>SUM(F348:F349)</f>
        <v>216</v>
      </c>
      <c r="G350" s="1960">
        <f>SUM(G348:G349)</f>
        <v>181</v>
      </c>
      <c r="H350" s="1962">
        <f>G350/F350*100</f>
        <v>83.796296296296291</v>
      </c>
    </row>
    <row r="351" spans="1:8" ht="15.75" thickTop="1" x14ac:dyDescent="0.25">
      <c r="A351" s="1994"/>
      <c r="B351" s="1994"/>
      <c r="C351" s="1994"/>
      <c r="D351" s="1994"/>
      <c r="E351" s="1964"/>
      <c r="F351" s="1964"/>
      <c r="G351" s="1964"/>
      <c r="H351" s="1995"/>
    </row>
    <row r="352" spans="1:8" ht="15" hidden="1" x14ac:dyDescent="0.25">
      <c r="A352" s="1942" t="s">
        <v>531</v>
      </c>
      <c r="B352" s="1973"/>
      <c r="C352" s="1973"/>
      <c r="D352" s="1973"/>
      <c r="E352" s="1973"/>
      <c r="F352" s="1973"/>
      <c r="G352" s="1973"/>
      <c r="H352" s="1973"/>
    </row>
    <row r="353" spans="1:8" ht="15" hidden="1" x14ac:dyDescent="0.25">
      <c r="A353" s="1942" t="s">
        <v>532</v>
      </c>
      <c r="D353" s="1936"/>
      <c r="E353" s="1937"/>
      <c r="F353" s="1970"/>
      <c r="G353" s="1970"/>
      <c r="H353" s="1937" t="s">
        <v>173</v>
      </c>
    </row>
    <row r="354" spans="1:8" ht="25.5" hidden="1" thickTop="1" thickBot="1" x14ac:dyDescent="0.25">
      <c r="A354" s="1943" t="s">
        <v>174</v>
      </c>
      <c r="B354" s="1944" t="s">
        <v>800</v>
      </c>
      <c r="C354" s="1944" t="s">
        <v>397</v>
      </c>
      <c r="D354" s="1945" t="s">
        <v>176</v>
      </c>
      <c r="E354" s="1976" t="s">
        <v>669</v>
      </c>
      <c r="F354" s="1976" t="s">
        <v>670</v>
      </c>
      <c r="G354" s="1977" t="s">
        <v>923</v>
      </c>
      <c r="H354" s="1978" t="s">
        <v>924</v>
      </c>
    </row>
    <row r="355" spans="1:8" ht="14.25" hidden="1" thickTop="1" thickBot="1" x14ac:dyDescent="0.25">
      <c r="A355" s="1740">
        <v>1</v>
      </c>
      <c r="B355" s="1739">
        <v>2</v>
      </c>
      <c r="C355" s="1739">
        <v>3</v>
      </c>
      <c r="D355" s="1739">
        <v>4</v>
      </c>
      <c r="E355" s="1949">
        <v>5</v>
      </c>
      <c r="F355" s="1949">
        <v>6</v>
      </c>
      <c r="G355" s="1950">
        <v>7</v>
      </c>
      <c r="H355" s="1996" t="s">
        <v>61</v>
      </c>
    </row>
    <row r="356" spans="1:8" ht="16.5" hidden="1" thickTop="1" thickBot="1" x14ac:dyDescent="0.3">
      <c r="A356" s="1992">
        <v>4357</v>
      </c>
      <c r="B356" s="1954">
        <v>6121</v>
      </c>
      <c r="C356" s="1954"/>
      <c r="D356" s="1979" t="s">
        <v>640</v>
      </c>
      <c r="E356" s="1959">
        <v>0</v>
      </c>
      <c r="F356" s="1993">
        <v>0</v>
      </c>
      <c r="G356" s="1993">
        <v>0</v>
      </c>
      <c r="H356" s="1997" t="e">
        <f>G356/F356*100</f>
        <v>#DIV/0!</v>
      </c>
    </row>
    <row r="357" spans="1:8" ht="16.5" hidden="1" thickTop="1" thickBot="1" x14ac:dyDescent="0.3">
      <c r="A357" s="1980" t="s">
        <v>802</v>
      </c>
      <c r="B357" s="1981"/>
      <c r="C357" s="1981"/>
      <c r="D357" s="1982"/>
      <c r="E357" s="1957">
        <f>SUM(E356:E356)</f>
        <v>0</v>
      </c>
      <c r="F357" s="1960">
        <f>SUM(F356:F356)</f>
        <v>0</v>
      </c>
      <c r="G357" s="1960">
        <f>SUM(G356:G356)</f>
        <v>0</v>
      </c>
      <c r="H357" s="1962" t="e">
        <f>G357/F357*100</f>
        <v>#DIV/0!</v>
      </c>
    </row>
    <row r="358" spans="1:8" ht="15" hidden="1" x14ac:dyDescent="0.25">
      <c r="A358" s="1994"/>
      <c r="B358" s="1994"/>
      <c r="C358" s="1994"/>
      <c r="D358" s="1994"/>
      <c r="E358" s="1964"/>
      <c r="F358" s="1964"/>
      <c r="G358" s="1964"/>
      <c r="H358" s="1995"/>
    </row>
    <row r="359" spans="1:8" ht="15" x14ac:dyDescent="0.25">
      <c r="A359" s="1942" t="s">
        <v>533</v>
      </c>
      <c r="B359" s="1973"/>
      <c r="C359" s="1973"/>
      <c r="D359" s="1973"/>
      <c r="E359" s="1973"/>
      <c r="F359" s="1973"/>
      <c r="G359" s="1973"/>
      <c r="H359" s="1973"/>
    </row>
    <row r="360" spans="1:8" ht="15.75" thickBot="1" x14ac:dyDescent="0.3">
      <c r="A360" s="1942" t="s">
        <v>534</v>
      </c>
      <c r="D360" s="1936"/>
      <c r="E360" s="1937"/>
      <c r="F360" s="1970"/>
      <c r="G360" s="1970"/>
      <c r="H360" s="1966" t="s">
        <v>173</v>
      </c>
    </row>
    <row r="361" spans="1:8" ht="25.5" thickTop="1" thickBot="1" x14ac:dyDescent="0.25">
      <c r="A361" s="1943" t="s">
        <v>174</v>
      </c>
      <c r="B361" s="1944" t="s">
        <v>800</v>
      </c>
      <c r="C361" s="1944" t="s">
        <v>397</v>
      </c>
      <c r="D361" s="1945" t="s">
        <v>176</v>
      </c>
      <c r="E361" s="1976" t="s">
        <v>669</v>
      </c>
      <c r="F361" s="1976" t="s">
        <v>670</v>
      </c>
      <c r="G361" s="1977" t="s">
        <v>923</v>
      </c>
      <c r="H361" s="1978" t="s">
        <v>924</v>
      </c>
    </row>
    <row r="362" spans="1:8" ht="14.25" thickTop="1" thickBot="1" x14ac:dyDescent="0.25">
      <c r="A362" s="1740">
        <v>1</v>
      </c>
      <c r="B362" s="1739">
        <v>2</v>
      </c>
      <c r="C362" s="1739">
        <v>3</v>
      </c>
      <c r="D362" s="1739">
        <v>4</v>
      </c>
      <c r="E362" s="1949">
        <v>5</v>
      </c>
      <c r="F362" s="1949">
        <v>6</v>
      </c>
      <c r="G362" s="1950">
        <v>7</v>
      </c>
      <c r="H362" s="1951" t="s">
        <v>61</v>
      </c>
    </row>
    <row r="363" spans="1:8" ht="16.5" thickTop="1" thickBot="1" x14ac:dyDescent="0.3">
      <c r="A363" s="1992">
        <v>4357</v>
      </c>
      <c r="B363" s="1954">
        <v>6121</v>
      </c>
      <c r="C363" s="1954"/>
      <c r="D363" s="1979" t="s">
        <v>640</v>
      </c>
      <c r="E363" s="1959">
        <v>0</v>
      </c>
      <c r="F363" s="1993">
        <v>109</v>
      </c>
      <c r="G363" s="1993">
        <v>109</v>
      </c>
      <c r="H363" s="1961">
        <f>G363/F363*100</f>
        <v>100</v>
      </c>
    </row>
    <row r="364" spans="1:8" ht="16.5" thickTop="1" thickBot="1" x14ac:dyDescent="0.3">
      <c r="A364" s="1980" t="s">
        <v>802</v>
      </c>
      <c r="B364" s="1981"/>
      <c r="C364" s="1981"/>
      <c r="D364" s="1982"/>
      <c r="E364" s="1957">
        <f>SUM(E363:E363)</f>
        <v>0</v>
      </c>
      <c r="F364" s="1960">
        <f>SUM(F363:F363)</f>
        <v>109</v>
      </c>
      <c r="G364" s="1960">
        <f>SUM(G363:G363)</f>
        <v>109</v>
      </c>
      <c r="H364" s="1962">
        <f>G364/F364*100</f>
        <v>100</v>
      </c>
    </row>
    <row r="365" spans="1:8" ht="15.75" thickTop="1" x14ac:dyDescent="0.25">
      <c r="A365" s="1994"/>
      <c r="B365" s="1994"/>
      <c r="C365" s="1994"/>
      <c r="D365" s="1994"/>
      <c r="E365" s="1964"/>
      <c r="F365" s="1964"/>
      <c r="G365" s="1964"/>
      <c r="H365" s="1995"/>
    </row>
    <row r="366" spans="1:8" ht="15" x14ac:dyDescent="0.25">
      <c r="A366" s="1942" t="s">
        <v>535</v>
      </c>
      <c r="B366" s="1973"/>
      <c r="C366" s="1973"/>
      <c r="D366" s="1973"/>
      <c r="E366" s="1973"/>
      <c r="F366" s="1973"/>
      <c r="G366" s="1973"/>
      <c r="H366" s="1973"/>
    </row>
    <row r="367" spans="1:8" ht="15.75" thickBot="1" x14ac:dyDescent="0.3">
      <c r="A367" s="1942" t="s">
        <v>536</v>
      </c>
      <c r="D367" s="1936"/>
      <c r="E367" s="1937"/>
      <c r="F367" s="1970"/>
      <c r="G367" s="1970"/>
      <c r="H367" s="1966" t="s">
        <v>173</v>
      </c>
    </row>
    <row r="368" spans="1:8" ht="25.5" thickTop="1" thickBot="1" x14ac:dyDescent="0.25">
      <c r="A368" s="1943" t="s">
        <v>174</v>
      </c>
      <c r="B368" s="1944" t="s">
        <v>800</v>
      </c>
      <c r="C368" s="1944" t="s">
        <v>397</v>
      </c>
      <c r="D368" s="1945" t="s">
        <v>176</v>
      </c>
      <c r="E368" s="1976" t="s">
        <v>669</v>
      </c>
      <c r="F368" s="1976" t="s">
        <v>670</v>
      </c>
      <c r="G368" s="1977" t="s">
        <v>923</v>
      </c>
      <c r="H368" s="1978" t="s">
        <v>924</v>
      </c>
    </row>
    <row r="369" spans="1:8" ht="14.25" thickTop="1" thickBot="1" x14ac:dyDescent="0.25">
      <c r="A369" s="1740">
        <v>1</v>
      </c>
      <c r="B369" s="1739">
        <v>2</v>
      </c>
      <c r="C369" s="1739">
        <v>3</v>
      </c>
      <c r="D369" s="1739">
        <v>4</v>
      </c>
      <c r="E369" s="1949">
        <v>5</v>
      </c>
      <c r="F369" s="1949">
        <v>6</v>
      </c>
      <c r="G369" s="1950">
        <v>7</v>
      </c>
      <c r="H369" s="1951" t="s">
        <v>61</v>
      </c>
    </row>
    <row r="370" spans="1:8" ht="16.5" thickTop="1" thickBot="1" x14ac:dyDescent="0.3">
      <c r="A370" s="1992">
        <v>4357</v>
      </c>
      <c r="B370" s="1954">
        <v>6121</v>
      </c>
      <c r="C370" s="1954"/>
      <c r="D370" s="1979" t="s">
        <v>640</v>
      </c>
      <c r="E370" s="1959">
        <v>0</v>
      </c>
      <c r="F370" s="1993">
        <v>176</v>
      </c>
      <c r="G370" s="1993">
        <v>176</v>
      </c>
      <c r="H370" s="1961">
        <f>G370/F370*100</f>
        <v>100</v>
      </c>
    </row>
    <row r="371" spans="1:8" ht="16.5" thickTop="1" thickBot="1" x14ac:dyDescent="0.3">
      <c r="A371" s="1980" t="s">
        <v>802</v>
      </c>
      <c r="B371" s="1981"/>
      <c r="C371" s="1981"/>
      <c r="D371" s="1982"/>
      <c r="E371" s="1957">
        <f>SUM(E370:E370)</f>
        <v>0</v>
      </c>
      <c r="F371" s="1960">
        <f>SUM(F370:F370)</f>
        <v>176</v>
      </c>
      <c r="G371" s="1960">
        <f>SUM(G370:G370)</f>
        <v>176</v>
      </c>
      <c r="H371" s="1962">
        <f>G371/F371*100</f>
        <v>100</v>
      </c>
    </row>
    <row r="372" spans="1:8" ht="15.75" thickTop="1" x14ac:dyDescent="0.25">
      <c r="A372" s="1994"/>
      <c r="B372" s="1994"/>
      <c r="C372" s="1994"/>
      <c r="D372" s="1994"/>
      <c r="E372" s="1964"/>
      <c r="F372" s="1964"/>
      <c r="G372" s="1964"/>
      <c r="H372" s="1995"/>
    </row>
    <row r="373" spans="1:8" ht="15" x14ac:dyDescent="0.25">
      <c r="A373" s="1942" t="s">
        <v>537</v>
      </c>
      <c r="B373" s="1973"/>
      <c r="C373" s="1973"/>
      <c r="D373" s="1973"/>
      <c r="E373" s="1973"/>
      <c r="F373" s="1973"/>
      <c r="G373" s="1973"/>
      <c r="H373" s="1973"/>
    </row>
    <row r="374" spans="1:8" ht="15.75" thickBot="1" x14ac:dyDescent="0.3">
      <c r="A374" s="1942" t="s">
        <v>538</v>
      </c>
      <c r="D374" s="1936"/>
      <c r="E374" s="1937"/>
      <c r="F374" s="1970"/>
      <c r="G374" s="1970"/>
      <c r="H374" s="1966" t="s">
        <v>173</v>
      </c>
    </row>
    <row r="375" spans="1:8" ht="25.5" thickTop="1" thickBot="1" x14ac:dyDescent="0.25">
      <c r="A375" s="1943" t="s">
        <v>174</v>
      </c>
      <c r="B375" s="1944" t="s">
        <v>800</v>
      </c>
      <c r="C375" s="1944" t="s">
        <v>397</v>
      </c>
      <c r="D375" s="1945" t="s">
        <v>176</v>
      </c>
      <c r="E375" s="1976" t="s">
        <v>669</v>
      </c>
      <c r="F375" s="1976" t="s">
        <v>670</v>
      </c>
      <c r="G375" s="1977" t="s">
        <v>923</v>
      </c>
      <c r="H375" s="1978" t="s">
        <v>924</v>
      </c>
    </row>
    <row r="376" spans="1:8" ht="14.25" thickTop="1" thickBot="1" x14ac:dyDescent="0.25">
      <c r="A376" s="1740">
        <v>1</v>
      </c>
      <c r="B376" s="1739">
        <v>2</v>
      </c>
      <c r="C376" s="1739">
        <v>3</v>
      </c>
      <c r="D376" s="1739">
        <v>4</v>
      </c>
      <c r="E376" s="1949">
        <v>5</v>
      </c>
      <c r="F376" s="1949">
        <v>6</v>
      </c>
      <c r="G376" s="1950">
        <v>7</v>
      </c>
      <c r="H376" s="1951" t="s">
        <v>61</v>
      </c>
    </row>
    <row r="377" spans="1:8" ht="16.5" thickTop="1" thickBot="1" x14ac:dyDescent="0.3">
      <c r="A377" s="1992">
        <v>4357</v>
      </c>
      <c r="B377" s="1954">
        <v>6121</v>
      </c>
      <c r="C377" s="1954"/>
      <c r="D377" s="1979" t="s">
        <v>640</v>
      </c>
      <c r="E377" s="1959">
        <v>0</v>
      </c>
      <c r="F377" s="1993">
        <v>97</v>
      </c>
      <c r="G377" s="1993">
        <v>70</v>
      </c>
      <c r="H377" s="1961">
        <f>G377/F377*100</f>
        <v>72.164948453608247</v>
      </c>
    </row>
    <row r="378" spans="1:8" ht="16.5" thickTop="1" thickBot="1" x14ac:dyDescent="0.3">
      <c r="A378" s="1980" t="s">
        <v>802</v>
      </c>
      <c r="B378" s="1981"/>
      <c r="C378" s="1981"/>
      <c r="D378" s="1982"/>
      <c r="E378" s="1957">
        <f>SUM(E377:E377)</f>
        <v>0</v>
      </c>
      <c r="F378" s="1960">
        <f>SUM(F377:F377)</f>
        <v>97</v>
      </c>
      <c r="G378" s="1960">
        <f>SUM(G377:G377)</f>
        <v>70</v>
      </c>
      <c r="H378" s="1962">
        <f>G378/F378*100</f>
        <v>72.164948453608247</v>
      </c>
    </row>
    <row r="379" spans="1:8" ht="15.75" thickTop="1" x14ac:dyDescent="0.25">
      <c r="A379" s="1994"/>
      <c r="B379" s="1994"/>
      <c r="C379" s="1994"/>
      <c r="D379" s="1994"/>
      <c r="E379" s="1964"/>
      <c r="F379" s="1964"/>
      <c r="G379" s="1964"/>
      <c r="H379" s="1995"/>
    </row>
    <row r="380" spans="1:8" ht="15" x14ac:dyDescent="0.25">
      <c r="A380" s="1942" t="s">
        <v>539</v>
      </c>
      <c r="B380" s="1973"/>
      <c r="C380" s="1973"/>
      <c r="D380" s="1973"/>
      <c r="E380" s="1973"/>
      <c r="F380" s="1973"/>
      <c r="G380" s="1973"/>
      <c r="H380" s="1973"/>
    </row>
    <row r="381" spans="1:8" ht="15.75" thickBot="1" x14ac:dyDescent="0.3">
      <c r="A381" s="1942" t="s">
        <v>540</v>
      </c>
      <c r="D381" s="1936"/>
      <c r="E381" s="1937"/>
      <c r="F381" s="1970"/>
      <c r="G381" s="1970"/>
      <c r="H381" s="1966" t="s">
        <v>173</v>
      </c>
    </row>
    <row r="382" spans="1:8" ht="25.5" thickTop="1" thickBot="1" x14ac:dyDescent="0.25">
      <c r="A382" s="1943" t="s">
        <v>174</v>
      </c>
      <c r="B382" s="1944" t="s">
        <v>800</v>
      </c>
      <c r="C382" s="1944" t="s">
        <v>397</v>
      </c>
      <c r="D382" s="1945" t="s">
        <v>176</v>
      </c>
      <c r="E382" s="1976" t="s">
        <v>669</v>
      </c>
      <c r="F382" s="1976" t="s">
        <v>670</v>
      </c>
      <c r="G382" s="1977" t="s">
        <v>923</v>
      </c>
      <c r="H382" s="1978" t="s">
        <v>924</v>
      </c>
    </row>
    <row r="383" spans="1:8" ht="14.25" thickTop="1" thickBot="1" x14ac:dyDescent="0.25">
      <c r="A383" s="1740">
        <v>1</v>
      </c>
      <c r="B383" s="1739">
        <v>2</v>
      </c>
      <c r="C383" s="1739">
        <v>3</v>
      </c>
      <c r="D383" s="1739">
        <v>4</v>
      </c>
      <c r="E383" s="1949">
        <v>5</v>
      </c>
      <c r="F383" s="1949">
        <v>6</v>
      </c>
      <c r="G383" s="1950">
        <v>7</v>
      </c>
      <c r="H383" s="1951" t="s">
        <v>61</v>
      </c>
    </row>
    <row r="384" spans="1:8" ht="16.5" thickTop="1" thickBot="1" x14ac:dyDescent="0.3">
      <c r="A384" s="1992">
        <v>4357</v>
      </c>
      <c r="B384" s="1954">
        <v>6121</v>
      </c>
      <c r="C384" s="1954"/>
      <c r="D384" s="1979" t="s">
        <v>640</v>
      </c>
      <c r="E384" s="1959">
        <v>0</v>
      </c>
      <c r="F384" s="1993">
        <v>108</v>
      </c>
      <c r="G384" s="1993">
        <v>104</v>
      </c>
      <c r="H384" s="1961">
        <f>G384/F384*100</f>
        <v>96.296296296296291</v>
      </c>
    </row>
    <row r="385" spans="1:8" ht="16.5" thickTop="1" thickBot="1" x14ac:dyDescent="0.3">
      <c r="A385" s="1980" t="s">
        <v>802</v>
      </c>
      <c r="B385" s="1981"/>
      <c r="C385" s="1981"/>
      <c r="D385" s="1982"/>
      <c r="E385" s="1957">
        <f>SUM(E384:E384)</f>
        <v>0</v>
      </c>
      <c r="F385" s="1960">
        <f>SUM(F384:F384)</f>
        <v>108</v>
      </c>
      <c r="G385" s="1960">
        <f>SUM(G384:G384)</f>
        <v>104</v>
      </c>
      <c r="H385" s="1962">
        <f>G385/F385*100</f>
        <v>96.296296296296291</v>
      </c>
    </row>
    <row r="386" spans="1:8" ht="15.75" thickTop="1" x14ac:dyDescent="0.25">
      <c r="A386" s="1994"/>
      <c r="B386" s="1994"/>
      <c r="C386" s="1994"/>
      <c r="D386" s="1994"/>
      <c r="E386" s="1964"/>
      <c r="F386" s="1964"/>
      <c r="G386" s="1964"/>
      <c r="H386" s="1995"/>
    </row>
    <row r="387" spans="1:8" ht="15" x14ac:dyDescent="0.25">
      <c r="A387" s="1942" t="s">
        <v>1629</v>
      </c>
      <c r="B387" s="1973"/>
      <c r="C387" s="1973"/>
      <c r="D387" s="1973"/>
      <c r="E387" s="1973"/>
      <c r="F387" s="1973"/>
      <c r="G387" s="1973"/>
      <c r="H387" s="1973"/>
    </row>
    <row r="388" spans="1:8" ht="15.75" thickBot="1" x14ac:dyDescent="0.3">
      <c r="A388" s="1942" t="s">
        <v>1630</v>
      </c>
      <c r="D388" s="1936"/>
      <c r="E388" s="1937"/>
      <c r="F388" s="1970"/>
      <c r="G388" s="1970"/>
      <c r="H388" s="1966" t="s">
        <v>173</v>
      </c>
    </row>
    <row r="389" spans="1:8" ht="25.5" thickTop="1" thickBot="1" x14ac:dyDescent="0.25">
      <c r="A389" s="1943" t="s">
        <v>174</v>
      </c>
      <c r="B389" s="1944" t="s">
        <v>800</v>
      </c>
      <c r="C389" s="1944" t="s">
        <v>397</v>
      </c>
      <c r="D389" s="1945" t="s">
        <v>176</v>
      </c>
      <c r="E389" s="1976" t="s">
        <v>669</v>
      </c>
      <c r="F389" s="1976" t="s">
        <v>670</v>
      </c>
      <c r="G389" s="1977" t="s">
        <v>923</v>
      </c>
      <c r="H389" s="1978" t="s">
        <v>924</v>
      </c>
    </row>
    <row r="390" spans="1:8" ht="14.25" thickTop="1" thickBot="1" x14ac:dyDescent="0.25">
      <c r="A390" s="1740">
        <v>1</v>
      </c>
      <c r="B390" s="1739">
        <v>2</v>
      </c>
      <c r="C390" s="1739">
        <v>3</v>
      </c>
      <c r="D390" s="1739">
        <v>4</v>
      </c>
      <c r="E390" s="1949">
        <v>5</v>
      </c>
      <c r="F390" s="1949">
        <v>6</v>
      </c>
      <c r="G390" s="1950">
        <v>7</v>
      </c>
      <c r="H390" s="1951" t="s">
        <v>61</v>
      </c>
    </row>
    <row r="391" spans="1:8" ht="16.5" thickTop="1" thickBot="1" x14ac:dyDescent="0.3">
      <c r="A391" s="1992">
        <v>4357</v>
      </c>
      <c r="B391" s="1954">
        <v>6121</v>
      </c>
      <c r="C391" s="1954"/>
      <c r="D391" s="1979" t="s">
        <v>640</v>
      </c>
      <c r="E391" s="1959">
        <v>0</v>
      </c>
      <c r="F391" s="1993">
        <v>9</v>
      </c>
      <c r="G391" s="1993">
        <v>9</v>
      </c>
      <c r="H391" s="1961">
        <f>G391/F391*100</f>
        <v>100</v>
      </c>
    </row>
    <row r="392" spans="1:8" ht="16.5" thickTop="1" thickBot="1" x14ac:dyDescent="0.3">
      <c r="A392" s="1980" t="s">
        <v>802</v>
      </c>
      <c r="B392" s="1981"/>
      <c r="C392" s="1981"/>
      <c r="D392" s="1982"/>
      <c r="E392" s="1957">
        <f>SUM(E391:E391)</f>
        <v>0</v>
      </c>
      <c r="F392" s="1960">
        <f>SUM(F391:F391)</f>
        <v>9</v>
      </c>
      <c r="G392" s="1960">
        <f>SUM(G391:G391)</f>
        <v>9</v>
      </c>
      <c r="H392" s="1962">
        <f>G392/F392*100</f>
        <v>100</v>
      </c>
    </row>
    <row r="393" spans="1:8" ht="15.75" thickTop="1" x14ac:dyDescent="0.25">
      <c r="A393" s="1994"/>
      <c r="B393" s="1994"/>
      <c r="C393" s="1994"/>
      <c r="D393" s="1994"/>
      <c r="E393" s="1964"/>
      <c r="F393" s="1964"/>
      <c r="G393" s="1964"/>
      <c r="H393" s="1995"/>
    </row>
    <row r="394" spans="1:8" ht="15" x14ac:dyDescent="0.25">
      <c r="A394" s="1942" t="s">
        <v>1631</v>
      </c>
      <c r="B394" s="1973"/>
      <c r="C394" s="1973"/>
      <c r="D394" s="1973"/>
      <c r="E394" s="1973"/>
      <c r="F394" s="1973"/>
      <c r="G394" s="1973"/>
      <c r="H394" s="1973"/>
    </row>
    <row r="395" spans="1:8" ht="15.75" thickBot="1" x14ac:dyDescent="0.3">
      <c r="A395" s="1942" t="s">
        <v>1632</v>
      </c>
      <c r="D395" s="1936"/>
      <c r="E395" s="1937"/>
      <c r="F395" s="1970"/>
      <c r="G395" s="1970"/>
      <c r="H395" s="1966" t="s">
        <v>173</v>
      </c>
    </row>
    <row r="396" spans="1:8" ht="25.5" thickTop="1" thickBot="1" x14ac:dyDescent="0.25">
      <c r="A396" s="1943" t="s">
        <v>174</v>
      </c>
      <c r="B396" s="1944" t="s">
        <v>800</v>
      </c>
      <c r="C396" s="1944" t="s">
        <v>397</v>
      </c>
      <c r="D396" s="1945" t="s">
        <v>176</v>
      </c>
      <c r="E396" s="1976" t="s">
        <v>669</v>
      </c>
      <c r="F396" s="1976" t="s">
        <v>670</v>
      </c>
      <c r="G396" s="1977" t="s">
        <v>923</v>
      </c>
      <c r="H396" s="1978" t="s">
        <v>924</v>
      </c>
    </row>
    <row r="397" spans="1:8" ht="14.25" thickTop="1" thickBot="1" x14ac:dyDescent="0.25">
      <c r="A397" s="1740">
        <v>1</v>
      </c>
      <c r="B397" s="1739">
        <v>2</v>
      </c>
      <c r="C397" s="1739">
        <v>3</v>
      </c>
      <c r="D397" s="1739">
        <v>4</v>
      </c>
      <c r="E397" s="1949">
        <v>5</v>
      </c>
      <c r="F397" s="1949">
        <v>6</v>
      </c>
      <c r="G397" s="1950">
        <v>7</v>
      </c>
      <c r="H397" s="1951" t="s">
        <v>61</v>
      </c>
    </row>
    <row r="398" spans="1:8" ht="16.5" thickTop="1" thickBot="1" x14ac:dyDescent="0.3">
      <c r="A398" s="1992">
        <v>4357</v>
      </c>
      <c r="B398" s="1954">
        <v>6121</v>
      </c>
      <c r="C398" s="1954"/>
      <c r="D398" s="1979" t="s">
        <v>640</v>
      </c>
      <c r="E398" s="1959">
        <v>0</v>
      </c>
      <c r="F398" s="1993">
        <v>147</v>
      </c>
      <c r="G398" s="1993">
        <v>147</v>
      </c>
      <c r="H398" s="1961">
        <f>G398/F398*100</f>
        <v>100</v>
      </c>
    </row>
    <row r="399" spans="1:8" ht="16.5" thickTop="1" thickBot="1" x14ac:dyDescent="0.3">
      <c r="A399" s="1980" t="s">
        <v>802</v>
      </c>
      <c r="B399" s="1981"/>
      <c r="C399" s="1981"/>
      <c r="D399" s="1982"/>
      <c r="E399" s="1957">
        <f>SUM(E398:E398)</f>
        <v>0</v>
      </c>
      <c r="F399" s="1960">
        <f>SUM(F398:F398)</f>
        <v>147</v>
      </c>
      <c r="G399" s="1960">
        <f>SUM(G398:G398)</f>
        <v>147</v>
      </c>
      <c r="H399" s="1962">
        <f>G399/F399*100</f>
        <v>100</v>
      </c>
    </row>
    <row r="400" spans="1:8" ht="15.75" thickTop="1" x14ac:dyDescent="0.25">
      <c r="A400" s="1994"/>
      <c r="B400" s="1994"/>
      <c r="C400" s="1994"/>
      <c r="D400" s="1994"/>
      <c r="E400" s="1964"/>
      <c r="F400" s="1964"/>
      <c r="G400" s="1964"/>
      <c r="H400" s="1995"/>
    </row>
    <row r="401" spans="1:8" ht="15" hidden="1" x14ac:dyDescent="0.25">
      <c r="A401" s="1942" t="s">
        <v>1633</v>
      </c>
      <c r="B401" s="1973"/>
      <c r="C401" s="1973"/>
      <c r="D401" s="1973"/>
      <c r="E401" s="1973"/>
      <c r="F401" s="1973"/>
      <c r="G401" s="1973"/>
      <c r="H401" s="1973"/>
    </row>
    <row r="402" spans="1:8" ht="15" hidden="1" x14ac:dyDescent="0.25">
      <c r="A402" s="1942" t="s">
        <v>1634</v>
      </c>
      <c r="D402" s="1936"/>
      <c r="E402" s="1937"/>
      <c r="F402" s="1970"/>
      <c r="G402" s="1970"/>
      <c r="H402" s="1966" t="s">
        <v>173</v>
      </c>
    </row>
    <row r="403" spans="1:8" ht="25.5" hidden="1" thickTop="1" thickBot="1" x14ac:dyDescent="0.25">
      <c r="A403" s="1943" t="s">
        <v>174</v>
      </c>
      <c r="B403" s="1944" t="s">
        <v>800</v>
      </c>
      <c r="C403" s="1944" t="s">
        <v>397</v>
      </c>
      <c r="D403" s="1945" t="s">
        <v>176</v>
      </c>
      <c r="E403" s="1976" t="s">
        <v>669</v>
      </c>
      <c r="F403" s="1976" t="s">
        <v>670</v>
      </c>
      <c r="G403" s="1977" t="s">
        <v>923</v>
      </c>
      <c r="H403" s="1978" t="s">
        <v>924</v>
      </c>
    </row>
    <row r="404" spans="1:8" ht="14.25" hidden="1" thickTop="1" thickBot="1" x14ac:dyDescent="0.25">
      <c r="A404" s="1740">
        <v>1</v>
      </c>
      <c r="B404" s="1739">
        <v>2</v>
      </c>
      <c r="C404" s="1739">
        <v>3</v>
      </c>
      <c r="D404" s="1739">
        <v>4</v>
      </c>
      <c r="E404" s="1949">
        <v>5</v>
      </c>
      <c r="F404" s="1949">
        <v>6</v>
      </c>
      <c r="G404" s="1950">
        <v>7</v>
      </c>
      <c r="H404" s="1951" t="s">
        <v>61</v>
      </c>
    </row>
    <row r="405" spans="1:8" ht="15.75" hidden="1" thickTop="1" x14ac:dyDescent="0.25">
      <c r="A405" s="1992">
        <v>4399</v>
      </c>
      <c r="B405" s="1954">
        <v>5139</v>
      </c>
      <c r="C405" s="1954"/>
      <c r="D405" s="1979" t="s">
        <v>284</v>
      </c>
      <c r="E405" s="1959">
        <v>0</v>
      </c>
      <c r="F405" s="2000">
        <v>0</v>
      </c>
      <c r="G405" s="2000">
        <v>0</v>
      </c>
      <c r="H405" s="1961">
        <v>0</v>
      </c>
    </row>
    <row r="406" spans="1:8" ht="15.75" hidden="1" thickBot="1" x14ac:dyDescent="0.3">
      <c r="A406" s="2004">
        <v>4399</v>
      </c>
      <c r="B406" s="1967">
        <v>5169</v>
      </c>
      <c r="C406" s="1984"/>
      <c r="D406" s="1985" t="s">
        <v>892</v>
      </c>
      <c r="E406" s="1959">
        <v>0</v>
      </c>
      <c r="F406" s="1993">
        <v>0</v>
      </c>
      <c r="G406" s="1993">
        <v>0</v>
      </c>
      <c r="H406" s="1961">
        <v>0</v>
      </c>
    </row>
    <row r="407" spans="1:8" ht="16.5" hidden="1" thickTop="1" thickBot="1" x14ac:dyDescent="0.3">
      <c r="A407" s="1980" t="s">
        <v>802</v>
      </c>
      <c r="B407" s="1981"/>
      <c r="C407" s="1981"/>
      <c r="D407" s="1982"/>
      <c r="E407" s="1957">
        <f>SUM(E405:E406)</f>
        <v>0</v>
      </c>
      <c r="F407" s="1957">
        <f>SUM(F405:F406)</f>
        <v>0</v>
      </c>
      <c r="G407" s="1957">
        <f>SUM(G405:G406)</f>
        <v>0</v>
      </c>
      <c r="H407" s="1962">
        <v>0</v>
      </c>
    </row>
    <row r="408" spans="1:8" ht="15" hidden="1" x14ac:dyDescent="0.25">
      <c r="A408" s="1994"/>
      <c r="B408" s="1994"/>
      <c r="C408" s="1994"/>
      <c r="D408" s="1994"/>
      <c r="E408" s="1964"/>
      <c r="F408" s="1964"/>
      <c r="G408" s="1964"/>
      <c r="H408" s="1995"/>
    </row>
    <row r="409" spans="1:8" ht="15" hidden="1" x14ac:dyDescent="0.25">
      <c r="A409" s="1942" t="s">
        <v>1452</v>
      </c>
      <c r="B409" s="1973"/>
      <c r="C409" s="1973"/>
      <c r="D409" s="1973"/>
      <c r="E409" s="1973"/>
      <c r="F409" s="1973"/>
      <c r="G409" s="1973"/>
      <c r="H409" s="1973"/>
    </row>
    <row r="410" spans="1:8" ht="15" hidden="1" x14ac:dyDescent="0.25">
      <c r="A410" s="1942" t="s">
        <v>1451</v>
      </c>
      <c r="D410" s="1936"/>
      <c r="E410" s="1937"/>
      <c r="F410" s="1970"/>
      <c r="G410" s="1970"/>
      <c r="H410" s="1966" t="s">
        <v>173</v>
      </c>
    </row>
    <row r="411" spans="1:8" ht="25.5" hidden="1" thickTop="1" thickBot="1" x14ac:dyDescent="0.25">
      <c r="A411" s="1943" t="s">
        <v>174</v>
      </c>
      <c r="B411" s="1944" t="s">
        <v>800</v>
      </c>
      <c r="C411" s="1944" t="s">
        <v>397</v>
      </c>
      <c r="D411" s="1945" t="s">
        <v>176</v>
      </c>
      <c r="E411" s="1976" t="s">
        <v>669</v>
      </c>
      <c r="F411" s="1976" t="s">
        <v>670</v>
      </c>
      <c r="G411" s="1977" t="s">
        <v>923</v>
      </c>
      <c r="H411" s="1978" t="s">
        <v>924</v>
      </c>
    </row>
    <row r="412" spans="1:8" ht="14.25" hidden="1" thickTop="1" thickBot="1" x14ac:dyDescent="0.25">
      <c r="A412" s="1740">
        <v>1</v>
      </c>
      <c r="B412" s="1739">
        <v>2</v>
      </c>
      <c r="C412" s="1739">
        <v>3</v>
      </c>
      <c r="D412" s="1739">
        <v>4</v>
      </c>
      <c r="E412" s="1949">
        <v>5</v>
      </c>
      <c r="F412" s="1949">
        <v>6</v>
      </c>
      <c r="G412" s="1950">
        <v>7</v>
      </c>
      <c r="H412" s="1951" t="s">
        <v>61</v>
      </c>
    </row>
    <row r="413" spans="1:8" ht="16.5" hidden="1" thickTop="1" thickBot="1" x14ac:dyDescent="0.3">
      <c r="A413" s="1992">
        <v>4372</v>
      </c>
      <c r="B413" s="1954">
        <v>6121</v>
      </c>
      <c r="C413" s="1954"/>
      <c r="D413" s="1979" t="s">
        <v>640</v>
      </c>
      <c r="E413" s="1959">
        <v>0</v>
      </c>
      <c r="F413" s="1993">
        <v>0</v>
      </c>
      <c r="G413" s="1993">
        <v>0</v>
      </c>
      <c r="H413" s="1961" t="e">
        <f>G413/F413*100</f>
        <v>#DIV/0!</v>
      </c>
    </row>
    <row r="414" spans="1:8" ht="16.5" hidden="1" thickTop="1" thickBot="1" x14ac:dyDescent="0.3">
      <c r="A414" s="1980" t="s">
        <v>802</v>
      </c>
      <c r="B414" s="1981"/>
      <c r="C414" s="1981"/>
      <c r="D414" s="1982"/>
      <c r="E414" s="1957">
        <f>SUM(E413:E413)</f>
        <v>0</v>
      </c>
      <c r="F414" s="1960">
        <f>SUM(F413:F413)</f>
        <v>0</v>
      </c>
      <c r="G414" s="1960">
        <f>SUM(G413:G413)</f>
        <v>0</v>
      </c>
      <c r="H414" s="1962" t="e">
        <f>G414/F414*100</f>
        <v>#DIV/0!</v>
      </c>
    </row>
    <row r="415" spans="1:8" ht="15" hidden="1" x14ac:dyDescent="0.25">
      <c r="A415" s="1994"/>
      <c r="B415" s="1994"/>
      <c r="C415" s="1994"/>
      <c r="D415" s="1994"/>
      <c r="E415" s="1964"/>
      <c r="F415" s="1964"/>
      <c r="G415" s="1964"/>
      <c r="H415" s="1995"/>
    </row>
    <row r="416" spans="1:8" ht="15" x14ac:dyDescent="0.25">
      <c r="A416" s="1942" t="s">
        <v>1635</v>
      </c>
      <c r="B416" s="1973"/>
      <c r="C416" s="1973"/>
      <c r="D416" s="1973"/>
      <c r="E416" s="1973"/>
      <c r="F416" s="1973"/>
      <c r="G416" s="1973"/>
      <c r="H416" s="1973"/>
    </row>
    <row r="417" spans="1:8" ht="15.75" thickBot="1" x14ac:dyDescent="0.3">
      <c r="A417" s="1942" t="s">
        <v>1636</v>
      </c>
      <c r="D417" s="1936"/>
      <c r="E417" s="1937"/>
      <c r="F417" s="1970"/>
      <c r="G417" s="1970"/>
      <c r="H417" s="1966" t="s">
        <v>173</v>
      </c>
    </row>
    <row r="418" spans="1:8" ht="25.5" thickTop="1" thickBot="1" x14ac:dyDescent="0.25">
      <c r="A418" s="1943" t="s">
        <v>174</v>
      </c>
      <c r="B418" s="1944" t="s">
        <v>800</v>
      </c>
      <c r="C418" s="1944" t="s">
        <v>397</v>
      </c>
      <c r="D418" s="1945" t="s">
        <v>176</v>
      </c>
      <c r="E418" s="1976" t="s">
        <v>669</v>
      </c>
      <c r="F418" s="1976" t="s">
        <v>670</v>
      </c>
      <c r="G418" s="1977" t="s">
        <v>923</v>
      </c>
      <c r="H418" s="1978" t="s">
        <v>924</v>
      </c>
    </row>
    <row r="419" spans="1:8" ht="14.25" thickTop="1" thickBot="1" x14ac:dyDescent="0.25">
      <c r="A419" s="1740">
        <v>1</v>
      </c>
      <c r="B419" s="1739">
        <v>2</v>
      </c>
      <c r="C419" s="1739">
        <v>3</v>
      </c>
      <c r="D419" s="1739">
        <v>4</v>
      </c>
      <c r="E419" s="1949">
        <v>5</v>
      </c>
      <c r="F419" s="1949">
        <v>6</v>
      </c>
      <c r="G419" s="1950">
        <v>7</v>
      </c>
      <c r="H419" s="1951" t="s">
        <v>61</v>
      </c>
    </row>
    <row r="420" spans="1:8" ht="16.5" thickTop="1" thickBot="1" x14ac:dyDescent="0.3">
      <c r="A420" s="1992">
        <v>4356</v>
      </c>
      <c r="B420" s="1954">
        <v>6121</v>
      </c>
      <c r="C420" s="1954"/>
      <c r="D420" s="1979" t="s">
        <v>640</v>
      </c>
      <c r="E420" s="1959">
        <v>0</v>
      </c>
      <c r="F420" s="1993">
        <v>580</v>
      </c>
      <c r="G420" s="1993">
        <v>580</v>
      </c>
      <c r="H420" s="1961">
        <f>G420/F420*100</f>
        <v>100</v>
      </c>
    </row>
    <row r="421" spans="1:8" ht="16.5" thickTop="1" thickBot="1" x14ac:dyDescent="0.3">
      <c r="A421" s="1980" t="s">
        <v>802</v>
      </c>
      <c r="B421" s="1981"/>
      <c r="C421" s="1981"/>
      <c r="D421" s="1982"/>
      <c r="E421" s="1957">
        <f>SUM(E420:E420)</f>
        <v>0</v>
      </c>
      <c r="F421" s="1960">
        <f>SUM(F420:F420)</f>
        <v>580</v>
      </c>
      <c r="G421" s="1960">
        <f>SUM(G420:G420)</f>
        <v>580</v>
      </c>
      <c r="H421" s="1962">
        <f>G421/F421*100</f>
        <v>100</v>
      </c>
    </row>
    <row r="422" spans="1:8" ht="15.75" thickTop="1" x14ac:dyDescent="0.25">
      <c r="A422" s="1994"/>
      <c r="B422" s="1994"/>
      <c r="C422" s="1994"/>
      <c r="D422" s="1994"/>
      <c r="E422" s="1964"/>
      <c r="F422" s="1964"/>
      <c r="G422" s="1964"/>
      <c r="H422" s="1995"/>
    </row>
    <row r="423" spans="1:8" ht="15" hidden="1" x14ac:dyDescent="0.25">
      <c r="A423" s="1942" t="s">
        <v>1637</v>
      </c>
      <c r="B423" s="1973"/>
      <c r="C423" s="1973"/>
      <c r="D423" s="1973"/>
      <c r="E423" s="1973"/>
      <c r="F423" s="1973"/>
      <c r="G423" s="1973"/>
      <c r="H423" s="1973"/>
    </row>
    <row r="424" spans="1:8" ht="15" hidden="1" x14ac:dyDescent="0.25">
      <c r="A424" s="1942" t="s">
        <v>1638</v>
      </c>
      <c r="D424" s="1936"/>
      <c r="E424" s="1937"/>
      <c r="F424" s="1970"/>
      <c r="G424" s="1970"/>
      <c r="H424" s="1966" t="s">
        <v>173</v>
      </c>
    </row>
    <row r="425" spans="1:8" ht="25.5" hidden="1" thickTop="1" thickBot="1" x14ac:dyDescent="0.25">
      <c r="A425" s="1943" t="s">
        <v>174</v>
      </c>
      <c r="B425" s="1944" t="s">
        <v>800</v>
      </c>
      <c r="C425" s="1944" t="s">
        <v>397</v>
      </c>
      <c r="D425" s="1945" t="s">
        <v>176</v>
      </c>
      <c r="E425" s="1976" t="s">
        <v>669</v>
      </c>
      <c r="F425" s="1976" t="s">
        <v>670</v>
      </c>
      <c r="G425" s="1977" t="s">
        <v>923</v>
      </c>
      <c r="H425" s="1978" t="s">
        <v>924</v>
      </c>
    </row>
    <row r="426" spans="1:8" ht="14.25" hidden="1" thickTop="1" thickBot="1" x14ac:dyDescent="0.25">
      <c r="A426" s="1740">
        <v>1</v>
      </c>
      <c r="B426" s="1739">
        <v>2</v>
      </c>
      <c r="C426" s="1739">
        <v>3</v>
      </c>
      <c r="D426" s="1739">
        <v>4</v>
      </c>
      <c r="E426" s="1949">
        <v>5</v>
      </c>
      <c r="F426" s="1949">
        <v>6</v>
      </c>
      <c r="G426" s="1950">
        <v>7</v>
      </c>
      <c r="H426" s="1951" t="s">
        <v>61</v>
      </c>
    </row>
    <row r="427" spans="1:8" ht="16.5" hidden="1" thickTop="1" thickBot="1" x14ac:dyDescent="0.3">
      <c r="A427" s="1992">
        <v>4379</v>
      </c>
      <c r="B427" s="1954">
        <v>5166</v>
      </c>
      <c r="C427" s="1954"/>
      <c r="D427" s="1979" t="s">
        <v>646</v>
      </c>
      <c r="E427" s="1959">
        <v>0</v>
      </c>
      <c r="F427" s="1993">
        <v>0</v>
      </c>
      <c r="G427" s="1993">
        <v>0</v>
      </c>
      <c r="H427" s="1961" t="e">
        <f>G427/F427*100</f>
        <v>#DIV/0!</v>
      </c>
    </row>
    <row r="428" spans="1:8" ht="16.5" hidden="1" thickTop="1" thickBot="1" x14ac:dyDescent="0.3">
      <c r="A428" s="1980" t="s">
        <v>802</v>
      </c>
      <c r="B428" s="1981"/>
      <c r="C428" s="1981"/>
      <c r="D428" s="1982"/>
      <c r="E428" s="1957">
        <f>SUM(E427:E427)</f>
        <v>0</v>
      </c>
      <c r="F428" s="1960">
        <f>SUM(F427:F427)</f>
        <v>0</v>
      </c>
      <c r="G428" s="1960">
        <f>SUM(G427:G427)</f>
        <v>0</v>
      </c>
      <c r="H428" s="1962" t="e">
        <f>G428/F428*100</f>
        <v>#DIV/0!</v>
      </c>
    </row>
    <row r="429" spans="1:8" ht="15" hidden="1" x14ac:dyDescent="0.25">
      <c r="A429" s="1994"/>
      <c r="B429" s="1994"/>
      <c r="C429" s="1994"/>
      <c r="D429" s="1994"/>
      <c r="E429" s="1964"/>
      <c r="F429" s="1964"/>
      <c r="G429" s="1964"/>
      <c r="H429" s="1995"/>
    </row>
    <row r="430" spans="1:8" ht="15" x14ac:dyDescent="0.25">
      <c r="A430" s="1942" t="s">
        <v>1828</v>
      </c>
      <c r="B430" s="1973"/>
      <c r="C430" s="1973"/>
      <c r="D430" s="1973"/>
      <c r="E430" s="1973"/>
      <c r="F430" s="1973"/>
      <c r="G430" s="1973"/>
      <c r="H430" s="1973"/>
    </row>
    <row r="431" spans="1:8" ht="15.75" thickBot="1" x14ac:dyDescent="0.3">
      <c r="A431" s="1942" t="s">
        <v>1829</v>
      </c>
      <c r="D431" s="1936"/>
      <c r="E431" s="1937"/>
      <c r="F431" s="1970"/>
      <c r="G431" s="1970"/>
      <c r="H431" s="1966" t="s">
        <v>173</v>
      </c>
    </row>
    <row r="432" spans="1:8" ht="25.5" thickTop="1" thickBot="1" x14ac:dyDescent="0.25">
      <c r="A432" s="1943" t="s">
        <v>174</v>
      </c>
      <c r="B432" s="1944" t="s">
        <v>800</v>
      </c>
      <c r="C432" s="1944" t="s">
        <v>397</v>
      </c>
      <c r="D432" s="1945" t="s">
        <v>176</v>
      </c>
      <c r="E432" s="1976" t="s">
        <v>669</v>
      </c>
      <c r="F432" s="1976" t="s">
        <v>670</v>
      </c>
      <c r="G432" s="1977" t="s">
        <v>923</v>
      </c>
      <c r="H432" s="1978" t="s">
        <v>924</v>
      </c>
    </row>
    <row r="433" spans="1:10" ht="14.25" thickTop="1" thickBot="1" x14ac:dyDescent="0.25">
      <c r="A433" s="1740">
        <v>1</v>
      </c>
      <c r="B433" s="1739">
        <v>2</v>
      </c>
      <c r="C433" s="1739">
        <v>3</v>
      </c>
      <c r="D433" s="1739">
        <v>4</v>
      </c>
      <c r="E433" s="1949">
        <v>5</v>
      </c>
      <c r="F433" s="1949">
        <v>6</v>
      </c>
      <c r="G433" s="1950">
        <v>7</v>
      </c>
      <c r="H433" s="1951" t="s">
        <v>61</v>
      </c>
    </row>
    <row r="434" spans="1:10" ht="16.5" thickTop="1" thickBot="1" x14ac:dyDescent="0.3">
      <c r="A434" s="2002">
        <v>4357</v>
      </c>
      <c r="B434" s="1967">
        <v>6121</v>
      </c>
      <c r="C434" s="1967"/>
      <c r="D434" s="1979" t="s">
        <v>640</v>
      </c>
      <c r="E434" s="1959">
        <v>0</v>
      </c>
      <c r="F434" s="1993">
        <v>310</v>
      </c>
      <c r="G434" s="1993">
        <v>309</v>
      </c>
      <c r="H434" s="1961">
        <f>G434/F434*100</f>
        <v>99.677419354838719</v>
      </c>
      <c r="J434" s="1998"/>
    </row>
    <row r="435" spans="1:10" ht="16.5" thickTop="1" thickBot="1" x14ac:dyDescent="0.3">
      <c r="A435" s="1980" t="s">
        <v>802</v>
      </c>
      <c r="B435" s="1981"/>
      <c r="C435" s="1981"/>
      <c r="D435" s="1982"/>
      <c r="E435" s="1957">
        <f>SUM(E434:E434)</f>
        <v>0</v>
      </c>
      <c r="F435" s="1960">
        <f>SUM(F434:F434)</f>
        <v>310</v>
      </c>
      <c r="G435" s="1960">
        <f>SUM(G434:G434)</f>
        <v>309</v>
      </c>
      <c r="H435" s="1962">
        <f>G435/F435*100</f>
        <v>99.677419354838719</v>
      </c>
    </row>
    <row r="436" spans="1:10" ht="15.75" thickTop="1" x14ac:dyDescent="0.25">
      <c r="A436" s="1994"/>
      <c r="B436" s="1994"/>
      <c r="C436" s="1994"/>
      <c r="D436" s="1994"/>
      <c r="E436" s="1964"/>
      <c r="F436" s="1964"/>
      <c r="G436" s="1964"/>
      <c r="H436" s="1995"/>
    </row>
    <row r="437" spans="1:10" ht="15" x14ac:dyDescent="0.25">
      <c r="A437" s="1942" t="s">
        <v>1830</v>
      </c>
      <c r="B437" s="1973"/>
      <c r="C437" s="1973"/>
      <c r="D437" s="1973"/>
      <c r="E437" s="1973"/>
      <c r="F437" s="1973"/>
      <c r="G437" s="1973"/>
      <c r="H437" s="1973"/>
    </row>
    <row r="438" spans="1:10" ht="15.75" thickBot="1" x14ac:dyDescent="0.3">
      <c r="A438" s="1942" t="s">
        <v>1831</v>
      </c>
      <c r="D438" s="1936"/>
      <c r="E438" s="1937"/>
      <c r="F438" s="1970"/>
      <c r="G438" s="1970"/>
      <c r="H438" s="1966" t="s">
        <v>173</v>
      </c>
    </row>
    <row r="439" spans="1:10" ht="25.5" thickTop="1" thickBot="1" x14ac:dyDescent="0.25">
      <c r="A439" s="1943" t="s">
        <v>174</v>
      </c>
      <c r="B439" s="1944" t="s">
        <v>800</v>
      </c>
      <c r="C439" s="1944" t="s">
        <v>397</v>
      </c>
      <c r="D439" s="1945" t="s">
        <v>176</v>
      </c>
      <c r="E439" s="1976" t="s">
        <v>669</v>
      </c>
      <c r="F439" s="1976" t="s">
        <v>670</v>
      </c>
      <c r="G439" s="1977" t="s">
        <v>923</v>
      </c>
      <c r="H439" s="1978" t="s">
        <v>924</v>
      </c>
    </row>
    <row r="440" spans="1:10" ht="14.25" thickTop="1" thickBot="1" x14ac:dyDescent="0.25">
      <c r="A440" s="1740">
        <v>1</v>
      </c>
      <c r="B440" s="1739">
        <v>2</v>
      </c>
      <c r="C440" s="1739">
        <v>3</v>
      </c>
      <c r="D440" s="1739">
        <v>4</v>
      </c>
      <c r="E440" s="1949">
        <v>5</v>
      </c>
      <c r="F440" s="1949">
        <v>6</v>
      </c>
      <c r="G440" s="1950">
        <v>7</v>
      </c>
      <c r="H440" s="1951" t="s">
        <v>61</v>
      </c>
    </row>
    <row r="441" spans="1:10" ht="16.5" thickTop="1" thickBot="1" x14ac:dyDescent="0.3">
      <c r="A441" s="2002">
        <v>4357</v>
      </c>
      <c r="B441" s="1967">
        <v>6121</v>
      </c>
      <c r="C441" s="1967"/>
      <c r="D441" s="1979" t="s">
        <v>640</v>
      </c>
      <c r="E441" s="1959">
        <v>0</v>
      </c>
      <c r="F441" s="1993">
        <v>123</v>
      </c>
      <c r="G441" s="1993">
        <v>44</v>
      </c>
      <c r="H441" s="1961">
        <f>G441/F441*100</f>
        <v>35.772357723577237</v>
      </c>
      <c r="J441" s="1998"/>
    </row>
    <row r="442" spans="1:10" ht="16.5" thickTop="1" thickBot="1" x14ac:dyDescent="0.3">
      <c r="A442" s="1980" t="s">
        <v>802</v>
      </c>
      <c r="B442" s="1981"/>
      <c r="C442" s="1981"/>
      <c r="D442" s="1982"/>
      <c r="E442" s="1957">
        <f>SUM(E441:E441)</f>
        <v>0</v>
      </c>
      <c r="F442" s="1960">
        <f>SUM(F441:F441)</f>
        <v>123</v>
      </c>
      <c r="G442" s="1960">
        <f>SUM(G441:G441)</f>
        <v>44</v>
      </c>
      <c r="H442" s="1962">
        <f>G442/F442*100</f>
        <v>35.772357723577237</v>
      </c>
    </row>
    <row r="443" spans="1:10" ht="15.75" thickTop="1" x14ac:dyDescent="0.25">
      <c r="A443" s="1994"/>
      <c r="B443" s="1994"/>
      <c r="C443" s="1994"/>
      <c r="D443" s="1994"/>
      <c r="E443" s="1964"/>
      <c r="F443" s="1964"/>
      <c r="G443" s="1964"/>
      <c r="H443" s="1995"/>
    </row>
    <row r="444" spans="1:10" ht="15" x14ac:dyDescent="0.25">
      <c r="A444" s="1942" t="s">
        <v>1832</v>
      </c>
      <c r="B444" s="1973"/>
      <c r="C444" s="1973"/>
      <c r="D444" s="1973"/>
      <c r="E444" s="1973"/>
      <c r="F444" s="1973"/>
      <c r="G444" s="1973"/>
      <c r="H444" s="1973"/>
    </row>
    <row r="445" spans="1:10" ht="15.75" thickBot="1" x14ac:dyDescent="0.3">
      <c r="A445" s="1942" t="s">
        <v>1833</v>
      </c>
      <c r="D445" s="1936"/>
      <c r="E445" s="1937"/>
      <c r="F445" s="1970"/>
      <c r="G445" s="1970"/>
      <c r="H445" s="1966" t="s">
        <v>173</v>
      </c>
    </row>
    <row r="446" spans="1:10" ht="25.5" thickTop="1" thickBot="1" x14ac:dyDescent="0.25">
      <c r="A446" s="1943" t="s">
        <v>174</v>
      </c>
      <c r="B446" s="1944" t="s">
        <v>800</v>
      </c>
      <c r="C446" s="1944" t="s">
        <v>397</v>
      </c>
      <c r="D446" s="1945" t="s">
        <v>176</v>
      </c>
      <c r="E446" s="1976" t="s">
        <v>669</v>
      </c>
      <c r="F446" s="1976" t="s">
        <v>670</v>
      </c>
      <c r="G446" s="1977" t="s">
        <v>923</v>
      </c>
      <c r="H446" s="1978" t="s">
        <v>924</v>
      </c>
    </row>
    <row r="447" spans="1:10" ht="14.25" thickTop="1" thickBot="1" x14ac:dyDescent="0.25">
      <c r="A447" s="1740">
        <v>1</v>
      </c>
      <c r="B447" s="1739">
        <v>2</v>
      </c>
      <c r="C447" s="1739">
        <v>3</v>
      </c>
      <c r="D447" s="1739">
        <v>4</v>
      </c>
      <c r="E447" s="1949">
        <v>5</v>
      </c>
      <c r="F447" s="1949">
        <v>6</v>
      </c>
      <c r="G447" s="1950">
        <v>7</v>
      </c>
      <c r="H447" s="1951" t="s">
        <v>61</v>
      </c>
    </row>
    <row r="448" spans="1:10" ht="15.75" thickTop="1" x14ac:dyDescent="0.25">
      <c r="A448" s="1999">
        <v>4357</v>
      </c>
      <c r="B448" s="1954">
        <v>5169</v>
      </c>
      <c r="C448" s="1953"/>
      <c r="D448" s="1979" t="s">
        <v>892</v>
      </c>
      <c r="E448" s="1959">
        <v>0</v>
      </c>
      <c r="F448" s="2001">
        <v>10</v>
      </c>
      <c r="G448" s="2000">
        <v>10</v>
      </c>
      <c r="H448" s="1961">
        <f>G448/F448*100</f>
        <v>100</v>
      </c>
    </row>
    <row r="449" spans="1:8" ht="15.75" thickBot="1" x14ac:dyDescent="0.3">
      <c r="A449" s="2004">
        <v>4357</v>
      </c>
      <c r="B449" s="2010">
        <v>6121</v>
      </c>
      <c r="C449" s="2010"/>
      <c r="D449" s="1985" t="s">
        <v>640</v>
      </c>
      <c r="E449" s="1959">
        <v>0</v>
      </c>
      <c r="F449" s="1993">
        <v>44</v>
      </c>
      <c r="G449" s="1993">
        <v>44</v>
      </c>
      <c r="H449" s="1961">
        <f>G449/F449*100</f>
        <v>100</v>
      </c>
    </row>
    <row r="450" spans="1:8" ht="16.5" thickTop="1" thickBot="1" x14ac:dyDescent="0.3">
      <c r="A450" s="1980" t="s">
        <v>802</v>
      </c>
      <c r="B450" s="1981"/>
      <c r="C450" s="1981"/>
      <c r="D450" s="1982"/>
      <c r="E450" s="1957">
        <f>SUM(E448:E449)</f>
        <v>0</v>
      </c>
      <c r="F450" s="1957">
        <f>SUM(F448:F449)</f>
        <v>54</v>
      </c>
      <c r="G450" s="1957">
        <f>SUM(G448:G449)</f>
        <v>54</v>
      </c>
      <c r="H450" s="1962">
        <f>G450/F450*100</f>
        <v>100</v>
      </c>
    </row>
    <row r="451" spans="1:8" ht="15.75" thickTop="1" x14ac:dyDescent="0.25">
      <c r="A451" s="1994"/>
      <c r="B451" s="1994"/>
      <c r="C451" s="1994"/>
      <c r="D451" s="1994"/>
      <c r="E451" s="1964"/>
      <c r="F451" s="1964"/>
      <c r="G451" s="1964"/>
      <c r="H451" s="1995"/>
    </row>
    <row r="452" spans="1:8" ht="15" x14ac:dyDescent="0.25">
      <c r="A452" s="1942" t="s">
        <v>1834</v>
      </c>
      <c r="B452" s="1973"/>
      <c r="C452" s="1973"/>
      <c r="D452" s="1973"/>
      <c r="E452" s="1973"/>
      <c r="F452" s="1973"/>
      <c r="G452" s="1973"/>
      <c r="H452" s="1973"/>
    </row>
    <row r="453" spans="1:8" ht="15.75" thickBot="1" x14ac:dyDescent="0.3">
      <c r="A453" s="1942" t="s">
        <v>1835</v>
      </c>
      <c r="D453" s="1936"/>
      <c r="E453" s="1937"/>
      <c r="F453" s="1970"/>
      <c r="G453" s="1970"/>
      <c r="H453" s="1966" t="s">
        <v>173</v>
      </c>
    </row>
    <row r="454" spans="1:8" ht="25.5" thickTop="1" thickBot="1" x14ac:dyDescent="0.25">
      <c r="A454" s="1943" t="s">
        <v>174</v>
      </c>
      <c r="B454" s="1944" t="s">
        <v>800</v>
      </c>
      <c r="C454" s="1944" t="s">
        <v>397</v>
      </c>
      <c r="D454" s="1945" t="s">
        <v>176</v>
      </c>
      <c r="E454" s="1976" t="s">
        <v>669</v>
      </c>
      <c r="F454" s="1976" t="s">
        <v>670</v>
      </c>
      <c r="G454" s="1977" t="s">
        <v>923</v>
      </c>
      <c r="H454" s="1978" t="s">
        <v>924</v>
      </c>
    </row>
    <row r="455" spans="1:8" ht="14.25" thickTop="1" thickBot="1" x14ac:dyDescent="0.25">
      <c r="A455" s="1740">
        <v>1</v>
      </c>
      <c r="B455" s="1739">
        <v>2</v>
      </c>
      <c r="C455" s="1739">
        <v>3</v>
      </c>
      <c r="D455" s="1739">
        <v>4</v>
      </c>
      <c r="E455" s="1949">
        <v>5</v>
      </c>
      <c r="F455" s="1949">
        <v>6</v>
      </c>
      <c r="G455" s="1950">
        <v>7</v>
      </c>
      <c r="H455" s="1951" t="s">
        <v>61</v>
      </c>
    </row>
    <row r="456" spans="1:8" ht="15.75" hidden="1" thickTop="1" x14ac:dyDescent="0.25">
      <c r="A456" s="1999">
        <v>2212</v>
      </c>
      <c r="B456" s="1953">
        <v>5166</v>
      </c>
      <c r="C456" s="2005"/>
      <c r="D456" s="1979" t="s">
        <v>646</v>
      </c>
      <c r="E456" s="1959">
        <v>0</v>
      </c>
      <c r="F456" s="1959">
        <v>0</v>
      </c>
      <c r="G456" s="1959">
        <v>0</v>
      </c>
      <c r="H456" s="1961" t="e">
        <f>G456/F456*100</f>
        <v>#DIV/0!</v>
      </c>
    </row>
    <row r="457" spans="1:8" ht="16.5" thickTop="1" thickBot="1" x14ac:dyDescent="0.3">
      <c r="A457" s="2002">
        <v>2212</v>
      </c>
      <c r="B457" s="1967">
        <v>6121</v>
      </c>
      <c r="C457" s="1967"/>
      <c r="D457" s="1979" t="s">
        <v>640</v>
      </c>
      <c r="E457" s="1959">
        <v>0</v>
      </c>
      <c r="F457" s="1993">
        <v>120</v>
      </c>
      <c r="G457" s="1993">
        <v>93</v>
      </c>
      <c r="H457" s="1961">
        <f>G457/F457*100</f>
        <v>77.5</v>
      </c>
    </row>
    <row r="458" spans="1:8" ht="16.5" thickTop="1" thickBot="1" x14ac:dyDescent="0.3">
      <c r="A458" s="1980" t="s">
        <v>802</v>
      </c>
      <c r="B458" s="1981"/>
      <c r="C458" s="1981"/>
      <c r="D458" s="1982"/>
      <c r="E458" s="1957">
        <f>SUM(E456:E457)</f>
        <v>0</v>
      </c>
      <c r="F458" s="1960">
        <f>SUM(F456:F457)</f>
        <v>120</v>
      </c>
      <c r="G458" s="1960">
        <f>SUM(G456:G457)</f>
        <v>93</v>
      </c>
      <c r="H458" s="1962">
        <f>G458/F458*100</f>
        <v>77.5</v>
      </c>
    </row>
    <row r="459" spans="1:8" ht="15.75" thickTop="1" x14ac:dyDescent="0.25">
      <c r="A459" s="1994"/>
      <c r="B459" s="1994"/>
      <c r="C459" s="1994"/>
      <c r="D459" s="1994"/>
      <c r="E459" s="1964"/>
      <c r="F459" s="1964"/>
      <c r="G459" s="1964"/>
      <c r="H459" s="1995"/>
    </row>
    <row r="460" spans="1:8" ht="15" x14ac:dyDescent="0.25">
      <c r="A460" s="1942" t="s">
        <v>1836</v>
      </c>
      <c r="B460" s="1973"/>
      <c r="C460" s="1973"/>
      <c r="D460" s="1973"/>
      <c r="E460" s="1973"/>
      <c r="F460" s="1973"/>
      <c r="G460" s="1973"/>
      <c r="H460" s="1973"/>
    </row>
    <row r="461" spans="1:8" ht="15.75" thickBot="1" x14ac:dyDescent="0.3">
      <c r="A461" s="1942" t="s">
        <v>1837</v>
      </c>
      <c r="D461" s="1936"/>
      <c r="E461" s="1937"/>
      <c r="F461" s="1970"/>
      <c r="G461" s="1970"/>
      <c r="H461" s="1966" t="s">
        <v>173</v>
      </c>
    </row>
    <row r="462" spans="1:8" ht="25.5" thickTop="1" thickBot="1" x14ac:dyDescent="0.25">
      <c r="A462" s="1943" t="s">
        <v>174</v>
      </c>
      <c r="B462" s="1944" t="s">
        <v>800</v>
      </c>
      <c r="C462" s="1944" t="s">
        <v>397</v>
      </c>
      <c r="D462" s="1945" t="s">
        <v>176</v>
      </c>
      <c r="E462" s="1976" t="s">
        <v>669</v>
      </c>
      <c r="F462" s="1976" t="s">
        <v>670</v>
      </c>
      <c r="G462" s="1977" t="s">
        <v>923</v>
      </c>
      <c r="H462" s="1978" t="s">
        <v>924</v>
      </c>
    </row>
    <row r="463" spans="1:8" ht="14.25" thickTop="1" thickBot="1" x14ac:dyDescent="0.25">
      <c r="A463" s="1740">
        <v>1</v>
      </c>
      <c r="B463" s="1739">
        <v>2</v>
      </c>
      <c r="C463" s="1739">
        <v>3</v>
      </c>
      <c r="D463" s="1739">
        <v>4</v>
      </c>
      <c r="E463" s="1949">
        <v>5</v>
      </c>
      <c r="F463" s="1949">
        <v>6</v>
      </c>
      <c r="G463" s="1950">
        <v>7</v>
      </c>
      <c r="H463" s="1951" t="s">
        <v>61</v>
      </c>
    </row>
    <row r="464" spans="1:8" ht="15.75" hidden="1" thickTop="1" x14ac:dyDescent="0.25">
      <c r="A464" s="1999">
        <v>2212</v>
      </c>
      <c r="B464" s="1953">
        <v>5166</v>
      </c>
      <c r="C464" s="2005"/>
      <c r="D464" s="1979" t="s">
        <v>646</v>
      </c>
      <c r="E464" s="1959">
        <v>0</v>
      </c>
      <c r="F464" s="1959">
        <v>0</v>
      </c>
      <c r="G464" s="1959">
        <v>0</v>
      </c>
      <c r="H464" s="1961" t="e">
        <f>G464/F464*100</f>
        <v>#DIV/0!</v>
      </c>
    </row>
    <row r="465" spans="1:8" ht="16.5" thickTop="1" thickBot="1" x14ac:dyDescent="0.3">
      <c r="A465" s="2002">
        <v>2212</v>
      </c>
      <c r="B465" s="1967">
        <v>6121</v>
      </c>
      <c r="C465" s="1967"/>
      <c r="D465" s="1979" t="s">
        <v>640</v>
      </c>
      <c r="E465" s="1959">
        <v>0</v>
      </c>
      <c r="F465" s="1993">
        <v>86</v>
      </c>
      <c r="G465" s="1993">
        <v>86</v>
      </c>
      <c r="H465" s="1961">
        <f>G465/F465*100</f>
        <v>100</v>
      </c>
    </row>
    <row r="466" spans="1:8" ht="16.5" thickTop="1" thickBot="1" x14ac:dyDescent="0.3">
      <c r="A466" s="1980" t="s">
        <v>802</v>
      </c>
      <c r="B466" s="1981"/>
      <c r="C466" s="1981"/>
      <c r="D466" s="1982"/>
      <c r="E466" s="1957">
        <f>SUM(E464:E465)</f>
        <v>0</v>
      </c>
      <c r="F466" s="1960">
        <f>SUM(F464:F465)</f>
        <v>86</v>
      </c>
      <c r="G466" s="1960">
        <f>SUM(G464:G465)</f>
        <v>86</v>
      </c>
      <c r="H466" s="1962">
        <f>G466/F466*100</f>
        <v>100</v>
      </c>
    </row>
    <row r="467" spans="1:8" ht="15.75" thickTop="1" x14ac:dyDescent="0.25">
      <c r="A467" s="1994"/>
      <c r="B467" s="1994"/>
      <c r="C467" s="1994"/>
      <c r="D467" s="1994"/>
      <c r="E467" s="1964"/>
      <c r="F467" s="1964"/>
      <c r="G467" s="1964"/>
      <c r="H467" s="1995"/>
    </row>
    <row r="468" spans="1:8" ht="15" x14ac:dyDescent="0.25">
      <c r="A468" s="1942" t="s">
        <v>544</v>
      </c>
      <c r="B468" s="1973"/>
      <c r="C468" s="1973"/>
      <c r="D468" s="1973"/>
      <c r="E468" s="1973"/>
      <c r="F468" s="1973"/>
      <c r="G468" s="1973"/>
      <c r="H468" s="1973"/>
    </row>
    <row r="469" spans="1:8" ht="15.75" thickBot="1" x14ac:dyDescent="0.3">
      <c r="A469" s="1942" t="s">
        <v>1838</v>
      </c>
      <c r="D469" s="1936"/>
      <c r="E469" s="1937"/>
      <c r="F469" s="1970"/>
      <c r="G469" s="1970"/>
      <c r="H469" s="1966" t="s">
        <v>173</v>
      </c>
    </row>
    <row r="470" spans="1:8" ht="25.5" thickTop="1" thickBot="1" x14ac:dyDescent="0.25">
      <c r="A470" s="1943" t="s">
        <v>174</v>
      </c>
      <c r="B470" s="1944" t="s">
        <v>800</v>
      </c>
      <c r="C470" s="1944" t="s">
        <v>397</v>
      </c>
      <c r="D470" s="1945" t="s">
        <v>176</v>
      </c>
      <c r="E470" s="1976" t="s">
        <v>669</v>
      </c>
      <c r="F470" s="1976" t="s">
        <v>670</v>
      </c>
      <c r="G470" s="1977" t="s">
        <v>923</v>
      </c>
      <c r="H470" s="1978" t="s">
        <v>924</v>
      </c>
    </row>
    <row r="471" spans="1:8" ht="14.25" thickTop="1" thickBot="1" x14ac:dyDescent="0.25">
      <c r="A471" s="1740">
        <v>1</v>
      </c>
      <c r="B471" s="1739">
        <v>2</v>
      </c>
      <c r="C471" s="1739">
        <v>3</v>
      </c>
      <c r="D471" s="1739">
        <v>4</v>
      </c>
      <c r="E471" s="1949">
        <v>5</v>
      </c>
      <c r="F471" s="1949">
        <v>6</v>
      </c>
      <c r="G471" s="1950">
        <v>7</v>
      </c>
      <c r="H471" s="1951" t="s">
        <v>61</v>
      </c>
    </row>
    <row r="472" spans="1:8" ht="15.75" hidden="1" thickTop="1" x14ac:dyDescent="0.25">
      <c r="A472" s="1999">
        <v>2212</v>
      </c>
      <c r="B472" s="1953">
        <v>5166</v>
      </c>
      <c r="C472" s="1953"/>
      <c r="D472" s="1979" t="s">
        <v>646</v>
      </c>
      <c r="E472" s="1959">
        <v>0</v>
      </c>
      <c r="F472" s="2001">
        <v>0</v>
      </c>
      <c r="G472" s="2001">
        <v>0</v>
      </c>
      <c r="H472" s="1961" t="e">
        <f>G472/F472*100</f>
        <v>#DIV/0!</v>
      </c>
    </row>
    <row r="473" spans="1:8" ht="16.5" thickTop="1" thickBot="1" x14ac:dyDescent="0.3">
      <c r="A473" s="2002">
        <v>2212</v>
      </c>
      <c r="B473" s="1967">
        <v>6121</v>
      </c>
      <c r="C473" s="1967"/>
      <c r="D473" s="1979" t="s">
        <v>640</v>
      </c>
      <c r="E473" s="1959">
        <v>0</v>
      </c>
      <c r="F473" s="1993">
        <v>76</v>
      </c>
      <c r="G473" s="1993">
        <v>76</v>
      </c>
      <c r="H473" s="1961">
        <f>G473/F473*100</f>
        <v>100</v>
      </c>
    </row>
    <row r="474" spans="1:8" ht="16.5" thickTop="1" thickBot="1" x14ac:dyDescent="0.3">
      <c r="A474" s="1980" t="s">
        <v>802</v>
      </c>
      <c r="B474" s="1981"/>
      <c r="C474" s="1981"/>
      <c r="D474" s="1982"/>
      <c r="E474" s="1957">
        <f>SUM(E472:E473)</f>
        <v>0</v>
      </c>
      <c r="F474" s="1960">
        <f>SUM(F472:F473)</f>
        <v>76</v>
      </c>
      <c r="G474" s="1960">
        <f>SUM(G472:G473)</f>
        <v>76</v>
      </c>
      <c r="H474" s="1962">
        <f>G474/F474*100</f>
        <v>100</v>
      </c>
    </row>
    <row r="475" spans="1:8" ht="15.75" thickTop="1" x14ac:dyDescent="0.25">
      <c r="A475" s="1994"/>
      <c r="B475" s="1994"/>
      <c r="C475" s="1994"/>
      <c r="D475" s="1994"/>
      <c r="E475" s="1964"/>
      <c r="F475" s="1964"/>
      <c r="G475" s="1964"/>
      <c r="H475" s="1995"/>
    </row>
    <row r="476" spans="1:8" ht="15" x14ac:dyDescent="0.25">
      <c r="A476" s="1942" t="s">
        <v>1839</v>
      </c>
      <c r="B476" s="1973"/>
      <c r="C476" s="1973"/>
      <c r="D476" s="1973"/>
      <c r="E476" s="1973"/>
      <c r="F476" s="1973"/>
      <c r="G476" s="1973"/>
      <c r="H476" s="1973"/>
    </row>
    <row r="477" spans="1:8" ht="15.75" thickBot="1" x14ac:dyDescent="0.3">
      <c r="A477" s="1942" t="s">
        <v>1840</v>
      </c>
      <c r="D477" s="1936"/>
      <c r="E477" s="1937"/>
      <c r="F477" s="1970"/>
      <c r="G477" s="1970"/>
      <c r="H477" s="1966" t="s">
        <v>173</v>
      </c>
    </row>
    <row r="478" spans="1:8" ht="25.5" thickTop="1" thickBot="1" x14ac:dyDescent="0.25">
      <c r="A478" s="1943" t="s">
        <v>174</v>
      </c>
      <c r="B478" s="1944" t="s">
        <v>800</v>
      </c>
      <c r="C478" s="1944" t="s">
        <v>397</v>
      </c>
      <c r="D478" s="1945" t="s">
        <v>176</v>
      </c>
      <c r="E478" s="1976" t="s">
        <v>669</v>
      </c>
      <c r="F478" s="1976" t="s">
        <v>670</v>
      </c>
      <c r="G478" s="1977" t="s">
        <v>923</v>
      </c>
      <c r="H478" s="1978" t="s">
        <v>924</v>
      </c>
    </row>
    <row r="479" spans="1:8" ht="14.25" thickTop="1" thickBot="1" x14ac:dyDescent="0.25">
      <c r="A479" s="1740">
        <v>1</v>
      </c>
      <c r="B479" s="1739">
        <v>2</v>
      </c>
      <c r="C479" s="1739">
        <v>3</v>
      </c>
      <c r="D479" s="1739">
        <v>4</v>
      </c>
      <c r="E479" s="1949">
        <v>5</v>
      </c>
      <c r="F479" s="1949">
        <v>6</v>
      </c>
      <c r="G479" s="1950">
        <v>7</v>
      </c>
      <c r="H479" s="1951" t="s">
        <v>61</v>
      </c>
    </row>
    <row r="480" spans="1:8" ht="15.75" hidden="1" thickTop="1" x14ac:dyDescent="0.25">
      <c r="A480" s="1999">
        <v>2212</v>
      </c>
      <c r="B480" s="1953">
        <v>5166</v>
      </c>
      <c r="C480" s="2005"/>
      <c r="D480" s="1979" t="s">
        <v>646</v>
      </c>
      <c r="E480" s="1959">
        <v>0</v>
      </c>
      <c r="F480" s="1959">
        <v>0</v>
      </c>
      <c r="G480" s="1959">
        <v>0</v>
      </c>
      <c r="H480" s="1961" t="e">
        <f>G480/F480*100</f>
        <v>#DIV/0!</v>
      </c>
    </row>
    <row r="481" spans="1:8" ht="16.5" thickTop="1" thickBot="1" x14ac:dyDescent="0.3">
      <c r="A481" s="2002">
        <v>2212</v>
      </c>
      <c r="B481" s="1967">
        <v>6121</v>
      </c>
      <c r="C481" s="1967"/>
      <c r="D481" s="1979" t="s">
        <v>640</v>
      </c>
      <c r="E481" s="1959">
        <v>0</v>
      </c>
      <c r="F481" s="1993">
        <v>79</v>
      </c>
      <c r="G481" s="1993">
        <v>79</v>
      </c>
      <c r="H481" s="1961">
        <f>G481/F481*100</f>
        <v>100</v>
      </c>
    </row>
    <row r="482" spans="1:8" ht="16.5" thickTop="1" thickBot="1" x14ac:dyDescent="0.3">
      <c r="A482" s="1980" t="s">
        <v>802</v>
      </c>
      <c r="B482" s="1981"/>
      <c r="C482" s="1981"/>
      <c r="D482" s="1982"/>
      <c r="E482" s="1957">
        <f>SUM(E480:E481)</f>
        <v>0</v>
      </c>
      <c r="F482" s="1960">
        <f>SUM(F480:F481)</f>
        <v>79</v>
      </c>
      <c r="G482" s="1960">
        <f>SUM(G480:G481)</f>
        <v>79</v>
      </c>
      <c r="H482" s="1962">
        <f>G482/F482*100</f>
        <v>100</v>
      </c>
    </row>
    <row r="483" spans="1:8" ht="15.75" thickTop="1" x14ac:dyDescent="0.25">
      <c r="A483" s="1994"/>
      <c r="B483" s="1994"/>
      <c r="C483" s="1994"/>
      <c r="D483" s="1994"/>
      <c r="E483" s="1964"/>
      <c r="F483" s="1964"/>
      <c r="G483" s="1964"/>
      <c r="H483" s="1995"/>
    </row>
    <row r="484" spans="1:8" ht="15" x14ac:dyDescent="0.25">
      <c r="A484" s="1942" t="s">
        <v>1841</v>
      </c>
      <c r="B484" s="1973"/>
      <c r="C484" s="1973"/>
      <c r="D484" s="1973"/>
      <c r="E484" s="1973"/>
      <c r="F484" s="1973"/>
      <c r="G484" s="1973"/>
      <c r="H484" s="1973"/>
    </row>
    <row r="485" spans="1:8" ht="15.75" thickBot="1" x14ac:dyDescent="0.3">
      <c r="A485" s="1942" t="s">
        <v>1842</v>
      </c>
      <c r="D485" s="1936"/>
      <c r="E485" s="1937"/>
      <c r="F485" s="1970"/>
      <c r="G485" s="1970"/>
      <c r="H485" s="1966" t="s">
        <v>173</v>
      </c>
    </row>
    <row r="486" spans="1:8" ht="25.5" thickTop="1" thickBot="1" x14ac:dyDescent="0.25">
      <c r="A486" s="1943" t="s">
        <v>174</v>
      </c>
      <c r="B486" s="1944" t="s">
        <v>800</v>
      </c>
      <c r="C486" s="1944" t="s">
        <v>397</v>
      </c>
      <c r="D486" s="1945" t="s">
        <v>176</v>
      </c>
      <c r="E486" s="1976" t="s">
        <v>669</v>
      </c>
      <c r="F486" s="1976" t="s">
        <v>670</v>
      </c>
      <c r="G486" s="1977" t="s">
        <v>923</v>
      </c>
      <c r="H486" s="1978" t="s">
        <v>924</v>
      </c>
    </row>
    <row r="487" spans="1:8" ht="14.25" thickTop="1" thickBot="1" x14ac:dyDescent="0.25">
      <c r="A487" s="1740">
        <v>1</v>
      </c>
      <c r="B487" s="1739">
        <v>2</v>
      </c>
      <c r="C487" s="1739">
        <v>3</v>
      </c>
      <c r="D487" s="1739">
        <v>4</v>
      </c>
      <c r="E487" s="1949">
        <v>5</v>
      </c>
      <c r="F487" s="1949">
        <v>6</v>
      </c>
      <c r="G487" s="1950">
        <v>7</v>
      </c>
      <c r="H487" s="1951" t="s">
        <v>61</v>
      </c>
    </row>
    <row r="488" spans="1:8" ht="15.75" hidden="1" thickTop="1" x14ac:dyDescent="0.25">
      <c r="A488" s="1999">
        <v>2212</v>
      </c>
      <c r="B488" s="1953">
        <v>5166</v>
      </c>
      <c r="C488" s="2005"/>
      <c r="D488" s="1979" t="s">
        <v>646</v>
      </c>
      <c r="E488" s="1959">
        <v>0</v>
      </c>
      <c r="F488" s="1959">
        <v>0</v>
      </c>
      <c r="G488" s="1959">
        <v>0</v>
      </c>
      <c r="H488" s="1961" t="e">
        <f>G488/F488*100</f>
        <v>#DIV/0!</v>
      </c>
    </row>
    <row r="489" spans="1:8" ht="16.5" thickTop="1" thickBot="1" x14ac:dyDescent="0.3">
      <c r="A489" s="2002">
        <v>2212</v>
      </c>
      <c r="B489" s="1967">
        <v>6121</v>
      </c>
      <c r="C489" s="1967"/>
      <c r="D489" s="1979" t="s">
        <v>640</v>
      </c>
      <c r="E489" s="1959">
        <v>0</v>
      </c>
      <c r="F489" s="1993">
        <v>78</v>
      </c>
      <c r="G489" s="1993">
        <v>78</v>
      </c>
      <c r="H489" s="1961">
        <f>G489/F489*100</f>
        <v>100</v>
      </c>
    </row>
    <row r="490" spans="1:8" ht="16.5" thickTop="1" thickBot="1" x14ac:dyDescent="0.3">
      <c r="A490" s="1980" t="s">
        <v>802</v>
      </c>
      <c r="B490" s="1981"/>
      <c r="C490" s="1981"/>
      <c r="D490" s="1982"/>
      <c r="E490" s="1957">
        <f>SUM(E488:E489)</f>
        <v>0</v>
      </c>
      <c r="F490" s="1960">
        <f>SUM(F488:F489)</f>
        <v>78</v>
      </c>
      <c r="G490" s="1960">
        <f>SUM(G488:G489)</f>
        <v>78</v>
      </c>
      <c r="H490" s="1962">
        <f>G490/F490*100</f>
        <v>100</v>
      </c>
    </row>
    <row r="491" spans="1:8" ht="15.75" thickTop="1" x14ac:dyDescent="0.25">
      <c r="A491" s="1994"/>
      <c r="B491" s="1994"/>
      <c r="C491" s="1994"/>
      <c r="D491" s="1994"/>
      <c r="E491" s="1964"/>
      <c r="F491" s="1964"/>
      <c r="G491" s="1964"/>
      <c r="H491" s="1995"/>
    </row>
    <row r="492" spans="1:8" ht="15" x14ac:dyDescent="0.25">
      <c r="A492" s="1942" t="s">
        <v>1641</v>
      </c>
      <c r="B492" s="1973"/>
      <c r="C492" s="1973"/>
      <c r="D492" s="1973"/>
      <c r="E492" s="1973"/>
      <c r="F492" s="1973"/>
      <c r="G492" s="1973"/>
      <c r="H492" s="1973"/>
    </row>
    <row r="493" spans="1:8" ht="15.75" thickBot="1" x14ac:dyDescent="0.3">
      <c r="A493" s="1942" t="s">
        <v>1642</v>
      </c>
      <c r="D493" s="1936"/>
      <c r="E493" s="1937"/>
      <c r="F493" s="1970"/>
      <c r="G493" s="1970"/>
      <c r="H493" s="1966" t="s">
        <v>173</v>
      </c>
    </row>
    <row r="494" spans="1:8" ht="25.5" thickTop="1" thickBot="1" x14ac:dyDescent="0.25">
      <c r="A494" s="1943" t="s">
        <v>174</v>
      </c>
      <c r="B494" s="1944" t="s">
        <v>800</v>
      </c>
      <c r="C494" s="1944" t="s">
        <v>397</v>
      </c>
      <c r="D494" s="1945" t="s">
        <v>176</v>
      </c>
      <c r="E494" s="1976" t="s">
        <v>669</v>
      </c>
      <c r="F494" s="1976" t="s">
        <v>670</v>
      </c>
      <c r="G494" s="1977" t="s">
        <v>923</v>
      </c>
      <c r="H494" s="1978" t="s">
        <v>924</v>
      </c>
    </row>
    <row r="495" spans="1:8" ht="14.25" thickTop="1" thickBot="1" x14ac:dyDescent="0.25">
      <c r="A495" s="1740">
        <v>1</v>
      </c>
      <c r="B495" s="1739">
        <v>2</v>
      </c>
      <c r="C495" s="1739">
        <v>3</v>
      </c>
      <c r="D495" s="1739">
        <v>4</v>
      </c>
      <c r="E495" s="1949">
        <v>5</v>
      </c>
      <c r="F495" s="1949">
        <v>6</v>
      </c>
      <c r="G495" s="1950">
        <v>7</v>
      </c>
      <c r="H495" s="1951" t="s">
        <v>61</v>
      </c>
    </row>
    <row r="496" spans="1:8" ht="15.75" hidden="1" thickTop="1" x14ac:dyDescent="0.25">
      <c r="A496" s="1999">
        <v>2212</v>
      </c>
      <c r="B496" s="1953">
        <v>5166</v>
      </c>
      <c r="C496" s="2005"/>
      <c r="D496" s="1979" t="s">
        <v>646</v>
      </c>
      <c r="E496" s="1959">
        <v>0</v>
      </c>
      <c r="F496" s="1959">
        <v>0</v>
      </c>
      <c r="G496" s="1959">
        <v>0</v>
      </c>
      <c r="H496" s="1961" t="e">
        <f>G496/F496*100</f>
        <v>#DIV/0!</v>
      </c>
    </row>
    <row r="497" spans="1:8" ht="16.5" thickTop="1" thickBot="1" x14ac:dyDescent="0.3">
      <c r="A497" s="2002">
        <v>2212</v>
      </c>
      <c r="B497" s="1967">
        <v>6121</v>
      </c>
      <c r="C497" s="1967"/>
      <c r="D497" s="1979" t="s">
        <v>640</v>
      </c>
      <c r="E497" s="1959">
        <v>0</v>
      </c>
      <c r="F497" s="1993">
        <v>30</v>
      </c>
      <c r="G497" s="1993">
        <v>0</v>
      </c>
      <c r="H497" s="1961">
        <f>G497/F497*100</f>
        <v>0</v>
      </c>
    </row>
    <row r="498" spans="1:8" ht="16.5" thickTop="1" thickBot="1" x14ac:dyDescent="0.3">
      <c r="A498" s="1980" t="s">
        <v>802</v>
      </c>
      <c r="B498" s="1981"/>
      <c r="C498" s="1981"/>
      <c r="D498" s="1982"/>
      <c r="E498" s="1957">
        <f>SUM(E496:E497)</f>
        <v>0</v>
      </c>
      <c r="F498" s="1960">
        <f>SUM(F496:F497)</f>
        <v>30</v>
      </c>
      <c r="G498" s="1960">
        <f>SUM(G496:G497)</f>
        <v>0</v>
      </c>
      <c r="H498" s="1962">
        <f>G498/F498*100</f>
        <v>0</v>
      </c>
    </row>
    <row r="499" spans="1:8" ht="15.75" thickTop="1" x14ac:dyDescent="0.25">
      <c r="A499" s="1994"/>
      <c r="B499" s="1994"/>
      <c r="C499" s="1994"/>
      <c r="D499" s="1994"/>
      <c r="E499" s="1964"/>
      <c r="F499" s="1964"/>
      <c r="G499" s="1964"/>
      <c r="H499" s="1995"/>
    </row>
    <row r="500" spans="1:8" ht="15" x14ac:dyDescent="0.25">
      <c r="A500" s="1942" t="s">
        <v>1843</v>
      </c>
      <c r="B500" s="1973"/>
      <c r="C500" s="1973"/>
      <c r="D500" s="1973"/>
      <c r="E500" s="1973"/>
      <c r="F500" s="1973"/>
      <c r="G500" s="1973"/>
      <c r="H500" s="1973"/>
    </row>
    <row r="501" spans="1:8" ht="15.75" thickBot="1" x14ac:dyDescent="0.3">
      <c r="A501" s="1942" t="s">
        <v>1844</v>
      </c>
      <c r="D501" s="1936"/>
      <c r="E501" s="1937"/>
      <c r="F501" s="1970"/>
      <c r="G501" s="1970"/>
      <c r="H501" s="1966" t="s">
        <v>173</v>
      </c>
    </row>
    <row r="502" spans="1:8" ht="25.5" thickTop="1" thickBot="1" x14ac:dyDescent="0.25">
      <c r="A502" s="1943" t="s">
        <v>174</v>
      </c>
      <c r="B502" s="1944" t="s">
        <v>800</v>
      </c>
      <c r="C502" s="1944" t="s">
        <v>397</v>
      </c>
      <c r="D502" s="1945" t="s">
        <v>176</v>
      </c>
      <c r="E502" s="1976" t="s">
        <v>669</v>
      </c>
      <c r="F502" s="1976" t="s">
        <v>670</v>
      </c>
      <c r="G502" s="1977" t="s">
        <v>923</v>
      </c>
      <c r="H502" s="1978" t="s">
        <v>924</v>
      </c>
    </row>
    <row r="503" spans="1:8" ht="14.25" thickTop="1" thickBot="1" x14ac:dyDescent="0.25">
      <c r="A503" s="1740">
        <v>1</v>
      </c>
      <c r="B503" s="1739">
        <v>2</v>
      </c>
      <c r="C503" s="1739">
        <v>3</v>
      </c>
      <c r="D503" s="1739">
        <v>4</v>
      </c>
      <c r="E503" s="1949">
        <v>5</v>
      </c>
      <c r="F503" s="1949">
        <v>6</v>
      </c>
      <c r="G503" s="1950">
        <v>7</v>
      </c>
      <c r="H503" s="1951" t="s">
        <v>61</v>
      </c>
    </row>
    <row r="504" spans="1:8" ht="15.75" thickTop="1" x14ac:dyDescent="0.25">
      <c r="A504" s="1992">
        <v>2212</v>
      </c>
      <c r="B504" s="1954">
        <v>5166</v>
      </c>
      <c r="C504" s="1954"/>
      <c r="D504" s="2006" t="s">
        <v>646</v>
      </c>
      <c r="E504" s="1959">
        <v>0</v>
      </c>
      <c r="F504" s="2001">
        <v>6</v>
      </c>
      <c r="G504" s="2000">
        <v>6</v>
      </c>
      <c r="H504" s="1961">
        <f>G504/F504*100</f>
        <v>100</v>
      </c>
    </row>
    <row r="505" spans="1:8" ht="15.75" thickBot="1" x14ac:dyDescent="0.3">
      <c r="A505" s="1999">
        <v>2212</v>
      </c>
      <c r="B505" s="1953">
        <v>6121</v>
      </c>
      <c r="C505" s="1953"/>
      <c r="D505" s="1979" t="s">
        <v>640</v>
      </c>
      <c r="E505" s="1959">
        <v>0</v>
      </c>
      <c r="F505" s="2001">
        <v>52</v>
      </c>
      <c r="G505" s="2001">
        <v>52</v>
      </c>
      <c r="H505" s="1961">
        <f>G505/F505*100</f>
        <v>100</v>
      </c>
    </row>
    <row r="506" spans="1:8" ht="15.75" hidden="1" thickBot="1" x14ac:dyDescent="0.3">
      <c r="A506" s="2002">
        <v>3533</v>
      </c>
      <c r="B506" s="1967">
        <v>6121</v>
      </c>
      <c r="C506" s="1967"/>
      <c r="D506" s="1979" t="s">
        <v>640</v>
      </c>
      <c r="E506" s="1959">
        <v>0</v>
      </c>
      <c r="F506" s="1993">
        <v>0</v>
      </c>
      <c r="G506" s="1993">
        <v>0</v>
      </c>
      <c r="H506" s="1961" t="e">
        <f>G506/F506*100</f>
        <v>#DIV/0!</v>
      </c>
    </row>
    <row r="507" spans="1:8" ht="16.5" thickTop="1" thickBot="1" x14ac:dyDescent="0.3">
      <c r="A507" s="1980" t="s">
        <v>802</v>
      </c>
      <c r="B507" s="1981"/>
      <c r="C507" s="1981"/>
      <c r="D507" s="1982"/>
      <c r="E507" s="1957">
        <f>SUM(E504:E505)</f>
        <v>0</v>
      </c>
      <c r="F507" s="1957">
        <f>SUM(F504:F505)</f>
        <v>58</v>
      </c>
      <c r="G507" s="1957">
        <f>SUM(G504:G505)</f>
        <v>58</v>
      </c>
      <c r="H507" s="1962">
        <f>G507/F507*100</f>
        <v>100</v>
      </c>
    </row>
    <row r="508" spans="1:8" ht="15.75" thickTop="1" x14ac:dyDescent="0.25">
      <c r="A508" s="1994"/>
      <c r="B508" s="1994"/>
      <c r="C508" s="1994"/>
      <c r="D508" s="1994"/>
      <c r="E508" s="1964"/>
      <c r="F508" s="1964"/>
      <c r="G508" s="1964"/>
      <c r="H508" s="1995"/>
    </row>
    <row r="509" spans="1:8" ht="15" x14ac:dyDescent="0.25">
      <c r="A509" s="1942" t="s">
        <v>1845</v>
      </c>
      <c r="B509" s="1973"/>
      <c r="C509" s="1973"/>
      <c r="D509" s="1973"/>
      <c r="E509" s="1973"/>
      <c r="F509" s="1973"/>
      <c r="G509" s="1973"/>
      <c r="H509" s="1973"/>
    </row>
    <row r="510" spans="1:8" ht="15.75" thickBot="1" x14ac:dyDescent="0.3">
      <c r="A510" s="1942" t="s">
        <v>1846</v>
      </c>
      <c r="D510" s="1936"/>
      <c r="E510" s="1937"/>
      <c r="F510" s="1970"/>
      <c r="G510" s="1970"/>
      <c r="H510" s="1966" t="s">
        <v>173</v>
      </c>
    </row>
    <row r="511" spans="1:8" ht="25.5" thickTop="1" thickBot="1" x14ac:dyDescent="0.25">
      <c r="A511" s="1943" t="s">
        <v>174</v>
      </c>
      <c r="B511" s="1944" t="s">
        <v>800</v>
      </c>
      <c r="C511" s="1944" t="s">
        <v>397</v>
      </c>
      <c r="D511" s="1945" t="s">
        <v>176</v>
      </c>
      <c r="E511" s="1976" t="s">
        <v>669</v>
      </c>
      <c r="F511" s="1976" t="s">
        <v>670</v>
      </c>
      <c r="G511" s="1977" t="s">
        <v>923</v>
      </c>
      <c r="H511" s="1978" t="s">
        <v>924</v>
      </c>
    </row>
    <row r="512" spans="1:8" ht="14.25" thickTop="1" thickBot="1" x14ac:dyDescent="0.25">
      <c r="A512" s="1740">
        <v>1</v>
      </c>
      <c r="B512" s="1739">
        <v>2</v>
      </c>
      <c r="C512" s="1739">
        <v>3</v>
      </c>
      <c r="D512" s="1739">
        <v>4</v>
      </c>
      <c r="E512" s="1949">
        <v>5</v>
      </c>
      <c r="F512" s="1949">
        <v>6</v>
      </c>
      <c r="G512" s="1950">
        <v>7</v>
      </c>
      <c r="H512" s="1951" t="s">
        <v>61</v>
      </c>
    </row>
    <row r="513" spans="1:8" ht="16.5" thickTop="1" thickBot="1" x14ac:dyDescent="0.3">
      <c r="A513" s="1992">
        <v>2212</v>
      </c>
      <c r="B513" s="1954">
        <v>6121</v>
      </c>
      <c r="C513" s="1954"/>
      <c r="D513" s="1979" t="s">
        <v>640</v>
      </c>
      <c r="E513" s="1959">
        <v>0</v>
      </c>
      <c r="F513" s="1993">
        <v>78</v>
      </c>
      <c r="G513" s="1993">
        <v>78</v>
      </c>
      <c r="H513" s="1961">
        <f>G513/F513*100</f>
        <v>100</v>
      </c>
    </row>
    <row r="514" spans="1:8" ht="16.5" thickTop="1" thickBot="1" x14ac:dyDescent="0.3">
      <c r="A514" s="1980" t="s">
        <v>802</v>
      </c>
      <c r="B514" s="1981"/>
      <c r="C514" s="1981"/>
      <c r="D514" s="1982"/>
      <c r="E514" s="1957">
        <f>SUM(E513:E513)</f>
        <v>0</v>
      </c>
      <c r="F514" s="1960">
        <f>SUM(F513:F513)</f>
        <v>78</v>
      </c>
      <c r="G514" s="1960">
        <f>SUM(G513:G513)</f>
        <v>78</v>
      </c>
      <c r="H514" s="1962">
        <f>G514/F514*100</f>
        <v>100</v>
      </c>
    </row>
    <row r="515" spans="1:8" ht="15.75" thickTop="1" x14ac:dyDescent="0.25">
      <c r="A515" s="1994"/>
      <c r="B515" s="1994"/>
      <c r="C515" s="1994"/>
      <c r="D515" s="1994"/>
      <c r="E515" s="1964"/>
      <c r="F515" s="1964"/>
      <c r="G515" s="1964"/>
      <c r="H515" s="1995"/>
    </row>
    <row r="516" spans="1:8" ht="15" hidden="1" x14ac:dyDescent="0.25">
      <c r="A516" s="1942" t="s">
        <v>574</v>
      </c>
      <c r="B516" s="1973"/>
      <c r="C516" s="1973"/>
      <c r="D516" s="1973"/>
      <c r="E516" s="1973"/>
      <c r="F516" s="1973"/>
      <c r="G516" s="1973"/>
      <c r="H516" s="1973"/>
    </row>
    <row r="517" spans="1:8" ht="15" hidden="1" x14ac:dyDescent="0.25">
      <c r="A517" s="1942" t="s">
        <v>575</v>
      </c>
      <c r="D517" s="1936"/>
      <c r="E517" s="1937"/>
      <c r="F517" s="1970"/>
      <c r="G517" s="1970"/>
      <c r="H517" s="1937" t="s">
        <v>173</v>
      </c>
    </row>
    <row r="518" spans="1:8" ht="25.5" hidden="1" thickTop="1" thickBot="1" x14ac:dyDescent="0.25">
      <c r="A518" s="1943" t="s">
        <v>174</v>
      </c>
      <c r="B518" s="1944" t="s">
        <v>800</v>
      </c>
      <c r="C518" s="1944" t="s">
        <v>397</v>
      </c>
      <c r="D518" s="1945" t="s">
        <v>176</v>
      </c>
      <c r="E518" s="1976" t="s">
        <v>669</v>
      </c>
      <c r="F518" s="1976" t="s">
        <v>670</v>
      </c>
      <c r="G518" s="1977" t="s">
        <v>923</v>
      </c>
      <c r="H518" s="1978" t="s">
        <v>924</v>
      </c>
    </row>
    <row r="519" spans="1:8" ht="14.25" hidden="1" thickTop="1" thickBot="1" x14ac:dyDescent="0.25">
      <c r="A519" s="1740">
        <v>1</v>
      </c>
      <c r="B519" s="1739">
        <v>2</v>
      </c>
      <c r="C519" s="1739">
        <v>3</v>
      </c>
      <c r="D519" s="1739">
        <v>4</v>
      </c>
      <c r="E519" s="1949">
        <v>5</v>
      </c>
      <c r="F519" s="1949">
        <v>6</v>
      </c>
      <c r="G519" s="1950">
        <v>7</v>
      </c>
      <c r="H519" s="1996" t="s">
        <v>61</v>
      </c>
    </row>
    <row r="520" spans="1:8" ht="16.5" hidden="1" thickTop="1" thickBot="1" x14ac:dyDescent="0.3">
      <c r="A520" s="1992">
        <v>3523</v>
      </c>
      <c r="B520" s="1954">
        <v>6121</v>
      </c>
      <c r="C520" s="1954"/>
      <c r="D520" s="1979" t="s">
        <v>640</v>
      </c>
      <c r="E520" s="1959">
        <v>0</v>
      </c>
      <c r="F520" s="1993">
        <v>0</v>
      </c>
      <c r="G520" s="1993">
        <v>0</v>
      </c>
      <c r="H520" s="1997" t="e">
        <f>G520/F520*100</f>
        <v>#DIV/0!</v>
      </c>
    </row>
    <row r="521" spans="1:8" ht="16.5" hidden="1" thickTop="1" thickBot="1" x14ac:dyDescent="0.3">
      <c r="A521" s="1980" t="s">
        <v>802</v>
      </c>
      <c r="B521" s="1981"/>
      <c r="C521" s="1981"/>
      <c r="D521" s="1982"/>
      <c r="E521" s="1957">
        <f>SUM(E520:E520)</f>
        <v>0</v>
      </c>
      <c r="F521" s="1960">
        <f>SUM(F520:F520)</f>
        <v>0</v>
      </c>
      <c r="G521" s="1960">
        <f>SUM(G520:G520)</f>
        <v>0</v>
      </c>
      <c r="H521" s="1962" t="e">
        <f>G521/F521*100</f>
        <v>#DIV/0!</v>
      </c>
    </row>
    <row r="522" spans="1:8" ht="15" hidden="1" x14ac:dyDescent="0.25">
      <c r="A522" s="1994"/>
      <c r="B522" s="1994"/>
      <c r="C522" s="1994"/>
      <c r="D522" s="1994"/>
      <c r="E522" s="1964"/>
      <c r="F522" s="1964"/>
      <c r="G522" s="1964"/>
      <c r="H522" s="1995"/>
    </row>
    <row r="523" spans="1:8" ht="15" x14ac:dyDescent="0.25">
      <c r="A523" s="1942" t="s">
        <v>1847</v>
      </c>
      <c r="B523" s="1973"/>
      <c r="C523" s="1973"/>
      <c r="D523" s="1973"/>
      <c r="E523" s="1973"/>
      <c r="F523" s="1973"/>
      <c r="G523" s="1973"/>
      <c r="H523" s="1973"/>
    </row>
    <row r="524" spans="1:8" ht="15.75" thickBot="1" x14ac:dyDescent="0.3">
      <c r="A524" s="1942" t="s">
        <v>1848</v>
      </c>
      <c r="D524" s="1936"/>
      <c r="E524" s="1937"/>
      <c r="F524" s="1970"/>
      <c r="G524" s="1970"/>
      <c r="H524" s="1966" t="s">
        <v>173</v>
      </c>
    </row>
    <row r="525" spans="1:8" ht="25.5" thickTop="1" thickBot="1" x14ac:dyDescent="0.25">
      <c r="A525" s="1943" t="s">
        <v>174</v>
      </c>
      <c r="B525" s="1944" t="s">
        <v>800</v>
      </c>
      <c r="C525" s="1944" t="s">
        <v>397</v>
      </c>
      <c r="D525" s="1945" t="s">
        <v>176</v>
      </c>
      <c r="E525" s="1976" t="s">
        <v>669</v>
      </c>
      <c r="F525" s="1976" t="s">
        <v>670</v>
      </c>
      <c r="G525" s="1977" t="s">
        <v>923</v>
      </c>
      <c r="H525" s="1978" t="s">
        <v>924</v>
      </c>
    </row>
    <row r="526" spans="1:8" ht="14.25" thickTop="1" thickBot="1" x14ac:dyDescent="0.25">
      <c r="A526" s="1740">
        <v>1</v>
      </c>
      <c r="B526" s="1739">
        <v>2</v>
      </c>
      <c r="C526" s="1739">
        <v>3</v>
      </c>
      <c r="D526" s="1739">
        <v>4</v>
      </c>
      <c r="E526" s="1949">
        <v>5</v>
      </c>
      <c r="F526" s="1949">
        <v>6</v>
      </c>
      <c r="G526" s="1950">
        <v>7</v>
      </c>
      <c r="H526" s="1951" t="s">
        <v>61</v>
      </c>
    </row>
    <row r="527" spans="1:8" ht="15.75" thickTop="1" x14ac:dyDescent="0.25">
      <c r="A527" s="1992">
        <v>2212</v>
      </c>
      <c r="B527" s="1954">
        <v>5166</v>
      </c>
      <c r="C527" s="1954"/>
      <c r="D527" s="1979" t="s">
        <v>646</v>
      </c>
      <c r="E527" s="1959">
        <v>0</v>
      </c>
      <c r="F527" s="2001">
        <v>10</v>
      </c>
      <c r="G527" s="2001">
        <v>5</v>
      </c>
      <c r="H527" s="1961">
        <f>G527/F527*100</f>
        <v>50</v>
      </c>
    </row>
    <row r="528" spans="1:8" ht="15.75" thickBot="1" x14ac:dyDescent="0.3">
      <c r="A528" s="2002">
        <v>2212</v>
      </c>
      <c r="B528" s="1967">
        <v>6121</v>
      </c>
      <c r="C528" s="1967"/>
      <c r="D528" s="1979" t="s">
        <v>640</v>
      </c>
      <c r="E528" s="1959">
        <v>0</v>
      </c>
      <c r="F528" s="1993">
        <v>120</v>
      </c>
      <c r="G528" s="1993">
        <v>91</v>
      </c>
      <c r="H528" s="1961">
        <f>G528/F528*100</f>
        <v>75.833333333333329</v>
      </c>
    </row>
    <row r="529" spans="1:8" ht="16.5" thickTop="1" thickBot="1" x14ac:dyDescent="0.3">
      <c r="A529" s="1980" t="s">
        <v>802</v>
      </c>
      <c r="B529" s="1981"/>
      <c r="C529" s="1981"/>
      <c r="D529" s="1982"/>
      <c r="E529" s="1957">
        <f>SUM(E527:E528)</f>
        <v>0</v>
      </c>
      <c r="F529" s="1957">
        <f>SUM(F527:F528)</f>
        <v>130</v>
      </c>
      <c r="G529" s="1957">
        <f>SUM(G527:G528)</f>
        <v>96</v>
      </c>
      <c r="H529" s="1962">
        <f>G529/F529*100</f>
        <v>73.846153846153854</v>
      </c>
    </row>
    <row r="530" spans="1:8" ht="15.75" thickTop="1" x14ac:dyDescent="0.25">
      <c r="A530" s="1994"/>
      <c r="B530" s="1994"/>
      <c r="C530" s="1994"/>
      <c r="D530" s="1994"/>
      <c r="E530" s="1964"/>
      <c r="F530" s="1964"/>
      <c r="G530" s="1964"/>
      <c r="H530" s="1995"/>
    </row>
    <row r="531" spans="1:8" ht="15" x14ac:dyDescent="0.25">
      <c r="A531" s="1942" t="s">
        <v>1849</v>
      </c>
      <c r="B531" s="1973"/>
      <c r="C531" s="1973"/>
      <c r="D531" s="1973"/>
      <c r="E531" s="1973"/>
      <c r="F531" s="1973"/>
      <c r="G531" s="1973"/>
      <c r="H531" s="1973"/>
    </row>
    <row r="532" spans="1:8" ht="15.75" thickBot="1" x14ac:dyDescent="0.3">
      <c r="A532" s="1942" t="s">
        <v>1850</v>
      </c>
      <c r="D532" s="1936"/>
      <c r="E532" s="1937"/>
      <c r="F532" s="1970"/>
      <c r="G532" s="1970"/>
      <c r="H532" s="1966" t="s">
        <v>173</v>
      </c>
    </row>
    <row r="533" spans="1:8" ht="25.5" thickTop="1" thickBot="1" x14ac:dyDescent="0.25">
      <c r="A533" s="1943" t="s">
        <v>174</v>
      </c>
      <c r="B533" s="1944" t="s">
        <v>800</v>
      </c>
      <c r="C533" s="1944" t="s">
        <v>397</v>
      </c>
      <c r="D533" s="1945" t="s">
        <v>176</v>
      </c>
      <c r="E533" s="1976" t="s">
        <v>669</v>
      </c>
      <c r="F533" s="1976" t="s">
        <v>670</v>
      </c>
      <c r="G533" s="1977" t="s">
        <v>923</v>
      </c>
      <c r="H533" s="1978" t="s">
        <v>924</v>
      </c>
    </row>
    <row r="534" spans="1:8" ht="14.25" thickTop="1" thickBot="1" x14ac:dyDescent="0.25">
      <c r="A534" s="1740">
        <v>1</v>
      </c>
      <c r="B534" s="1739">
        <v>2</v>
      </c>
      <c r="C534" s="1739">
        <v>3</v>
      </c>
      <c r="D534" s="1739">
        <v>4</v>
      </c>
      <c r="E534" s="1949">
        <v>5</v>
      </c>
      <c r="F534" s="1949">
        <v>6</v>
      </c>
      <c r="G534" s="1950">
        <v>7</v>
      </c>
      <c r="H534" s="1951" t="s">
        <v>61</v>
      </c>
    </row>
    <row r="535" spans="1:8" ht="16.5" thickTop="1" thickBot="1" x14ac:dyDescent="0.3">
      <c r="A535" s="1992">
        <v>2212</v>
      </c>
      <c r="B535" s="1954">
        <v>6121</v>
      </c>
      <c r="C535" s="1954"/>
      <c r="D535" s="1979" t="s">
        <v>640</v>
      </c>
      <c r="E535" s="1959">
        <v>0</v>
      </c>
      <c r="F535" s="1993">
        <v>96</v>
      </c>
      <c r="G535" s="1993">
        <v>96</v>
      </c>
      <c r="H535" s="1961">
        <f>G535/F535*100</f>
        <v>100</v>
      </c>
    </row>
    <row r="536" spans="1:8" ht="16.5" thickTop="1" thickBot="1" x14ac:dyDescent="0.3">
      <c r="A536" s="1980" t="s">
        <v>802</v>
      </c>
      <c r="B536" s="1981"/>
      <c r="C536" s="1981"/>
      <c r="D536" s="1982"/>
      <c r="E536" s="1957">
        <f>SUM(E535:E535)</f>
        <v>0</v>
      </c>
      <c r="F536" s="1960">
        <f>SUM(F535:F535)</f>
        <v>96</v>
      </c>
      <c r="G536" s="1960">
        <f>SUM(G535:G535)</f>
        <v>96</v>
      </c>
      <c r="H536" s="1962">
        <f>G536/F536*100</f>
        <v>100</v>
      </c>
    </row>
    <row r="537" spans="1:8" ht="15.75" thickTop="1" x14ac:dyDescent="0.25">
      <c r="A537" s="1994"/>
      <c r="B537" s="1994"/>
      <c r="C537" s="1994"/>
      <c r="D537" s="1994"/>
      <c r="E537" s="1964"/>
      <c r="F537" s="1964"/>
      <c r="G537" s="1964"/>
      <c r="H537" s="1995"/>
    </row>
    <row r="538" spans="1:8" ht="15" x14ac:dyDescent="0.25">
      <c r="A538" s="1942" t="s">
        <v>1851</v>
      </c>
      <c r="B538" s="1973"/>
      <c r="C538" s="1973"/>
      <c r="D538" s="1973"/>
      <c r="E538" s="1973"/>
      <c r="F538" s="1973"/>
      <c r="G538" s="1973"/>
      <c r="H538" s="1973"/>
    </row>
    <row r="539" spans="1:8" ht="15.75" thickBot="1" x14ac:dyDescent="0.3">
      <c r="A539" s="1942" t="s">
        <v>1852</v>
      </c>
      <c r="D539" s="1936"/>
      <c r="E539" s="1937"/>
      <c r="F539" s="1970"/>
      <c r="G539" s="1970"/>
      <c r="H539" s="1966" t="s">
        <v>173</v>
      </c>
    </row>
    <row r="540" spans="1:8" ht="25.5" thickTop="1" thickBot="1" x14ac:dyDescent="0.25">
      <c r="A540" s="1943" t="s">
        <v>174</v>
      </c>
      <c r="B540" s="1944" t="s">
        <v>800</v>
      </c>
      <c r="C540" s="1944" t="s">
        <v>397</v>
      </c>
      <c r="D540" s="1945" t="s">
        <v>176</v>
      </c>
      <c r="E540" s="1976" t="s">
        <v>669</v>
      </c>
      <c r="F540" s="1976" t="s">
        <v>670</v>
      </c>
      <c r="G540" s="1977" t="s">
        <v>923</v>
      </c>
      <c r="H540" s="1978" t="s">
        <v>924</v>
      </c>
    </row>
    <row r="541" spans="1:8" ht="14.25" thickTop="1" thickBot="1" x14ac:dyDescent="0.25">
      <c r="A541" s="1740">
        <v>1</v>
      </c>
      <c r="B541" s="1739">
        <v>2</v>
      </c>
      <c r="C541" s="1739">
        <v>3</v>
      </c>
      <c r="D541" s="1739">
        <v>4</v>
      </c>
      <c r="E541" s="1949">
        <v>5</v>
      </c>
      <c r="F541" s="1949">
        <v>6</v>
      </c>
      <c r="G541" s="1950">
        <v>7</v>
      </c>
      <c r="H541" s="1951" t="s">
        <v>61</v>
      </c>
    </row>
    <row r="542" spans="1:8" ht="15.75" thickTop="1" x14ac:dyDescent="0.25">
      <c r="A542" s="1992">
        <v>2212</v>
      </c>
      <c r="B542" s="1954">
        <v>5166</v>
      </c>
      <c r="C542" s="1954"/>
      <c r="D542" s="1979" t="s">
        <v>646</v>
      </c>
      <c r="E542" s="1959">
        <v>0</v>
      </c>
      <c r="F542" s="2001">
        <v>6</v>
      </c>
      <c r="G542" s="2001">
        <v>6</v>
      </c>
      <c r="H542" s="1961">
        <f>G542/F542*100</f>
        <v>100</v>
      </c>
    </row>
    <row r="543" spans="1:8" ht="15.75" thickBot="1" x14ac:dyDescent="0.3">
      <c r="A543" s="2002">
        <v>2212</v>
      </c>
      <c r="B543" s="1967">
        <v>6121</v>
      </c>
      <c r="C543" s="1967"/>
      <c r="D543" s="1979" t="s">
        <v>640</v>
      </c>
      <c r="E543" s="1959">
        <v>0</v>
      </c>
      <c r="F543" s="1993">
        <v>94</v>
      </c>
      <c r="G543" s="1993">
        <v>94</v>
      </c>
      <c r="H543" s="1961">
        <f>G543/F543*100</f>
        <v>100</v>
      </c>
    </row>
    <row r="544" spans="1:8" ht="16.5" thickTop="1" thickBot="1" x14ac:dyDescent="0.3">
      <c r="A544" s="1980" t="s">
        <v>802</v>
      </c>
      <c r="B544" s="1981"/>
      <c r="C544" s="1981"/>
      <c r="D544" s="1982"/>
      <c r="E544" s="1957">
        <f>SUM(E542:E543)</f>
        <v>0</v>
      </c>
      <c r="F544" s="1957">
        <f>SUM(F542:F543)</f>
        <v>100</v>
      </c>
      <c r="G544" s="1957">
        <f>SUM(G542:G543)</f>
        <v>100</v>
      </c>
      <c r="H544" s="1962">
        <f>G544/F544*100</f>
        <v>100</v>
      </c>
    </row>
    <row r="545" spans="1:8" ht="15.75" thickTop="1" x14ac:dyDescent="0.25">
      <c r="A545" s="1994"/>
      <c r="B545" s="1994"/>
      <c r="C545" s="1994"/>
      <c r="D545" s="1994"/>
      <c r="E545" s="1964"/>
      <c r="F545" s="1964"/>
      <c r="G545" s="1964"/>
      <c r="H545" s="1995"/>
    </row>
    <row r="546" spans="1:8" ht="15" x14ac:dyDescent="0.25">
      <c r="A546" s="1942" t="s">
        <v>1853</v>
      </c>
      <c r="B546" s="1973"/>
      <c r="C546" s="1973"/>
      <c r="D546" s="1973"/>
      <c r="E546" s="1973"/>
      <c r="F546" s="1973"/>
      <c r="G546" s="1973"/>
      <c r="H546" s="1973"/>
    </row>
    <row r="547" spans="1:8" ht="15.75" thickBot="1" x14ac:dyDescent="0.3">
      <c r="A547" s="1942" t="s">
        <v>1643</v>
      </c>
      <c r="D547" s="1936"/>
      <c r="E547" s="1937"/>
      <c r="F547" s="1970"/>
      <c r="G547" s="1970"/>
      <c r="H547" s="1966" t="s">
        <v>173</v>
      </c>
    </row>
    <row r="548" spans="1:8" ht="25.5" thickTop="1" thickBot="1" x14ac:dyDescent="0.25">
      <c r="A548" s="1943" t="s">
        <v>174</v>
      </c>
      <c r="B548" s="1944" t="s">
        <v>800</v>
      </c>
      <c r="C548" s="1944" t="s">
        <v>397</v>
      </c>
      <c r="D548" s="1945" t="s">
        <v>176</v>
      </c>
      <c r="E548" s="1976" t="s">
        <v>669</v>
      </c>
      <c r="F548" s="1976" t="s">
        <v>670</v>
      </c>
      <c r="G548" s="1977" t="s">
        <v>923</v>
      </c>
      <c r="H548" s="1978" t="s">
        <v>924</v>
      </c>
    </row>
    <row r="549" spans="1:8" ht="14.25" thickTop="1" thickBot="1" x14ac:dyDescent="0.25">
      <c r="A549" s="1740">
        <v>1</v>
      </c>
      <c r="B549" s="1739">
        <v>2</v>
      </c>
      <c r="C549" s="1739">
        <v>3</v>
      </c>
      <c r="D549" s="1739">
        <v>4</v>
      </c>
      <c r="E549" s="1949">
        <v>5</v>
      </c>
      <c r="F549" s="1949">
        <v>6</v>
      </c>
      <c r="G549" s="1950">
        <v>7</v>
      </c>
      <c r="H549" s="1951" t="s">
        <v>61</v>
      </c>
    </row>
    <row r="550" spans="1:8" ht="15.75" hidden="1" thickTop="1" x14ac:dyDescent="0.25">
      <c r="A550" s="1999">
        <v>2143</v>
      </c>
      <c r="B550" s="1953">
        <v>5166</v>
      </c>
      <c r="C550" s="2005"/>
      <c r="D550" s="1979" t="s">
        <v>646</v>
      </c>
      <c r="E550" s="1959">
        <v>0</v>
      </c>
      <c r="F550" s="1959">
        <v>0</v>
      </c>
      <c r="G550" s="1959">
        <v>0</v>
      </c>
      <c r="H550" s="1961" t="e">
        <f>G550/F550*100</f>
        <v>#DIV/0!</v>
      </c>
    </row>
    <row r="551" spans="1:8" ht="16.5" thickTop="1" thickBot="1" x14ac:dyDescent="0.3">
      <c r="A551" s="2002">
        <v>2212</v>
      </c>
      <c r="B551" s="1967">
        <v>6121</v>
      </c>
      <c r="C551" s="1967"/>
      <c r="D551" s="1979" t="s">
        <v>640</v>
      </c>
      <c r="E551" s="1959">
        <v>0</v>
      </c>
      <c r="F551" s="1993">
        <v>9</v>
      </c>
      <c r="G551" s="1993">
        <v>9</v>
      </c>
      <c r="H551" s="1961">
        <f>G551/F551*100</f>
        <v>100</v>
      </c>
    </row>
    <row r="552" spans="1:8" ht="16.5" thickTop="1" thickBot="1" x14ac:dyDescent="0.3">
      <c r="A552" s="1980" t="s">
        <v>802</v>
      </c>
      <c r="B552" s="1981"/>
      <c r="C552" s="1981"/>
      <c r="D552" s="1982"/>
      <c r="E552" s="1957">
        <f>SUM(E550:E551)</f>
        <v>0</v>
      </c>
      <c r="F552" s="1960">
        <f>SUM(F550:F551)</f>
        <v>9</v>
      </c>
      <c r="G552" s="1960">
        <f>SUM(G550:G551)</f>
        <v>9</v>
      </c>
      <c r="H552" s="1962">
        <f>G552/F552*100</f>
        <v>100</v>
      </c>
    </row>
    <row r="553" spans="1:8" ht="15.75" thickTop="1" x14ac:dyDescent="0.25">
      <c r="A553" s="1994"/>
      <c r="B553" s="1994"/>
      <c r="C553" s="1994"/>
      <c r="D553" s="1994"/>
      <c r="E553" s="1964"/>
      <c r="F553" s="1964"/>
      <c r="G553" s="1964"/>
      <c r="H553" s="1995"/>
    </row>
    <row r="554" spans="1:8" ht="15" x14ac:dyDescent="0.25">
      <c r="A554" s="1942" t="s">
        <v>1854</v>
      </c>
      <c r="B554" s="1973"/>
      <c r="C554" s="1973"/>
      <c r="D554" s="1973"/>
      <c r="E554" s="1973"/>
      <c r="F554" s="1973"/>
      <c r="G554" s="1973"/>
      <c r="H554" s="1973"/>
    </row>
    <row r="555" spans="1:8" ht="15.75" thickBot="1" x14ac:dyDescent="0.3">
      <c r="A555" s="1942" t="s">
        <v>1855</v>
      </c>
      <c r="D555" s="1936"/>
      <c r="E555" s="1937"/>
      <c r="F555" s="1970"/>
      <c r="G555" s="1970"/>
      <c r="H555" s="1966" t="s">
        <v>173</v>
      </c>
    </row>
    <row r="556" spans="1:8" ht="25.5" thickTop="1" thickBot="1" x14ac:dyDescent="0.25">
      <c r="A556" s="1943" t="s">
        <v>174</v>
      </c>
      <c r="B556" s="1944" t="s">
        <v>800</v>
      </c>
      <c r="C556" s="1944" t="s">
        <v>397</v>
      </c>
      <c r="D556" s="1945" t="s">
        <v>176</v>
      </c>
      <c r="E556" s="1976" t="s">
        <v>669</v>
      </c>
      <c r="F556" s="1976" t="s">
        <v>670</v>
      </c>
      <c r="G556" s="1977" t="s">
        <v>923</v>
      </c>
      <c r="H556" s="1978" t="s">
        <v>924</v>
      </c>
    </row>
    <row r="557" spans="1:8" ht="14.25" thickTop="1" thickBot="1" x14ac:dyDescent="0.25">
      <c r="A557" s="1740">
        <v>1</v>
      </c>
      <c r="B557" s="1739">
        <v>2</v>
      </c>
      <c r="C557" s="1739">
        <v>3</v>
      </c>
      <c r="D557" s="1739">
        <v>4</v>
      </c>
      <c r="E557" s="1949">
        <v>5</v>
      </c>
      <c r="F557" s="1949">
        <v>6</v>
      </c>
      <c r="G557" s="1950">
        <v>7</v>
      </c>
      <c r="H557" s="1951" t="s">
        <v>61</v>
      </c>
    </row>
    <row r="558" spans="1:8" ht="16.5" thickTop="1" thickBot="1" x14ac:dyDescent="0.3">
      <c r="A558" s="1992">
        <v>2212</v>
      </c>
      <c r="B558" s="1954">
        <v>6121</v>
      </c>
      <c r="C558" s="1954"/>
      <c r="D558" s="1979" t="s">
        <v>640</v>
      </c>
      <c r="E558" s="1959">
        <v>0</v>
      </c>
      <c r="F558" s="1993">
        <v>120</v>
      </c>
      <c r="G558" s="1993">
        <v>94</v>
      </c>
      <c r="H558" s="1961">
        <f>G558/F558*100</f>
        <v>78.333333333333329</v>
      </c>
    </row>
    <row r="559" spans="1:8" ht="16.5" thickTop="1" thickBot="1" x14ac:dyDescent="0.3">
      <c r="A559" s="1980" t="s">
        <v>802</v>
      </c>
      <c r="B559" s="1981"/>
      <c r="C559" s="1981"/>
      <c r="D559" s="1982"/>
      <c r="E559" s="1957">
        <f>SUM(E558:E558)</f>
        <v>0</v>
      </c>
      <c r="F559" s="1960">
        <f>SUM(F558:F558)</f>
        <v>120</v>
      </c>
      <c r="G559" s="1960">
        <f>SUM(G558:G558)</f>
        <v>94</v>
      </c>
      <c r="H559" s="1962">
        <f>G559/F559*100</f>
        <v>78.333333333333329</v>
      </c>
    </row>
    <row r="560" spans="1:8" ht="15.75" thickTop="1" x14ac:dyDescent="0.25">
      <c r="A560" s="1994"/>
      <c r="B560" s="1994"/>
      <c r="C560" s="1994"/>
      <c r="D560" s="1994"/>
      <c r="E560" s="1964"/>
      <c r="F560" s="1964"/>
      <c r="G560" s="1964"/>
      <c r="H560" s="1995"/>
    </row>
    <row r="561" spans="1:8" ht="15" hidden="1" x14ac:dyDescent="0.25">
      <c r="A561" s="1942" t="s">
        <v>1437</v>
      </c>
      <c r="B561" s="1973"/>
      <c r="C561" s="1973"/>
      <c r="D561" s="1973"/>
      <c r="E561" s="1973"/>
      <c r="F561" s="1973"/>
      <c r="G561" s="1973"/>
      <c r="H561" s="1973"/>
    </row>
    <row r="562" spans="1:8" ht="15" hidden="1" x14ac:dyDescent="0.25">
      <c r="A562" s="1942" t="s">
        <v>1436</v>
      </c>
      <c r="D562" s="1936"/>
      <c r="E562" s="1937"/>
      <c r="F562" s="1970"/>
      <c r="G562" s="1970"/>
      <c r="H562" s="1937" t="s">
        <v>173</v>
      </c>
    </row>
    <row r="563" spans="1:8" ht="25.5" hidden="1" thickTop="1" thickBot="1" x14ac:dyDescent="0.25">
      <c r="A563" s="1943" t="s">
        <v>174</v>
      </c>
      <c r="B563" s="1944" t="s">
        <v>800</v>
      </c>
      <c r="C563" s="1944" t="s">
        <v>397</v>
      </c>
      <c r="D563" s="1945" t="s">
        <v>176</v>
      </c>
      <c r="E563" s="1976" t="s">
        <v>669</v>
      </c>
      <c r="F563" s="1976" t="s">
        <v>670</v>
      </c>
      <c r="G563" s="1977" t="s">
        <v>923</v>
      </c>
      <c r="H563" s="1978" t="s">
        <v>924</v>
      </c>
    </row>
    <row r="564" spans="1:8" ht="14.25" hidden="1" thickTop="1" thickBot="1" x14ac:dyDescent="0.25">
      <c r="A564" s="1740">
        <v>1</v>
      </c>
      <c r="B564" s="1739">
        <v>2</v>
      </c>
      <c r="C564" s="1739">
        <v>3</v>
      </c>
      <c r="D564" s="1739">
        <v>4</v>
      </c>
      <c r="E564" s="1949">
        <v>5</v>
      </c>
      <c r="F564" s="1949">
        <v>6</v>
      </c>
      <c r="G564" s="1950">
        <v>7</v>
      </c>
      <c r="H564" s="1996" t="s">
        <v>61</v>
      </c>
    </row>
    <row r="565" spans="1:8" ht="15.75" hidden="1" thickTop="1" x14ac:dyDescent="0.25">
      <c r="A565" s="1999">
        <v>5273</v>
      </c>
      <c r="B565" s="1953">
        <v>5166</v>
      </c>
      <c r="C565" s="2005"/>
      <c r="D565" s="1979" t="s">
        <v>646</v>
      </c>
      <c r="E565" s="1959">
        <v>0</v>
      </c>
      <c r="F565" s="1959">
        <v>0</v>
      </c>
      <c r="G565" s="1959">
        <v>0</v>
      </c>
      <c r="H565" s="1997" t="e">
        <f>G565/F565*100</f>
        <v>#DIV/0!</v>
      </c>
    </row>
    <row r="566" spans="1:8" ht="15.75" hidden="1" thickBot="1" x14ac:dyDescent="0.3">
      <c r="A566" s="2002">
        <v>3522</v>
      </c>
      <c r="B566" s="1967">
        <v>6121</v>
      </c>
      <c r="C566" s="1967"/>
      <c r="D566" s="1979" t="s">
        <v>640</v>
      </c>
      <c r="E566" s="1959">
        <v>0</v>
      </c>
      <c r="F566" s="1993">
        <v>0</v>
      </c>
      <c r="G566" s="1993">
        <v>0</v>
      </c>
      <c r="H566" s="1997" t="e">
        <f>G566/F566*100</f>
        <v>#DIV/0!</v>
      </c>
    </row>
    <row r="567" spans="1:8" ht="16.5" hidden="1" thickTop="1" thickBot="1" x14ac:dyDescent="0.3">
      <c r="A567" s="1980" t="s">
        <v>802</v>
      </c>
      <c r="B567" s="1981"/>
      <c r="C567" s="1981"/>
      <c r="D567" s="1982"/>
      <c r="E567" s="1957">
        <f>SUM(E565:E566)</f>
        <v>0</v>
      </c>
      <c r="F567" s="1960">
        <f>SUM(F565:F566)</f>
        <v>0</v>
      </c>
      <c r="G567" s="1960">
        <f>SUM(G565:G566)</f>
        <v>0</v>
      </c>
      <c r="H567" s="1962" t="e">
        <f>G567/F567*100</f>
        <v>#DIV/0!</v>
      </c>
    </row>
    <row r="568" spans="1:8" ht="15" hidden="1" x14ac:dyDescent="0.25">
      <c r="A568" s="1994"/>
      <c r="B568" s="1994"/>
      <c r="C568" s="1994"/>
      <c r="D568" s="1994"/>
      <c r="E568" s="1964"/>
      <c r="F568" s="1964"/>
      <c r="G568" s="1964"/>
      <c r="H568" s="1995"/>
    </row>
    <row r="569" spans="1:8" ht="15" hidden="1" x14ac:dyDescent="0.25">
      <c r="A569" s="1942" t="s">
        <v>1435</v>
      </c>
      <c r="B569" s="1973"/>
      <c r="C569" s="1973"/>
      <c r="D569" s="1973"/>
      <c r="E569" s="1973"/>
      <c r="F569" s="1973"/>
      <c r="G569" s="1973"/>
      <c r="H569" s="1973"/>
    </row>
    <row r="570" spans="1:8" ht="15" hidden="1" x14ac:dyDescent="0.25">
      <c r="A570" s="1942" t="s">
        <v>1434</v>
      </c>
      <c r="D570" s="1936"/>
      <c r="E570" s="1937"/>
      <c r="F570" s="1970"/>
      <c r="G570" s="1970"/>
      <c r="H570" s="1937" t="s">
        <v>173</v>
      </c>
    </row>
    <row r="571" spans="1:8" ht="25.5" hidden="1" thickTop="1" thickBot="1" x14ac:dyDescent="0.25">
      <c r="A571" s="1943" t="s">
        <v>174</v>
      </c>
      <c r="B571" s="1944" t="s">
        <v>800</v>
      </c>
      <c r="C571" s="1944" t="s">
        <v>397</v>
      </c>
      <c r="D571" s="1945" t="s">
        <v>176</v>
      </c>
      <c r="E571" s="1976" t="s">
        <v>669</v>
      </c>
      <c r="F571" s="1976" t="s">
        <v>670</v>
      </c>
      <c r="G571" s="1977" t="s">
        <v>923</v>
      </c>
      <c r="H571" s="1978" t="s">
        <v>924</v>
      </c>
    </row>
    <row r="572" spans="1:8" ht="14.25" hidden="1" thickTop="1" thickBot="1" x14ac:dyDescent="0.25">
      <c r="A572" s="1740">
        <v>1</v>
      </c>
      <c r="B572" s="1739">
        <v>2</v>
      </c>
      <c r="C572" s="1739">
        <v>3</v>
      </c>
      <c r="D572" s="1739">
        <v>4</v>
      </c>
      <c r="E572" s="1949">
        <v>5</v>
      </c>
      <c r="F572" s="1949">
        <v>6</v>
      </c>
      <c r="G572" s="1950">
        <v>7</v>
      </c>
      <c r="H572" s="1996" t="s">
        <v>61</v>
      </c>
    </row>
    <row r="573" spans="1:8" ht="16.5" hidden="1" thickTop="1" thickBot="1" x14ac:dyDescent="0.3">
      <c r="A573" s="1992">
        <v>3529</v>
      </c>
      <c r="B573" s="1954">
        <v>6121</v>
      </c>
      <c r="C573" s="1954"/>
      <c r="D573" s="1979" t="s">
        <v>640</v>
      </c>
      <c r="E573" s="1959">
        <v>0</v>
      </c>
      <c r="F573" s="1993">
        <v>0</v>
      </c>
      <c r="G573" s="1993">
        <v>0</v>
      </c>
      <c r="H573" s="1997" t="e">
        <f>G573/F573*100</f>
        <v>#DIV/0!</v>
      </c>
    </row>
    <row r="574" spans="1:8" ht="16.5" hidden="1" thickTop="1" thickBot="1" x14ac:dyDescent="0.3">
      <c r="A574" s="1980" t="s">
        <v>802</v>
      </c>
      <c r="B574" s="1981"/>
      <c r="C574" s="1981"/>
      <c r="D574" s="1982"/>
      <c r="E574" s="1957">
        <f>SUM(E573:E573)</f>
        <v>0</v>
      </c>
      <c r="F574" s="1960">
        <f>SUM(F573:F573)</f>
        <v>0</v>
      </c>
      <c r="G574" s="1960">
        <f>SUM(G573:G573)</f>
        <v>0</v>
      </c>
      <c r="H574" s="1962" t="e">
        <f>G574/F574*100</f>
        <v>#DIV/0!</v>
      </c>
    </row>
    <row r="575" spans="1:8" ht="15" hidden="1" x14ac:dyDescent="0.25">
      <c r="A575" s="1994"/>
      <c r="B575" s="1994"/>
      <c r="C575" s="1994"/>
      <c r="D575" s="1994"/>
      <c r="E575" s="1964"/>
      <c r="F575" s="1964"/>
      <c r="G575" s="1964"/>
      <c r="H575" s="1995"/>
    </row>
    <row r="576" spans="1:8" ht="15" x14ac:dyDescent="0.25">
      <c r="A576" s="1942" t="s">
        <v>1856</v>
      </c>
      <c r="B576" s="1973"/>
      <c r="C576" s="1973"/>
      <c r="D576" s="1973"/>
      <c r="E576" s="1973"/>
      <c r="F576" s="1973"/>
      <c r="G576" s="1973"/>
      <c r="H576" s="1973"/>
    </row>
    <row r="577" spans="1:10" ht="15.75" thickBot="1" x14ac:dyDescent="0.3">
      <c r="A577" s="1942" t="s">
        <v>1857</v>
      </c>
      <c r="D577" s="1936"/>
      <c r="E577" s="1937"/>
      <c r="F577" s="1970"/>
      <c r="G577" s="1970"/>
      <c r="H577" s="1966" t="s">
        <v>173</v>
      </c>
    </row>
    <row r="578" spans="1:10" ht="25.5" thickTop="1" thickBot="1" x14ac:dyDescent="0.25">
      <c r="A578" s="1943" t="s">
        <v>174</v>
      </c>
      <c r="B578" s="1944" t="s">
        <v>800</v>
      </c>
      <c r="C578" s="1944" t="s">
        <v>397</v>
      </c>
      <c r="D578" s="1945" t="s">
        <v>176</v>
      </c>
      <c r="E578" s="1976" t="s">
        <v>669</v>
      </c>
      <c r="F578" s="1976" t="s">
        <v>670</v>
      </c>
      <c r="G578" s="1977" t="s">
        <v>923</v>
      </c>
      <c r="H578" s="1978" t="s">
        <v>924</v>
      </c>
    </row>
    <row r="579" spans="1:10" ht="14.25" thickTop="1" thickBot="1" x14ac:dyDescent="0.25">
      <c r="A579" s="1740">
        <v>1</v>
      </c>
      <c r="B579" s="1739">
        <v>2</v>
      </c>
      <c r="C579" s="1739">
        <v>3</v>
      </c>
      <c r="D579" s="1739">
        <v>4</v>
      </c>
      <c r="E579" s="1949">
        <v>5</v>
      </c>
      <c r="F579" s="1949">
        <v>6</v>
      </c>
      <c r="G579" s="1950">
        <v>7</v>
      </c>
      <c r="H579" s="1951" t="s">
        <v>61</v>
      </c>
    </row>
    <row r="580" spans="1:10" ht="15.75" thickTop="1" x14ac:dyDescent="0.25">
      <c r="A580" s="1999">
        <v>2212</v>
      </c>
      <c r="B580" s="1953">
        <v>5166</v>
      </c>
      <c r="C580" s="1953"/>
      <c r="D580" s="1979" t="s">
        <v>646</v>
      </c>
      <c r="E580" s="1959">
        <v>0</v>
      </c>
      <c r="F580" s="2001">
        <v>8</v>
      </c>
      <c r="G580" s="2001">
        <v>8</v>
      </c>
      <c r="H580" s="1961">
        <f>G580/F580*100</f>
        <v>100</v>
      </c>
      <c r="J580" s="1998"/>
    </row>
    <row r="581" spans="1:10" ht="15.75" thickBot="1" x14ac:dyDescent="0.3">
      <c r="A581" s="1999">
        <v>2212</v>
      </c>
      <c r="B581" s="1967">
        <v>6121</v>
      </c>
      <c r="C581" s="1967"/>
      <c r="D581" s="1979" t="s">
        <v>640</v>
      </c>
      <c r="E581" s="1959">
        <v>0</v>
      </c>
      <c r="F581" s="1993">
        <v>92</v>
      </c>
      <c r="G581" s="1993">
        <v>56</v>
      </c>
      <c r="H581" s="1961">
        <f>G581/F581*100</f>
        <v>60.869565217391312</v>
      </c>
      <c r="J581" s="1998"/>
    </row>
    <row r="582" spans="1:10" ht="16.5" thickTop="1" thickBot="1" x14ac:dyDescent="0.3">
      <c r="A582" s="1980" t="s">
        <v>802</v>
      </c>
      <c r="B582" s="1981"/>
      <c r="C582" s="1981"/>
      <c r="D582" s="1982"/>
      <c r="E582" s="1957">
        <f>SUM(E580:E581)</f>
        <v>0</v>
      </c>
      <c r="F582" s="1957">
        <f>SUM(F580:F581)</f>
        <v>100</v>
      </c>
      <c r="G582" s="1957">
        <f>SUM(G580:G581)</f>
        <v>64</v>
      </c>
      <c r="H582" s="1962">
        <f>G582/F582*100</f>
        <v>64</v>
      </c>
    </row>
    <row r="583" spans="1:10" ht="15.75" thickTop="1" x14ac:dyDescent="0.25">
      <c r="A583" s="1994"/>
      <c r="B583" s="1994"/>
      <c r="C583" s="1994"/>
      <c r="D583" s="1994"/>
      <c r="E583" s="1964"/>
      <c r="F583" s="1964"/>
      <c r="G583" s="1964"/>
      <c r="H583" s="1995"/>
    </row>
    <row r="584" spans="1:10" ht="15" x14ac:dyDescent="0.25">
      <c r="A584" s="1942" t="s">
        <v>1858</v>
      </c>
      <c r="B584" s="1973"/>
      <c r="C584" s="1973"/>
      <c r="D584" s="1973"/>
      <c r="E584" s="1973"/>
      <c r="F584" s="1973"/>
      <c r="G584" s="1973"/>
      <c r="H584" s="1973"/>
    </row>
    <row r="585" spans="1:10" ht="15.75" thickBot="1" x14ac:dyDescent="0.3">
      <c r="A585" s="1942" t="s">
        <v>1859</v>
      </c>
      <c r="D585" s="1936"/>
      <c r="E585" s="1937"/>
      <c r="F585" s="1970"/>
      <c r="G585" s="1970"/>
      <c r="H585" s="1966" t="s">
        <v>173</v>
      </c>
    </row>
    <row r="586" spans="1:10" ht="25.5" thickTop="1" thickBot="1" x14ac:dyDescent="0.25">
      <c r="A586" s="1943" t="s">
        <v>174</v>
      </c>
      <c r="B586" s="1944" t="s">
        <v>800</v>
      </c>
      <c r="C586" s="1944" t="s">
        <v>397</v>
      </c>
      <c r="D586" s="1945" t="s">
        <v>176</v>
      </c>
      <c r="E586" s="1976" t="s">
        <v>669</v>
      </c>
      <c r="F586" s="1976" t="s">
        <v>670</v>
      </c>
      <c r="G586" s="1977" t="s">
        <v>923</v>
      </c>
      <c r="H586" s="1978" t="s">
        <v>924</v>
      </c>
    </row>
    <row r="587" spans="1:10" ht="14.25" thickTop="1" thickBot="1" x14ac:dyDescent="0.25">
      <c r="A587" s="1740">
        <v>1</v>
      </c>
      <c r="B587" s="1739">
        <v>2</v>
      </c>
      <c r="C587" s="1739">
        <v>3</v>
      </c>
      <c r="D587" s="1739">
        <v>4</v>
      </c>
      <c r="E587" s="1949">
        <v>5</v>
      </c>
      <c r="F587" s="1949">
        <v>6</v>
      </c>
      <c r="G587" s="1950">
        <v>7</v>
      </c>
      <c r="H587" s="1951" t="s">
        <v>61</v>
      </c>
    </row>
    <row r="588" spans="1:10" ht="16.5" thickTop="1" thickBot="1" x14ac:dyDescent="0.3">
      <c r="A588" s="1992">
        <v>2212</v>
      </c>
      <c r="B588" s="1954">
        <v>6121</v>
      </c>
      <c r="C588" s="1954"/>
      <c r="D588" s="1979" t="s">
        <v>640</v>
      </c>
      <c r="E588" s="1959">
        <v>0</v>
      </c>
      <c r="F588" s="1993">
        <v>100</v>
      </c>
      <c r="G588" s="1993">
        <v>2</v>
      </c>
      <c r="H588" s="1961">
        <f>G588/F588*100</f>
        <v>2</v>
      </c>
    </row>
    <row r="589" spans="1:10" ht="16.5" thickTop="1" thickBot="1" x14ac:dyDescent="0.3">
      <c r="A589" s="1980" t="s">
        <v>802</v>
      </c>
      <c r="B589" s="1981"/>
      <c r="C589" s="1981"/>
      <c r="D589" s="1982"/>
      <c r="E589" s="1957">
        <f>SUM(E588:E588)</f>
        <v>0</v>
      </c>
      <c r="F589" s="1960">
        <f>SUM(F588:F588)</f>
        <v>100</v>
      </c>
      <c r="G589" s="1960">
        <f>SUM(G588:G588)</f>
        <v>2</v>
      </c>
      <c r="H589" s="1962">
        <f>G589/F589*100</f>
        <v>2</v>
      </c>
    </row>
    <row r="590" spans="1:10" ht="15.75" thickTop="1" x14ac:dyDescent="0.25">
      <c r="A590" s="1994"/>
      <c r="B590" s="1994"/>
      <c r="C590" s="1994"/>
      <c r="D590" s="1994"/>
      <c r="E590" s="1964"/>
      <c r="F590" s="1964"/>
      <c r="G590" s="1964"/>
      <c r="H590" s="1995"/>
    </row>
    <row r="591" spans="1:10" ht="15" x14ac:dyDescent="0.25">
      <c r="A591" s="1942" t="s">
        <v>1860</v>
      </c>
      <c r="B591" s="1973"/>
      <c r="C591" s="1973"/>
      <c r="D591" s="1973"/>
      <c r="E591" s="1973"/>
      <c r="F591" s="1973"/>
      <c r="G591" s="1973"/>
      <c r="H591" s="1973"/>
    </row>
    <row r="592" spans="1:10" ht="15.75" thickBot="1" x14ac:dyDescent="0.3">
      <c r="A592" s="1942" t="s">
        <v>1861</v>
      </c>
      <c r="D592" s="1936"/>
      <c r="E592" s="1937"/>
      <c r="F592" s="1970"/>
      <c r="G592" s="1970"/>
      <c r="H592" s="1937" t="s">
        <v>173</v>
      </c>
    </row>
    <row r="593" spans="1:8" ht="25.5" thickTop="1" thickBot="1" x14ac:dyDescent="0.25">
      <c r="A593" s="1943" t="s">
        <v>174</v>
      </c>
      <c r="B593" s="1944" t="s">
        <v>800</v>
      </c>
      <c r="C593" s="1944" t="s">
        <v>397</v>
      </c>
      <c r="D593" s="1945" t="s">
        <v>176</v>
      </c>
      <c r="E593" s="1976" t="s">
        <v>669</v>
      </c>
      <c r="F593" s="1976" t="s">
        <v>670</v>
      </c>
      <c r="G593" s="1977" t="s">
        <v>923</v>
      </c>
      <c r="H593" s="1978" t="s">
        <v>924</v>
      </c>
    </row>
    <row r="594" spans="1:8" ht="14.25" thickTop="1" thickBot="1" x14ac:dyDescent="0.25">
      <c r="A594" s="1740">
        <v>1</v>
      </c>
      <c r="B594" s="1739">
        <v>2</v>
      </c>
      <c r="C594" s="1739">
        <v>3</v>
      </c>
      <c r="D594" s="1739">
        <v>4</v>
      </c>
      <c r="E594" s="1949">
        <v>5</v>
      </c>
      <c r="F594" s="1949">
        <v>6</v>
      </c>
      <c r="G594" s="1950">
        <v>7</v>
      </c>
      <c r="H594" s="1951" t="s">
        <v>61</v>
      </c>
    </row>
    <row r="595" spans="1:8" ht="15.75" hidden="1" thickTop="1" x14ac:dyDescent="0.25">
      <c r="A595" s="1999">
        <v>6172</v>
      </c>
      <c r="B595" s="1953">
        <v>5166</v>
      </c>
      <c r="C595" s="2005"/>
      <c r="D595" s="1979" t="s">
        <v>646</v>
      </c>
      <c r="E595" s="1959">
        <v>0</v>
      </c>
      <c r="F595" s="1959">
        <v>0</v>
      </c>
      <c r="G595" s="1959">
        <v>0</v>
      </c>
      <c r="H595" s="1961" t="e">
        <f>G595/F595*100</f>
        <v>#DIV/0!</v>
      </c>
    </row>
    <row r="596" spans="1:8" ht="15.75" hidden="1" thickTop="1" x14ac:dyDescent="0.25">
      <c r="A596" s="1999">
        <v>6172</v>
      </c>
      <c r="B596" s="1953">
        <v>5169</v>
      </c>
      <c r="C596" s="2007"/>
      <c r="D596" s="1979" t="s">
        <v>892</v>
      </c>
      <c r="E596" s="1959">
        <v>0</v>
      </c>
      <c r="F596" s="1959">
        <v>0</v>
      </c>
      <c r="G596" s="1959">
        <v>0</v>
      </c>
      <c r="H596" s="1961"/>
    </row>
    <row r="597" spans="1:8" ht="16.5" thickTop="1" thickBot="1" x14ac:dyDescent="0.3">
      <c r="A597" s="2002">
        <v>2212</v>
      </c>
      <c r="B597" s="1967">
        <v>6121</v>
      </c>
      <c r="C597" s="1967"/>
      <c r="D597" s="1979" t="s">
        <v>640</v>
      </c>
      <c r="E597" s="1959">
        <v>0</v>
      </c>
      <c r="F597" s="1993">
        <v>100</v>
      </c>
      <c r="G597" s="1993">
        <v>63</v>
      </c>
      <c r="H597" s="1961">
        <f>G597/F597*100</f>
        <v>63</v>
      </c>
    </row>
    <row r="598" spans="1:8" ht="16.5" thickTop="1" thickBot="1" x14ac:dyDescent="0.3">
      <c r="A598" s="1980" t="s">
        <v>802</v>
      </c>
      <c r="B598" s="1981"/>
      <c r="C598" s="1981"/>
      <c r="D598" s="1982"/>
      <c r="E598" s="1957">
        <f>SUM(E595:E597)</f>
        <v>0</v>
      </c>
      <c r="F598" s="1960">
        <f>SUM(F595:F597)</f>
        <v>100</v>
      </c>
      <c r="G598" s="1960">
        <f>SUM(G595:G597)</f>
        <v>63</v>
      </c>
      <c r="H598" s="1962">
        <f>G598/F598*100</f>
        <v>63</v>
      </c>
    </row>
    <row r="599" spans="1:8" ht="20.25" customHeight="1" thickTop="1" x14ac:dyDescent="0.25">
      <c r="A599" s="1994"/>
      <c r="B599" s="1994"/>
      <c r="C599" s="1994"/>
      <c r="D599" s="1994"/>
      <c r="E599" s="1964"/>
      <c r="F599" s="1964"/>
      <c r="G599" s="1964"/>
      <c r="H599" s="1995"/>
    </row>
    <row r="600" spans="1:8" ht="15" x14ac:dyDescent="0.25">
      <c r="A600" s="1942" t="s">
        <v>1862</v>
      </c>
      <c r="B600" s="1973"/>
      <c r="C600" s="1973"/>
      <c r="D600" s="1973"/>
      <c r="E600" s="1973"/>
      <c r="F600" s="1973"/>
      <c r="G600" s="1973"/>
      <c r="H600" s="1973"/>
    </row>
    <row r="601" spans="1:8" ht="15.75" thickBot="1" x14ac:dyDescent="0.3">
      <c r="A601" s="1942" t="s">
        <v>1126</v>
      </c>
      <c r="D601" s="1936"/>
      <c r="E601" s="1937"/>
      <c r="F601" s="1970"/>
      <c r="G601" s="1970"/>
      <c r="H601" s="1937" t="s">
        <v>173</v>
      </c>
    </row>
    <row r="602" spans="1:8" ht="25.5" thickTop="1" thickBot="1" x14ac:dyDescent="0.25">
      <c r="A602" s="1943" t="s">
        <v>174</v>
      </c>
      <c r="B602" s="1944" t="s">
        <v>800</v>
      </c>
      <c r="C602" s="1944" t="s">
        <v>397</v>
      </c>
      <c r="D602" s="1945" t="s">
        <v>176</v>
      </c>
      <c r="E602" s="1976" t="s">
        <v>669</v>
      </c>
      <c r="F602" s="1976" t="s">
        <v>670</v>
      </c>
      <c r="G602" s="1977" t="s">
        <v>923</v>
      </c>
      <c r="H602" s="1978" t="s">
        <v>924</v>
      </c>
    </row>
    <row r="603" spans="1:8" ht="14.25" thickTop="1" thickBot="1" x14ac:dyDescent="0.25">
      <c r="A603" s="1740">
        <v>1</v>
      </c>
      <c r="B603" s="1739">
        <v>2</v>
      </c>
      <c r="C603" s="1739">
        <v>3</v>
      </c>
      <c r="D603" s="1739">
        <v>4</v>
      </c>
      <c r="E603" s="1949">
        <v>5</v>
      </c>
      <c r="F603" s="1949">
        <v>6</v>
      </c>
      <c r="G603" s="1950">
        <v>7</v>
      </c>
      <c r="H603" s="1951" t="s">
        <v>61</v>
      </c>
    </row>
    <row r="604" spans="1:8" ht="15.75" thickTop="1" x14ac:dyDescent="0.25">
      <c r="A604" s="1999">
        <v>3523</v>
      </c>
      <c r="B604" s="1953">
        <v>5169</v>
      </c>
      <c r="C604" s="1953"/>
      <c r="D604" s="1979" t="s">
        <v>892</v>
      </c>
      <c r="E604" s="1959">
        <v>0</v>
      </c>
      <c r="F604" s="2001">
        <v>50</v>
      </c>
      <c r="G604" s="2001">
        <v>0</v>
      </c>
      <c r="H604" s="1961">
        <f>G604/F604*100</f>
        <v>0</v>
      </c>
    </row>
    <row r="605" spans="1:8" ht="15.75" thickBot="1" x14ac:dyDescent="0.3">
      <c r="A605" s="2002">
        <v>3523</v>
      </c>
      <c r="B605" s="1967">
        <v>6121</v>
      </c>
      <c r="C605" s="1967"/>
      <c r="D605" s="1979" t="s">
        <v>640</v>
      </c>
      <c r="E605" s="1959">
        <v>0</v>
      </c>
      <c r="F605" s="1993">
        <v>500</v>
      </c>
      <c r="G605" s="1993">
        <v>435</v>
      </c>
      <c r="H605" s="1961">
        <f>G605/F605*100</f>
        <v>87</v>
      </c>
    </row>
    <row r="606" spans="1:8" ht="16.5" thickTop="1" thickBot="1" x14ac:dyDescent="0.3">
      <c r="A606" s="1980" t="s">
        <v>802</v>
      </c>
      <c r="B606" s="1981"/>
      <c r="C606" s="1981"/>
      <c r="D606" s="1982"/>
      <c r="E606" s="1957">
        <f>SUM(E604:E605)</f>
        <v>0</v>
      </c>
      <c r="F606" s="1957">
        <f>SUM(F604:F605)</f>
        <v>550</v>
      </c>
      <c r="G606" s="1957">
        <f>SUM(G604:G605)</f>
        <v>435</v>
      </c>
      <c r="H606" s="1962">
        <f>G606/F606*100</f>
        <v>79.090909090909093</v>
      </c>
    </row>
    <row r="607" spans="1:8" ht="15.75" thickTop="1" x14ac:dyDescent="0.25">
      <c r="A607" s="1994"/>
      <c r="B607" s="1994"/>
      <c r="C607" s="1994"/>
      <c r="D607" s="1994"/>
      <c r="E607" s="1964"/>
      <c r="F607" s="1964"/>
      <c r="G607" s="1964"/>
      <c r="H607" s="1995"/>
    </row>
    <row r="608" spans="1:8" ht="15" x14ac:dyDescent="0.25">
      <c r="A608" s="1942" t="s">
        <v>1443</v>
      </c>
      <c r="B608" s="1973"/>
      <c r="C608" s="1973"/>
      <c r="D608" s="1973"/>
      <c r="E608" s="1973"/>
      <c r="F608" s="1973"/>
      <c r="G608" s="1973"/>
      <c r="H608" s="1973"/>
    </row>
    <row r="609" spans="1:8" ht="15.75" thickBot="1" x14ac:dyDescent="0.3">
      <c r="A609" s="1942" t="s">
        <v>1442</v>
      </c>
      <c r="D609" s="1936"/>
      <c r="E609" s="1937"/>
      <c r="F609" s="1970"/>
      <c r="G609" s="1970"/>
      <c r="H609" s="1937" t="s">
        <v>173</v>
      </c>
    </row>
    <row r="610" spans="1:8" ht="25.5" thickTop="1" thickBot="1" x14ac:dyDescent="0.25">
      <c r="A610" s="1943" t="s">
        <v>174</v>
      </c>
      <c r="B610" s="1944" t="s">
        <v>800</v>
      </c>
      <c r="C610" s="1944" t="s">
        <v>397</v>
      </c>
      <c r="D610" s="1945" t="s">
        <v>176</v>
      </c>
      <c r="E610" s="1976" t="s">
        <v>669</v>
      </c>
      <c r="F610" s="1976" t="s">
        <v>670</v>
      </c>
      <c r="G610" s="1977" t="s">
        <v>923</v>
      </c>
      <c r="H610" s="1978" t="s">
        <v>924</v>
      </c>
    </row>
    <row r="611" spans="1:8" ht="14.25" thickTop="1" thickBot="1" x14ac:dyDescent="0.25">
      <c r="A611" s="1740">
        <v>1</v>
      </c>
      <c r="B611" s="1739">
        <v>2</v>
      </c>
      <c r="C611" s="1739">
        <v>3</v>
      </c>
      <c r="D611" s="1739">
        <v>4</v>
      </c>
      <c r="E611" s="1949">
        <v>5</v>
      </c>
      <c r="F611" s="1949">
        <v>6</v>
      </c>
      <c r="G611" s="1950">
        <v>7</v>
      </c>
      <c r="H611" s="1951" t="s">
        <v>61</v>
      </c>
    </row>
    <row r="612" spans="1:8" ht="15.75" hidden="1" thickTop="1" x14ac:dyDescent="0.25">
      <c r="A612" s="1999">
        <v>6172</v>
      </c>
      <c r="B612" s="1953">
        <v>5166</v>
      </c>
      <c r="C612" s="2005"/>
      <c r="D612" s="1979" t="s">
        <v>646</v>
      </c>
      <c r="E612" s="1959">
        <v>0</v>
      </c>
      <c r="F612" s="1959">
        <v>0</v>
      </c>
      <c r="G612" s="1959">
        <v>0</v>
      </c>
      <c r="H612" s="1961" t="e">
        <f>G612/F612*100</f>
        <v>#DIV/0!</v>
      </c>
    </row>
    <row r="613" spans="1:8" ht="15.75" hidden="1" thickTop="1" x14ac:dyDescent="0.25">
      <c r="A613" s="1999">
        <v>6172</v>
      </c>
      <c r="B613" s="1953">
        <v>5169</v>
      </c>
      <c r="C613" s="2007"/>
      <c r="D613" s="1979" t="s">
        <v>892</v>
      </c>
      <c r="E613" s="1959">
        <v>0</v>
      </c>
      <c r="F613" s="1959">
        <v>0</v>
      </c>
      <c r="G613" s="1959">
        <v>0</v>
      </c>
      <c r="H613" s="1961"/>
    </row>
    <row r="614" spans="1:8" ht="16.5" thickTop="1" thickBot="1" x14ac:dyDescent="0.3">
      <c r="A614" s="2002">
        <v>3522</v>
      </c>
      <c r="B614" s="1967">
        <v>6121</v>
      </c>
      <c r="C614" s="1967"/>
      <c r="D614" s="1979" t="s">
        <v>640</v>
      </c>
      <c r="E614" s="1959">
        <v>0</v>
      </c>
      <c r="F614" s="1993">
        <v>138</v>
      </c>
      <c r="G614" s="1993">
        <v>138</v>
      </c>
      <c r="H614" s="1961">
        <f>G614/F614*100</f>
        <v>100</v>
      </c>
    </row>
    <row r="615" spans="1:8" ht="16.5" thickTop="1" thickBot="1" x14ac:dyDescent="0.3">
      <c r="A615" s="1980" t="s">
        <v>802</v>
      </c>
      <c r="B615" s="1981"/>
      <c r="C615" s="1981"/>
      <c r="D615" s="1982"/>
      <c r="E615" s="1957">
        <f>SUM(E612:E614)</f>
        <v>0</v>
      </c>
      <c r="F615" s="1960">
        <f>SUM(F612:F614)</f>
        <v>138</v>
      </c>
      <c r="G615" s="1960">
        <f>SUM(G612:G614)</f>
        <v>138</v>
      </c>
      <c r="H615" s="1962">
        <f>G615/F615*100</f>
        <v>100</v>
      </c>
    </row>
    <row r="616" spans="1:8" ht="15.75" thickTop="1" x14ac:dyDescent="0.25">
      <c r="A616" s="1994"/>
      <c r="B616" s="1994"/>
      <c r="C616" s="1994"/>
      <c r="D616" s="1994"/>
      <c r="E616" s="1964"/>
      <c r="F616" s="1964"/>
      <c r="G616" s="1964"/>
      <c r="H616" s="1995"/>
    </row>
    <row r="617" spans="1:8" ht="15" x14ac:dyDescent="0.25">
      <c r="A617" s="1942" t="s">
        <v>1441</v>
      </c>
      <c r="B617" s="1973"/>
      <c r="C617" s="1973"/>
      <c r="D617" s="1973"/>
      <c r="E617" s="1973"/>
      <c r="F617" s="1973"/>
      <c r="G617" s="1973"/>
      <c r="H617" s="1973"/>
    </row>
    <row r="618" spans="1:8" ht="15.75" thickBot="1" x14ac:dyDescent="0.3">
      <c r="A618" s="1942" t="s">
        <v>1440</v>
      </c>
      <c r="D618" s="1936"/>
      <c r="E618" s="1937"/>
      <c r="F618" s="1970"/>
      <c r="G618" s="1970"/>
      <c r="H618" s="1937" t="s">
        <v>173</v>
      </c>
    </row>
    <row r="619" spans="1:8" ht="25.5" thickTop="1" thickBot="1" x14ac:dyDescent="0.25">
      <c r="A619" s="1943" t="s">
        <v>174</v>
      </c>
      <c r="B619" s="1944" t="s">
        <v>800</v>
      </c>
      <c r="C619" s="1944" t="s">
        <v>397</v>
      </c>
      <c r="D619" s="1945" t="s">
        <v>176</v>
      </c>
      <c r="E619" s="1976" t="s">
        <v>669</v>
      </c>
      <c r="F619" s="1976" t="s">
        <v>670</v>
      </c>
      <c r="G619" s="1977" t="s">
        <v>923</v>
      </c>
      <c r="H619" s="1978" t="s">
        <v>924</v>
      </c>
    </row>
    <row r="620" spans="1:8" ht="14.25" thickTop="1" thickBot="1" x14ac:dyDescent="0.25">
      <c r="A620" s="1740">
        <v>1</v>
      </c>
      <c r="B620" s="1739">
        <v>2</v>
      </c>
      <c r="C620" s="1739">
        <v>3</v>
      </c>
      <c r="D620" s="1739">
        <v>4</v>
      </c>
      <c r="E620" s="1949">
        <v>5</v>
      </c>
      <c r="F620" s="1949">
        <v>6</v>
      </c>
      <c r="G620" s="1950">
        <v>7</v>
      </c>
      <c r="H620" s="1951" t="s">
        <v>61</v>
      </c>
    </row>
    <row r="621" spans="1:8" ht="15.75" hidden="1" thickTop="1" x14ac:dyDescent="0.25">
      <c r="A621" s="1999">
        <v>6172</v>
      </c>
      <c r="B621" s="1953">
        <v>5166</v>
      </c>
      <c r="C621" s="2005"/>
      <c r="D621" s="1979" t="s">
        <v>646</v>
      </c>
      <c r="E621" s="1959">
        <v>0</v>
      </c>
      <c r="F621" s="1959">
        <v>0</v>
      </c>
      <c r="G621" s="1959">
        <v>0</v>
      </c>
      <c r="H621" s="1961" t="e">
        <f>G621/F621*100</f>
        <v>#DIV/0!</v>
      </c>
    </row>
    <row r="622" spans="1:8" ht="15.75" hidden="1" thickTop="1" x14ac:dyDescent="0.25">
      <c r="A622" s="1999">
        <v>6172</v>
      </c>
      <c r="B622" s="1953">
        <v>5169</v>
      </c>
      <c r="C622" s="2007"/>
      <c r="D622" s="1979" t="s">
        <v>892</v>
      </c>
      <c r="E622" s="1959">
        <v>0</v>
      </c>
      <c r="F622" s="1959">
        <v>0</v>
      </c>
      <c r="G622" s="1959">
        <v>0</v>
      </c>
      <c r="H622" s="1961"/>
    </row>
    <row r="623" spans="1:8" ht="16.5" thickTop="1" thickBot="1" x14ac:dyDescent="0.3">
      <c r="A623" s="2002">
        <v>3522</v>
      </c>
      <c r="B623" s="1967">
        <v>6121</v>
      </c>
      <c r="C623" s="1967"/>
      <c r="D623" s="1979" t="s">
        <v>640</v>
      </c>
      <c r="E623" s="1959">
        <v>0</v>
      </c>
      <c r="F623" s="1993">
        <v>159</v>
      </c>
      <c r="G623" s="1993">
        <v>159</v>
      </c>
      <c r="H623" s="1961">
        <f>G623/F623*100</f>
        <v>100</v>
      </c>
    </row>
    <row r="624" spans="1:8" ht="16.5" thickTop="1" thickBot="1" x14ac:dyDescent="0.3">
      <c r="A624" s="1980" t="s">
        <v>802</v>
      </c>
      <c r="B624" s="1981"/>
      <c r="C624" s="1981"/>
      <c r="D624" s="1982"/>
      <c r="E624" s="1957">
        <f>SUM(E621:E623)</f>
        <v>0</v>
      </c>
      <c r="F624" s="1960">
        <f>SUM(F621:F623)</f>
        <v>159</v>
      </c>
      <c r="G624" s="1960">
        <f>SUM(G621:G623)</f>
        <v>159</v>
      </c>
      <c r="H624" s="1962">
        <f>G624/F624*100</f>
        <v>100</v>
      </c>
    </row>
    <row r="625" spans="1:8" ht="15.75" thickTop="1" x14ac:dyDescent="0.25">
      <c r="A625" s="1994"/>
      <c r="B625" s="1994"/>
      <c r="C625" s="1994"/>
      <c r="D625" s="1994"/>
      <c r="E625" s="1964"/>
      <c r="F625" s="1964"/>
      <c r="G625" s="1964"/>
      <c r="H625" s="1995"/>
    </row>
    <row r="626" spans="1:8" ht="15" x14ac:dyDescent="0.25">
      <c r="A626" s="1942" t="s">
        <v>1439</v>
      </c>
      <c r="B626" s="1973"/>
      <c r="C626" s="1973"/>
      <c r="D626" s="1973"/>
      <c r="E626" s="1973"/>
      <c r="F626" s="1973"/>
      <c r="G626" s="1973"/>
      <c r="H626" s="1973"/>
    </row>
    <row r="627" spans="1:8" ht="15.75" thickBot="1" x14ac:dyDescent="0.3">
      <c r="A627" s="1942" t="s">
        <v>1438</v>
      </c>
      <c r="D627" s="1936"/>
      <c r="E627" s="1937"/>
      <c r="F627" s="1970"/>
      <c r="G627" s="1970"/>
      <c r="H627" s="1937" t="s">
        <v>173</v>
      </c>
    </row>
    <row r="628" spans="1:8" ht="25.5" thickTop="1" thickBot="1" x14ac:dyDescent="0.25">
      <c r="A628" s="1943" t="s">
        <v>174</v>
      </c>
      <c r="B628" s="1944" t="s">
        <v>800</v>
      </c>
      <c r="C628" s="1944" t="s">
        <v>397</v>
      </c>
      <c r="D628" s="1945" t="s">
        <v>176</v>
      </c>
      <c r="E628" s="1976" t="s">
        <v>669</v>
      </c>
      <c r="F628" s="1976" t="s">
        <v>670</v>
      </c>
      <c r="G628" s="1977" t="s">
        <v>923</v>
      </c>
      <c r="H628" s="1978" t="s">
        <v>924</v>
      </c>
    </row>
    <row r="629" spans="1:8" ht="14.25" thickTop="1" thickBot="1" x14ac:dyDescent="0.25">
      <c r="A629" s="1740">
        <v>1</v>
      </c>
      <c r="B629" s="1739">
        <v>2</v>
      </c>
      <c r="C629" s="1739">
        <v>3</v>
      </c>
      <c r="D629" s="1739">
        <v>4</v>
      </c>
      <c r="E629" s="1949">
        <v>5</v>
      </c>
      <c r="F629" s="1949">
        <v>6</v>
      </c>
      <c r="G629" s="1950">
        <v>7</v>
      </c>
      <c r="H629" s="1951" t="s">
        <v>61</v>
      </c>
    </row>
    <row r="630" spans="1:8" ht="15.75" hidden="1" thickTop="1" x14ac:dyDescent="0.25">
      <c r="A630" s="1999">
        <v>6172</v>
      </c>
      <c r="B630" s="1953">
        <v>5166</v>
      </c>
      <c r="C630" s="2005"/>
      <c r="D630" s="1979" t="s">
        <v>646</v>
      </c>
      <c r="E630" s="1959">
        <v>0</v>
      </c>
      <c r="F630" s="1959">
        <v>0</v>
      </c>
      <c r="G630" s="1959">
        <v>0</v>
      </c>
      <c r="H630" s="1961" t="e">
        <f>G630/F630*100</f>
        <v>#DIV/0!</v>
      </c>
    </row>
    <row r="631" spans="1:8" ht="15.75" hidden="1" thickTop="1" x14ac:dyDescent="0.25">
      <c r="A631" s="1999">
        <v>6172</v>
      </c>
      <c r="B631" s="1953">
        <v>5169</v>
      </c>
      <c r="C631" s="2007"/>
      <c r="D631" s="1979" t="s">
        <v>892</v>
      </c>
      <c r="E631" s="1959">
        <v>0</v>
      </c>
      <c r="F631" s="1959">
        <v>0</v>
      </c>
      <c r="G631" s="1959">
        <v>0</v>
      </c>
      <c r="H631" s="1961"/>
    </row>
    <row r="632" spans="1:8" ht="16.5" thickTop="1" thickBot="1" x14ac:dyDescent="0.3">
      <c r="A632" s="2002">
        <v>3522</v>
      </c>
      <c r="B632" s="1967">
        <v>6121</v>
      </c>
      <c r="C632" s="1967"/>
      <c r="D632" s="1979" t="s">
        <v>640</v>
      </c>
      <c r="E632" s="1959">
        <v>0</v>
      </c>
      <c r="F632" s="1993">
        <v>119</v>
      </c>
      <c r="G632" s="1993">
        <v>113</v>
      </c>
      <c r="H632" s="1961">
        <f>G632/F632*100</f>
        <v>94.9579831932773</v>
      </c>
    </row>
    <row r="633" spans="1:8" ht="16.5" thickTop="1" thickBot="1" x14ac:dyDescent="0.3">
      <c r="A633" s="1980" t="s">
        <v>802</v>
      </c>
      <c r="B633" s="1981"/>
      <c r="C633" s="1981"/>
      <c r="D633" s="1982"/>
      <c r="E633" s="1957">
        <f>SUM(E630:E632)</f>
        <v>0</v>
      </c>
      <c r="F633" s="1960">
        <f>SUM(F630:F632)</f>
        <v>119</v>
      </c>
      <c r="G633" s="1960">
        <f>SUM(G630:G632)</f>
        <v>113</v>
      </c>
      <c r="H633" s="1962">
        <f>G633/F633*100</f>
        <v>94.9579831932773</v>
      </c>
    </row>
    <row r="634" spans="1:8" ht="15.75" thickTop="1" x14ac:dyDescent="0.25">
      <c r="A634" s="1994"/>
      <c r="B634" s="1994"/>
      <c r="C634" s="1994"/>
      <c r="D634" s="1994"/>
      <c r="E634" s="1964"/>
      <c r="F634" s="1964"/>
      <c r="G634" s="1964"/>
      <c r="H634" s="1995"/>
    </row>
    <row r="635" spans="1:8" ht="15" x14ac:dyDescent="0.25">
      <c r="A635" s="1942" t="s">
        <v>1863</v>
      </c>
      <c r="B635" s="1973"/>
      <c r="C635" s="1973"/>
      <c r="D635" s="1973"/>
      <c r="E635" s="1973"/>
      <c r="F635" s="1973"/>
      <c r="G635" s="1973"/>
      <c r="H635" s="1973"/>
    </row>
    <row r="636" spans="1:8" ht="15.75" thickBot="1" x14ac:dyDescent="0.3">
      <c r="A636" s="1942" t="s">
        <v>1864</v>
      </c>
      <c r="D636" s="1936"/>
      <c r="E636" s="1937"/>
      <c r="F636" s="1970"/>
      <c r="G636" s="1970"/>
      <c r="H636" s="1937" t="s">
        <v>173</v>
      </c>
    </row>
    <row r="637" spans="1:8" ht="25.5" thickTop="1" thickBot="1" x14ac:dyDescent="0.25">
      <c r="A637" s="1943" t="s">
        <v>174</v>
      </c>
      <c r="B637" s="1944" t="s">
        <v>800</v>
      </c>
      <c r="C637" s="1944" t="s">
        <v>397</v>
      </c>
      <c r="D637" s="1945" t="s">
        <v>176</v>
      </c>
      <c r="E637" s="1976" t="s">
        <v>669</v>
      </c>
      <c r="F637" s="1976" t="s">
        <v>670</v>
      </c>
      <c r="G637" s="1977" t="s">
        <v>923</v>
      </c>
      <c r="H637" s="1978" t="s">
        <v>924</v>
      </c>
    </row>
    <row r="638" spans="1:8" ht="14.25" thickTop="1" thickBot="1" x14ac:dyDescent="0.25">
      <c r="A638" s="1740">
        <v>1</v>
      </c>
      <c r="B638" s="1739">
        <v>2</v>
      </c>
      <c r="C638" s="1739">
        <v>3</v>
      </c>
      <c r="D638" s="1739">
        <v>4</v>
      </c>
      <c r="E638" s="1949">
        <v>5</v>
      </c>
      <c r="F638" s="1949">
        <v>6</v>
      </c>
      <c r="G638" s="1950">
        <v>7</v>
      </c>
      <c r="H638" s="1951" t="s">
        <v>61</v>
      </c>
    </row>
    <row r="639" spans="1:8" ht="15.75" hidden="1" thickTop="1" x14ac:dyDescent="0.25">
      <c r="A639" s="1999">
        <v>6172</v>
      </c>
      <c r="B639" s="1953">
        <v>5166</v>
      </c>
      <c r="C639" s="2005"/>
      <c r="D639" s="1979" t="s">
        <v>646</v>
      </c>
      <c r="E639" s="1959">
        <v>0</v>
      </c>
      <c r="F639" s="1959">
        <v>0</v>
      </c>
      <c r="G639" s="1959">
        <v>0</v>
      </c>
      <c r="H639" s="1961" t="e">
        <f>G639/F639*100</f>
        <v>#DIV/0!</v>
      </c>
    </row>
    <row r="640" spans="1:8" ht="15.75" hidden="1" thickTop="1" x14ac:dyDescent="0.25">
      <c r="A640" s="1999">
        <v>6172</v>
      </c>
      <c r="B640" s="1953">
        <v>5169</v>
      </c>
      <c r="C640" s="2007"/>
      <c r="D640" s="1979" t="s">
        <v>892</v>
      </c>
      <c r="E640" s="1959">
        <v>0</v>
      </c>
      <c r="F640" s="1959">
        <v>0</v>
      </c>
      <c r="G640" s="1959">
        <v>0</v>
      </c>
      <c r="H640" s="1961"/>
    </row>
    <row r="641" spans="1:8" ht="16.5" thickTop="1" thickBot="1" x14ac:dyDescent="0.3">
      <c r="A641" s="2002">
        <v>3522</v>
      </c>
      <c r="B641" s="1967">
        <v>6121</v>
      </c>
      <c r="C641" s="1967"/>
      <c r="D641" s="1979" t="s">
        <v>640</v>
      </c>
      <c r="E641" s="1959">
        <v>0</v>
      </c>
      <c r="F641" s="1993">
        <v>100</v>
      </c>
      <c r="G641" s="1993">
        <v>0</v>
      </c>
      <c r="H641" s="1961">
        <f>G641/F641*100</f>
        <v>0</v>
      </c>
    </row>
    <row r="642" spans="1:8" ht="16.5" thickTop="1" thickBot="1" x14ac:dyDescent="0.3">
      <c r="A642" s="1980" t="s">
        <v>802</v>
      </c>
      <c r="B642" s="1981"/>
      <c r="C642" s="1981"/>
      <c r="D642" s="1982"/>
      <c r="E642" s="1957">
        <f>SUM(E639:E641)</f>
        <v>0</v>
      </c>
      <c r="F642" s="1960">
        <f>SUM(F639:F641)</f>
        <v>100</v>
      </c>
      <c r="G642" s="1960">
        <f>SUM(G639:G641)</f>
        <v>0</v>
      </c>
      <c r="H642" s="1962">
        <f>G642/F642*100</f>
        <v>0</v>
      </c>
    </row>
    <row r="643" spans="1:8" ht="15.75" thickTop="1" x14ac:dyDescent="0.25">
      <c r="A643" s="1994"/>
      <c r="B643" s="1994"/>
      <c r="C643" s="1994"/>
      <c r="D643" s="1994"/>
      <c r="E643" s="1964"/>
      <c r="F643" s="1964"/>
      <c r="G643" s="1964"/>
      <c r="H643" s="1995"/>
    </row>
    <row r="644" spans="1:8" ht="15" x14ac:dyDescent="0.25">
      <c r="A644" s="1942" t="s">
        <v>1865</v>
      </c>
      <c r="B644" s="1973"/>
      <c r="C644" s="1973"/>
      <c r="D644" s="1973"/>
      <c r="E644" s="1973"/>
      <c r="F644" s="1973"/>
      <c r="G644" s="1973"/>
      <c r="H644" s="1973"/>
    </row>
    <row r="645" spans="1:8" ht="15.75" thickBot="1" x14ac:dyDescent="0.3">
      <c r="A645" s="1942" t="s">
        <v>1866</v>
      </c>
      <c r="D645" s="1936"/>
      <c r="E645" s="1937"/>
      <c r="F645" s="1970"/>
      <c r="G645" s="1970"/>
      <c r="H645" s="1937" t="s">
        <v>173</v>
      </c>
    </row>
    <row r="646" spans="1:8" ht="25.5" thickTop="1" thickBot="1" x14ac:dyDescent="0.25">
      <c r="A646" s="1943" t="s">
        <v>174</v>
      </c>
      <c r="B646" s="1944" t="s">
        <v>800</v>
      </c>
      <c r="C646" s="1944" t="s">
        <v>397</v>
      </c>
      <c r="D646" s="1945" t="s">
        <v>176</v>
      </c>
      <c r="E646" s="1976" t="s">
        <v>669</v>
      </c>
      <c r="F646" s="1976" t="s">
        <v>670</v>
      </c>
      <c r="G646" s="1977" t="s">
        <v>923</v>
      </c>
      <c r="H646" s="1978" t="s">
        <v>924</v>
      </c>
    </row>
    <row r="647" spans="1:8" ht="14.25" thickTop="1" thickBot="1" x14ac:dyDescent="0.25">
      <c r="A647" s="1740">
        <v>1</v>
      </c>
      <c r="B647" s="1739">
        <v>2</v>
      </c>
      <c r="C647" s="1739">
        <v>3</v>
      </c>
      <c r="D647" s="1739">
        <v>4</v>
      </c>
      <c r="E647" s="1949">
        <v>5</v>
      </c>
      <c r="F647" s="1949">
        <v>6</v>
      </c>
      <c r="G647" s="1950">
        <v>7</v>
      </c>
      <c r="H647" s="1951" t="s">
        <v>61</v>
      </c>
    </row>
    <row r="648" spans="1:8" ht="15.75" hidden="1" thickTop="1" x14ac:dyDescent="0.25">
      <c r="A648" s="1999">
        <v>6172</v>
      </c>
      <c r="B648" s="1953">
        <v>5166</v>
      </c>
      <c r="C648" s="2005"/>
      <c r="D648" s="1979" t="s">
        <v>646</v>
      </c>
      <c r="E648" s="1959">
        <v>0</v>
      </c>
      <c r="F648" s="1959">
        <v>0</v>
      </c>
      <c r="G648" s="1959">
        <v>0</v>
      </c>
      <c r="H648" s="1961" t="e">
        <f>G648/F648*100</f>
        <v>#DIV/0!</v>
      </c>
    </row>
    <row r="649" spans="1:8" ht="15.75" hidden="1" thickTop="1" x14ac:dyDescent="0.25">
      <c r="A649" s="1999">
        <v>6172</v>
      </c>
      <c r="B649" s="1953">
        <v>5169</v>
      </c>
      <c r="C649" s="2007"/>
      <c r="D649" s="1979" t="s">
        <v>892</v>
      </c>
      <c r="E649" s="1959">
        <v>0</v>
      </c>
      <c r="F649" s="1959">
        <v>0</v>
      </c>
      <c r="G649" s="1959">
        <v>0</v>
      </c>
      <c r="H649" s="1961"/>
    </row>
    <row r="650" spans="1:8" ht="16.5" thickTop="1" thickBot="1" x14ac:dyDescent="0.3">
      <c r="A650" s="2002">
        <v>3522</v>
      </c>
      <c r="B650" s="1967">
        <v>6121</v>
      </c>
      <c r="C650" s="1967"/>
      <c r="D650" s="1979" t="s">
        <v>640</v>
      </c>
      <c r="E650" s="1959">
        <v>0</v>
      </c>
      <c r="F650" s="1993">
        <v>150</v>
      </c>
      <c r="G650" s="1993">
        <v>108</v>
      </c>
      <c r="H650" s="1961">
        <f>G650/F650*100</f>
        <v>72</v>
      </c>
    </row>
    <row r="651" spans="1:8" ht="16.5" thickTop="1" thickBot="1" x14ac:dyDescent="0.3">
      <c r="A651" s="1980" t="s">
        <v>802</v>
      </c>
      <c r="B651" s="1981"/>
      <c r="C651" s="1981"/>
      <c r="D651" s="1982"/>
      <c r="E651" s="1957">
        <f>SUM(E648:E650)</f>
        <v>0</v>
      </c>
      <c r="F651" s="1960">
        <f>SUM(F648:F650)</f>
        <v>150</v>
      </c>
      <c r="G651" s="1960">
        <f>SUM(G648:G650)</f>
        <v>108</v>
      </c>
      <c r="H651" s="1962">
        <f>G651/F651*100</f>
        <v>72</v>
      </c>
    </row>
    <row r="652" spans="1:8" ht="15.75" thickTop="1" x14ac:dyDescent="0.25">
      <c r="A652" s="1994"/>
      <c r="B652" s="1994"/>
      <c r="C652" s="1994"/>
      <c r="D652" s="1994"/>
      <c r="E652" s="1964"/>
      <c r="F652" s="1964"/>
      <c r="G652" s="1964"/>
      <c r="H652" s="1995"/>
    </row>
    <row r="653" spans="1:8" ht="15" x14ac:dyDescent="0.25">
      <c r="A653" s="1942" t="s">
        <v>1867</v>
      </c>
      <c r="B653" s="1973"/>
      <c r="C653" s="1973"/>
      <c r="D653" s="1973"/>
      <c r="E653" s="1973"/>
      <c r="F653" s="1973"/>
      <c r="G653" s="1973"/>
      <c r="H653" s="1973"/>
    </row>
    <row r="654" spans="1:8" ht="15.75" thickBot="1" x14ac:dyDescent="0.3">
      <c r="A654" s="1942" t="s">
        <v>1868</v>
      </c>
      <c r="D654" s="1936"/>
      <c r="E654" s="1937"/>
      <c r="F654" s="1970"/>
      <c r="G654" s="1970"/>
      <c r="H654" s="1937" t="s">
        <v>173</v>
      </c>
    </row>
    <row r="655" spans="1:8" ht="25.5" thickTop="1" thickBot="1" x14ac:dyDescent="0.25">
      <c r="A655" s="1943" t="s">
        <v>174</v>
      </c>
      <c r="B655" s="1944" t="s">
        <v>800</v>
      </c>
      <c r="C655" s="1944" t="s">
        <v>397</v>
      </c>
      <c r="D655" s="1945" t="s">
        <v>176</v>
      </c>
      <c r="E655" s="1976" t="s">
        <v>669</v>
      </c>
      <c r="F655" s="1976" t="s">
        <v>670</v>
      </c>
      <c r="G655" s="1977" t="s">
        <v>923</v>
      </c>
      <c r="H655" s="1978" t="s">
        <v>924</v>
      </c>
    </row>
    <row r="656" spans="1:8" ht="14.25" thickTop="1" thickBot="1" x14ac:dyDescent="0.25">
      <c r="A656" s="1740">
        <v>1</v>
      </c>
      <c r="B656" s="1739">
        <v>2</v>
      </c>
      <c r="C656" s="1739">
        <v>3</v>
      </c>
      <c r="D656" s="1739">
        <v>4</v>
      </c>
      <c r="E656" s="1949">
        <v>5</v>
      </c>
      <c r="F656" s="1949">
        <v>6</v>
      </c>
      <c r="G656" s="1950">
        <v>7</v>
      </c>
      <c r="H656" s="1951" t="s">
        <v>61</v>
      </c>
    </row>
    <row r="657" spans="1:8" ht="15.75" hidden="1" thickTop="1" x14ac:dyDescent="0.25">
      <c r="A657" s="1999">
        <v>6172</v>
      </c>
      <c r="B657" s="1953">
        <v>5166</v>
      </c>
      <c r="C657" s="2005"/>
      <c r="D657" s="1979" t="s">
        <v>646</v>
      </c>
      <c r="E657" s="1959">
        <v>0</v>
      </c>
      <c r="F657" s="1959">
        <v>0</v>
      </c>
      <c r="G657" s="1959">
        <v>0</v>
      </c>
      <c r="H657" s="1961" t="e">
        <f>G657/F657*100</f>
        <v>#DIV/0!</v>
      </c>
    </row>
    <row r="658" spans="1:8" ht="15.75" hidden="1" thickTop="1" x14ac:dyDescent="0.25">
      <c r="A658" s="1999">
        <v>6172</v>
      </c>
      <c r="B658" s="1953">
        <v>5169</v>
      </c>
      <c r="C658" s="2007"/>
      <c r="D658" s="1979" t="s">
        <v>892</v>
      </c>
      <c r="E658" s="1959">
        <v>0</v>
      </c>
      <c r="F658" s="1959">
        <v>0</v>
      </c>
      <c r="G658" s="1959">
        <v>0</v>
      </c>
      <c r="H658" s="1961"/>
    </row>
    <row r="659" spans="1:8" ht="16.5" thickTop="1" thickBot="1" x14ac:dyDescent="0.3">
      <c r="A659" s="2002">
        <v>3522</v>
      </c>
      <c r="B659" s="1967">
        <v>6121</v>
      </c>
      <c r="C659" s="1967"/>
      <c r="D659" s="1979" t="s">
        <v>640</v>
      </c>
      <c r="E659" s="1959">
        <v>0</v>
      </c>
      <c r="F659" s="1993">
        <v>144</v>
      </c>
      <c r="G659" s="1993">
        <v>0</v>
      </c>
      <c r="H659" s="1961">
        <f>G659/F659*100</f>
        <v>0</v>
      </c>
    </row>
    <row r="660" spans="1:8" ht="16.5" thickTop="1" thickBot="1" x14ac:dyDescent="0.3">
      <c r="A660" s="1980" t="s">
        <v>802</v>
      </c>
      <c r="B660" s="1981"/>
      <c r="C660" s="1981"/>
      <c r="D660" s="1982"/>
      <c r="E660" s="1957">
        <f>SUM(E657:E659)</f>
        <v>0</v>
      </c>
      <c r="F660" s="1960">
        <f>SUM(F657:F659)</f>
        <v>144</v>
      </c>
      <c r="G660" s="1960">
        <f>SUM(G657:G659)</f>
        <v>0</v>
      </c>
      <c r="H660" s="1962">
        <f>G660/F660*100</f>
        <v>0</v>
      </c>
    </row>
    <row r="661" spans="1:8" ht="15.75" thickTop="1" x14ac:dyDescent="0.25">
      <c r="A661" s="1994"/>
      <c r="B661" s="1994"/>
      <c r="C661" s="1994"/>
      <c r="D661" s="1994"/>
      <c r="E661" s="1964"/>
      <c r="F661" s="1964"/>
      <c r="G661" s="1964"/>
      <c r="H661" s="1995"/>
    </row>
    <row r="662" spans="1:8" ht="15" x14ac:dyDescent="0.25">
      <c r="A662" s="1942" t="s">
        <v>1863</v>
      </c>
      <c r="B662" s="1973"/>
      <c r="C662" s="1973"/>
      <c r="D662" s="1973"/>
      <c r="E662" s="1973"/>
      <c r="F662" s="1973"/>
      <c r="G662" s="1973"/>
      <c r="H662" s="1973"/>
    </row>
    <row r="663" spans="1:8" ht="15.75" thickBot="1" x14ac:dyDescent="0.3">
      <c r="A663" s="1942" t="s">
        <v>1864</v>
      </c>
      <c r="D663" s="1936"/>
      <c r="E663" s="1937"/>
      <c r="F663" s="1970"/>
      <c r="G663" s="1970"/>
      <c r="H663" s="1937" t="s">
        <v>173</v>
      </c>
    </row>
    <row r="664" spans="1:8" ht="25.5" thickTop="1" thickBot="1" x14ac:dyDescent="0.25">
      <c r="A664" s="1943" t="s">
        <v>174</v>
      </c>
      <c r="B664" s="1944" t="s">
        <v>800</v>
      </c>
      <c r="C664" s="1944" t="s">
        <v>397</v>
      </c>
      <c r="D664" s="1945" t="s">
        <v>176</v>
      </c>
      <c r="E664" s="1976" t="s">
        <v>669</v>
      </c>
      <c r="F664" s="1976" t="s">
        <v>670</v>
      </c>
      <c r="G664" s="1977" t="s">
        <v>923</v>
      </c>
      <c r="H664" s="1978" t="s">
        <v>924</v>
      </c>
    </row>
    <row r="665" spans="1:8" ht="14.25" thickTop="1" thickBot="1" x14ac:dyDescent="0.25">
      <c r="A665" s="1740">
        <v>1</v>
      </c>
      <c r="B665" s="1739">
        <v>2</v>
      </c>
      <c r="C665" s="1739">
        <v>3</v>
      </c>
      <c r="D665" s="1739">
        <v>4</v>
      </c>
      <c r="E665" s="1949">
        <v>5</v>
      </c>
      <c r="F665" s="1949">
        <v>6</v>
      </c>
      <c r="G665" s="1950">
        <v>7</v>
      </c>
      <c r="H665" s="1951" t="s">
        <v>61</v>
      </c>
    </row>
    <row r="666" spans="1:8" ht="15.75" hidden="1" thickTop="1" x14ac:dyDescent="0.25">
      <c r="A666" s="1999">
        <v>6172</v>
      </c>
      <c r="B666" s="1953">
        <v>5166</v>
      </c>
      <c r="C666" s="2005"/>
      <c r="D666" s="1979" t="s">
        <v>646</v>
      </c>
      <c r="E666" s="1959">
        <v>0</v>
      </c>
      <c r="F666" s="1959">
        <v>0</v>
      </c>
      <c r="G666" s="1959">
        <v>0</v>
      </c>
      <c r="H666" s="1961" t="e">
        <f>G666/F666*100</f>
        <v>#DIV/0!</v>
      </c>
    </row>
    <row r="667" spans="1:8" ht="15.75" hidden="1" thickTop="1" x14ac:dyDescent="0.25">
      <c r="A667" s="1999">
        <v>6172</v>
      </c>
      <c r="B667" s="1953">
        <v>5169</v>
      </c>
      <c r="C667" s="2007"/>
      <c r="D667" s="1979" t="s">
        <v>892</v>
      </c>
      <c r="E667" s="1959">
        <v>0</v>
      </c>
      <c r="F667" s="1959">
        <v>0</v>
      </c>
      <c r="G667" s="1959">
        <v>0</v>
      </c>
      <c r="H667" s="1961"/>
    </row>
    <row r="668" spans="1:8" ht="16.5" thickTop="1" thickBot="1" x14ac:dyDescent="0.3">
      <c r="A668" s="2002">
        <v>2143</v>
      </c>
      <c r="B668" s="1967">
        <v>5166</v>
      </c>
      <c r="C668" s="1967"/>
      <c r="D668" s="1979" t="s">
        <v>646</v>
      </c>
      <c r="E668" s="1959">
        <v>0</v>
      </c>
      <c r="F668" s="1993">
        <v>350</v>
      </c>
      <c r="G668" s="1993">
        <v>76</v>
      </c>
      <c r="H668" s="1961">
        <f>G668/F668*100</f>
        <v>21.714285714285715</v>
      </c>
    </row>
    <row r="669" spans="1:8" ht="16.5" thickTop="1" thickBot="1" x14ac:dyDescent="0.3">
      <c r="A669" s="1980" t="s">
        <v>802</v>
      </c>
      <c r="B669" s="1981"/>
      <c r="C669" s="1981"/>
      <c r="D669" s="1982"/>
      <c r="E669" s="1957">
        <f>SUM(E666:E668)</f>
        <v>0</v>
      </c>
      <c r="F669" s="1960">
        <f>SUM(F666:F668)</f>
        <v>350</v>
      </c>
      <c r="G669" s="1960">
        <f>SUM(G666:G668)</f>
        <v>76</v>
      </c>
      <c r="H669" s="1962">
        <f>G669/F669*100</f>
        <v>21.714285714285715</v>
      </c>
    </row>
    <row r="670" spans="1:8" ht="15.75" thickTop="1" x14ac:dyDescent="0.25">
      <c r="A670" s="1994"/>
      <c r="B670" s="1994"/>
      <c r="C670" s="1994"/>
      <c r="D670" s="1994"/>
      <c r="E670" s="1964"/>
      <c r="F670" s="1964"/>
      <c r="G670" s="1964"/>
      <c r="H670" s="1995"/>
    </row>
    <row r="671" spans="1:8" ht="15" x14ac:dyDescent="0.25">
      <c r="A671" s="1942" t="s">
        <v>1869</v>
      </c>
      <c r="B671" s="1973"/>
      <c r="C671" s="1973"/>
      <c r="D671" s="1973"/>
      <c r="E671" s="1973"/>
      <c r="F671" s="1973"/>
      <c r="G671" s="1973"/>
      <c r="H671" s="1973"/>
    </row>
    <row r="672" spans="1:8" ht="15.75" thickBot="1" x14ac:dyDescent="0.3">
      <c r="A672" s="1942" t="s">
        <v>1870</v>
      </c>
      <c r="D672" s="1936"/>
      <c r="E672" s="1937"/>
      <c r="F672" s="1970"/>
      <c r="G672" s="1970"/>
      <c r="H672" s="1937" t="s">
        <v>173</v>
      </c>
    </row>
    <row r="673" spans="1:8" ht="25.5" thickTop="1" thickBot="1" x14ac:dyDescent="0.25">
      <c r="A673" s="1943" t="s">
        <v>174</v>
      </c>
      <c r="B673" s="1944" t="s">
        <v>800</v>
      </c>
      <c r="C673" s="1944" t="s">
        <v>397</v>
      </c>
      <c r="D673" s="1945" t="s">
        <v>176</v>
      </c>
      <c r="E673" s="1976" t="s">
        <v>669</v>
      </c>
      <c r="F673" s="1976" t="s">
        <v>670</v>
      </c>
      <c r="G673" s="1977" t="s">
        <v>923</v>
      </c>
      <c r="H673" s="1978" t="s">
        <v>924</v>
      </c>
    </row>
    <row r="674" spans="1:8" ht="14.25" thickTop="1" thickBot="1" x14ac:dyDescent="0.25">
      <c r="A674" s="1740">
        <v>1</v>
      </c>
      <c r="B674" s="1739">
        <v>2</v>
      </c>
      <c r="C674" s="1739">
        <v>3</v>
      </c>
      <c r="D674" s="1739">
        <v>4</v>
      </c>
      <c r="E674" s="1949">
        <v>5</v>
      </c>
      <c r="F674" s="1949">
        <v>6</v>
      </c>
      <c r="G674" s="1950">
        <v>7</v>
      </c>
      <c r="H674" s="1951" t="s">
        <v>61</v>
      </c>
    </row>
    <row r="675" spans="1:8" ht="15.75" hidden="1" thickTop="1" x14ac:dyDescent="0.25">
      <c r="A675" s="1999">
        <v>6172</v>
      </c>
      <c r="B675" s="1953">
        <v>5166</v>
      </c>
      <c r="C675" s="2005"/>
      <c r="D675" s="1979" t="s">
        <v>646</v>
      </c>
      <c r="E675" s="1959">
        <v>0</v>
      </c>
      <c r="F675" s="1959">
        <v>0</v>
      </c>
      <c r="G675" s="1959">
        <v>0</v>
      </c>
      <c r="H675" s="1961" t="e">
        <f>G675/F675*100</f>
        <v>#DIV/0!</v>
      </c>
    </row>
    <row r="676" spans="1:8" ht="15.75" hidden="1" thickTop="1" x14ac:dyDescent="0.25">
      <c r="A676" s="1999">
        <v>6172</v>
      </c>
      <c r="B676" s="1953">
        <v>5169</v>
      </c>
      <c r="C676" s="2007"/>
      <c r="D676" s="1979" t="s">
        <v>892</v>
      </c>
      <c r="E676" s="1959">
        <v>0</v>
      </c>
      <c r="F676" s="1959">
        <v>0</v>
      </c>
      <c r="G676" s="1959">
        <v>0</v>
      </c>
      <c r="H676" s="1961"/>
    </row>
    <row r="677" spans="1:8" ht="16.5" thickTop="1" thickBot="1" x14ac:dyDescent="0.3">
      <c r="A677" s="2002">
        <v>5273</v>
      </c>
      <c r="B677" s="1967">
        <v>6122</v>
      </c>
      <c r="C677" s="1967"/>
      <c r="D677" s="1979" t="s">
        <v>641</v>
      </c>
      <c r="E677" s="1959">
        <v>0</v>
      </c>
      <c r="F677" s="1993">
        <v>900</v>
      </c>
      <c r="G677" s="1993">
        <v>0</v>
      </c>
      <c r="H677" s="1961">
        <f>G677/F677*100</f>
        <v>0</v>
      </c>
    </row>
    <row r="678" spans="1:8" ht="16.5" thickTop="1" thickBot="1" x14ac:dyDescent="0.3">
      <c r="A678" s="1980" t="s">
        <v>802</v>
      </c>
      <c r="B678" s="1981"/>
      <c r="C678" s="1981"/>
      <c r="D678" s="1982"/>
      <c r="E678" s="1957">
        <f>SUM(E675:E677)</f>
        <v>0</v>
      </c>
      <c r="F678" s="1960">
        <f>SUM(F675:F677)</f>
        <v>900</v>
      </c>
      <c r="G678" s="1960">
        <f>SUM(G675:G677)</f>
        <v>0</v>
      </c>
      <c r="H678" s="1962">
        <f>G678/F678*100</f>
        <v>0</v>
      </c>
    </row>
    <row r="679" spans="1:8" ht="15.75" thickTop="1" x14ac:dyDescent="0.25">
      <c r="A679" s="1994"/>
      <c r="B679" s="1994"/>
      <c r="C679" s="1994"/>
      <c r="D679" s="1994"/>
      <c r="E679" s="1964"/>
      <c r="F679" s="1964"/>
      <c r="G679" s="1964"/>
      <c r="H679" s="1995"/>
    </row>
    <row r="680" spans="1:8" ht="15" x14ac:dyDescent="0.25">
      <c r="A680" s="1942" t="s">
        <v>1871</v>
      </c>
      <c r="B680" s="1973"/>
      <c r="C680" s="1973"/>
      <c r="D680" s="1973"/>
      <c r="E680" s="1973"/>
      <c r="F680" s="1973"/>
      <c r="G680" s="1973"/>
      <c r="H680" s="1973"/>
    </row>
    <row r="681" spans="1:8" ht="15.75" thickBot="1" x14ac:dyDescent="0.3">
      <c r="A681" s="1942" t="s">
        <v>1872</v>
      </c>
      <c r="D681" s="1936"/>
      <c r="E681" s="1937"/>
      <c r="F681" s="1970"/>
      <c r="G681" s="1970"/>
      <c r="H681" s="1937" t="s">
        <v>173</v>
      </c>
    </row>
    <row r="682" spans="1:8" ht="25.5" thickTop="1" thickBot="1" x14ac:dyDescent="0.25">
      <c r="A682" s="1943" t="s">
        <v>174</v>
      </c>
      <c r="B682" s="1944" t="s">
        <v>800</v>
      </c>
      <c r="C682" s="1944" t="s">
        <v>397</v>
      </c>
      <c r="D682" s="1945" t="s">
        <v>176</v>
      </c>
      <c r="E682" s="1976" t="s">
        <v>669</v>
      </c>
      <c r="F682" s="1976" t="s">
        <v>670</v>
      </c>
      <c r="G682" s="1977" t="s">
        <v>923</v>
      </c>
      <c r="H682" s="1978" t="s">
        <v>924</v>
      </c>
    </row>
    <row r="683" spans="1:8" ht="14.25" thickTop="1" thickBot="1" x14ac:dyDescent="0.25">
      <c r="A683" s="1740">
        <v>1</v>
      </c>
      <c r="B683" s="1739">
        <v>2</v>
      </c>
      <c r="C683" s="1739">
        <v>3</v>
      </c>
      <c r="D683" s="1739">
        <v>4</v>
      </c>
      <c r="E683" s="1949">
        <v>5</v>
      </c>
      <c r="F683" s="1949">
        <v>6</v>
      </c>
      <c r="G683" s="1950">
        <v>7</v>
      </c>
      <c r="H683" s="1951" t="s">
        <v>61</v>
      </c>
    </row>
    <row r="684" spans="1:8" ht="15.75" hidden="1" thickTop="1" x14ac:dyDescent="0.25">
      <c r="A684" s="1999">
        <v>6172</v>
      </c>
      <c r="B684" s="1953">
        <v>5166</v>
      </c>
      <c r="C684" s="2005"/>
      <c r="D684" s="1979" t="s">
        <v>646</v>
      </c>
      <c r="E684" s="1959">
        <v>0</v>
      </c>
      <c r="F684" s="1959">
        <v>0</v>
      </c>
      <c r="G684" s="1959">
        <v>0</v>
      </c>
      <c r="H684" s="1961" t="e">
        <f>G684/F684*100</f>
        <v>#DIV/0!</v>
      </c>
    </row>
    <row r="685" spans="1:8" ht="15.75" hidden="1" thickTop="1" x14ac:dyDescent="0.25">
      <c r="A685" s="1999">
        <v>6172</v>
      </c>
      <c r="B685" s="1953">
        <v>5169</v>
      </c>
      <c r="C685" s="2007"/>
      <c r="D685" s="1979" t="s">
        <v>892</v>
      </c>
      <c r="E685" s="1959">
        <v>0</v>
      </c>
      <c r="F685" s="1959">
        <v>0</v>
      </c>
      <c r="G685" s="1959">
        <v>0</v>
      </c>
      <c r="H685" s="1961"/>
    </row>
    <row r="686" spans="1:8" ht="16.5" thickTop="1" thickBot="1" x14ac:dyDescent="0.3">
      <c r="A686" s="2002">
        <v>3539</v>
      </c>
      <c r="B686" s="1967">
        <v>5166</v>
      </c>
      <c r="C686" s="1967"/>
      <c r="D686" s="1979" t="s">
        <v>646</v>
      </c>
      <c r="E686" s="1959">
        <v>0</v>
      </c>
      <c r="F686" s="1993">
        <v>97</v>
      </c>
      <c r="G686" s="1993">
        <v>97</v>
      </c>
      <c r="H686" s="1961">
        <f>G686/F686*100</f>
        <v>100</v>
      </c>
    </row>
    <row r="687" spans="1:8" ht="16.5" thickTop="1" thickBot="1" x14ac:dyDescent="0.3">
      <c r="A687" s="1980" t="s">
        <v>802</v>
      </c>
      <c r="B687" s="1981"/>
      <c r="C687" s="1981"/>
      <c r="D687" s="1982"/>
      <c r="E687" s="1957">
        <f>SUM(E684:E686)</f>
        <v>0</v>
      </c>
      <c r="F687" s="1960">
        <f>SUM(F684:F686)</f>
        <v>97</v>
      </c>
      <c r="G687" s="1960">
        <f>SUM(G684:G686)</f>
        <v>97</v>
      </c>
      <c r="H687" s="1962">
        <f>G687/F687*100</f>
        <v>100</v>
      </c>
    </row>
    <row r="688" spans="1:8" ht="15.75" thickTop="1" x14ac:dyDescent="0.25">
      <c r="A688" s="1994"/>
      <c r="B688" s="1994"/>
      <c r="C688" s="1994"/>
      <c r="D688" s="1994"/>
      <c r="E688" s="1964"/>
      <c r="F688" s="1964"/>
      <c r="G688" s="1964"/>
      <c r="H688" s="1995"/>
    </row>
    <row r="689" spans="1:12" ht="15" x14ac:dyDescent="0.25">
      <c r="A689" s="1994"/>
      <c r="B689" s="1994"/>
      <c r="C689" s="1994"/>
      <c r="D689" s="1994"/>
      <c r="E689" s="1964"/>
      <c r="F689" s="1964"/>
      <c r="G689" s="1964"/>
      <c r="H689" s="1995"/>
    </row>
    <row r="690" spans="1:12" ht="13.5" customHeight="1" thickBot="1" x14ac:dyDescent="0.3">
      <c r="A690" s="1942" t="s">
        <v>263</v>
      </c>
      <c r="B690" s="1973"/>
      <c r="C690" s="1973"/>
      <c r="D690" s="1973"/>
      <c r="E690" s="1973"/>
      <c r="F690" s="1973"/>
      <c r="G690" s="1973"/>
      <c r="H690" s="1973"/>
      <c r="I690" s="1973"/>
    </row>
    <row r="691" spans="1:12" ht="15.75" hidden="1" thickBot="1" x14ac:dyDescent="0.3">
      <c r="A691" s="1942"/>
      <c r="D691" s="1936"/>
      <c r="E691" s="1937"/>
      <c r="F691" s="1970"/>
      <c r="G691" s="1970"/>
      <c r="H691" s="1937" t="s">
        <v>173</v>
      </c>
    </row>
    <row r="692" spans="1:12" ht="25.5" thickTop="1" thickBot="1" x14ac:dyDescent="0.25">
      <c r="A692" s="1943" t="s">
        <v>174</v>
      </c>
      <c r="B692" s="1944" t="s">
        <v>800</v>
      </c>
      <c r="C692" s="1944" t="s">
        <v>397</v>
      </c>
      <c r="D692" s="1945" t="s">
        <v>176</v>
      </c>
      <c r="E692" s="1976" t="s">
        <v>669</v>
      </c>
      <c r="F692" s="1976" t="s">
        <v>670</v>
      </c>
      <c r="G692" s="1977" t="s">
        <v>923</v>
      </c>
      <c r="H692" s="1978" t="s">
        <v>924</v>
      </c>
    </row>
    <row r="693" spans="1:12" s="1735" customFormat="1" ht="13.5" thickTop="1" thickBot="1" x14ac:dyDescent="0.25">
      <c r="A693" s="1740">
        <v>1</v>
      </c>
      <c r="B693" s="1739">
        <v>2</v>
      </c>
      <c r="C693" s="1739">
        <v>3</v>
      </c>
      <c r="D693" s="1739">
        <v>4</v>
      </c>
      <c r="E693" s="1949">
        <v>5</v>
      </c>
      <c r="F693" s="1949">
        <v>6</v>
      </c>
      <c r="G693" s="1950">
        <v>7</v>
      </c>
      <c r="H693" s="1951" t="s">
        <v>61</v>
      </c>
    </row>
    <row r="694" spans="1:12" s="1735" customFormat="1" ht="15.75" thickTop="1" x14ac:dyDescent="0.25">
      <c r="A694" s="1999">
        <v>3122</v>
      </c>
      <c r="B694" s="1953">
        <v>5166</v>
      </c>
      <c r="C694" s="1953"/>
      <c r="D694" s="1979" t="s">
        <v>646</v>
      </c>
      <c r="E694" s="1959">
        <v>0</v>
      </c>
      <c r="F694" s="2001">
        <v>211</v>
      </c>
      <c r="G694" s="2001">
        <v>186</v>
      </c>
      <c r="H694" s="1961">
        <f>G694/F694*100</f>
        <v>88.151658767772517</v>
      </c>
    </row>
    <row r="695" spans="1:12" ht="15" x14ac:dyDescent="0.25">
      <c r="A695" s="1999">
        <v>3636</v>
      </c>
      <c r="B695" s="1953">
        <v>5166</v>
      </c>
      <c r="C695" s="1953"/>
      <c r="D695" s="1979" t="s">
        <v>646</v>
      </c>
      <c r="E695" s="1959">
        <v>17220</v>
      </c>
      <c r="F695" s="2001">
        <v>542</v>
      </c>
      <c r="G695" s="2001">
        <v>0</v>
      </c>
      <c r="H695" s="1961">
        <v>0</v>
      </c>
    </row>
    <row r="696" spans="1:12" ht="15" x14ac:dyDescent="0.25">
      <c r="A696" s="2008">
        <v>6330</v>
      </c>
      <c r="B696" s="1953">
        <v>5345</v>
      </c>
      <c r="C696" s="2009"/>
      <c r="D696" s="1979" t="s">
        <v>806</v>
      </c>
      <c r="E696" s="1959">
        <v>0</v>
      </c>
      <c r="F696" s="2001">
        <v>0</v>
      </c>
      <c r="G696" s="2001">
        <v>515</v>
      </c>
      <c r="H696" s="1961">
        <v>0</v>
      </c>
    </row>
    <row r="697" spans="1:12" ht="15" x14ac:dyDescent="0.25">
      <c r="A697" s="2008">
        <v>3636</v>
      </c>
      <c r="B697" s="1953">
        <v>5167</v>
      </c>
      <c r="C697" s="2009"/>
      <c r="D697" s="1979" t="s">
        <v>937</v>
      </c>
      <c r="E697" s="1959">
        <v>0</v>
      </c>
      <c r="F697" s="2001">
        <v>26</v>
      </c>
      <c r="G697" s="2001">
        <v>22</v>
      </c>
      <c r="H697" s="1961">
        <f>G697/F697*100</f>
        <v>84.615384615384613</v>
      </c>
    </row>
    <row r="698" spans="1:12" ht="15" hidden="1" x14ac:dyDescent="0.25">
      <c r="A698" s="2008">
        <v>3122</v>
      </c>
      <c r="B698" s="1953">
        <v>5169</v>
      </c>
      <c r="C698" s="2009"/>
      <c r="D698" s="1979" t="s">
        <v>892</v>
      </c>
      <c r="E698" s="1959">
        <v>0</v>
      </c>
      <c r="F698" s="2001">
        <v>0</v>
      </c>
      <c r="G698" s="2001">
        <v>0</v>
      </c>
      <c r="H698" s="1961">
        <v>0</v>
      </c>
    </row>
    <row r="699" spans="1:12" ht="15.75" thickBot="1" x14ac:dyDescent="0.3">
      <c r="A699" s="2008">
        <v>3636</v>
      </c>
      <c r="B699" s="1953">
        <v>5169</v>
      </c>
      <c r="C699" s="2009"/>
      <c r="D699" s="1979" t="s">
        <v>892</v>
      </c>
      <c r="E699" s="1959">
        <v>50</v>
      </c>
      <c r="F699" s="2001">
        <v>1</v>
      </c>
      <c r="G699" s="2001">
        <v>1</v>
      </c>
      <c r="H699" s="1961">
        <f>G699/F699*100</f>
        <v>100</v>
      </c>
    </row>
    <row r="700" spans="1:12" ht="15.75" hidden="1" thickBot="1" x14ac:dyDescent="0.3">
      <c r="A700" s="2008">
        <v>2143</v>
      </c>
      <c r="B700" s="1953">
        <v>5901</v>
      </c>
      <c r="C700" s="2009"/>
      <c r="D700" s="1979" t="s">
        <v>639</v>
      </c>
      <c r="E700" s="1959">
        <v>0</v>
      </c>
      <c r="F700" s="2001">
        <v>0</v>
      </c>
      <c r="G700" s="2001">
        <v>0</v>
      </c>
      <c r="H700" s="1961"/>
    </row>
    <row r="701" spans="1:12" ht="15.75" hidden="1" thickBot="1" x14ac:dyDescent="0.3">
      <c r="A701" s="2008"/>
      <c r="B701" s="2010"/>
      <c r="C701" s="2010"/>
      <c r="D701" s="1985"/>
      <c r="E701" s="1959"/>
      <c r="F701" s="2001"/>
      <c r="G701" s="2001"/>
      <c r="H701" s="1961"/>
    </row>
    <row r="702" spans="1:12" ht="16.5" thickTop="1" thickBot="1" x14ac:dyDescent="0.3">
      <c r="A702" s="1980" t="s">
        <v>802</v>
      </c>
      <c r="B702" s="1981"/>
      <c r="C702" s="1981"/>
      <c r="D702" s="1982"/>
      <c r="E702" s="1957">
        <f>SUM(E694:E700)</f>
        <v>17270</v>
      </c>
      <c r="F702" s="1957">
        <f>SUM(F694:F700)</f>
        <v>780</v>
      </c>
      <c r="G702" s="1957">
        <f>SUM(G694:G700)</f>
        <v>724</v>
      </c>
      <c r="H702" s="1962">
        <f>G702/F702*100</f>
        <v>92.820512820512818</v>
      </c>
    </row>
    <row r="703" spans="1:12" ht="18.75" thickTop="1" x14ac:dyDescent="0.25">
      <c r="A703" s="1940"/>
      <c r="D703" s="1936"/>
      <c r="E703" s="1937"/>
      <c r="F703" s="1970"/>
      <c r="G703" s="1970"/>
      <c r="H703" s="1970"/>
    </row>
    <row r="704" spans="1:12" ht="16.5" x14ac:dyDescent="0.25">
      <c r="A704" s="2011" t="s">
        <v>487</v>
      </c>
      <c r="B704" s="2012"/>
      <c r="C704" s="2013"/>
      <c r="D704" s="2014"/>
      <c r="E704" s="2015">
        <f>SUM(E705:E707)</f>
        <v>17270</v>
      </c>
      <c r="F704" s="2015">
        <f>SUM(F705:F707)</f>
        <v>12050</v>
      </c>
      <c r="G704" s="2015">
        <f>SUM(G705:G707)</f>
        <v>9774</v>
      </c>
      <c r="H704" s="2016">
        <f>G704/F704*100</f>
        <v>81.112033195020743</v>
      </c>
      <c r="J704" s="2017">
        <f>J705+J706+J707</f>
        <v>17270000</v>
      </c>
      <c r="K704" s="2017">
        <f>K705+K706+K707</f>
        <v>12049979.640000001</v>
      </c>
      <c r="L704" s="2017">
        <f>L705+L706+L707</f>
        <v>9774296.5800000001</v>
      </c>
    </row>
    <row r="705" spans="1:13" ht="15" x14ac:dyDescent="0.2">
      <c r="A705" s="1696" t="s">
        <v>277</v>
      </c>
      <c r="B705" s="1699"/>
      <c r="C705" s="1694"/>
      <c r="D705" s="2018"/>
      <c r="E705" s="1697">
        <f>E35+E36+E319+E348+E405+E406+E427+E456+E480+E694+E695+E698+E699+E580+E542+E527+E504+E448+E282+E697+E604+E668+E686</f>
        <v>17270</v>
      </c>
      <c r="F705" s="1697">
        <f>F35+F36+F319+F348+F405+F406+F427+F456+F480+F694+F695+F698+F699+F580+F542+F527+F504+F448+F282+F697+F604+F668+F686</f>
        <v>1525</v>
      </c>
      <c r="G705" s="1697">
        <f>G35+G36+G319+G348+G405+G406+G427+G456+G480+G694+G695+G698+G699+G580+G542+G527+G504+G448+G282+G697+G604+G668+G686</f>
        <v>623</v>
      </c>
      <c r="H705" s="2016">
        <f>G705/F705*100</f>
        <v>40.852459016393446</v>
      </c>
      <c r="J705" s="2019">
        <v>17270000</v>
      </c>
      <c r="K705" s="2019">
        <v>1524876.48</v>
      </c>
      <c r="L705" s="2019">
        <v>623104.19999999995</v>
      </c>
    </row>
    <row r="706" spans="1:13" ht="15" x14ac:dyDescent="0.2">
      <c r="A706" s="1696" t="s">
        <v>278</v>
      </c>
      <c r="B706" s="1695"/>
      <c r="C706" s="1694"/>
      <c r="D706" s="2020"/>
      <c r="E706" s="1697">
        <f>E13+E21+E28+E43+E50+E57+E64+E71+E78+E92+E99+E106+E107+E114+E121+E128+E135+E142+E149+E156+E163+E170+E177+E184+E191+E198+E205+E219+E226+E233+E240+E247+E254+E261+E304+E311+E320+E327+E334+E349+E356+E363+E370+E377+E384+E391+E398+E413+E420+E434+E457+E465+E473+E481+E497+E505+E513+E528+E535+E543+E551+E558+E581+E85+E268+E275+E289+E296+E341+E441+E489+E588+E597+E605+E614+E623+E632+E641+E650+E659+E677</f>
        <v>0</v>
      </c>
      <c r="F706" s="1697">
        <f>F13+F21+F28+F43+F50+F57+F64+F71+F78+F92+F99+F106+F107+F114+F121+F128+F135+F142+F149+F156+F163+F170+F177+F184+F191+F198+F205+F219+F226+F233+F240+F247+F254+F261+F304+F311+F320+F327+F334+F349+F356+F363+F370+F377+F384+F391+F398+F413+F420+F434+F457+F465+F473+F481+F497+F505+F513+F528+F535+F543+F551+F558+F581+F85+F268+F275+F289+F296+F341+F441+F489+F588+F597+F605+F614+F623+F632+F641+F650+F659+F677+F449</f>
        <v>10525</v>
      </c>
      <c r="G706" s="1697">
        <f>G13+G21+G28+G43+G50+G57+G64+G71+G78+G92+G99+G106+G107+G114+G121+G128+G135+G142+G149+G156+G163+G170+G177+G184+G191+G198+G205+G219+G226+G233+G240+G247+G254+G261+G304+G311+G320+G327+G334+G349+G356+G363+G370+G377+G384+G391+G398+G413+G420+G434+G457+G465+G473+G481+G497+G505+G513+G528+G535+G543+G551+G558+G581+G85+G268+G275+G289+G296+G341+G441+G489+G588+G597+G605+G614+G623+G632+G641+G650+G659+G677+G449</f>
        <v>8636</v>
      </c>
      <c r="H706" s="2016">
        <f>G706/F706*100</f>
        <v>82.052256532066508</v>
      </c>
      <c r="J706" s="2019">
        <v>0</v>
      </c>
      <c r="K706" s="2019">
        <v>10525103.16</v>
      </c>
      <c r="L706" s="2019">
        <v>8636274.3800000008</v>
      </c>
      <c r="M706" s="1938"/>
    </row>
    <row r="707" spans="1:13" ht="15" x14ac:dyDescent="0.2">
      <c r="A707" s="1696" t="s">
        <v>488</v>
      </c>
      <c r="B707" s="1695"/>
      <c r="C707" s="1694"/>
      <c r="D707" s="2020"/>
      <c r="E707" s="1697">
        <f>E696</f>
        <v>0</v>
      </c>
      <c r="F707" s="1697">
        <f>F696</f>
        <v>0</v>
      </c>
      <c r="G707" s="1697">
        <f>G696</f>
        <v>515</v>
      </c>
      <c r="H707" s="2016">
        <v>0</v>
      </c>
      <c r="J707" s="2019">
        <v>0</v>
      </c>
      <c r="K707" s="2019">
        <v>0</v>
      </c>
      <c r="L707" s="2019">
        <v>514918</v>
      </c>
    </row>
    <row r="708" spans="1:13" ht="15" x14ac:dyDescent="0.2">
      <c r="A708" s="1696"/>
      <c r="B708" s="1695"/>
      <c r="C708" s="1694"/>
      <c r="D708" s="2020"/>
      <c r="E708" s="1697"/>
      <c r="F708" s="1697"/>
      <c r="G708" s="1697"/>
      <c r="H708" s="2021"/>
      <c r="J708" s="1938"/>
      <c r="K708" s="1938"/>
      <c r="L708" s="1938"/>
    </row>
    <row r="709" spans="1:13" ht="24" thickBot="1" x14ac:dyDescent="0.4">
      <c r="A709" s="2746" t="s">
        <v>1648</v>
      </c>
      <c r="B709" s="2747"/>
      <c r="C709" s="2747"/>
      <c r="D709" s="2747"/>
      <c r="E709" s="1687">
        <f>SUM(E704)</f>
        <v>17270</v>
      </c>
      <c r="F709" s="1687">
        <f>SUM(F704)</f>
        <v>12050</v>
      </c>
      <c r="G709" s="1687">
        <f>SUM(G704)</f>
        <v>9774</v>
      </c>
      <c r="H709" s="2022">
        <f>(G709/F709)*100</f>
        <v>81.112033195020743</v>
      </c>
      <c r="J709" s="1938"/>
      <c r="K709" s="1938"/>
      <c r="L709" s="1938"/>
    </row>
    <row r="710" spans="1:13" s="2023" customFormat="1" ht="13.5" thickTop="1" x14ac:dyDescent="0.2">
      <c r="A710" s="1936"/>
      <c r="B710" s="1936"/>
      <c r="C710" s="1936"/>
      <c r="D710" s="1937"/>
      <c r="E710" s="1938"/>
      <c r="F710" s="1938"/>
      <c r="G710" s="1938"/>
      <c r="H710" s="1939"/>
      <c r="J710" s="2024"/>
      <c r="K710" s="2024"/>
      <c r="L710" s="2024"/>
    </row>
    <row r="711" spans="1:13" s="1677" customFormat="1" x14ac:dyDescent="0.2">
      <c r="A711" s="1936"/>
      <c r="B711" s="1936"/>
      <c r="C711" s="1936"/>
      <c r="D711" s="1937"/>
      <c r="E711" s="1938"/>
      <c r="F711" s="1938"/>
      <c r="G711" s="1938"/>
      <c r="H711" s="1939"/>
    </row>
    <row r="712" spans="1:13" s="1677" customFormat="1" x14ac:dyDescent="0.2">
      <c r="A712" s="1936"/>
      <c r="B712" s="1936"/>
      <c r="C712" s="1936"/>
      <c r="D712" s="1937"/>
      <c r="E712" s="1938"/>
      <c r="F712" s="1938"/>
      <c r="G712" s="1938"/>
      <c r="H712" s="1939"/>
    </row>
    <row r="713" spans="1:13" s="1677" customFormat="1" x14ac:dyDescent="0.2">
      <c r="A713" s="1936"/>
      <c r="B713" s="1936"/>
      <c r="C713" s="1936"/>
      <c r="D713" s="1937"/>
      <c r="E713" s="1938"/>
      <c r="F713" s="1938"/>
      <c r="G713" s="1938"/>
      <c r="H713" s="1939"/>
    </row>
    <row r="714" spans="1:13" s="1677" customFormat="1" x14ac:dyDescent="0.2">
      <c r="A714" s="1936"/>
      <c r="B714" s="1936"/>
      <c r="C714" s="1936"/>
      <c r="D714" s="1937"/>
      <c r="E714" s="1938"/>
      <c r="F714" s="1938"/>
      <c r="G714" s="1938"/>
      <c r="H714" s="1939"/>
    </row>
    <row r="715" spans="1:13" s="1685" customFormat="1" ht="31.5" customHeight="1" x14ac:dyDescent="0.35">
      <c r="A715" s="1936"/>
      <c r="B715" s="1936"/>
      <c r="C715" s="1936"/>
      <c r="D715" s="1937"/>
      <c r="E715" s="1938"/>
      <c r="F715" s="1938"/>
      <c r="G715" s="1938"/>
      <c r="H715" s="1939"/>
    </row>
  </sheetData>
  <mergeCells count="26">
    <mergeCell ref="A37:D37"/>
    <mergeCell ref="G1:H1"/>
    <mergeCell ref="A8:H9"/>
    <mergeCell ref="A15:D15"/>
    <mergeCell ref="A22:D22"/>
    <mergeCell ref="A29:D29"/>
    <mergeCell ref="A95:I95"/>
    <mergeCell ref="A39:H39"/>
    <mergeCell ref="A44:D44"/>
    <mergeCell ref="A46:H46"/>
    <mergeCell ref="A51:D51"/>
    <mergeCell ref="A53:H53"/>
    <mergeCell ref="A58:D58"/>
    <mergeCell ref="A65:D65"/>
    <mergeCell ref="A72:D72"/>
    <mergeCell ref="A74:I74"/>
    <mergeCell ref="A81:I81"/>
    <mergeCell ref="A88:I88"/>
    <mergeCell ref="A314:H315"/>
    <mergeCell ref="A709:D709"/>
    <mergeCell ref="A102:I102"/>
    <mergeCell ref="A110:I110"/>
    <mergeCell ref="A117:I117"/>
    <mergeCell ref="A124:I124"/>
    <mergeCell ref="A131:I131"/>
    <mergeCell ref="A138:I138"/>
  </mergeCells>
  <pageMargins left="0.98425196850393704" right="0.98425196850393704" top="0.98425196850393704" bottom="0.98425196850393704" header="0.51181102362204722" footer="0.51181102362204722"/>
  <pageSetup paperSize="9" scale="65" firstPageNumber="117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7" manualBreakCount="7">
    <brk id="93" max="7" man="1"/>
    <brk id="157" max="7" man="1"/>
    <brk id="227" max="7" man="1"/>
    <brk id="321" max="7" man="1"/>
    <brk id="392" max="7" man="1"/>
    <brk id="482" max="7" man="1"/>
    <brk id="553" max="7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0"/>
  <sheetViews>
    <sheetView showGridLines="0" view="pageBreakPreview" zoomScaleNormal="100" zoomScaleSheetLayoutView="100" workbookViewId="0">
      <selection activeCell="Q30" sqref="Q30"/>
    </sheetView>
  </sheetViews>
  <sheetFormatPr defaultRowHeight="12.75" x14ac:dyDescent="0.2"/>
  <cols>
    <col min="1" max="1" width="5.5703125" style="1936" customWidth="1"/>
    <col min="2" max="2" width="6.7109375" style="1936" customWidth="1"/>
    <col min="3" max="3" width="9" style="1936" bestFit="1" customWidth="1"/>
    <col min="4" max="4" width="46.42578125" style="1937" customWidth="1"/>
    <col min="5" max="5" width="13.85546875" style="1970" customWidth="1"/>
    <col min="6" max="6" width="15.28515625" style="1970" customWidth="1"/>
    <col min="7" max="7" width="15.85546875" style="1970" customWidth="1"/>
    <col min="8" max="8" width="8.85546875" style="1937" customWidth="1"/>
    <col min="9" max="9" width="14.7109375" style="1937" bestFit="1" customWidth="1"/>
    <col min="10" max="11" width="9.140625" style="1937"/>
    <col min="12" max="12" width="11.42578125" style="1937" bestFit="1" customWidth="1"/>
    <col min="13" max="256" width="9.140625" style="1937"/>
    <col min="257" max="257" width="5.5703125" style="1937" customWidth="1"/>
    <col min="258" max="258" width="6.7109375" style="1937" customWidth="1"/>
    <col min="259" max="259" width="9" style="1937" bestFit="1" customWidth="1"/>
    <col min="260" max="260" width="46.42578125" style="1937" customWidth="1"/>
    <col min="261" max="261" width="13.85546875" style="1937" customWidth="1"/>
    <col min="262" max="262" width="15.28515625" style="1937" customWidth="1"/>
    <col min="263" max="263" width="15.85546875" style="1937" customWidth="1"/>
    <col min="264" max="264" width="8.85546875" style="1937" customWidth="1"/>
    <col min="265" max="265" width="14.7109375" style="1937" bestFit="1" customWidth="1"/>
    <col min="266" max="512" width="9.140625" style="1937"/>
    <col min="513" max="513" width="5.5703125" style="1937" customWidth="1"/>
    <col min="514" max="514" width="6.7109375" style="1937" customWidth="1"/>
    <col min="515" max="515" width="9" style="1937" bestFit="1" customWidth="1"/>
    <col min="516" max="516" width="46.42578125" style="1937" customWidth="1"/>
    <col min="517" max="517" width="13.85546875" style="1937" customWidth="1"/>
    <col min="518" max="518" width="15.28515625" style="1937" customWidth="1"/>
    <col min="519" max="519" width="15.85546875" style="1937" customWidth="1"/>
    <col min="520" max="520" width="8.85546875" style="1937" customWidth="1"/>
    <col min="521" max="521" width="14.7109375" style="1937" bestFit="1" customWidth="1"/>
    <col min="522" max="768" width="9.140625" style="1937"/>
    <col min="769" max="769" width="5.5703125" style="1937" customWidth="1"/>
    <col min="770" max="770" width="6.7109375" style="1937" customWidth="1"/>
    <col min="771" max="771" width="9" style="1937" bestFit="1" customWidth="1"/>
    <col min="772" max="772" width="46.42578125" style="1937" customWidth="1"/>
    <col min="773" max="773" width="13.85546875" style="1937" customWidth="1"/>
    <col min="774" max="774" width="15.28515625" style="1937" customWidth="1"/>
    <col min="775" max="775" width="15.85546875" style="1937" customWidth="1"/>
    <col min="776" max="776" width="8.85546875" style="1937" customWidth="1"/>
    <col min="777" max="777" width="14.7109375" style="1937" bestFit="1" customWidth="1"/>
    <col min="778" max="1024" width="9.140625" style="1937"/>
    <col min="1025" max="1025" width="5.5703125" style="1937" customWidth="1"/>
    <col min="1026" max="1026" width="6.7109375" style="1937" customWidth="1"/>
    <col min="1027" max="1027" width="9" style="1937" bestFit="1" customWidth="1"/>
    <col min="1028" max="1028" width="46.42578125" style="1937" customWidth="1"/>
    <col min="1029" max="1029" width="13.85546875" style="1937" customWidth="1"/>
    <col min="1030" max="1030" width="15.28515625" style="1937" customWidth="1"/>
    <col min="1031" max="1031" width="15.85546875" style="1937" customWidth="1"/>
    <col min="1032" max="1032" width="8.85546875" style="1937" customWidth="1"/>
    <col min="1033" max="1033" width="14.7109375" style="1937" bestFit="1" customWidth="1"/>
    <col min="1034" max="1280" width="9.140625" style="1937"/>
    <col min="1281" max="1281" width="5.5703125" style="1937" customWidth="1"/>
    <col min="1282" max="1282" width="6.7109375" style="1937" customWidth="1"/>
    <col min="1283" max="1283" width="9" style="1937" bestFit="1" customWidth="1"/>
    <col min="1284" max="1284" width="46.42578125" style="1937" customWidth="1"/>
    <col min="1285" max="1285" width="13.85546875" style="1937" customWidth="1"/>
    <col min="1286" max="1286" width="15.28515625" style="1937" customWidth="1"/>
    <col min="1287" max="1287" width="15.85546875" style="1937" customWidth="1"/>
    <col min="1288" max="1288" width="8.85546875" style="1937" customWidth="1"/>
    <col min="1289" max="1289" width="14.7109375" style="1937" bestFit="1" customWidth="1"/>
    <col min="1290" max="1536" width="9.140625" style="1937"/>
    <col min="1537" max="1537" width="5.5703125" style="1937" customWidth="1"/>
    <col min="1538" max="1538" width="6.7109375" style="1937" customWidth="1"/>
    <col min="1539" max="1539" width="9" style="1937" bestFit="1" customWidth="1"/>
    <col min="1540" max="1540" width="46.42578125" style="1937" customWidth="1"/>
    <col min="1541" max="1541" width="13.85546875" style="1937" customWidth="1"/>
    <col min="1542" max="1542" width="15.28515625" style="1937" customWidth="1"/>
    <col min="1543" max="1543" width="15.85546875" style="1937" customWidth="1"/>
    <col min="1544" max="1544" width="8.85546875" style="1937" customWidth="1"/>
    <col min="1545" max="1545" width="14.7109375" style="1937" bestFit="1" customWidth="1"/>
    <col min="1546" max="1792" width="9.140625" style="1937"/>
    <col min="1793" max="1793" width="5.5703125" style="1937" customWidth="1"/>
    <col min="1794" max="1794" width="6.7109375" style="1937" customWidth="1"/>
    <col min="1795" max="1795" width="9" style="1937" bestFit="1" customWidth="1"/>
    <col min="1796" max="1796" width="46.42578125" style="1937" customWidth="1"/>
    <col min="1797" max="1797" width="13.85546875" style="1937" customWidth="1"/>
    <col min="1798" max="1798" width="15.28515625" style="1937" customWidth="1"/>
    <col min="1799" max="1799" width="15.85546875" style="1937" customWidth="1"/>
    <col min="1800" max="1800" width="8.85546875" style="1937" customWidth="1"/>
    <col min="1801" max="1801" width="14.7109375" style="1937" bestFit="1" customWidth="1"/>
    <col min="1802" max="2048" width="9.140625" style="1937"/>
    <col min="2049" max="2049" width="5.5703125" style="1937" customWidth="1"/>
    <col min="2050" max="2050" width="6.7109375" style="1937" customWidth="1"/>
    <col min="2051" max="2051" width="9" style="1937" bestFit="1" customWidth="1"/>
    <col min="2052" max="2052" width="46.42578125" style="1937" customWidth="1"/>
    <col min="2053" max="2053" width="13.85546875" style="1937" customWidth="1"/>
    <col min="2054" max="2054" width="15.28515625" style="1937" customWidth="1"/>
    <col min="2055" max="2055" width="15.85546875" style="1937" customWidth="1"/>
    <col min="2056" max="2056" width="8.85546875" style="1937" customWidth="1"/>
    <col min="2057" max="2057" width="14.7109375" style="1937" bestFit="1" customWidth="1"/>
    <col min="2058" max="2304" width="9.140625" style="1937"/>
    <col min="2305" max="2305" width="5.5703125" style="1937" customWidth="1"/>
    <col min="2306" max="2306" width="6.7109375" style="1937" customWidth="1"/>
    <col min="2307" max="2307" width="9" style="1937" bestFit="1" customWidth="1"/>
    <col min="2308" max="2308" width="46.42578125" style="1937" customWidth="1"/>
    <col min="2309" max="2309" width="13.85546875" style="1937" customWidth="1"/>
    <col min="2310" max="2310" width="15.28515625" style="1937" customWidth="1"/>
    <col min="2311" max="2311" width="15.85546875" style="1937" customWidth="1"/>
    <col min="2312" max="2312" width="8.85546875" style="1937" customWidth="1"/>
    <col min="2313" max="2313" width="14.7109375" style="1937" bestFit="1" customWidth="1"/>
    <col min="2314" max="2560" width="9.140625" style="1937"/>
    <col min="2561" max="2561" width="5.5703125" style="1937" customWidth="1"/>
    <col min="2562" max="2562" width="6.7109375" style="1937" customWidth="1"/>
    <col min="2563" max="2563" width="9" style="1937" bestFit="1" customWidth="1"/>
    <col min="2564" max="2564" width="46.42578125" style="1937" customWidth="1"/>
    <col min="2565" max="2565" width="13.85546875" style="1937" customWidth="1"/>
    <col min="2566" max="2566" width="15.28515625" style="1937" customWidth="1"/>
    <col min="2567" max="2567" width="15.85546875" style="1937" customWidth="1"/>
    <col min="2568" max="2568" width="8.85546875" style="1937" customWidth="1"/>
    <col min="2569" max="2569" width="14.7109375" style="1937" bestFit="1" customWidth="1"/>
    <col min="2570" max="2816" width="9.140625" style="1937"/>
    <col min="2817" max="2817" width="5.5703125" style="1937" customWidth="1"/>
    <col min="2818" max="2818" width="6.7109375" style="1937" customWidth="1"/>
    <col min="2819" max="2819" width="9" style="1937" bestFit="1" customWidth="1"/>
    <col min="2820" max="2820" width="46.42578125" style="1937" customWidth="1"/>
    <col min="2821" max="2821" width="13.85546875" style="1937" customWidth="1"/>
    <col min="2822" max="2822" width="15.28515625" style="1937" customWidth="1"/>
    <col min="2823" max="2823" width="15.85546875" style="1937" customWidth="1"/>
    <col min="2824" max="2824" width="8.85546875" style="1937" customWidth="1"/>
    <col min="2825" max="2825" width="14.7109375" style="1937" bestFit="1" customWidth="1"/>
    <col min="2826" max="3072" width="9.140625" style="1937"/>
    <col min="3073" max="3073" width="5.5703125" style="1937" customWidth="1"/>
    <col min="3074" max="3074" width="6.7109375" style="1937" customWidth="1"/>
    <col min="3075" max="3075" width="9" style="1937" bestFit="1" customWidth="1"/>
    <col min="3076" max="3076" width="46.42578125" style="1937" customWidth="1"/>
    <col min="3077" max="3077" width="13.85546875" style="1937" customWidth="1"/>
    <col min="3078" max="3078" width="15.28515625" style="1937" customWidth="1"/>
    <col min="3079" max="3079" width="15.85546875" style="1937" customWidth="1"/>
    <col min="3080" max="3080" width="8.85546875" style="1937" customWidth="1"/>
    <col min="3081" max="3081" width="14.7109375" style="1937" bestFit="1" customWidth="1"/>
    <col min="3082" max="3328" width="9.140625" style="1937"/>
    <col min="3329" max="3329" width="5.5703125" style="1937" customWidth="1"/>
    <col min="3330" max="3330" width="6.7109375" style="1937" customWidth="1"/>
    <col min="3331" max="3331" width="9" style="1937" bestFit="1" customWidth="1"/>
    <col min="3332" max="3332" width="46.42578125" style="1937" customWidth="1"/>
    <col min="3333" max="3333" width="13.85546875" style="1937" customWidth="1"/>
    <col min="3334" max="3334" width="15.28515625" style="1937" customWidth="1"/>
    <col min="3335" max="3335" width="15.85546875" style="1937" customWidth="1"/>
    <col min="3336" max="3336" width="8.85546875" style="1937" customWidth="1"/>
    <col min="3337" max="3337" width="14.7109375" style="1937" bestFit="1" customWidth="1"/>
    <col min="3338" max="3584" width="9.140625" style="1937"/>
    <col min="3585" max="3585" width="5.5703125" style="1937" customWidth="1"/>
    <col min="3586" max="3586" width="6.7109375" style="1937" customWidth="1"/>
    <col min="3587" max="3587" width="9" style="1937" bestFit="1" customWidth="1"/>
    <col min="3588" max="3588" width="46.42578125" style="1937" customWidth="1"/>
    <col min="3589" max="3589" width="13.85546875" style="1937" customWidth="1"/>
    <col min="3590" max="3590" width="15.28515625" style="1937" customWidth="1"/>
    <col min="3591" max="3591" width="15.85546875" style="1937" customWidth="1"/>
    <col min="3592" max="3592" width="8.85546875" style="1937" customWidth="1"/>
    <col min="3593" max="3593" width="14.7109375" style="1937" bestFit="1" customWidth="1"/>
    <col min="3594" max="3840" width="9.140625" style="1937"/>
    <col min="3841" max="3841" width="5.5703125" style="1937" customWidth="1"/>
    <col min="3842" max="3842" width="6.7109375" style="1937" customWidth="1"/>
    <col min="3843" max="3843" width="9" style="1937" bestFit="1" customWidth="1"/>
    <col min="3844" max="3844" width="46.42578125" style="1937" customWidth="1"/>
    <col min="3845" max="3845" width="13.85546875" style="1937" customWidth="1"/>
    <col min="3846" max="3846" width="15.28515625" style="1937" customWidth="1"/>
    <col min="3847" max="3847" width="15.85546875" style="1937" customWidth="1"/>
    <col min="3848" max="3848" width="8.85546875" style="1937" customWidth="1"/>
    <col min="3849" max="3849" width="14.7109375" style="1937" bestFit="1" customWidth="1"/>
    <col min="3850" max="4096" width="9.140625" style="1937"/>
    <col min="4097" max="4097" width="5.5703125" style="1937" customWidth="1"/>
    <col min="4098" max="4098" width="6.7109375" style="1937" customWidth="1"/>
    <col min="4099" max="4099" width="9" style="1937" bestFit="1" customWidth="1"/>
    <col min="4100" max="4100" width="46.42578125" style="1937" customWidth="1"/>
    <col min="4101" max="4101" width="13.85546875" style="1937" customWidth="1"/>
    <col min="4102" max="4102" width="15.28515625" style="1937" customWidth="1"/>
    <col min="4103" max="4103" width="15.85546875" style="1937" customWidth="1"/>
    <col min="4104" max="4104" width="8.85546875" style="1937" customWidth="1"/>
    <col min="4105" max="4105" width="14.7109375" style="1937" bestFit="1" customWidth="1"/>
    <col min="4106" max="4352" width="9.140625" style="1937"/>
    <col min="4353" max="4353" width="5.5703125" style="1937" customWidth="1"/>
    <col min="4354" max="4354" width="6.7109375" style="1937" customWidth="1"/>
    <col min="4355" max="4355" width="9" style="1937" bestFit="1" customWidth="1"/>
    <col min="4356" max="4356" width="46.42578125" style="1937" customWidth="1"/>
    <col min="4357" max="4357" width="13.85546875" style="1937" customWidth="1"/>
    <col min="4358" max="4358" width="15.28515625" style="1937" customWidth="1"/>
    <col min="4359" max="4359" width="15.85546875" style="1937" customWidth="1"/>
    <col min="4360" max="4360" width="8.85546875" style="1937" customWidth="1"/>
    <col min="4361" max="4361" width="14.7109375" style="1937" bestFit="1" customWidth="1"/>
    <col min="4362" max="4608" width="9.140625" style="1937"/>
    <col min="4609" max="4609" width="5.5703125" style="1937" customWidth="1"/>
    <col min="4610" max="4610" width="6.7109375" style="1937" customWidth="1"/>
    <col min="4611" max="4611" width="9" style="1937" bestFit="1" customWidth="1"/>
    <col min="4612" max="4612" width="46.42578125" style="1937" customWidth="1"/>
    <col min="4613" max="4613" width="13.85546875" style="1937" customWidth="1"/>
    <col min="4614" max="4614" width="15.28515625" style="1937" customWidth="1"/>
    <col min="4615" max="4615" width="15.85546875" style="1937" customWidth="1"/>
    <col min="4616" max="4616" width="8.85546875" style="1937" customWidth="1"/>
    <col min="4617" max="4617" width="14.7109375" style="1937" bestFit="1" customWidth="1"/>
    <col min="4618" max="4864" width="9.140625" style="1937"/>
    <col min="4865" max="4865" width="5.5703125" style="1937" customWidth="1"/>
    <col min="4866" max="4866" width="6.7109375" style="1937" customWidth="1"/>
    <col min="4867" max="4867" width="9" style="1937" bestFit="1" customWidth="1"/>
    <col min="4868" max="4868" width="46.42578125" style="1937" customWidth="1"/>
    <col min="4869" max="4869" width="13.85546875" style="1937" customWidth="1"/>
    <col min="4870" max="4870" width="15.28515625" style="1937" customWidth="1"/>
    <col min="4871" max="4871" width="15.85546875" style="1937" customWidth="1"/>
    <col min="4872" max="4872" width="8.85546875" style="1937" customWidth="1"/>
    <col min="4873" max="4873" width="14.7109375" style="1937" bestFit="1" customWidth="1"/>
    <col min="4874" max="5120" width="9.140625" style="1937"/>
    <col min="5121" max="5121" width="5.5703125" style="1937" customWidth="1"/>
    <col min="5122" max="5122" width="6.7109375" style="1937" customWidth="1"/>
    <col min="5123" max="5123" width="9" style="1937" bestFit="1" customWidth="1"/>
    <col min="5124" max="5124" width="46.42578125" style="1937" customWidth="1"/>
    <col min="5125" max="5125" width="13.85546875" style="1937" customWidth="1"/>
    <col min="5126" max="5126" width="15.28515625" style="1937" customWidth="1"/>
    <col min="5127" max="5127" width="15.85546875" style="1937" customWidth="1"/>
    <col min="5128" max="5128" width="8.85546875" style="1937" customWidth="1"/>
    <col min="5129" max="5129" width="14.7109375" style="1937" bestFit="1" customWidth="1"/>
    <col min="5130" max="5376" width="9.140625" style="1937"/>
    <col min="5377" max="5377" width="5.5703125" style="1937" customWidth="1"/>
    <col min="5378" max="5378" width="6.7109375" style="1937" customWidth="1"/>
    <col min="5379" max="5379" width="9" style="1937" bestFit="1" customWidth="1"/>
    <col min="5380" max="5380" width="46.42578125" style="1937" customWidth="1"/>
    <col min="5381" max="5381" width="13.85546875" style="1937" customWidth="1"/>
    <col min="5382" max="5382" width="15.28515625" style="1937" customWidth="1"/>
    <col min="5383" max="5383" width="15.85546875" style="1937" customWidth="1"/>
    <col min="5384" max="5384" width="8.85546875" style="1937" customWidth="1"/>
    <col min="5385" max="5385" width="14.7109375" style="1937" bestFit="1" customWidth="1"/>
    <col min="5386" max="5632" width="9.140625" style="1937"/>
    <col min="5633" max="5633" width="5.5703125" style="1937" customWidth="1"/>
    <col min="5634" max="5634" width="6.7109375" style="1937" customWidth="1"/>
    <col min="5635" max="5635" width="9" style="1937" bestFit="1" customWidth="1"/>
    <col min="5636" max="5636" width="46.42578125" style="1937" customWidth="1"/>
    <col min="5637" max="5637" width="13.85546875" style="1937" customWidth="1"/>
    <col min="5638" max="5638" width="15.28515625" style="1937" customWidth="1"/>
    <col min="5639" max="5639" width="15.85546875" style="1937" customWidth="1"/>
    <col min="5640" max="5640" width="8.85546875" style="1937" customWidth="1"/>
    <col min="5641" max="5641" width="14.7109375" style="1937" bestFit="1" customWidth="1"/>
    <col min="5642" max="5888" width="9.140625" style="1937"/>
    <col min="5889" max="5889" width="5.5703125" style="1937" customWidth="1"/>
    <col min="5890" max="5890" width="6.7109375" style="1937" customWidth="1"/>
    <col min="5891" max="5891" width="9" style="1937" bestFit="1" customWidth="1"/>
    <col min="5892" max="5892" width="46.42578125" style="1937" customWidth="1"/>
    <col min="5893" max="5893" width="13.85546875" style="1937" customWidth="1"/>
    <col min="5894" max="5894" width="15.28515625" style="1937" customWidth="1"/>
    <col min="5895" max="5895" width="15.85546875" style="1937" customWidth="1"/>
    <col min="5896" max="5896" width="8.85546875" style="1937" customWidth="1"/>
    <col min="5897" max="5897" width="14.7109375" style="1937" bestFit="1" customWidth="1"/>
    <col min="5898" max="6144" width="9.140625" style="1937"/>
    <col min="6145" max="6145" width="5.5703125" style="1937" customWidth="1"/>
    <col min="6146" max="6146" width="6.7109375" style="1937" customWidth="1"/>
    <col min="6147" max="6147" width="9" style="1937" bestFit="1" customWidth="1"/>
    <col min="6148" max="6148" width="46.42578125" style="1937" customWidth="1"/>
    <col min="6149" max="6149" width="13.85546875" style="1937" customWidth="1"/>
    <col min="6150" max="6150" width="15.28515625" style="1937" customWidth="1"/>
    <col min="6151" max="6151" width="15.85546875" style="1937" customWidth="1"/>
    <col min="6152" max="6152" width="8.85546875" style="1937" customWidth="1"/>
    <col min="6153" max="6153" width="14.7109375" style="1937" bestFit="1" customWidth="1"/>
    <col min="6154" max="6400" width="9.140625" style="1937"/>
    <col min="6401" max="6401" width="5.5703125" style="1937" customWidth="1"/>
    <col min="6402" max="6402" width="6.7109375" style="1937" customWidth="1"/>
    <col min="6403" max="6403" width="9" style="1937" bestFit="1" customWidth="1"/>
    <col min="6404" max="6404" width="46.42578125" style="1937" customWidth="1"/>
    <col min="6405" max="6405" width="13.85546875" style="1937" customWidth="1"/>
    <col min="6406" max="6406" width="15.28515625" style="1937" customWidth="1"/>
    <col min="6407" max="6407" width="15.85546875" style="1937" customWidth="1"/>
    <col min="6408" max="6408" width="8.85546875" style="1937" customWidth="1"/>
    <col min="6409" max="6409" width="14.7109375" style="1937" bestFit="1" customWidth="1"/>
    <col min="6410" max="6656" width="9.140625" style="1937"/>
    <col min="6657" max="6657" width="5.5703125" style="1937" customWidth="1"/>
    <col min="6658" max="6658" width="6.7109375" style="1937" customWidth="1"/>
    <col min="6659" max="6659" width="9" style="1937" bestFit="1" customWidth="1"/>
    <col min="6660" max="6660" width="46.42578125" style="1937" customWidth="1"/>
    <col min="6661" max="6661" width="13.85546875" style="1937" customWidth="1"/>
    <col min="6662" max="6662" width="15.28515625" style="1937" customWidth="1"/>
    <col min="6663" max="6663" width="15.85546875" style="1937" customWidth="1"/>
    <col min="6664" max="6664" width="8.85546875" style="1937" customWidth="1"/>
    <col min="6665" max="6665" width="14.7109375" style="1937" bestFit="1" customWidth="1"/>
    <col min="6666" max="6912" width="9.140625" style="1937"/>
    <col min="6913" max="6913" width="5.5703125" style="1937" customWidth="1"/>
    <col min="6914" max="6914" width="6.7109375" style="1937" customWidth="1"/>
    <col min="6915" max="6915" width="9" style="1937" bestFit="1" customWidth="1"/>
    <col min="6916" max="6916" width="46.42578125" style="1937" customWidth="1"/>
    <col min="6917" max="6917" width="13.85546875" style="1937" customWidth="1"/>
    <col min="6918" max="6918" width="15.28515625" style="1937" customWidth="1"/>
    <col min="6919" max="6919" width="15.85546875" style="1937" customWidth="1"/>
    <col min="6920" max="6920" width="8.85546875" style="1937" customWidth="1"/>
    <col min="6921" max="6921" width="14.7109375" style="1937" bestFit="1" customWidth="1"/>
    <col min="6922" max="7168" width="9.140625" style="1937"/>
    <col min="7169" max="7169" width="5.5703125" style="1937" customWidth="1"/>
    <col min="7170" max="7170" width="6.7109375" style="1937" customWidth="1"/>
    <col min="7171" max="7171" width="9" style="1937" bestFit="1" customWidth="1"/>
    <col min="7172" max="7172" width="46.42578125" style="1937" customWidth="1"/>
    <col min="7173" max="7173" width="13.85546875" style="1937" customWidth="1"/>
    <col min="7174" max="7174" width="15.28515625" style="1937" customWidth="1"/>
    <col min="7175" max="7175" width="15.85546875" style="1937" customWidth="1"/>
    <col min="7176" max="7176" width="8.85546875" style="1937" customWidth="1"/>
    <col min="7177" max="7177" width="14.7109375" style="1937" bestFit="1" customWidth="1"/>
    <col min="7178" max="7424" width="9.140625" style="1937"/>
    <col min="7425" max="7425" width="5.5703125" style="1937" customWidth="1"/>
    <col min="7426" max="7426" width="6.7109375" style="1937" customWidth="1"/>
    <col min="7427" max="7427" width="9" style="1937" bestFit="1" customWidth="1"/>
    <col min="7428" max="7428" width="46.42578125" style="1937" customWidth="1"/>
    <col min="7429" max="7429" width="13.85546875" style="1937" customWidth="1"/>
    <col min="7430" max="7430" width="15.28515625" style="1937" customWidth="1"/>
    <col min="7431" max="7431" width="15.85546875" style="1937" customWidth="1"/>
    <col min="7432" max="7432" width="8.85546875" style="1937" customWidth="1"/>
    <col min="7433" max="7433" width="14.7109375" style="1937" bestFit="1" customWidth="1"/>
    <col min="7434" max="7680" width="9.140625" style="1937"/>
    <col min="7681" max="7681" width="5.5703125" style="1937" customWidth="1"/>
    <col min="7682" max="7682" width="6.7109375" style="1937" customWidth="1"/>
    <col min="7683" max="7683" width="9" style="1937" bestFit="1" customWidth="1"/>
    <col min="7684" max="7684" width="46.42578125" style="1937" customWidth="1"/>
    <col min="7685" max="7685" width="13.85546875" style="1937" customWidth="1"/>
    <col min="7686" max="7686" width="15.28515625" style="1937" customWidth="1"/>
    <col min="7687" max="7687" width="15.85546875" style="1937" customWidth="1"/>
    <col min="7688" max="7688" width="8.85546875" style="1937" customWidth="1"/>
    <col min="7689" max="7689" width="14.7109375" style="1937" bestFit="1" customWidth="1"/>
    <col min="7690" max="7936" width="9.140625" style="1937"/>
    <col min="7937" max="7937" width="5.5703125" style="1937" customWidth="1"/>
    <col min="7938" max="7938" width="6.7109375" style="1937" customWidth="1"/>
    <col min="7939" max="7939" width="9" style="1937" bestFit="1" customWidth="1"/>
    <col min="7940" max="7940" width="46.42578125" style="1937" customWidth="1"/>
    <col min="7941" max="7941" width="13.85546875" style="1937" customWidth="1"/>
    <col min="7942" max="7942" width="15.28515625" style="1937" customWidth="1"/>
    <col min="7943" max="7943" width="15.85546875" style="1937" customWidth="1"/>
    <col min="7944" max="7944" width="8.85546875" style="1937" customWidth="1"/>
    <col min="7945" max="7945" width="14.7109375" style="1937" bestFit="1" customWidth="1"/>
    <col min="7946" max="8192" width="9.140625" style="1937"/>
    <col min="8193" max="8193" width="5.5703125" style="1937" customWidth="1"/>
    <col min="8194" max="8194" width="6.7109375" style="1937" customWidth="1"/>
    <col min="8195" max="8195" width="9" style="1937" bestFit="1" customWidth="1"/>
    <col min="8196" max="8196" width="46.42578125" style="1937" customWidth="1"/>
    <col min="8197" max="8197" width="13.85546875" style="1937" customWidth="1"/>
    <col min="8198" max="8198" width="15.28515625" style="1937" customWidth="1"/>
    <col min="8199" max="8199" width="15.85546875" style="1937" customWidth="1"/>
    <col min="8200" max="8200" width="8.85546875" style="1937" customWidth="1"/>
    <col min="8201" max="8201" width="14.7109375" style="1937" bestFit="1" customWidth="1"/>
    <col min="8202" max="8448" width="9.140625" style="1937"/>
    <col min="8449" max="8449" width="5.5703125" style="1937" customWidth="1"/>
    <col min="8450" max="8450" width="6.7109375" style="1937" customWidth="1"/>
    <col min="8451" max="8451" width="9" style="1937" bestFit="1" customWidth="1"/>
    <col min="8452" max="8452" width="46.42578125" style="1937" customWidth="1"/>
    <col min="8453" max="8453" width="13.85546875" style="1937" customWidth="1"/>
    <col min="8454" max="8454" width="15.28515625" style="1937" customWidth="1"/>
    <col min="8455" max="8455" width="15.85546875" style="1937" customWidth="1"/>
    <col min="8456" max="8456" width="8.85546875" style="1937" customWidth="1"/>
    <col min="8457" max="8457" width="14.7109375" style="1937" bestFit="1" customWidth="1"/>
    <col min="8458" max="8704" width="9.140625" style="1937"/>
    <col min="8705" max="8705" width="5.5703125" style="1937" customWidth="1"/>
    <col min="8706" max="8706" width="6.7109375" style="1937" customWidth="1"/>
    <col min="8707" max="8707" width="9" style="1937" bestFit="1" customWidth="1"/>
    <col min="8708" max="8708" width="46.42578125" style="1937" customWidth="1"/>
    <col min="8709" max="8709" width="13.85546875" style="1937" customWidth="1"/>
    <col min="8710" max="8710" width="15.28515625" style="1937" customWidth="1"/>
    <col min="8711" max="8711" width="15.85546875" style="1937" customWidth="1"/>
    <col min="8712" max="8712" width="8.85546875" style="1937" customWidth="1"/>
    <col min="8713" max="8713" width="14.7109375" style="1937" bestFit="1" customWidth="1"/>
    <col min="8714" max="8960" width="9.140625" style="1937"/>
    <col min="8961" max="8961" width="5.5703125" style="1937" customWidth="1"/>
    <col min="8962" max="8962" width="6.7109375" style="1937" customWidth="1"/>
    <col min="8963" max="8963" width="9" style="1937" bestFit="1" customWidth="1"/>
    <col min="8964" max="8964" width="46.42578125" style="1937" customWidth="1"/>
    <col min="8965" max="8965" width="13.85546875" style="1937" customWidth="1"/>
    <col min="8966" max="8966" width="15.28515625" style="1937" customWidth="1"/>
    <col min="8967" max="8967" width="15.85546875" style="1937" customWidth="1"/>
    <col min="8968" max="8968" width="8.85546875" style="1937" customWidth="1"/>
    <col min="8969" max="8969" width="14.7109375" style="1937" bestFit="1" customWidth="1"/>
    <col min="8970" max="9216" width="9.140625" style="1937"/>
    <col min="9217" max="9217" width="5.5703125" style="1937" customWidth="1"/>
    <col min="9218" max="9218" width="6.7109375" style="1937" customWidth="1"/>
    <col min="9219" max="9219" width="9" style="1937" bestFit="1" customWidth="1"/>
    <col min="9220" max="9220" width="46.42578125" style="1937" customWidth="1"/>
    <col min="9221" max="9221" width="13.85546875" style="1937" customWidth="1"/>
    <col min="9222" max="9222" width="15.28515625" style="1937" customWidth="1"/>
    <col min="9223" max="9223" width="15.85546875" style="1937" customWidth="1"/>
    <col min="9224" max="9224" width="8.85546875" style="1937" customWidth="1"/>
    <col min="9225" max="9225" width="14.7109375" style="1937" bestFit="1" customWidth="1"/>
    <col min="9226" max="9472" width="9.140625" style="1937"/>
    <col min="9473" max="9473" width="5.5703125" style="1937" customWidth="1"/>
    <col min="9474" max="9474" width="6.7109375" style="1937" customWidth="1"/>
    <col min="9475" max="9475" width="9" style="1937" bestFit="1" customWidth="1"/>
    <col min="9476" max="9476" width="46.42578125" style="1937" customWidth="1"/>
    <col min="9477" max="9477" width="13.85546875" style="1937" customWidth="1"/>
    <col min="9478" max="9478" width="15.28515625" style="1937" customWidth="1"/>
    <col min="9479" max="9479" width="15.85546875" style="1937" customWidth="1"/>
    <col min="9480" max="9480" width="8.85546875" style="1937" customWidth="1"/>
    <col min="9481" max="9481" width="14.7109375" style="1937" bestFit="1" customWidth="1"/>
    <col min="9482" max="9728" width="9.140625" style="1937"/>
    <col min="9729" max="9729" width="5.5703125" style="1937" customWidth="1"/>
    <col min="9730" max="9730" width="6.7109375" style="1937" customWidth="1"/>
    <col min="9731" max="9731" width="9" style="1937" bestFit="1" customWidth="1"/>
    <col min="9732" max="9732" width="46.42578125" style="1937" customWidth="1"/>
    <col min="9733" max="9733" width="13.85546875" style="1937" customWidth="1"/>
    <col min="9734" max="9734" width="15.28515625" style="1937" customWidth="1"/>
    <col min="9735" max="9735" width="15.85546875" style="1937" customWidth="1"/>
    <col min="9736" max="9736" width="8.85546875" style="1937" customWidth="1"/>
    <col min="9737" max="9737" width="14.7109375" style="1937" bestFit="1" customWidth="1"/>
    <col min="9738" max="9984" width="9.140625" style="1937"/>
    <col min="9985" max="9985" width="5.5703125" style="1937" customWidth="1"/>
    <col min="9986" max="9986" width="6.7109375" style="1937" customWidth="1"/>
    <col min="9987" max="9987" width="9" style="1937" bestFit="1" customWidth="1"/>
    <col min="9988" max="9988" width="46.42578125" style="1937" customWidth="1"/>
    <col min="9989" max="9989" width="13.85546875" style="1937" customWidth="1"/>
    <col min="9990" max="9990" width="15.28515625" style="1937" customWidth="1"/>
    <col min="9991" max="9991" width="15.85546875" style="1937" customWidth="1"/>
    <col min="9992" max="9992" width="8.85546875" style="1937" customWidth="1"/>
    <col min="9993" max="9993" width="14.7109375" style="1937" bestFit="1" customWidth="1"/>
    <col min="9994" max="10240" width="9.140625" style="1937"/>
    <col min="10241" max="10241" width="5.5703125" style="1937" customWidth="1"/>
    <col min="10242" max="10242" width="6.7109375" style="1937" customWidth="1"/>
    <col min="10243" max="10243" width="9" style="1937" bestFit="1" customWidth="1"/>
    <col min="10244" max="10244" width="46.42578125" style="1937" customWidth="1"/>
    <col min="10245" max="10245" width="13.85546875" style="1937" customWidth="1"/>
    <col min="10246" max="10246" width="15.28515625" style="1937" customWidth="1"/>
    <col min="10247" max="10247" width="15.85546875" style="1937" customWidth="1"/>
    <col min="10248" max="10248" width="8.85546875" style="1937" customWidth="1"/>
    <col min="10249" max="10249" width="14.7109375" style="1937" bestFit="1" customWidth="1"/>
    <col min="10250" max="10496" width="9.140625" style="1937"/>
    <col min="10497" max="10497" width="5.5703125" style="1937" customWidth="1"/>
    <col min="10498" max="10498" width="6.7109375" style="1937" customWidth="1"/>
    <col min="10499" max="10499" width="9" style="1937" bestFit="1" customWidth="1"/>
    <col min="10500" max="10500" width="46.42578125" style="1937" customWidth="1"/>
    <col min="10501" max="10501" width="13.85546875" style="1937" customWidth="1"/>
    <col min="10502" max="10502" width="15.28515625" style="1937" customWidth="1"/>
    <col min="10503" max="10503" width="15.85546875" style="1937" customWidth="1"/>
    <col min="10504" max="10504" width="8.85546875" style="1937" customWidth="1"/>
    <col min="10505" max="10505" width="14.7109375" style="1937" bestFit="1" customWidth="1"/>
    <col min="10506" max="10752" width="9.140625" style="1937"/>
    <col min="10753" max="10753" width="5.5703125" style="1937" customWidth="1"/>
    <col min="10754" max="10754" width="6.7109375" style="1937" customWidth="1"/>
    <col min="10755" max="10755" width="9" style="1937" bestFit="1" customWidth="1"/>
    <col min="10756" max="10756" width="46.42578125" style="1937" customWidth="1"/>
    <col min="10757" max="10757" width="13.85546875" style="1937" customWidth="1"/>
    <col min="10758" max="10758" width="15.28515625" style="1937" customWidth="1"/>
    <col min="10759" max="10759" width="15.85546875" style="1937" customWidth="1"/>
    <col min="10760" max="10760" width="8.85546875" style="1937" customWidth="1"/>
    <col min="10761" max="10761" width="14.7109375" style="1937" bestFit="1" customWidth="1"/>
    <col min="10762" max="11008" width="9.140625" style="1937"/>
    <col min="11009" max="11009" width="5.5703125" style="1937" customWidth="1"/>
    <col min="11010" max="11010" width="6.7109375" style="1937" customWidth="1"/>
    <col min="11011" max="11011" width="9" style="1937" bestFit="1" customWidth="1"/>
    <col min="11012" max="11012" width="46.42578125" style="1937" customWidth="1"/>
    <col min="11013" max="11013" width="13.85546875" style="1937" customWidth="1"/>
    <col min="11014" max="11014" width="15.28515625" style="1937" customWidth="1"/>
    <col min="11015" max="11015" width="15.85546875" style="1937" customWidth="1"/>
    <col min="11016" max="11016" width="8.85546875" style="1937" customWidth="1"/>
    <col min="11017" max="11017" width="14.7109375" style="1937" bestFit="1" customWidth="1"/>
    <col min="11018" max="11264" width="9.140625" style="1937"/>
    <col min="11265" max="11265" width="5.5703125" style="1937" customWidth="1"/>
    <col min="11266" max="11266" width="6.7109375" style="1937" customWidth="1"/>
    <col min="11267" max="11267" width="9" style="1937" bestFit="1" customWidth="1"/>
    <col min="11268" max="11268" width="46.42578125" style="1937" customWidth="1"/>
    <col min="11269" max="11269" width="13.85546875" style="1937" customWidth="1"/>
    <col min="11270" max="11270" width="15.28515625" style="1937" customWidth="1"/>
    <col min="11271" max="11271" width="15.85546875" style="1937" customWidth="1"/>
    <col min="11272" max="11272" width="8.85546875" style="1937" customWidth="1"/>
    <col min="11273" max="11273" width="14.7109375" style="1937" bestFit="1" customWidth="1"/>
    <col min="11274" max="11520" width="9.140625" style="1937"/>
    <col min="11521" max="11521" width="5.5703125" style="1937" customWidth="1"/>
    <col min="11522" max="11522" width="6.7109375" style="1937" customWidth="1"/>
    <col min="11523" max="11523" width="9" style="1937" bestFit="1" customWidth="1"/>
    <col min="11524" max="11524" width="46.42578125" style="1937" customWidth="1"/>
    <col min="11525" max="11525" width="13.85546875" style="1937" customWidth="1"/>
    <col min="11526" max="11526" width="15.28515625" style="1937" customWidth="1"/>
    <col min="11527" max="11527" width="15.85546875" style="1937" customWidth="1"/>
    <col min="11528" max="11528" width="8.85546875" style="1937" customWidth="1"/>
    <col min="11529" max="11529" width="14.7109375" style="1937" bestFit="1" customWidth="1"/>
    <col min="11530" max="11776" width="9.140625" style="1937"/>
    <col min="11777" max="11777" width="5.5703125" style="1937" customWidth="1"/>
    <col min="11778" max="11778" width="6.7109375" style="1937" customWidth="1"/>
    <col min="11779" max="11779" width="9" style="1937" bestFit="1" customWidth="1"/>
    <col min="11780" max="11780" width="46.42578125" style="1937" customWidth="1"/>
    <col min="11781" max="11781" width="13.85546875" style="1937" customWidth="1"/>
    <col min="11782" max="11782" width="15.28515625" style="1937" customWidth="1"/>
    <col min="11783" max="11783" width="15.85546875" style="1937" customWidth="1"/>
    <col min="11784" max="11784" width="8.85546875" style="1937" customWidth="1"/>
    <col min="11785" max="11785" width="14.7109375" style="1937" bestFit="1" customWidth="1"/>
    <col min="11786" max="12032" width="9.140625" style="1937"/>
    <col min="12033" max="12033" width="5.5703125" style="1937" customWidth="1"/>
    <col min="12034" max="12034" width="6.7109375" style="1937" customWidth="1"/>
    <col min="12035" max="12035" width="9" style="1937" bestFit="1" customWidth="1"/>
    <col min="12036" max="12036" width="46.42578125" style="1937" customWidth="1"/>
    <col min="12037" max="12037" width="13.85546875" style="1937" customWidth="1"/>
    <col min="12038" max="12038" width="15.28515625" style="1937" customWidth="1"/>
    <col min="12039" max="12039" width="15.85546875" style="1937" customWidth="1"/>
    <col min="12040" max="12040" width="8.85546875" style="1937" customWidth="1"/>
    <col min="12041" max="12041" width="14.7109375" style="1937" bestFit="1" customWidth="1"/>
    <col min="12042" max="12288" width="9.140625" style="1937"/>
    <col min="12289" max="12289" width="5.5703125" style="1937" customWidth="1"/>
    <col min="12290" max="12290" width="6.7109375" style="1937" customWidth="1"/>
    <col min="12291" max="12291" width="9" style="1937" bestFit="1" customWidth="1"/>
    <col min="12292" max="12292" width="46.42578125" style="1937" customWidth="1"/>
    <col min="12293" max="12293" width="13.85546875" style="1937" customWidth="1"/>
    <col min="12294" max="12294" width="15.28515625" style="1937" customWidth="1"/>
    <col min="12295" max="12295" width="15.85546875" style="1937" customWidth="1"/>
    <col min="12296" max="12296" width="8.85546875" style="1937" customWidth="1"/>
    <col min="12297" max="12297" width="14.7109375" style="1937" bestFit="1" customWidth="1"/>
    <col min="12298" max="12544" width="9.140625" style="1937"/>
    <col min="12545" max="12545" width="5.5703125" style="1937" customWidth="1"/>
    <col min="12546" max="12546" width="6.7109375" style="1937" customWidth="1"/>
    <col min="12547" max="12547" width="9" style="1937" bestFit="1" customWidth="1"/>
    <col min="12548" max="12548" width="46.42578125" style="1937" customWidth="1"/>
    <col min="12549" max="12549" width="13.85546875" style="1937" customWidth="1"/>
    <col min="12550" max="12550" width="15.28515625" style="1937" customWidth="1"/>
    <col min="12551" max="12551" width="15.85546875" style="1937" customWidth="1"/>
    <col min="12552" max="12552" width="8.85546875" style="1937" customWidth="1"/>
    <col min="12553" max="12553" width="14.7109375" style="1937" bestFit="1" customWidth="1"/>
    <col min="12554" max="12800" width="9.140625" style="1937"/>
    <col min="12801" max="12801" width="5.5703125" style="1937" customWidth="1"/>
    <col min="12802" max="12802" width="6.7109375" style="1937" customWidth="1"/>
    <col min="12803" max="12803" width="9" style="1937" bestFit="1" customWidth="1"/>
    <col min="12804" max="12804" width="46.42578125" style="1937" customWidth="1"/>
    <col min="12805" max="12805" width="13.85546875" style="1937" customWidth="1"/>
    <col min="12806" max="12806" width="15.28515625" style="1937" customWidth="1"/>
    <col min="12807" max="12807" width="15.85546875" style="1937" customWidth="1"/>
    <col min="12808" max="12808" width="8.85546875" style="1937" customWidth="1"/>
    <col min="12809" max="12809" width="14.7109375" style="1937" bestFit="1" customWidth="1"/>
    <col min="12810" max="13056" width="9.140625" style="1937"/>
    <col min="13057" max="13057" width="5.5703125" style="1937" customWidth="1"/>
    <col min="13058" max="13058" width="6.7109375" style="1937" customWidth="1"/>
    <col min="13059" max="13059" width="9" style="1937" bestFit="1" customWidth="1"/>
    <col min="13060" max="13060" width="46.42578125" style="1937" customWidth="1"/>
    <col min="13061" max="13061" width="13.85546875" style="1937" customWidth="1"/>
    <col min="13062" max="13062" width="15.28515625" style="1937" customWidth="1"/>
    <col min="13063" max="13063" width="15.85546875" style="1937" customWidth="1"/>
    <col min="13064" max="13064" width="8.85546875" style="1937" customWidth="1"/>
    <col min="13065" max="13065" width="14.7109375" style="1937" bestFit="1" customWidth="1"/>
    <col min="13066" max="13312" width="9.140625" style="1937"/>
    <col min="13313" max="13313" width="5.5703125" style="1937" customWidth="1"/>
    <col min="13314" max="13314" width="6.7109375" style="1937" customWidth="1"/>
    <col min="13315" max="13315" width="9" style="1937" bestFit="1" customWidth="1"/>
    <col min="13316" max="13316" width="46.42578125" style="1937" customWidth="1"/>
    <col min="13317" max="13317" width="13.85546875" style="1937" customWidth="1"/>
    <col min="13318" max="13318" width="15.28515625" style="1937" customWidth="1"/>
    <col min="13319" max="13319" width="15.85546875" style="1937" customWidth="1"/>
    <col min="13320" max="13320" width="8.85546875" style="1937" customWidth="1"/>
    <col min="13321" max="13321" width="14.7109375" style="1937" bestFit="1" customWidth="1"/>
    <col min="13322" max="13568" width="9.140625" style="1937"/>
    <col min="13569" max="13569" width="5.5703125" style="1937" customWidth="1"/>
    <col min="13570" max="13570" width="6.7109375" style="1937" customWidth="1"/>
    <col min="13571" max="13571" width="9" style="1937" bestFit="1" customWidth="1"/>
    <col min="13572" max="13572" width="46.42578125" style="1937" customWidth="1"/>
    <col min="13573" max="13573" width="13.85546875" style="1937" customWidth="1"/>
    <col min="13574" max="13574" width="15.28515625" style="1937" customWidth="1"/>
    <col min="13575" max="13575" width="15.85546875" style="1937" customWidth="1"/>
    <col min="13576" max="13576" width="8.85546875" style="1937" customWidth="1"/>
    <col min="13577" max="13577" width="14.7109375" style="1937" bestFit="1" customWidth="1"/>
    <col min="13578" max="13824" width="9.140625" style="1937"/>
    <col min="13825" max="13825" width="5.5703125" style="1937" customWidth="1"/>
    <col min="13826" max="13826" width="6.7109375" style="1937" customWidth="1"/>
    <col min="13827" max="13827" width="9" style="1937" bestFit="1" customWidth="1"/>
    <col min="13828" max="13828" width="46.42578125" style="1937" customWidth="1"/>
    <col min="13829" max="13829" width="13.85546875" style="1937" customWidth="1"/>
    <col min="13830" max="13830" width="15.28515625" style="1937" customWidth="1"/>
    <col min="13831" max="13831" width="15.85546875" style="1937" customWidth="1"/>
    <col min="13832" max="13832" width="8.85546875" style="1937" customWidth="1"/>
    <col min="13833" max="13833" width="14.7109375" style="1937" bestFit="1" customWidth="1"/>
    <col min="13834" max="14080" width="9.140625" style="1937"/>
    <col min="14081" max="14081" width="5.5703125" style="1937" customWidth="1"/>
    <col min="14082" max="14082" width="6.7109375" style="1937" customWidth="1"/>
    <col min="14083" max="14083" width="9" style="1937" bestFit="1" customWidth="1"/>
    <col min="14084" max="14084" width="46.42578125" style="1937" customWidth="1"/>
    <col min="14085" max="14085" width="13.85546875" style="1937" customWidth="1"/>
    <col min="14086" max="14086" width="15.28515625" style="1937" customWidth="1"/>
    <col min="14087" max="14087" width="15.85546875" style="1937" customWidth="1"/>
    <col min="14088" max="14088" width="8.85546875" style="1937" customWidth="1"/>
    <col min="14089" max="14089" width="14.7109375" style="1937" bestFit="1" customWidth="1"/>
    <col min="14090" max="14336" width="9.140625" style="1937"/>
    <col min="14337" max="14337" width="5.5703125" style="1937" customWidth="1"/>
    <col min="14338" max="14338" width="6.7109375" style="1937" customWidth="1"/>
    <col min="14339" max="14339" width="9" style="1937" bestFit="1" customWidth="1"/>
    <col min="14340" max="14340" width="46.42578125" style="1937" customWidth="1"/>
    <col min="14341" max="14341" width="13.85546875" style="1937" customWidth="1"/>
    <col min="14342" max="14342" width="15.28515625" style="1937" customWidth="1"/>
    <col min="14343" max="14343" width="15.85546875" style="1937" customWidth="1"/>
    <col min="14344" max="14344" width="8.85546875" style="1937" customWidth="1"/>
    <col min="14345" max="14345" width="14.7109375" style="1937" bestFit="1" customWidth="1"/>
    <col min="14346" max="14592" width="9.140625" style="1937"/>
    <col min="14593" max="14593" width="5.5703125" style="1937" customWidth="1"/>
    <col min="14594" max="14594" width="6.7109375" style="1937" customWidth="1"/>
    <col min="14595" max="14595" width="9" style="1937" bestFit="1" customWidth="1"/>
    <col min="14596" max="14596" width="46.42578125" style="1937" customWidth="1"/>
    <col min="14597" max="14597" width="13.85546875" style="1937" customWidth="1"/>
    <col min="14598" max="14598" width="15.28515625" style="1937" customWidth="1"/>
    <col min="14599" max="14599" width="15.85546875" style="1937" customWidth="1"/>
    <col min="14600" max="14600" width="8.85546875" style="1937" customWidth="1"/>
    <col min="14601" max="14601" width="14.7109375" style="1937" bestFit="1" customWidth="1"/>
    <col min="14602" max="14848" width="9.140625" style="1937"/>
    <col min="14849" max="14849" width="5.5703125" style="1937" customWidth="1"/>
    <col min="14850" max="14850" width="6.7109375" style="1937" customWidth="1"/>
    <col min="14851" max="14851" width="9" style="1937" bestFit="1" customWidth="1"/>
    <col min="14852" max="14852" width="46.42578125" style="1937" customWidth="1"/>
    <col min="14853" max="14853" width="13.85546875" style="1937" customWidth="1"/>
    <col min="14854" max="14854" width="15.28515625" style="1937" customWidth="1"/>
    <col min="14855" max="14855" width="15.85546875" style="1937" customWidth="1"/>
    <col min="14856" max="14856" width="8.85546875" style="1937" customWidth="1"/>
    <col min="14857" max="14857" width="14.7109375" style="1937" bestFit="1" customWidth="1"/>
    <col min="14858" max="15104" width="9.140625" style="1937"/>
    <col min="15105" max="15105" width="5.5703125" style="1937" customWidth="1"/>
    <col min="15106" max="15106" width="6.7109375" style="1937" customWidth="1"/>
    <col min="15107" max="15107" width="9" style="1937" bestFit="1" customWidth="1"/>
    <col min="15108" max="15108" width="46.42578125" style="1937" customWidth="1"/>
    <col min="15109" max="15109" width="13.85546875" style="1937" customWidth="1"/>
    <col min="15110" max="15110" width="15.28515625" style="1937" customWidth="1"/>
    <col min="15111" max="15111" width="15.85546875" style="1937" customWidth="1"/>
    <col min="15112" max="15112" width="8.85546875" style="1937" customWidth="1"/>
    <col min="15113" max="15113" width="14.7109375" style="1937" bestFit="1" customWidth="1"/>
    <col min="15114" max="15360" width="9.140625" style="1937"/>
    <col min="15361" max="15361" width="5.5703125" style="1937" customWidth="1"/>
    <col min="15362" max="15362" width="6.7109375" style="1937" customWidth="1"/>
    <col min="15363" max="15363" width="9" style="1937" bestFit="1" customWidth="1"/>
    <col min="15364" max="15364" width="46.42578125" style="1937" customWidth="1"/>
    <col min="15365" max="15365" width="13.85546875" style="1937" customWidth="1"/>
    <col min="15366" max="15366" width="15.28515625" style="1937" customWidth="1"/>
    <col min="15367" max="15367" width="15.85546875" style="1937" customWidth="1"/>
    <col min="15368" max="15368" width="8.85546875" style="1937" customWidth="1"/>
    <col min="15369" max="15369" width="14.7109375" style="1937" bestFit="1" customWidth="1"/>
    <col min="15370" max="15616" width="9.140625" style="1937"/>
    <col min="15617" max="15617" width="5.5703125" style="1937" customWidth="1"/>
    <col min="15618" max="15618" width="6.7109375" style="1937" customWidth="1"/>
    <col min="15619" max="15619" width="9" style="1937" bestFit="1" customWidth="1"/>
    <col min="15620" max="15620" width="46.42578125" style="1937" customWidth="1"/>
    <col min="15621" max="15621" width="13.85546875" style="1937" customWidth="1"/>
    <col min="15622" max="15622" width="15.28515625" style="1937" customWidth="1"/>
    <col min="15623" max="15623" width="15.85546875" style="1937" customWidth="1"/>
    <col min="15624" max="15624" width="8.85546875" style="1937" customWidth="1"/>
    <col min="15625" max="15625" width="14.7109375" style="1937" bestFit="1" customWidth="1"/>
    <col min="15626" max="15872" width="9.140625" style="1937"/>
    <col min="15873" max="15873" width="5.5703125" style="1937" customWidth="1"/>
    <col min="15874" max="15874" width="6.7109375" style="1937" customWidth="1"/>
    <col min="15875" max="15875" width="9" style="1937" bestFit="1" customWidth="1"/>
    <col min="15876" max="15876" width="46.42578125" style="1937" customWidth="1"/>
    <col min="15877" max="15877" width="13.85546875" style="1937" customWidth="1"/>
    <col min="15878" max="15878" width="15.28515625" style="1937" customWidth="1"/>
    <col min="15879" max="15879" width="15.85546875" style="1937" customWidth="1"/>
    <col min="15880" max="15880" width="8.85546875" style="1937" customWidth="1"/>
    <col min="15881" max="15881" width="14.7109375" style="1937" bestFit="1" customWidth="1"/>
    <col min="15882" max="16128" width="9.140625" style="1937"/>
    <col min="16129" max="16129" width="5.5703125" style="1937" customWidth="1"/>
    <col min="16130" max="16130" width="6.7109375" style="1937" customWidth="1"/>
    <col min="16131" max="16131" width="9" style="1937" bestFit="1" customWidth="1"/>
    <col min="16132" max="16132" width="46.42578125" style="1937" customWidth="1"/>
    <col min="16133" max="16133" width="13.85546875" style="1937" customWidth="1"/>
    <col min="16134" max="16134" width="15.28515625" style="1937" customWidth="1"/>
    <col min="16135" max="16135" width="15.85546875" style="1937" customWidth="1"/>
    <col min="16136" max="16136" width="8.85546875" style="1937" customWidth="1"/>
    <col min="16137" max="16137" width="14.7109375" style="1937" bestFit="1" customWidth="1"/>
    <col min="16138" max="16384" width="9.140625" style="1937"/>
  </cols>
  <sheetData>
    <row r="1" spans="1:12" ht="18.75" thickBot="1" x14ac:dyDescent="0.3">
      <c r="A1" s="2025" t="s">
        <v>627</v>
      </c>
      <c r="B1" s="2026"/>
      <c r="C1" s="2026"/>
      <c r="D1" s="2026"/>
      <c r="E1" s="1973"/>
      <c r="F1" s="1973"/>
      <c r="G1" s="1973"/>
      <c r="H1" s="2027" t="s">
        <v>1239</v>
      </c>
    </row>
    <row r="3" spans="1:12" s="1677" customFormat="1" ht="12.75" customHeight="1" x14ac:dyDescent="0.2">
      <c r="A3" s="1815" t="s">
        <v>387</v>
      </c>
      <c r="B3" s="1756"/>
      <c r="C3" s="1935" t="s">
        <v>894</v>
      </c>
    </row>
    <row r="4" spans="1:12" s="1677" customFormat="1" ht="12.75" customHeight="1" x14ac:dyDescent="0.25">
      <c r="A4" s="1812"/>
      <c r="B4" s="1756"/>
      <c r="C4" s="1935" t="s">
        <v>895</v>
      </c>
    </row>
    <row r="5" spans="1:12" ht="18" x14ac:dyDescent="0.25">
      <c r="A5" s="1940" t="s">
        <v>1360</v>
      </c>
    </row>
    <row r="7" spans="1:12" ht="15.75" thickBot="1" x14ac:dyDescent="0.3">
      <c r="A7" s="1942" t="s">
        <v>263</v>
      </c>
      <c r="H7" s="1966" t="s">
        <v>173</v>
      </c>
    </row>
    <row r="8" spans="1:12" ht="13.5" hidden="1" thickBot="1" x14ac:dyDescent="0.25">
      <c r="H8" s="1966" t="s">
        <v>173</v>
      </c>
    </row>
    <row r="9" spans="1:12" ht="25.5" thickTop="1" thickBot="1" x14ac:dyDescent="0.25">
      <c r="A9" s="1943" t="s">
        <v>174</v>
      </c>
      <c r="B9" s="1944" t="s">
        <v>800</v>
      </c>
      <c r="C9" s="1944" t="s">
        <v>397</v>
      </c>
      <c r="D9" s="1945" t="s">
        <v>176</v>
      </c>
      <c r="E9" s="1976" t="s">
        <v>669</v>
      </c>
      <c r="F9" s="1976" t="s">
        <v>670</v>
      </c>
      <c r="G9" s="1977" t="s">
        <v>923</v>
      </c>
      <c r="H9" s="1978" t="s">
        <v>924</v>
      </c>
    </row>
    <row r="10" spans="1:12" ht="14.25" thickTop="1" thickBot="1" x14ac:dyDescent="0.25">
      <c r="A10" s="1740">
        <v>1</v>
      </c>
      <c r="B10" s="1739">
        <v>2</v>
      </c>
      <c r="C10" s="1739">
        <v>3</v>
      </c>
      <c r="D10" s="1739">
        <v>4</v>
      </c>
      <c r="E10" s="1738">
        <v>5</v>
      </c>
      <c r="F10" s="1738">
        <v>6</v>
      </c>
      <c r="G10" s="2028">
        <v>7</v>
      </c>
      <c r="H10" s="1951" t="s">
        <v>61</v>
      </c>
    </row>
    <row r="11" spans="1:12" ht="15.95" customHeight="1" thickTop="1" thickBot="1" x14ac:dyDescent="0.3">
      <c r="A11" s="1952">
        <v>6409</v>
      </c>
      <c r="B11" s="1953">
        <v>5909</v>
      </c>
      <c r="C11" s="1953"/>
      <c r="D11" s="1979" t="s">
        <v>820</v>
      </c>
      <c r="E11" s="1959">
        <v>0</v>
      </c>
      <c r="F11" s="1959">
        <v>0</v>
      </c>
      <c r="G11" s="2001">
        <v>25</v>
      </c>
      <c r="H11" s="1962">
        <v>0</v>
      </c>
    </row>
    <row r="12" spans="1:12" ht="16.5" thickTop="1" thickBot="1" x14ac:dyDescent="0.3">
      <c r="A12" s="2333" t="s">
        <v>802</v>
      </c>
      <c r="B12" s="2334"/>
      <c r="C12" s="2334"/>
      <c r="D12" s="2334"/>
      <c r="E12" s="1957">
        <f>SUM(E11:E11)</f>
        <v>0</v>
      </c>
      <c r="F12" s="1957">
        <f>SUM(F11:F11)</f>
        <v>0</v>
      </c>
      <c r="G12" s="1957">
        <f>SUM(G11:G11)</f>
        <v>25</v>
      </c>
      <c r="H12" s="1968">
        <v>0</v>
      </c>
    </row>
    <row r="13" spans="1:12" ht="13.5" thickTop="1" x14ac:dyDescent="0.2"/>
    <row r="14" spans="1:12" s="2029" customFormat="1" x14ac:dyDescent="0.2">
      <c r="A14" s="1936"/>
      <c r="B14" s="1936"/>
      <c r="C14" s="1936"/>
      <c r="D14" s="1937"/>
      <c r="E14" s="1970"/>
      <c r="F14" s="1970"/>
      <c r="G14" s="1970"/>
      <c r="H14" s="1937"/>
    </row>
    <row r="15" spans="1:12" s="2029" customFormat="1" ht="16.5" x14ac:dyDescent="0.25">
      <c r="A15" s="2011" t="s">
        <v>487</v>
      </c>
      <c r="B15" s="2012"/>
      <c r="C15" s="2013"/>
      <c r="D15" s="2014"/>
      <c r="E15" s="2015">
        <f>SUM(E16:E18)</f>
        <v>0</v>
      </c>
      <c r="F15" s="2015">
        <f>F16+F17+F18+F19</f>
        <v>0</v>
      </c>
      <c r="G15" s="2015">
        <f>G16+G17+G18+G19</f>
        <v>25</v>
      </c>
      <c r="H15" s="2030">
        <v>0</v>
      </c>
      <c r="J15" s="2031">
        <f>J16+J17+J18</f>
        <v>0</v>
      </c>
      <c r="K15" s="2031">
        <f>K16+K17+K18</f>
        <v>0</v>
      </c>
      <c r="L15" s="2031">
        <f>L16+L17+L18</f>
        <v>25062.84</v>
      </c>
    </row>
    <row r="16" spans="1:12" s="2029" customFormat="1" ht="15" x14ac:dyDescent="0.2">
      <c r="A16" s="1696" t="s">
        <v>277</v>
      </c>
      <c r="B16" s="1699"/>
      <c r="C16" s="1694"/>
      <c r="D16" s="2018"/>
      <c r="E16" s="1697">
        <f>SUM(E11)</f>
        <v>0</v>
      </c>
      <c r="F16" s="1697">
        <f>SUM(F11)</f>
        <v>0</v>
      </c>
      <c r="G16" s="1697">
        <f>SUM(G11)</f>
        <v>25</v>
      </c>
      <c r="H16" s="1692">
        <v>0</v>
      </c>
      <c r="J16" s="2032">
        <v>0</v>
      </c>
      <c r="K16" s="2032">
        <v>0</v>
      </c>
      <c r="L16" s="2032">
        <v>25062.84</v>
      </c>
    </row>
    <row r="17" spans="1:12" ht="15" x14ac:dyDescent="0.2">
      <c r="A17" s="1696" t="s">
        <v>278</v>
      </c>
      <c r="B17" s="1695"/>
      <c r="C17" s="1694"/>
      <c r="D17" s="2020"/>
      <c r="E17" s="1697">
        <v>0</v>
      </c>
      <c r="F17" s="1697">
        <v>0</v>
      </c>
      <c r="G17" s="1697">
        <v>0</v>
      </c>
      <c r="H17" s="1692">
        <v>0</v>
      </c>
      <c r="J17" s="2019">
        <v>0</v>
      </c>
      <c r="K17" s="2019">
        <v>0</v>
      </c>
      <c r="L17" s="2019">
        <v>0</v>
      </c>
    </row>
    <row r="18" spans="1:12" ht="15" x14ac:dyDescent="0.2">
      <c r="A18" s="1696" t="s">
        <v>488</v>
      </c>
      <c r="B18" s="1695"/>
      <c r="C18" s="1694"/>
      <c r="D18" s="2020"/>
      <c r="E18" s="1697">
        <v>0</v>
      </c>
      <c r="F18" s="1697">
        <v>0</v>
      </c>
      <c r="G18" s="1697">
        <v>0</v>
      </c>
      <c r="H18" s="1692">
        <v>0</v>
      </c>
      <c r="J18" s="2019">
        <v>0</v>
      </c>
      <c r="K18" s="2019">
        <v>0</v>
      </c>
      <c r="L18" s="2019">
        <v>0</v>
      </c>
    </row>
    <row r="19" spans="1:12" ht="15" x14ac:dyDescent="0.2">
      <c r="A19" s="1696"/>
      <c r="B19" s="1695"/>
      <c r="C19" s="1694"/>
      <c r="D19" s="2020"/>
      <c r="E19" s="1697"/>
      <c r="F19" s="1697"/>
      <c r="G19" s="1697"/>
      <c r="H19" s="1693"/>
    </row>
    <row r="20" spans="1:12" s="1969" customFormat="1" ht="24" thickBot="1" x14ac:dyDescent="0.4">
      <c r="A20" s="2746" t="s">
        <v>602</v>
      </c>
      <c r="B20" s="2747"/>
      <c r="C20" s="2747"/>
      <c r="D20" s="2747"/>
      <c r="E20" s="1687">
        <f>SUM(E15)</f>
        <v>0</v>
      </c>
      <c r="F20" s="1687">
        <f>SUM(F15)</f>
        <v>0</v>
      </c>
      <c r="G20" s="1687">
        <f>SUM(G15)</f>
        <v>25</v>
      </c>
      <c r="H20" s="2033">
        <v>0</v>
      </c>
    </row>
    <row r="21" spans="1:12" ht="13.5" thickTop="1" x14ac:dyDescent="0.2"/>
    <row r="22" spans="1:12" s="2018" customFormat="1" ht="15" x14ac:dyDescent="0.2">
      <c r="A22" s="1936"/>
      <c r="B22" s="1936"/>
      <c r="C22" s="1936"/>
      <c r="D22" s="1937"/>
      <c r="E22" s="1970"/>
      <c r="F22" s="1970"/>
      <c r="G22" s="1970"/>
      <c r="H22" s="1937"/>
    </row>
    <row r="25" spans="1:12" s="2023" customFormat="1" x14ac:dyDescent="0.2">
      <c r="A25" s="1936"/>
      <c r="B25" s="1936"/>
      <c r="C25" s="1936"/>
      <c r="D25" s="1937"/>
      <c r="E25" s="1970"/>
      <c r="F25" s="1970"/>
      <c r="G25" s="1970"/>
      <c r="H25" s="1937"/>
    </row>
    <row r="26" spans="1:12" s="1677" customFormat="1" x14ac:dyDescent="0.2">
      <c r="A26" s="1936"/>
      <c r="B26" s="1936"/>
      <c r="C26" s="1936"/>
      <c r="D26" s="1937"/>
      <c r="E26" s="1970"/>
      <c r="F26" s="1970"/>
      <c r="G26" s="1970"/>
      <c r="H26" s="1937"/>
    </row>
    <row r="27" spans="1:12" s="1677" customFormat="1" x14ac:dyDescent="0.2">
      <c r="A27" s="1936"/>
      <c r="B27" s="1936"/>
      <c r="C27" s="1936"/>
      <c r="D27" s="1937"/>
      <c r="E27" s="1970"/>
      <c r="F27" s="1970"/>
      <c r="G27" s="1970"/>
      <c r="H27" s="1937"/>
    </row>
    <row r="28" spans="1:12" s="1677" customFormat="1" x14ac:dyDescent="0.2">
      <c r="A28" s="1936"/>
      <c r="B28" s="1936"/>
      <c r="C28" s="1936"/>
      <c r="D28" s="1937"/>
      <c r="E28" s="1970"/>
      <c r="F28" s="1970"/>
      <c r="G28" s="1970"/>
      <c r="H28" s="1937"/>
    </row>
    <row r="29" spans="1:12" s="1677" customFormat="1" x14ac:dyDescent="0.2">
      <c r="A29" s="1936"/>
      <c r="B29" s="1936"/>
      <c r="C29" s="1936"/>
      <c r="D29" s="1937"/>
      <c r="E29" s="1970"/>
      <c r="F29" s="1970"/>
      <c r="G29" s="1970"/>
      <c r="H29" s="1937"/>
    </row>
    <row r="30" spans="1:12" s="1685" customFormat="1" ht="54.75" customHeight="1" x14ac:dyDescent="0.35">
      <c r="A30" s="1936"/>
      <c r="B30" s="1936"/>
      <c r="C30" s="1936"/>
      <c r="D30" s="1937"/>
      <c r="E30" s="1970"/>
      <c r="F30" s="1970"/>
      <c r="G30" s="1970"/>
      <c r="H30" s="1937"/>
    </row>
  </sheetData>
  <mergeCells count="1">
    <mergeCell ref="A20:D20"/>
  </mergeCells>
  <pageMargins left="0.98425196850393704" right="0.78740157480314965" top="0.98425196850393704" bottom="0.98425196850393704" header="0.51181102362204722" footer="0.51181102362204722"/>
  <pageSetup paperSize="9" scale="65" firstPageNumber="126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I20"/>
  <sheetViews>
    <sheetView showGridLines="0" zoomScaleNormal="100" workbookViewId="0">
      <selection activeCell="F21" sqref="F21"/>
    </sheetView>
  </sheetViews>
  <sheetFormatPr defaultRowHeight="12.75" x14ac:dyDescent="0.2"/>
  <cols>
    <col min="1" max="1" width="4.7109375" style="412" customWidth="1"/>
    <col min="2" max="2" width="6.7109375" style="412" customWidth="1"/>
    <col min="3" max="3" width="9" style="412" bestFit="1" customWidth="1"/>
    <col min="4" max="4" width="46.42578125" style="349" customWidth="1"/>
    <col min="5" max="5" width="13.85546875" style="454" customWidth="1"/>
    <col min="6" max="6" width="14.85546875" style="454" customWidth="1"/>
    <col min="7" max="7" width="13.85546875" style="454" customWidth="1"/>
    <col min="8" max="8" width="6.42578125" style="349" customWidth="1"/>
    <col min="9" max="9" width="19.85546875" style="349" customWidth="1"/>
    <col min="10" max="16384" width="9.140625" style="349"/>
  </cols>
  <sheetData>
    <row r="1" spans="1:9" ht="18" x14ac:dyDescent="0.25">
      <c r="A1" s="473" t="s">
        <v>872</v>
      </c>
      <c r="B1" s="474"/>
      <c r="C1" s="474"/>
      <c r="D1" s="474"/>
      <c r="E1" s="474"/>
      <c r="F1" s="474"/>
      <c r="G1" s="417"/>
    </row>
    <row r="2" spans="1:9" ht="18" x14ac:dyDescent="0.25">
      <c r="A2" s="623" t="s">
        <v>840</v>
      </c>
      <c r="B2" s="624"/>
      <c r="C2" s="624"/>
      <c r="D2" s="624"/>
      <c r="E2" s="624"/>
      <c r="F2" s="624"/>
      <c r="G2" s="417"/>
      <c r="H2" s="574" t="s">
        <v>841</v>
      </c>
    </row>
    <row r="3" spans="1:9" ht="18" x14ac:dyDescent="0.25">
      <c r="B3" s="417"/>
      <c r="C3" s="417"/>
      <c r="D3" s="417"/>
      <c r="E3" s="417"/>
      <c r="F3" s="417"/>
      <c r="G3" s="417"/>
      <c r="H3" s="574"/>
    </row>
    <row r="4" spans="1:9" s="382" customFormat="1" ht="16.5" customHeight="1" x14ac:dyDescent="0.2">
      <c r="A4" s="67" t="s">
        <v>387</v>
      </c>
      <c r="B4" s="28"/>
      <c r="C4" s="533" t="s">
        <v>363</v>
      </c>
    </row>
    <row r="5" spans="1:9" s="382" customFormat="1" ht="12.75" customHeight="1" x14ac:dyDescent="0.25">
      <c r="A5" s="6"/>
      <c r="B5" s="28"/>
      <c r="C5" s="533" t="s">
        <v>364</v>
      </c>
    </row>
    <row r="6" spans="1:9" ht="18" x14ac:dyDescent="0.25">
      <c r="A6" s="418" t="s">
        <v>842</v>
      </c>
      <c r="B6" s="417"/>
      <c r="C6" s="417"/>
      <c r="D6" s="417"/>
      <c r="E6" s="417"/>
      <c r="F6" s="417"/>
      <c r="G6" s="417"/>
      <c r="H6" s="574"/>
    </row>
    <row r="7" spans="1:9" ht="18.75" thickBot="1" x14ac:dyDescent="0.3">
      <c r="A7" s="418"/>
      <c r="B7" s="417"/>
      <c r="C7" s="417"/>
      <c r="D7" s="417"/>
      <c r="E7" s="417"/>
      <c r="F7" s="417"/>
      <c r="G7" s="417"/>
      <c r="H7" s="608" t="s">
        <v>1289</v>
      </c>
    </row>
    <row r="8" spans="1:9" s="384" customFormat="1" ht="25.5" thickTop="1" thickBot="1" x14ac:dyDescent="0.25">
      <c r="A8" s="537" t="s">
        <v>174</v>
      </c>
      <c r="B8" s="538" t="s">
        <v>800</v>
      </c>
      <c r="C8" s="538" t="s">
        <v>397</v>
      </c>
      <c r="D8" s="539" t="s">
        <v>176</v>
      </c>
      <c r="E8" s="540" t="s">
        <v>669</v>
      </c>
      <c r="F8" s="540" t="s">
        <v>670</v>
      </c>
      <c r="G8" s="541" t="s">
        <v>923</v>
      </c>
      <c r="H8" s="542" t="s">
        <v>924</v>
      </c>
    </row>
    <row r="9" spans="1:9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43">
        <v>5</v>
      </c>
      <c r="F9" s="543">
        <v>6</v>
      </c>
      <c r="G9" s="544">
        <v>7</v>
      </c>
      <c r="H9" s="545" t="s">
        <v>61</v>
      </c>
    </row>
    <row r="10" spans="1:9" s="419" customFormat="1" ht="16.5" thickTop="1" thickBot="1" x14ac:dyDescent="0.25">
      <c r="A10" s="420">
        <v>6409</v>
      </c>
      <c r="B10" s="421">
        <v>5909</v>
      </c>
      <c r="C10" s="422"/>
      <c r="D10" s="423" t="s">
        <v>807</v>
      </c>
      <c r="E10" s="415">
        <v>0</v>
      </c>
      <c r="F10" s="415">
        <v>0</v>
      </c>
      <c r="G10" s="426">
        <v>0</v>
      </c>
      <c r="H10" s="628">
        <v>0</v>
      </c>
    </row>
    <row r="11" spans="1:9" s="340" customFormat="1" ht="16.5" thickTop="1" thickBot="1" x14ac:dyDescent="0.3">
      <c r="A11" s="2754" t="s">
        <v>802</v>
      </c>
      <c r="B11" s="2755"/>
      <c r="C11" s="2755"/>
      <c r="D11" s="2755"/>
      <c r="E11" s="572">
        <f>SUM(E10:E10)</f>
        <v>0</v>
      </c>
      <c r="F11" s="572">
        <f>SUM(F10:F10)</f>
        <v>0</v>
      </c>
      <c r="G11" s="625">
        <f>SUM(G10:G10)</f>
        <v>0</v>
      </c>
      <c r="H11" s="438">
        <v>0</v>
      </c>
      <c r="I11" s="580"/>
    </row>
    <row r="12" spans="1:9" ht="13.5" thickTop="1" x14ac:dyDescent="0.2">
      <c r="I12" s="454"/>
    </row>
    <row r="14" spans="1:9" s="602" customFormat="1" ht="16.5" x14ac:dyDescent="0.25">
      <c r="A14" s="581" t="s">
        <v>487</v>
      </c>
      <c r="B14" s="582"/>
      <c r="C14" s="583"/>
      <c r="D14" s="584"/>
      <c r="E14" s="585">
        <f>SUM(E15:E17)</f>
        <v>0</v>
      </c>
      <c r="F14" s="585">
        <f>F15+F16+F17+F18</f>
        <v>0</v>
      </c>
      <c r="G14" s="585">
        <f>G15+G16+G17+G18</f>
        <v>0</v>
      </c>
      <c r="H14" s="586">
        <v>0</v>
      </c>
    </row>
    <row r="15" spans="1:9" s="382" customFormat="1" ht="15" x14ac:dyDescent="0.2">
      <c r="A15" s="557" t="s">
        <v>277</v>
      </c>
      <c r="B15" s="587"/>
      <c r="C15" s="588"/>
      <c r="D15" s="589"/>
      <c r="E15" s="590">
        <f>E11</f>
        <v>0</v>
      </c>
      <c r="F15" s="590">
        <f>F11</f>
        <v>0</v>
      </c>
      <c r="G15" s="590">
        <f>G11</f>
        <v>0</v>
      </c>
      <c r="H15" s="591">
        <v>0</v>
      </c>
    </row>
    <row r="16" spans="1:9" s="382" customFormat="1" ht="15" x14ac:dyDescent="0.2">
      <c r="A16" s="557" t="s">
        <v>278</v>
      </c>
      <c r="B16" s="592"/>
      <c r="C16" s="588"/>
      <c r="D16" s="593"/>
      <c r="E16" s="590">
        <v>0</v>
      </c>
      <c r="F16" s="590">
        <v>0</v>
      </c>
      <c r="G16" s="590">
        <v>0</v>
      </c>
      <c r="H16" s="591">
        <v>0</v>
      </c>
    </row>
    <row r="17" spans="1:8" s="382" customFormat="1" ht="15" x14ac:dyDescent="0.2">
      <c r="A17" s="557" t="s">
        <v>488</v>
      </c>
      <c r="B17" s="592"/>
      <c r="C17" s="588"/>
      <c r="D17" s="593"/>
      <c r="E17" s="590">
        <v>0</v>
      </c>
      <c r="F17" s="590">
        <v>0</v>
      </c>
      <c r="G17" s="590">
        <v>0</v>
      </c>
      <c r="H17" s="607">
        <v>0</v>
      </c>
    </row>
    <row r="18" spans="1:8" s="382" customFormat="1" ht="15" x14ac:dyDescent="0.2">
      <c r="A18" s="557"/>
      <c r="B18" s="592"/>
      <c r="C18" s="588"/>
      <c r="D18" s="593"/>
      <c r="E18" s="590"/>
      <c r="F18" s="590"/>
      <c r="G18" s="590"/>
      <c r="H18" s="594"/>
    </row>
    <row r="19" spans="1:8" s="58" customFormat="1" ht="69" customHeight="1" thickBot="1" x14ac:dyDescent="0.4">
      <c r="A19" s="2650" t="s">
        <v>809</v>
      </c>
      <c r="B19" s="2756"/>
      <c r="C19" s="2756"/>
      <c r="D19" s="2756"/>
      <c r="E19" s="595">
        <f>SUM(E14)</f>
        <v>0</v>
      </c>
      <c r="F19" s="595">
        <f>SUM(F14)</f>
        <v>0</v>
      </c>
      <c r="G19" s="595">
        <f>SUM(G14)</f>
        <v>0</v>
      </c>
      <c r="H19" s="611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2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 enableFormatConditionsCalculation="0">
    <tabColor rgb="FF00B0F0"/>
  </sheetPr>
  <dimension ref="A1:I99"/>
  <sheetViews>
    <sheetView showGridLines="0" view="pageBreakPreview" zoomScaleNormal="100" zoomScaleSheetLayoutView="100" workbookViewId="0">
      <selection activeCell="E96" sqref="E96"/>
    </sheetView>
  </sheetViews>
  <sheetFormatPr defaultRowHeight="12.75" x14ac:dyDescent="0.2"/>
  <cols>
    <col min="1" max="1" width="4.7109375" style="631" customWidth="1"/>
    <col min="2" max="2" width="4.7109375" style="987" customWidth="1"/>
    <col min="3" max="3" width="8.7109375" style="1051" customWidth="1"/>
    <col min="4" max="4" width="47.28515625" style="534" customWidth="1"/>
    <col min="5" max="5" width="13.5703125" style="495" customWidth="1"/>
    <col min="6" max="7" width="13.42578125" style="495" customWidth="1"/>
    <col min="8" max="8" width="8.140625" style="1339" customWidth="1"/>
    <col min="9" max="16384" width="9.140625" style="534"/>
  </cols>
  <sheetData>
    <row r="1" spans="1:9" ht="18.75" thickBot="1" x14ac:dyDescent="0.3">
      <c r="A1" s="465" t="s">
        <v>407</v>
      </c>
      <c r="B1" s="466"/>
      <c r="C1" s="477"/>
      <c r="D1" s="1338"/>
      <c r="E1" s="469" t="s">
        <v>408</v>
      </c>
      <c r="H1" s="372"/>
    </row>
    <row r="2" spans="1:9" ht="12.75" customHeight="1" x14ac:dyDescent="0.25">
      <c r="A2" s="6"/>
      <c r="B2" s="28"/>
      <c r="C2" s="10"/>
      <c r="D2" s="139"/>
      <c r="E2" s="137"/>
      <c r="F2" s="16"/>
      <c r="G2" s="17"/>
      <c r="H2" s="372"/>
    </row>
    <row r="3" spans="1:9" ht="12.75" customHeight="1" x14ac:dyDescent="0.25">
      <c r="A3" s="67" t="s">
        <v>387</v>
      </c>
      <c r="B3" s="28"/>
      <c r="C3" s="504" t="s">
        <v>385</v>
      </c>
      <c r="D3" s="629"/>
      <c r="E3" s="137"/>
      <c r="F3" s="16"/>
      <c r="G3" s="17"/>
      <c r="H3" s="372"/>
    </row>
    <row r="4" spans="1:9" ht="12.75" customHeight="1" x14ac:dyDescent="0.25">
      <c r="A4" s="6"/>
      <c r="B4" s="28"/>
      <c r="C4" s="504" t="s">
        <v>386</v>
      </c>
      <c r="D4" s="675"/>
      <c r="E4" s="138"/>
      <c r="F4" s="16"/>
      <c r="G4" s="17"/>
      <c r="H4" s="372"/>
    </row>
    <row r="5" spans="1:9" ht="12.75" customHeight="1" x14ac:dyDescent="0.25">
      <c r="A5" s="6"/>
      <c r="B5" s="28"/>
      <c r="C5" s="10"/>
      <c r="D5" s="139"/>
      <c r="E5" s="137"/>
      <c r="F5" s="16"/>
      <c r="G5" s="17"/>
      <c r="H5" s="372"/>
    </row>
    <row r="6" spans="1:9" ht="18" x14ac:dyDescent="0.25">
      <c r="A6" s="33" t="s">
        <v>925</v>
      </c>
      <c r="B6" s="28"/>
      <c r="C6" s="10"/>
      <c r="D6" s="139"/>
      <c r="E6" s="137"/>
      <c r="F6" s="16"/>
      <c r="G6" s="17"/>
      <c r="H6" s="372"/>
    </row>
    <row r="7" spans="1:9" ht="13.5" thickBot="1" x14ac:dyDescent="0.25">
      <c r="B7" s="631"/>
      <c r="C7" s="632"/>
      <c r="F7" s="980"/>
      <c r="H7" s="1339" t="s">
        <v>173</v>
      </c>
    </row>
    <row r="8" spans="1:9" s="107" customFormat="1" ht="20.25" customHeight="1" thickTop="1" thickBot="1" x14ac:dyDescent="0.25">
      <c r="A8" s="633" t="s">
        <v>174</v>
      </c>
      <c r="B8" s="634" t="s">
        <v>175</v>
      </c>
      <c r="C8" s="635" t="s">
        <v>744</v>
      </c>
      <c r="D8" s="810" t="s">
        <v>176</v>
      </c>
      <c r="E8" s="810" t="s">
        <v>177</v>
      </c>
      <c r="F8" s="810" t="s">
        <v>922</v>
      </c>
      <c r="G8" s="810" t="s">
        <v>923</v>
      </c>
      <c r="H8" s="1082" t="s">
        <v>924</v>
      </c>
    </row>
    <row r="9" spans="1:9" s="513" customFormat="1" thickTop="1" thickBot="1" x14ac:dyDescent="0.25">
      <c r="A9" s="568">
        <v>1</v>
      </c>
      <c r="B9" s="506">
        <v>2</v>
      </c>
      <c r="C9" s="506">
        <v>3</v>
      </c>
      <c r="D9" s="506">
        <v>4</v>
      </c>
      <c r="E9" s="1084">
        <v>5</v>
      </c>
      <c r="F9" s="1084">
        <v>6</v>
      </c>
      <c r="G9" s="569">
        <v>7</v>
      </c>
      <c r="H9" s="1085" t="s">
        <v>768</v>
      </c>
      <c r="I9" s="1086"/>
    </row>
    <row r="10" spans="1:9" s="1107" customFormat="1" ht="15.75" thickTop="1" x14ac:dyDescent="0.25">
      <c r="A10" s="1678">
        <v>6113</v>
      </c>
      <c r="B10" s="1665">
        <v>5019</v>
      </c>
      <c r="C10" s="1117"/>
      <c r="D10" s="1662" t="s">
        <v>1291</v>
      </c>
      <c r="E10" s="1669">
        <v>200</v>
      </c>
      <c r="F10" s="168">
        <v>90</v>
      </c>
      <c r="G10" s="371">
        <v>55</v>
      </c>
      <c r="H10" s="1113">
        <f>(G10/F10)*100</f>
        <v>61.111111111111114</v>
      </c>
    </row>
    <row r="11" spans="1:9" s="1107" customFormat="1" ht="15" x14ac:dyDescent="0.25">
      <c r="A11" s="1679">
        <v>6113</v>
      </c>
      <c r="B11" s="1666">
        <v>5021</v>
      </c>
      <c r="C11" s="1118"/>
      <c r="D11" s="1663" t="s">
        <v>409</v>
      </c>
      <c r="E11" s="1670">
        <v>4400</v>
      </c>
      <c r="F11" s="168">
        <v>135</v>
      </c>
      <c r="G11" s="315">
        <v>135</v>
      </c>
      <c r="H11" s="1113">
        <f>(G11/F11)*100</f>
        <v>100</v>
      </c>
    </row>
    <row r="12" spans="1:9" s="1107" customFormat="1" ht="15" x14ac:dyDescent="0.25">
      <c r="A12" s="1679">
        <v>6113</v>
      </c>
      <c r="B12" s="1666">
        <v>5023</v>
      </c>
      <c r="C12" s="1118"/>
      <c r="D12" s="1663" t="s">
        <v>1544</v>
      </c>
      <c r="E12" s="1670">
        <v>10900</v>
      </c>
      <c r="F12" s="168">
        <v>11020</v>
      </c>
      <c r="G12" s="315">
        <v>11013</v>
      </c>
      <c r="H12" s="1113">
        <f t="shared" ref="H12:H23" si="0">(G12/F12)*100</f>
        <v>99.936479128856632</v>
      </c>
    </row>
    <row r="13" spans="1:9" s="1107" customFormat="1" ht="30" x14ac:dyDescent="0.2">
      <c r="A13" s="1679">
        <v>6113</v>
      </c>
      <c r="B13" s="1666">
        <v>5031</v>
      </c>
      <c r="C13" s="1118"/>
      <c r="D13" s="1663" t="s">
        <v>1545</v>
      </c>
      <c r="E13" s="1670">
        <v>1722</v>
      </c>
      <c r="F13" s="1661">
        <v>1722</v>
      </c>
      <c r="G13" s="927">
        <v>1691</v>
      </c>
      <c r="H13" s="1675">
        <f t="shared" si="0"/>
        <v>98.199767711962835</v>
      </c>
    </row>
    <row r="14" spans="1:9" s="1107" customFormat="1" ht="15" x14ac:dyDescent="0.25">
      <c r="A14" s="1679">
        <v>6113</v>
      </c>
      <c r="B14" s="1666">
        <v>5032</v>
      </c>
      <c r="C14" s="1118"/>
      <c r="D14" s="1663" t="s">
        <v>1546</v>
      </c>
      <c r="E14" s="1670">
        <v>1418</v>
      </c>
      <c r="F14" s="168">
        <v>1298</v>
      </c>
      <c r="G14" s="315">
        <v>974</v>
      </c>
      <c r="H14" s="1113">
        <f t="shared" si="0"/>
        <v>75.038520801232664</v>
      </c>
    </row>
    <row r="15" spans="1:9" s="1107" customFormat="1" ht="30" x14ac:dyDescent="0.2">
      <c r="A15" s="1679">
        <v>6113</v>
      </c>
      <c r="B15" s="1666">
        <v>5039</v>
      </c>
      <c r="C15" s="1118"/>
      <c r="D15" s="1663" t="s">
        <v>1227</v>
      </c>
      <c r="E15" s="1670">
        <v>50</v>
      </c>
      <c r="F15" s="1661">
        <v>50</v>
      </c>
      <c r="G15" s="927">
        <v>16</v>
      </c>
      <c r="H15" s="1675">
        <f t="shared" si="0"/>
        <v>32</v>
      </c>
    </row>
    <row r="16" spans="1:9" s="1107" customFormat="1" ht="15" x14ac:dyDescent="0.25">
      <c r="A16" s="1679">
        <v>6113</v>
      </c>
      <c r="B16" s="1666">
        <v>5136</v>
      </c>
      <c r="C16" s="1118"/>
      <c r="D16" s="1663" t="s">
        <v>645</v>
      </c>
      <c r="E16" s="1670">
        <v>80</v>
      </c>
      <c r="F16" s="168">
        <v>80</v>
      </c>
      <c r="G16" s="315">
        <v>65</v>
      </c>
      <c r="H16" s="1113">
        <f t="shared" si="0"/>
        <v>81.25</v>
      </c>
    </row>
    <row r="17" spans="1:8" s="1107" customFormat="1" ht="15" x14ac:dyDescent="0.25">
      <c r="A17" s="1679">
        <v>6113</v>
      </c>
      <c r="B17" s="1666">
        <v>5137</v>
      </c>
      <c r="C17" s="1118"/>
      <c r="D17" s="1663" t="s">
        <v>167</v>
      </c>
      <c r="E17" s="1670">
        <v>700</v>
      </c>
      <c r="F17" s="168">
        <v>140</v>
      </c>
      <c r="G17" s="315">
        <v>136</v>
      </c>
      <c r="H17" s="1113">
        <f t="shared" si="0"/>
        <v>97.142857142857139</v>
      </c>
    </row>
    <row r="18" spans="1:8" s="1107" customFormat="1" ht="15" x14ac:dyDescent="0.25">
      <c r="A18" s="1679">
        <v>6113</v>
      </c>
      <c r="B18" s="1666">
        <v>5139</v>
      </c>
      <c r="C18" s="1118"/>
      <c r="D18" s="1663" t="s">
        <v>662</v>
      </c>
      <c r="E18" s="1670">
        <v>900</v>
      </c>
      <c r="F18" s="168">
        <v>709</v>
      </c>
      <c r="G18" s="315">
        <v>626</v>
      </c>
      <c r="H18" s="1113">
        <f t="shared" si="0"/>
        <v>88.293370944992944</v>
      </c>
    </row>
    <row r="19" spans="1:8" s="1107" customFormat="1" ht="15" x14ac:dyDescent="0.25">
      <c r="A19" s="1679">
        <v>6113</v>
      </c>
      <c r="B19" s="1666">
        <v>5142</v>
      </c>
      <c r="C19" s="1118"/>
      <c r="D19" s="1663" t="s">
        <v>310</v>
      </c>
      <c r="E19" s="1670">
        <v>20</v>
      </c>
      <c r="F19" s="168">
        <v>20</v>
      </c>
      <c r="G19" s="315">
        <v>0</v>
      </c>
      <c r="H19" s="1113">
        <f t="shared" si="0"/>
        <v>0</v>
      </c>
    </row>
    <row r="20" spans="1:8" s="1107" customFormat="1" ht="15" x14ac:dyDescent="0.25">
      <c r="A20" s="1679">
        <v>6113</v>
      </c>
      <c r="B20" s="1666">
        <v>5151</v>
      </c>
      <c r="C20" s="1118"/>
      <c r="D20" s="1663" t="s">
        <v>900</v>
      </c>
      <c r="E20" s="1670">
        <v>40</v>
      </c>
      <c r="F20" s="168">
        <v>40</v>
      </c>
      <c r="G20" s="315">
        <v>38</v>
      </c>
      <c r="H20" s="1113">
        <f t="shared" si="0"/>
        <v>95</v>
      </c>
    </row>
    <row r="21" spans="1:8" s="1107" customFormat="1" ht="15" x14ac:dyDescent="0.25">
      <c r="A21" s="1679">
        <v>6113</v>
      </c>
      <c r="B21" s="1666">
        <v>5152</v>
      </c>
      <c r="C21" s="1118"/>
      <c r="D21" s="1663" t="s">
        <v>903</v>
      </c>
      <c r="E21" s="1670">
        <v>300</v>
      </c>
      <c r="F21" s="168">
        <v>300</v>
      </c>
      <c r="G21" s="315">
        <v>252</v>
      </c>
      <c r="H21" s="1113">
        <f t="shared" si="0"/>
        <v>84</v>
      </c>
    </row>
    <row r="22" spans="1:8" s="1107" customFormat="1" ht="15" x14ac:dyDescent="0.25">
      <c r="A22" s="1679">
        <v>6113</v>
      </c>
      <c r="B22" s="1666">
        <v>5154</v>
      </c>
      <c r="C22" s="1118"/>
      <c r="D22" s="1663" t="s">
        <v>311</v>
      </c>
      <c r="E22" s="1670">
        <v>330</v>
      </c>
      <c r="F22" s="168">
        <v>430</v>
      </c>
      <c r="G22" s="315">
        <v>424</v>
      </c>
      <c r="H22" s="1113">
        <f t="shared" si="0"/>
        <v>98.604651162790702</v>
      </c>
    </row>
    <row r="23" spans="1:8" s="1107" customFormat="1" ht="15" x14ac:dyDescent="0.25">
      <c r="A23" s="1679">
        <v>6113</v>
      </c>
      <c r="B23" s="1666">
        <v>5156</v>
      </c>
      <c r="C23" s="1118"/>
      <c r="D23" s="1663" t="s">
        <v>312</v>
      </c>
      <c r="E23" s="1670">
        <v>500</v>
      </c>
      <c r="F23" s="168">
        <v>520</v>
      </c>
      <c r="G23" s="315">
        <v>476</v>
      </c>
      <c r="H23" s="1113">
        <f t="shared" si="0"/>
        <v>91.538461538461533</v>
      </c>
    </row>
    <row r="24" spans="1:8" s="1107" customFormat="1" ht="15" x14ac:dyDescent="0.25">
      <c r="A24" s="1679">
        <v>6113</v>
      </c>
      <c r="B24" s="1666">
        <v>5161</v>
      </c>
      <c r="C24" s="1118"/>
      <c r="D24" s="1663" t="s">
        <v>313</v>
      </c>
      <c r="E24" s="1670">
        <v>10</v>
      </c>
      <c r="F24" s="168">
        <v>10</v>
      </c>
      <c r="G24" s="315">
        <v>0</v>
      </c>
      <c r="H24" s="1113">
        <v>0</v>
      </c>
    </row>
    <row r="25" spans="1:8" s="1107" customFormat="1" ht="15" x14ac:dyDescent="0.25">
      <c r="A25" s="1679">
        <v>6113</v>
      </c>
      <c r="B25" s="1666">
        <v>5162</v>
      </c>
      <c r="C25" s="1118"/>
      <c r="D25" s="1663" t="s">
        <v>904</v>
      </c>
      <c r="E25" s="1670">
        <v>300</v>
      </c>
      <c r="F25" s="168">
        <v>210</v>
      </c>
      <c r="G25" s="315">
        <v>157</v>
      </c>
      <c r="H25" s="1113">
        <f>(G25/F25)*100</f>
        <v>74.761904761904759</v>
      </c>
    </row>
    <row r="26" spans="1:8" s="1107" customFormat="1" ht="15" x14ac:dyDescent="0.25">
      <c r="A26" s="1679">
        <v>6113</v>
      </c>
      <c r="B26" s="1666">
        <v>5163</v>
      </c>
      <c r="C26" s="1118"/>
      <c r="D26" s="1663" t="s">
        <v>934</v>
      </c>
      <c r="E26" s="1670">
        <v>50</v>
      </c>
      <c r="F26" s="168">
        <v>30</v>
      </c>
      <c r="G26" s="315">
        <v>23</v>
      </c>
      <c r="H26" s="1113">
        <f t="shared" ref="H26:H40" si="1">(G26/F26)*100</f>
        <v>76.666666666666671</v>
      </c>
    </row>
    <row r="27" spans="1:8" s="1107" customFormat="1" ht="15" x14ac:dyDescent="0.25">
      <c r="A27" s="1679">
        <v>6113</v>
      </c>
      <c r="B27" s="1666">
        <v>5164</v>
      </c>
      <c r="C27" s="1118"/>
      <c r="D27" s="1663" t="s">
        <v>182</v>
      </c>
      <c r="E27" s="1670">
        <v>200</v>
      </c>
      <c r="F27" s="168">
        <v>120</v>
      </c>
      <c r="G27" s="315">
        <v>95</v>
      </c>
      <c r="H27" s="1113">
        <f t="shared" si="1"/>
        <v>79.166666666666657</v>
      </c>
    </row>
    <row r="28" spans="1:8" s="1107" customFormat="1" ht="15" x14ac:dyDescent="0.25">
      <c r="A28" s="1679">
        <v>6113</v>
      </c>
      <c r="B28" s="1666">
        <v>5166</v>
      </c>
      <c r="C28" s="1118"/>
      <c r="D28" s="1663" t="s">
        <v>646</v>
      </c>
      <c r="E28" s="1670">
        <v>1720</v>
      </c>
      <c r="F28" s="168">
        <v>365</v>
      </c>
      <c r="G28" s="315">
        <v>345</v>
      </c>
      <c r="H28" s="1113">
        <f t="shared" si="1"/>
        <v>94.520547945205479</v>
      </c>
    </row>
    <row r="29" spans="1:8" s="1107" customFormat="1" ht="15" x14ac:dyDescent="0.25">
      <c r="A29" s="1679">
        <v>6113</v>
      </c>
      <c r="B29" s="1666">
        <v>5167</v>
      </c>
      <c r="C29" s="1118"/>
      <c r="D29" s="1663" t="s">
        <v>937</v>
      </c>
      <c r="E29" s="1670">
        <v>100</v>
      </c>
      <c r="F29" s="168">
        <v>50</v>
      </c>
      <c r="G29" s="315">
        <v>37</v>
      </c>
      <c r="H29" s="1113">
        <v>0</v>
      </c>
    </row>
    <row r="30" spans="1:8" s="1107" customFormat="1" ht="15" x14ac:dyDescent="0.25">
      <c r="A30" s="1679">
        <v>6113</v>
      </c>
      <c r="B30" s="1666">
        <v>5169</v>
      </c>
      <c r="C30" s="1118"/>
      <c r="D30" s="1663" t="s">
        <v>892</v>
      </c>
      <c r="E30" s="1670">
        <v>7820</v>
      </c>
      <c r="F30" s="168">
        <v>2371</v>
      </c>
      <c r="G30" s="315">
        <v>1872</v>
      </c>
      <c r="H30" s="1113">
        <f t="shared" si="1"/>
        <v>78.954027836355962</v>
      </c>
    </row>
    <row r="31" spans="1:8" s="1107" customFormat="1" ht="15" x14ac:dyDescent="0.25">
      <c r="A31" s="1679">
        <v>6113</v>
      </c>
      <c r="B31" s="1666">
        <v>5171</v>
      </c>
      <c r="C31" s="1118"/>
      <c r="D31" s="1663" t="s">
        <v>938</v>
      </c>
      <c r="E31" s="1670">
        <v>100</v>
      </c>
      <c r="F31" s="168">
        <v>150</v>
      </c>
      <c r="G31" s="315">
        <v>112</v>
      </c>
      <c r="H31" s="1113">
        <f t="shared" si="1"/>
        <v>74.666666666666671</v>
      </c>
    </row>
    <row r="32" spans="1:8" s="1107" customFormat="1" ht="15" x14ac:dyDescent="0.25">
      <c r="A32" s="1679">
        <v>6113</v>
      </c>
      <c r="B32" s="1666">
        <v>5172</v>
      </c>
      <c r="C32" s="1118"/>
      <c r="D32" s="1663" t="s">
        <v>939</v>
      </c>
      <c r="E32" s="1670">
        <v>100</v>
      </c>
      <c r="F32" s="168">
        <v>102</v>
      </c>
      <c r="G32" s="315">
        <v>102</v>
      </c>
      <c r="H32" s="1113">
        <f t="shared" si="1"/>
        <v>100</v>
      </c>
    </row>
    <row r="33" spans="1:8" s="1107" customFormat="1" ht="15" x14ac:dyDescent="0.25">
      <c r="A33" s="1679">
        <v>6113</v>
      </c>
      <c r="B33" s="1666">
        <v>5173</v>
      </c>
      <c r="C33" s="1118"/>
      <c r="D33" s="1663" t="s">
        <v>1211</v>
      </c>
      <c r="E33" s="1670">
        <v>1600</v>
      </c>
      <c r="F33" s="168">
        <f>F34+F35+F36+F37+F38+F39</f>
        <v>1456</v>
      </c>
      <c r="G33" s="315">
        <f>G34+G35+G36+G37+G38+G39</f>
        <v>1137</v>
      </c>
      <c r="H33" s="1113">
        <f t="shared" si="1"/>
        <v>78.090659340659343</v>
      </c>
    </row>
    <row r="34" spans="1:8" s="1107" customFormat="1" ht="14.25" x14ac:dyDescent="0.2">
      <c r="A34" s="1679"/>
      <c r="B34" s="1666"/>
      <c r="C34" s="1120" t="s">
        <v>792</v>
      </c>
      <c r="D34" s="1114" t="s">
        <v>1321</v>
      </c>
      <c r="E34" s="1671">
        <v>1600</v>
      </c>
      <c r="F34" s="314">
        <v>1300</v>
      </c>
      <c r="G34" s="316">
        <v>1071</v>
      </c>
      <c r="H34" s="1116">
        <f t="shared" si="1"/>
        <v>82.384615384615387</v>
      </c>
    </row>
    <row r="35" spans="1:8" s="1107" customFormat="1" ht="15" x14ac:dyDescent="0.2">
      <c r="A35" s="1679"/>
      <c r="B35" s="1666"/>
      <c r="C35" s="1120" t="s">
        <v>1469</v>
      </c>
      <c r="D35" s="1660" t="s">
        <v>1554</v>
      </c>
      <c r="E35" s="1670"/>
      <c r="F35" s="314">
        <v>1</v>
      </c>
      <c r="G35" s="316">
        <v>0</v>
      </c>
      <c r="H35" s="1116">
        <f t="shared" si="1"/>
        <v>0</v>
      </c>
    </row>
    <row r="36" spans="1:8" s="1107" customFormat="1" ht="15" x14ac:dyDescent="0.2">
      <c r="A36" s="1679"/>
      <c r="B36" s="1666"/>
      <c r="C36" s="1120" t="s">
        <v>1550</v>
      </c>
      <c r="D36" s="1660" t="s">
        <v>1555</v>
      </c>
      <c r="E36" s="1670"/>
      <c r="F36" s="314">
        <v>0</v>
      </c>
      <c r="G36" s="316">
        <v>0</v>
      </c>
      <c r="H36" s="1116">
        <v>0</v>
      </c>
    </row>
    <row r="37" spans="1:8" s="1107" customFormat="1" ht="15" x14ac:dyDescent="0.2">
      <c r="A37" s="1679"/>
      <c r="B37" s="1666"/>
      <c r="C37" s="1120" t="s">
        <v>1551</v>
      </c>
      <c r="D37" s="1660" t="s">
        <v>1556</v>
      </c>
      <c r="E37" s="1670"/>
      <c r="F37" s="314">
        <v>5</v>
      </c>
      <c r="G37" s="316">
        <v>0</v>
      </c>
      <c r="H37" s="1116">
        <f t="shared" si="1"/>
        <v>0</v>
      </c>
    </row>
    <row r="38" spans="1:8" s="1107" customFormat="1" ht="15" x14ac:dyDescent="0.2">
      <c r="A38" s="1679"/>
      <c r="B38" s="1666"/>
      <c r="C38" s="1120" t="s">
        <v>1552</v>
      </c>
      <c r="D38" s="1660" t="s">
        <v>1557</v>
      </c>
      <c r="E38" s="1670"/>
      <c r="F38" s="314">
        <v>23</v>
      </c>
      <c r="G38" s="316">
        <v>10</v>
      </c>
      <c r="H38" s="1116">
        <f t="shared" si="1"/>
        <v>43.478260869565219</v>
      </c>
    </row>
    <row r="39" spans="1:8" s="1107" customFormat="1" ht="15" x14ac:dyDescent="0.2">
      <c r="A39" s="1679"/>
      <c r="B39" s="1666"/>
      <c r="C39" s="1120" t="s">
        <v>1553</v>
      </c>
      <c r="D39" s="1660" t="s">
        <v>1558</v>
      </c>
      <c r="E39" s="1670"/>
      <c r="F39" s="314">
        <v>127</v>
      </c>
      <c r="G39" s="316">
        <v>56</v>
      </c>
      <c r="H39" s="1116">
        <f t="shared" si="1"/>
        <v>44.094488188976378</v>
      </c>
    </row>
    <row r="40" spans="1:8" s="1107" customFormat="1" ht="15" x14ac:dyDescent="0.25">
      <c r="A40" s="1679">
        <v>6113</v>
      </c>
      <c r="B40" s="1666">
        <v>5175</v>
      </c>
      <c r="C40" s="1120"/>
      <c r="D40" s="1663" t="s">
        <v>707</v>
      </c>
      <c r="E40" s="1670">
        <f>100+100+100+800+100+100+100+100</f>
        <v>1500</v>
      </c>
      <c r="F40" s="313">
        <v>1351</v>
      </c>
      <c r="G40" s="315">
        <v>1077</v>
      </c>
      <c r="H40" s="203">
        <f t="shared" si="1"/>
        <v>79.718726868985939</v>
      </c>
    </row>
    <row r="41" spans="1:8" s="1107" customFormat="1" ht="15" x14ac:dyDescent="0.25">
      <c r="A41" s="1679">
        <v>6113</v>
      </c>
      <c r="B41" s="1666">
        <v>5176</v>
      </c>
      <c r="C41" s="1120"/>
      <c r="D41" s="1663" t="s">
        <v>1309</v>
      </c>
      <c r="E41" s="1670">
        <v>50</v>
      </c>
      <c r="F41" s="313">
        <v>20</v>
      </c>
      <c r="G41" s="315">
        <v>5</v>
      </c>
      <c r="H41" s="203">
        <f>(G41/F41)*100</f>
        <v>25</v>
      </c>
    </row>
    <row r="42" spans="1:8" s="1107" customFormat="1" ht="15" x14ac:dyDescent="0.25">
      <c r="A42" s="1679">
        <v>6113</v>
      </c>
      <c r="B42" s="1666">
        <v>5189</v>
      </c>
      <c r="C42" s="1118"/>
      <c r="D42" s="1663" t="s">
        <v>906</v>
      </c>
      <c r="E42" s="1670">
        <v>70</v>
      </c>
      <c r="F42" s="313">
        <v>70</v>
      </c>
      <c r="G42" s="315">
        <v>0</v>
      </c>
      <c r="H42" s="1113">
        <f>(G42/F42)*100</f>
        <v>0</v>
      </c>
    </row>
    <row r="43" spans="1:8" s="1107" customFormat="1" ht="15" x14ac:dyDescent="0.25">
      <c r="A43" s="1679">
        <v>6113</v>
      </c>
      <c r="B43" s="1666">
        <v>5192</v>
      </c>
      <c r="C43" s="1118"/>
      <c r="D43" s="1663" t="s">
        <v>1290</v>
      </c>
      <c r="E43" s="1670"/>
      <c r="F43" s="313">
        <v>513</v>
      </c>
      <c r="G43" s="315">
        <v>513</v>
      </c>
      <c r="H43" s="1113">
        <f>(G43/F43)*100</f>
        <v>100</v>
      </c>
    </row>
    <row r="44" spans="1:8" s="1107" customFormat="1" ht="15" x14ac:dyDescent="0.25">
      <c r="A44" s="1679">
        <v>6113</v>
      </c>
      <c r="B44" s="1666">
        <v>5194</v>
      </c>
      <c r="C44" s="1118"/>
      <c r="D44" s="1663" t="s">
        <v>636</v>
      </c>
      <c r="E44" s="1670">
        <v>50</v>
      </c>
      <c r="F44" s="168">
        <v>50</v>
      </c>
      <c r="G44" s="315">
        <v>14</v>
      </c>
      <c r="H44" s="1113">
        <f>(G44/F44)*100</f>
        <v>28.000000000000004</v>
      </c>
    </row>
    <row r="45" spans="1:8" s="1107" customFormat="1" ht="30" customHeight="1" x14ac:dyDescent="0.2">
      <c r="A45" s="1679">
        <v>6113</v>
      </c>
      <c r="B45" s="1666">
        <v>5229</v>
      </c>
      <c r="C45" s="1118"/>
      <c r="D45" s="1663" t="s">
        <v>1547</v>
      </c>
      <c r="E45" s="1670">
        <v>700</v>
      </c>
      <c r="F45" s="1661">
        <v>0</v>
      </c>
      <c r="G45" s="927">
        <v>0</v>
      </c>
      <c r="H45" s="1675">
        <v>0</v>
      </c>
    </row>
    <row r="46" spans="1:8" s="1107" customFormat="1" ht="15" x14ac:dyDescent="0.25">
      <c r="A46" s="1679">
        <v>6113</v>
      </c>
      <c r="B46" s="1666">
        <v>5361</v>
      </c>
      <c r="C46" s="1118"/>
      <c r="D46" s="1663" t="s">
        <v>637</v>
      </c>
      <c r="E46" s="1670">
        <v>5</v>
      </c>
      <c r="F46" s="168">
        <v>5</v>
      </c>
      <c r="G46" s="315">
        <v>0</v>
      </c>
      <c r="H46" s="1113">
        <f t="shared" ref="H46:H52" si="2">(G46/F46)*100</f>
        <v>0</v>
      </c>
    </row>
    <row r="47" spans="1:8" s="1107" customFormat="1" ht="15" x14ac:dyDescent="0.25">
      <c r="A47" s="1679">
        <v>6113</v>
      </c>
      <c r="B47" s="1666">
        <v>5362</v>
      </c>
      <c r="C47" s="1118"/>
      <c r="D47" s="1663" t="s">
        <v>1548</v>
      </c>
      <c r="E47" s="1670">
        <v>5</v>
      </c>
      <c r="F47" s="313">
        <v>5</v>
      </c>
      <c r="G47" s="315">
        <v>0</v>
      </c>
      <c r="H47" s="1113">
        <f t="shared" si="2"/>
        <v>0</v>
      </c>
    </row>
    <row r="48" spans="1:8" s="1107" customFormat="1" ht="15" x14ac:dyDescent="0.25">
      <c r="A48" s="1679">
        <v>6113</v>
      </c>
      <c r="B48" s="1666">
        <v>5424</v>
      </c>
      <c r="C48" s="1118"/>
      <c r="D48" s="1663" t="s">
        <v>688</v>
      </c>
      <c r="E48" s="1670">
        <v>50</v>
      </c>
      <c r="F48" s="168">
        <v>50</v>
      </c>
      <c r="G48" s="315">
        <v>3</v>
      </c>
      <c r="H48" s="1113">
        <f t="shared" si="2"/>
        <v>6</v>
      </c>
    </row>
    <row r="49" spans="1:8" s="1107" customFormat="1" ht="15" x14ac:dyDescent="0.25">
      <c r="A49" s="1679">
        <v>6113</v>
      </c>
      <c r="B49" s="1666">
        <v>5492</v>
      </c>
      <c r="C49" s="1118"/>
      <c r="D49" s="1663" t="s">
        <v>891</v>
      </c>
      <c r="E49" s="1670">
        <v>15</v>
      </c>
      <c r="F49" s="168">
        <v>15</v>
      </c>
      <c r="G49" s="315">
        <v>15</v>
      </c>
      <c r="H49" s="1113">
        <f t="shared" si="2"/>
        <v>100</v>
      </c>
    </row>
    <row r="50" spans="1:8" s="1107" customFormat="1" ht="15" x14ac:dyDescent="0.25">
      <c r="A50" s="1679">
        <v>6113</v>
      </c>
      <c r="B50" s="1666">
        <v>5499</v>
      </c>
      <c r="C50" s="1118"/>
      <c r="D50" s="2373" t="s">
        <v>395</v>
      </c>
      <c r="E50" s="1670"/>
      <c r="F50" s="168"/>
      <c r="G50" s="315">
        <v>56</v>
      </c>
      <c r="H50" s="1113"/>
    </row>
    <row r="51" spans="1:8" s="1107" customFormat="1" ht="18.75" customHeight="1" thickBot="1" x14ac:dyDescent="0.25">
      <c r="A51" s="1680">
        <v>6330</v>
      </c>
      <c r="B51" s="1667">
        <v>5342</v>
      </c>
      <c r="C51" s="1160"/>
      <c r="D51" s="1664" t="s">
        <v>1549</v>
      </c>
      <c r="E51" s="1672">
        <v>194</v>
      </c>
      <c r="F51" s="1668">
        <v>194</v>
      </c>
      <c r="G51" s="1674">
        <v>178</v>
      </c>
      <c r="H51" s="1676">
        <f t="shared" si="2"/>
        <v>91.75257731958763</v>
      </c>
    </row>
    <row r="52" spans="1:8" s="361" customFormat="1" ht="35.25" customHeight="1" thickTop="1" thickBot="1" x14ac:dyDescent="0.3">
      <c r="A52" s="696" t="s">
        <v>258</v>
      </c>
      <c r="B52" s="697"/>
      <c r="C52" s="1121"/>
      <c r="D52" s="697"/>
      <c r="E52" s="699">
        <f>SUM(E10:E30,E31:E33,E40:E51)</f>
        <v>36199</v>
      </c>
      <c r="F52" s="699">
        <f>SUM(F10:F30,F31:F33,F40:F51)</f>
        <v>23691</v>
      </c>
      <c r="G52" s="699">
        <f>SUM(G10:G30,G31:G33,G40:G51)</f>
        <v>21642</v>
      </c>
      <c r="H52" s="1077">
        <f t="shared" si="2"/>
        <v>91.351146004811952</v>
      </c>
    </row>
    <row r="53" spans="1:8" ht="15.75" thickTop="1" x14ac:dyDescent="0.25">
      <c r="A53" s="1087"/>
      <c r="B53" s="1340"/>
      <c r="C53" s="1088"/>
      <c r="D53" s="656"/>
      <c r="E53" s="1010"/>
      <c r="F53" s="1089"/>
      <c r="G53" s="1010"/>
      <c r="H53" s="1090"/>
    </row>
    <row r="54" spans="1:8" ht="15" x14ac:dyDescent="0.25">
      <c r="A54" s="1091"/>
      <c r="B54" s="1341"/>
      <c r="C54" s="1092"/>
      <c r="D54" s="779"/>
      <c r="E54" s="181"/>
      <c r="F54" s="936"/>
      <c r="G54" s="181"/>
      <c r="H54" s="1093"/>
    </row>
    <row r="55" spans="1:8" ht="15" x14ac:dyDescent="0.25">
      <c r="A55" s="1091"/>
      <c r="B55" s="1341"/>
      <c r="C55" s="1092"/>
      <c r="D55" s="779"/>
      <c r="E55" s="181"/>
      <c r="F55" s="936"/>
      <c r="G55" s="181"/>
      <c r="H55" s="1093"/>
    </row>
    <row r="56" spans="1:8" ht="15" x14ac:dyDescent="0.25">
      <c r="A56" s="1091"/>
      <c r="B56" s="1341"/>
      <c r="C56" s="1092"/>
      <c r="D56" s="779"/>
      <c r="E56" s="181"/>
      <c r="F56" s="936"/>
      <c r="G56" s="181"/>
      <c r="H56" s="1093"/>
    </row>
    <row r="57" spans="1:8" ht="15" x14ac:dyDescent="0.25">
      <c r="A57" s="1091"/>
      <c r="B57" s="1341"/>
      <c r="C57" s="1092"/>
      <c r="D57" s="779"/>
      <c r="E57" s="181"/>
      <c r="F57" s="936"/>
      <c r="G57" s="181"/>
      <c r="H57" s="1093"/>
    </row>
    <row r="58" spans="1:8" ht="15" x14ac:dyDescent="0.25">
      <c r="A58" s="1091"/>
      <c r="B58" s="1341"/>
      <c r="C58" s="1092"/>
      <c r="D58" s="779"/>
      <c r="E58" s="181"/>
      <c r="F58" s="936"/>
      <c r="G58" s="181"/>
      <c r="H58" s="1093"/>
    </row>
    <row r="59" spans="1:8" ht="15" x14ac:dyDescent="0.25">
      <c r="A59" s="1091"/>
      <c r="B59" s="1341"/>
      <c r="C59" s="1092"/>
      <c r="D59" s="779"/>
      <c r="E59" s="181"/>
      <c r="F59" s="936"/>
      <c r="G59" s="181"/>
      <c r="H59" s="1093"/>
    </row>
    <row r="60" spans="1:8" ht="15" x14ac:dyDescent="0.25">
      <c r="A60" s="1091"/>
      <c r="B60" s="1341"/>
      <c r="C60" s="1092"/>
      <c r="D60" s="779"/>
      <c r="E60" s="181"/>
      <c r="F60" s="936"/>
      <c r="G60" s="181"/>
      <c r="H60" s="1093"/>
    </row>
    <row r="61" spans="1:8" ht="15" x14ac:dyDescent="0.25">
      <c r="A61" s="1091"/>
      <c r="B61" s="1341"/>
      <c r="C61" s="1092"/>
      <c r="D61" s="779"/>
      <c r="E61" s="181"/>
      <c r="F61" s="936"/>
      <c r="G61" s="181"/>
      <c r="H61" s="1093"/>
    </row>
    <row r="62" spans="1:8" ht="15" x14ac:dyDescent="0.25">
      <c r="A62" s="1091"/>
      <c r="B62" s="1341"/>
      <c r="C62" s="1092"/>
      <c r="D62" s="779"/>
      <c r="E62" s="181"/>
      <c r="F62" s="936"/>
      <c r="G62" s="181"/>
      <c r="H62" s="1093"/>
    </row>
    <row r="63" spans="1:8" ht="15" x14ac:dyDescent="0.25">
      <c r="A63" s="1091"/>
      <c r="B63" s="1341"/>
      <c r="C63" s="1092"/>
      <c r="D63" s="779"/>
      <c r="E63" s="181"/>
      <c r="F63" s="936"/>
      <c r="G63" s="181"/>
      <c r="H63" s="1093"/>
    </row>
    <row r="64" spans="1:8" ht="18" x14ac:dyDescent="0.25">
      <c r="A64" s="33" t="s">
        <v>1310</v>
      </c>
      <c r="B64" s="28"/>
      <c r="C64" s="10"/>
      <c r="D64" s="139"/>
      <c r="E64" s="137"/>
      <c r="F64" s="16"/>
      <c r="G64" s="17"/>
      <c r="H64" s="372"/>
    </row>
    <row r="65" spans="1:9" ht="13.5" thickBot="1" x14ac:dyDescent="0.25">
      <c r="B65" s="631"/>
      <c r="C65" s="632"/>
      <c r="F65" s="980"/>
      <c r="H65" s="1339" t="s">
        <v>173</v>
      </c>
    </row>
    <row r="66" spans="1:9" s="107" customFormat="1" ht="20.25" customHeight="1" thickTop="1" thickBot="1" x14ac:dyDescent="0.25">
      <c r="A66" s="633" t="s">
        <v>174</v>
      </c>
      <c r="B66" s="634" t="s">
        <v>175</v>
      </c>
      <c r="C66" s="635" t="s">
        <v>744</v>
      </c>
      <c r="D66" s="810" t="s">
        <v>176</v>
      </c>
      <c r="E66" s="810" t="s">
        <v>177</v>
      </c>
      <c r="F66" s="810" t="s">
        <v>922</v>
      </c>
      <c r="G66" s="810" t="s">
        <v>923</v>
      </c>
      <c r="H66" s="1082" t="s">
        <v>924</v>
      </c>
    </row>
    <row r="67" spans="1:9" s="513" customFormat="1" thickTop="1" thickBot="1" x14ac:dyDescent="0.25">
      <c r="A67" s="568">
        <v>1</v>
      </c>
      <c r="B67" s="506">
        <v>2</v>
      </c>
      <c r="C67" s="506">
        <v>3</v>
      </c>
      <c r="D67" s="506">
        <v>4</v>
      </c>
      <c r="E67" s="1084">
        <v>5</v>
      </c>
      <c r="F67" s="1084">
        <v>6</v>
      </c>
      <c r="G67" s="569">
        <v>7</v>
      </c>
      <c r="H67" s="1085" t="s">
        <v>768</v>
      </c>
      <c r="I67" s="1086"/>
    </row>
    <row r="68" spans="1:9" s="1107" customFormat="1" ht="16.5" thickTop="1" thickBot="1" x14ac:dyDescent="0.3">
      <c r="A68" s="34">
        <v>6113</v>
      </c>
      <c r="B68" s="154">
        <v>6127</v>
      </c>
      <c r="C68" s="1394"/>
      <c r="D68" s="1176" t="s">
        <v>1407</v>
      </c>
      <c r="E68" s="1150"/>
      <c r="F68" s="1393">
        <v>40</v>
      </c>
      <c r="G68" s="1392">
        <v>38</v>
      </c>
      <c r="H68" s="1113">
        <f>(G68/F68)*100</f>
        <v>95</v>
      </c>
    </row>
    <row r="69" spans="1:9" ht="15.75" hidden="1" thickBot="1" x14ac:dyDescent="0.3">
      <c r="A69" s="780"/>
      <c r="B69" s="1342"/>
      <c r="C69" s="1094"/>
      <c r="D69" s="1095" t="s">
        <v>410</v>
      </c>
      <c r="E69" s="858"/>
      <c r="F69" s="889"/>
      <c r="G69" s="889"/>
      <c r="H69" s="1096"/>
    </row>
    <row r="70" spans="1:9" ht="15.75" hidden="1" thickBot="1" x14ac:dyDescent="0.3">
      <c r="A70" s="1097"/>
      <c r="B70" s="1343"/>
      <c r="C70" s="1098"/>
      <c r="D70" s="234" t="s">
        <v>830</v>
      </c>
      <c r="E70" s="1099"/>
      <c r="F70" s="1100">
        <v>20000</v>
      </c>
      <c r="G70" s="1101"/>
      <c r="H70" s="1102"/>
    </row>
    <row r="71" spans="1:9" s="361" customFormat="1" ht="35.25" customHeight="1" thickTop="1" thickBot="1" x14ac:dyDescent="0.3">
      <c r="A71" s="639" t="s">
        <v>257</v>
      </c>
      <c r="B71" s="642"/>
      <c r="C71" s="641"/>
      <c r="D71" s="642"/>
      <c r="E71" s="643">
        <v>0</v>
      </c>
      <c r="F71" s="643">
        <f>F68</f>
        <v>40</v>
      </c>
      <c r="G71" s="643">
        <f>G68</f>
        <v>38</v>
      </c>
      <c r="H71" s="1083">
        <f>(G71/F71)*100</f>
        <v>95</v>
      </c>
    </row>
    <row r="72" spans="1:9" ht="13.5" thickTop="1" x14ac:dyDescent="0.2">
      <c r="H72" s="1344"/>
    </row>
    <row r="73" spans="1:9" x14ac:dyDescent="0.2">
      <c r="H73" s="1344"/>
    </row>
    <row r="74" spans="1:9" x14ac:dyDescent="0.2">
      <c r="H74" s="1344"/>
    </row>
    <row r="75" spans="1:9" x14ac:dyDescent="0.2">
      <c r="H75" s="1344"/>
    </row>
    <row r="76" spans="1:9" ht="16.5" x14ac:dyDescent="0.25">
      <c r="A76" s="362" t="s">
        <v>509</v>
      </c>
      <c r="B76" s="363"/>
      <c r="C76" s="364"/>
      <c r="D76" s="364"/>
      <c r="E76" s="738">
        <f>E77+E78+E79+E80+E81</f>
        <v>36199</v>
      </c>
      <c r="F76" s="738">
        <f>F77+F78+F79+F80+F81</f>
        <v>23731</v>
      </c>
      <c r="G76" s="738">
        <f>G77+G78+G79+G80+G81</f>
        <v>21680</v>
      </c>
      <c r="H76" s="627">
        <f>(G76/F76)*100</f>
        <v>91.357296363406519</v>
      </c>
    </row>
    <row r="77" spans="1:9" s="1325" customFormat="1" ht="15" x14ac:dyDescent="0.2">
      <c r="A77" s="557" t="s">
        <v>277</v>
      </c>
      <c r="B77" s="587"/>
      <c r="C77" s="588"/>
      <c r="D77" s="588"/>
      <c r="E77" s="772">
        <f>E52-E51</f>
        <v>36005</v>
      </c>
      <c r="F77" s="772">
        <f>F52-F51</f>
        <v>23497</v>
      </c>
      <c r="G77" s="772">
        <f>G52-G51</f>
        <v>21464</v>
      </c>
      <c r="H77" s="1103">
        <f>(G77/F77)*100</f>
        <v>91.347831638081459</v>
      </c>
    </row>
    <row r="78" spans="1:9" s="1325" customFormat="1" ht="15" x14ac:dyDescent="0.2">
      <c r="A78" s="557" t="s">
        <v>278</v>
      </c>
      <c r="B78" s="592"/>
      <c r="C78" s="588"/>
      <c r="D78" s="588"/>
      <c r="E78" s="975">
        <f>E71</f>
        <v>0</v>
      </c>
      <c r="F78" s="975">
        <f>F71</f>
        <v>40</v>
      </c>
      <c r="G78" s="975">
        <f>G71</f>
        <v>38</v>
      </c>
      <c r="H78" s="1103">
        <f>(G78/F78)*100</f>
        <v>95</v>
      </c>
    </row>
    <row r="79" spans="1:9" s="1325" customFormat="1" ht="15" x14ac:dyDescent="0.2">
      <c r="A79" s="557" t="s">
        <v>221</v>
      </c>
      <c r="B79" s="592"/>
      <c r="C79" s="588"/>
      <c r="D79" s="588"/>
      <c r="E79" s="975">
        <v>0</v>
      </c>
      <c r="F79" s="975">
        <v>0</v>
      </c>
      <c r="G79" s="975">
        <v>0</v>
      </c>
      <c r="H79" s="1103">
        <v>0</v>
      </c>
    </row>
    <row r="80" spans="1:9" s="1325" customFormat="1" ht="15" x14ac:dyDescent="0.2">
      <c r="A80" s="557" t="s">
        <v>1206</v>
      </c>
      <c r="B80" s="592"/>
      <c r="C80" s="588"/>
      <c r="D80" s="588"/>
      <c r="E80" s="975">
        <v>0</v>
      </c>
      <c r="F80" s="975">
        <v>0</v>
      </c>
      <c r="G80" s="975">
        <v>0</v>
      </c>
      <c r="H80" s="1103">
        <v>0</v>
      </c>
    </row>
    <row r="81" spans="1:8" s="1325" customFormat="1" ht="15" x14ac:dyDescent="0.2">
      <c r="A81" s="557" t="s">
        <v>488</v>
      </c>
      <c r="B81" s="592"/>
      <c r="C81" s="588"/>
      <c r="D81" s="588"/>
      <c r="E81" s="975">
        <f>SUM(E51)</f>
        <v>194</v>
      </c>
      <c r="F81" s="975">
        <f>SUM(F51)</f>
        <v>194</v>
      </c>
      <c r="G81" s="975">
        <f>SUM(G51)</f>
        <v>178</v>
      </c>
      <c r="H81" s="1103">
        <f>(G81/F81)*100</f>
        <v>91.75257731958763</v>
      </c>
    </row>
    <row r="82" spans="1:8" x14ac:dyDescent="0.2">
      <c r="H82" s="1344"/>
    </row>
    <row r="83" spans="1:8" x14ac:dyDescent="0.2">
      <c r="H83" s="1344"/>
    </row>
    <row r="84" spans="1:8" s="58" customFormat="1" ht="47.25" customHeight="1" thickBot="1" x14ac:dyDescent="0.4">
      <c r="A84" s="650" t="s">
        <v>642</v>
      </c>
      <c r="B84" s="651"/>
      <c r="C84" s="652"/>
      <c r="D84" s="653"/>
      <c r="E84" s="595">
        <f>SUM(E71,E52)</f>
        <v>36199</v>
      </c>
      <c r="F84" s="595">
        <f>SUM(F71,F52)</f>
        <v>23731</v>
      </c>
      <c r="G84" s="595">
        <f>SUM(G71,G52)</f>
        <v>21680</v>
      </c>
      <c r="H84" s="596">
        <f>(G84/F84)*100</f>
        <v>91.357296363406519</v>
      </c>
    </row>
    <row r="85" spans="1:8" s="646" customFormat="1" ht="13.5" thickTop="1" x14ac:dyDescent="0.2">
      <c r="A85" s="631"/>
      <c r="B85" s="631"/>
      <c r="C85" s="632"/>
      <c r="D85" s="1104"/>
      <c r="E85" s="992"/>
      <c r="F85" s="629"/>
      <c r="G85" s="992"/>
      <c r="H85" s="1105"/>
    </row>
    <row r="86" spans="1:8" s="646" customFormat="1" ht="14.25" x14ac:dyDescent="0.2">
      <c r="A86" s="631"/>
      <c r="B86" s="504"/>
      <c r="C86" s="504"/>
      <c r="D86" s="504"/>
      <c r="G86" s="992"/>
      <c r="H86" s="1105"/>
    </row>
    <row r="87" spans="1:8" s="669" customFormat="1" ht="14.25" x14ac:dyDescent="0.2">
      <c r="A87" s="631"/>
      <c r="B87" s="504"/>
      <c r="C87" s="504"/>
      <c r="D87" s="504"/>
      <c r="E87" s="675"/>
      <c r="F87" s="675"/>
      <c r="G87" s="675"/>
      <c r="H87" s="1345"/>
    </row>
    <row r="99" spans="4:4" x14ac:dyDescent="0.2">
      <c r="D99" s="382"/>
    </row>
  </sheetData>
  <phoneticPr fontId="0" type="noConversion"/>
  <pageMargins left="0.98425196850393704" right="0.78740157480314965" top="0.98425196850393704" bottom="0.98425196850393704" header="0.51181102362204722" footer="0.51181102362204722"/>
  <pageSetup paperSize="9" scale="72" firstPageNumber="27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H22"/>
  <sheetViews>
    <sheetView showGridLines="0" zoomScaleNormal="100" workbookViewId="0">
      <selection activeCell="A267" sqref="A267"/>
    </sheetView>
  </sheetViews>
  <sheetFormatPr defaultRowHeight="12.75" x14ac:dyDescent="0.2"/>
  <cols>
    <col min="1" max="1" width="4.7109375" style="412" customWidth="1"/>
    <col min="2" max="2" width="6.7109375" style="412" customWidth="1"/>
    <col min="3" max="3" width="9" style="412" bestFit="1" customWidth="1"/>
    <col min="4" max="4" width="46.42578125" style="349" customWidth="1"/>
    <col min="5" max="5" width="13.85546875" style="424" customWidth="1"/>
    <col min="6" max="6" width="14.85546875" style="424" customWidth="1"/>
    <col min="7" max="7" width="13.85546875" style="424" customWidth="1"/>
    <col min="8" max="8" width="6.5703125" style="424" customWidth="1"/>
    <col min="9" max="9" width="16" style="349" bestFit="1" customWidth="1"/>
    <col min="10" max="16384" width="9.140625" style="349"/>
  </cols>
  <sheetData>
    <row r="1" spans="1:8" ht="18.75" thickBot="1" x14ac:dyDescent="0.3">
      <c r="A1" s="471" t="s">
        <v>810</v>
      </c>
      <c r="B1" s="472"/>
      <c r="C1" s="472"/>
      <c r="D1" s="472"/>
      <c r="E1" s="475"/>
      <c r="G1" s="2757" t="s">
        <v>843</v>
      </c>
      <c r="H1" s="2758"/>
    </row>
    <row r="2" spans="1:8" ht="18" x14ac:dyDescent="0.25">
      <c r="A2" s="418"/>
      <c r="B2" s="417"/>
      <c r="C2" s="417"/>
      <c r="D2" s="417"/>
    </row>
    <row r="3" spans="1:8" s="382" customFormat="1" ht="16.5" customHeight="1" x14ac:dyDescent="0.2">
      <c r="A3" s="67" t="s">
        <v>387</v>
      </c>
      <c r="B3" s="28"/>
      <c r="C3" s="533" t="s">
        <v>363</v>
      </c>
      <c r="E3" s="619"/>
      <c r="F3" s="619"/>
      <c r="G3" s="619"/>
      <c r="H3" s="619"/>
    </row>
    <row r="4" spans="1:8" s="382" customFormat="1" ht="12.75" customHeight="1" x14ac:dyDescent="0.25">
      <c r="A4" s="6"/>
      <c r="B4" s="28"/>
      <c r="C4" s="533" t="s">
        <v>364</v>
      </c>
      <c r="E4" s="619"/>
      <c r="F4" s="619"/>
      <c r="G4" s="619"/>
      <c r="H4" s="619"/>
    </row>
    <row r="5" spans="1:8" ht="18" x14ac:dyDescent="0.25">
      <c r="A5" s="418" t="s">
        <v>844</v>
      </c>
      <c r="B5" s="417"/>
      <c r="C5" s="417"/>
      <c r="D5" s="417"/>
      <c r="H5" s="425"/>
    </row>
    <row r="6" spans="1:8" ht="13.5" thickBot="1" x14ac:dyDescent="0.25">
      <c r="H6" s="608" t="s">
        <v>1289</v>
      </c>
    </row>
    <row r="7" spans="1:8" s="384" customFormat="1" ht="25.5" thickTop="1" thickBot="1" x14ac:dyDescent="0.25">
      <c r="A7" s="537" t="s">
        <v>174</v>
      </c>
      <c r="B7" s="538" t="s">
        <v>800</v>
      </c>
      <c r="C7" s="538" t="s">
        <v>397</v>
      </c>
      <c r="D7" s="539" t="s">
        <v>176</v>
      </c>
      <c r="E7" s="620" t="s">
        <v>669</v>
      </c>
      <c r="F7" s="620" t="s">
        <v>670</v>
      </c>
      <c r="G7" s="621" t="s">
        <v>923</v>
      </c>
      <c r="H7" s="542" t="s">
        <v>924</v>
      </c>
    </row>
    <row r="8" spans="1:8" s="384" customFormat="1" ht="13.5" thickTop="1" thickBot="1" x14ac:dyDescent="0.25">
      <c r="A8" s="568">
        <v>1</v>
      </c>
      <c r="B8" s="569">
        <v>2</v>
      </c>
      <c r="C8" s="569">
        <v>3</v>
      </c>
      <c r="D8" s="569">
        <v>4</v>
      </c>
      <c r="E8" s="506">
        <v>5</v>
      </c>
      <c r="F8" s="506">
        <v>6</v>
      </c>
      <c r="G8" s="622">
        <v>7</v>
      </c>
      <c r="H8" s="531" t="s">
        <v>61</v>
      </c>
    </row>
    <row r="9" spans="1:8" ht="20.25" customHeight="1" thickTop="1" x14ac:dyDescent="0.2">
      <c r="A9" s="420">
        <v>6330</v>
      </c>
      <c r="B9" s="421">
        <v>5345</v>
      </c>
      <c r="C9" s="422"/>
      <c r="D9" s="423" t="s">
        <v>806</v>
      </c>
      <c r="E9" s="416">
        <v>0</v>
      </c>
      <c r="F9" s="416">
        <v>0</v>
      </c>
      <c r="G9" s="416">
        <v>0</v>
      </c>
      <c r="H9" s="439">
        <v>0</v>
      </c>
    </row>
    <row r="10" spans="1:8" ht="15.75" thickBot="1" x14ac:dyDescent="0.25">
      <c r="A10" s="420">
        <v>6409</v>
      </c>
      <c r="B10" s="421">
        <v>5909</v>
      </c>
      <c r="C10" s="422"/>
      <c r="D10" s="423" t="s">
        <v>807</v>
      </c>
      <c r="E10" s="416">
        <v>0</v>
      </c>
      <c r="F10" s="416">
        <v>0</v>
      </c>
      <c r="G10" s="416">
        <v>0</v>
      </c>
      <c r="H10" s="438">
        <v>0</v>
      </c>
    </row>
    <row r="11" spans="1:8" s="340" customFormat="1" ht="16.5" thickTop="1" thickBot="1" x14ac:dyDescent="0.3">
      <c r="A11" s="2754" t="s">
        <v>802</v>
      </c>
      <c r="B11" s="2755"/>
      <c r="C11" s="2755"/>
      <c r="D11" s="2755"/>
      <c r="E11" s="572">
        <f>SUM(E9:E10)</f>
        <v>0</v>
      </c>
      <c r="F11" s="572">
        <f>SUM(F9:F10)</f>
        <v>0</v>
      </c>
      <c r="G11" s="572">
        <f>SUM(G9:G10)</f>
        <v>0</v>
      </c>
      <c r="H11" s="438">
        <v>0</v>
      </c>
    </row>
    <row r="12" spans="1:8" s="340" customFormat="1" ht="15.75" thickTop="1" x14ac:dyDescent="0.25">
      <c r="A12" s="337" t="s">
        <v>803</v>
      </c>
      <c r="B12" s="338"/>
      <c r="C12" s="338"/>
      <c r="D12" s="339"/>
      <c r="E12" s="352">
        <f>E9</f>
        <v>0</v>
      </c>
      <c r="F12" s="352">
        <f>F9</f>
        <v>0</v>
      </c>
      <c r="G12" s="352">
        <f>G9</f>
        <v>0</v>
      </c>
      <c r="H12" s="374">
        <v>0</v>
      </c>
    </row>
    <row r="13" spans="1:8" s="340" customFormat="1" ht="15.75" thickBot="1" x14ac:dyDescent="0.3">
      <c r="A13" s="597" t="s">
        <v>808</v>
      </c>
      <c r="B13" s="562"/>
      <c r="C13" s="562"/>
      <c r="D13" s="598"/>
      <c r="E13" s="599">
        <f>E11-E12</f>
        <v>0</v>
      </c>
      <c r="F13" s="599">
        <f>F11-F12</f>
        <v>0</v>
      </c>
      <c r="G13" s="599">
        <f>G11-G12</f>
        <v>0</v>
      </c>
      <c r="H13" s="606">
        <v>0</v>
      </c>
    </row>
    <row r="14" spans="1:8" ht="13.5" thickTop="1" x14ac:dyDescent="0.2"/>
    <row r="16" spans="1:8" s="602" customFormat="1" ht="16.5" x14ac:dyDescent="0.25">
      <c r="A16" s="581" t="s">
        <v>487</v>
      </c>
      <c r="B16" s="582"/>
      <c r="C16" s="583"/>
      <c r="D16" s="584"/>
      <c r="E16" s="585">
        <f>SUM(E17:E19)</f>
        <v>0</v>
      </c>
      <c r="F16" s="585">
        <f>F17+F18+F19+F20</f>
        <v>0</v>
      </c>
      <c r="G16" s="585">
        <f>G17+G18+G19+G20</f>
        <v>0</v>
      </c>
      <c r="H16" s="586">
        <v>0</v>
      </c>
    </row>
    <row r="17" spans="1:8" s="382" customFormat="1" ht="15" x14ac:dyDescent="0.2">
      <c r="A17" s="557" t="s">
        <v>277</v>
      </c>
      <c r="B17" s="587"/>
      <c r="C17" s="588"/>
      <c r="D17" s="589"/>
      <c r="E17" s="590">
        <f>E10</f>
        <v>0</v>
      </c>
      <c r="F17" s="590">
        <f>F10</f>
        <v>0</v>
      </c>
      <c r="G17" s="590">
        <f>G10</f>
        <v>0</v>
      </c>
      <c r="H17" s="591">
        <v>0</v>
      </c>
    </row>
    <row r="18" spans="1:8" s="382" customFormat="1" ht="15" x14ac:dyDescent="0.2">
      <c r="A18" s="557" t="s">
        <v>278</v>
      </c>
      <c r="B18" s="592"/>
      <c r="C18" s="588"/>
      <c r="D18" s="593"/>
      <c r="E18" s="590">
        <v>0</v>
      </c>
      <c r="F18" s="590">
        <v>0</v>
      </c>
      <c r="G18" s="590">
        <v>0</v>
      </c>
      <c r="H18" s="607">
        <v>0</v>
      </c>
    </row>
    <row r="19" spans="1:8" s="382" customFormat="1" ht="15" x14ac:dyDescent="0.2">
      <c r="A19" s="557" t="s">
        <v>488</v>
      </c>
      <c r="B19" s="592"/>
      <c r="C19" s="588"/>
      <c r="D19" s="593"/>
      <c r="E19" s="590">
        <f>SUM(E9)</f>
        <v>0</v>
      </c>
      <c r="F19" s="590">
        <f>SUM(F9)</f>
        <v>0</v>
      </c>
      <c r="G19" s="590">
        <f>SUM(G9)</f>
        <v>0</v>
      </c>
      <c r="H19" s="607">
        <v>0</v>
      </c>
    </row>
    <row r="20" spans="1:8" s="382" customFormat="1" ht="15" x14ac:dyDescent="0.2">
      <c r="A20" s="557"/>
      <c r="B20" s="592"/>
      <c r="C20" s="588"/>
      <c r="D20" s="593"/>
      <c r="E20" s="590"/>
      <c r="F20" s="590"/>
      <c r="G20" s="590"/>
      <c r="H20" s="594"/>
    </row>
    <row r="21" spans="1:8" s="58" customFormat="1" ht="45" customHeight="1" thickBot="1" x14ac:dyDescent="0.4">
      <c r="A21" s="2650" t="s">
        <v>811</v>
      </c>
      <c r="B21" s="2756"/>
      <c r="C21" s="2756"/>
      <c r="D21" s="2756"/>
      <c r="E21" s="595">
        <f>SUM(E16)</f>
        <v>0</v>
      </c>
      <c r="F21" s="595">
        <f>SUM(F16)</f>
        <v>0</v>
      </c>
      <c r="G21" s="595">
        <f>SUM(G16)</f>
        <v>0</v>
      </c>
      <c r="H21" s="611">
        <v>0</v>
      </c>
    </row>
    <row r="22" spans="1:8" ht="13.5" thickTop="1" x14ac:dyDescent="0.2"/>
  </sheetData>
  <mergeCells count="3">
    <mergeCell ref="A21:D21"/>
    <mergeCell ref="G1:H1"/>
    <mergeCell ref="A11:D11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K20"/>
  <sheetViews>
    <sheetView showGridLines="0" zoomScaleNormal="100" workbookViewId="0">
      <selection activeCell="A267" sqref="A267"/>
    </sheetView>
  </sheetViews>
  <sheetFormatPr defaultRowHeight="12.75" x14ac:dyDescent="0.2"/>
  <cols>
    <col min="1" max="1" width="4.7109375" style="412" customWidth="1"/>
    <col min="2" max="2" width="6.7109375" style="412" customWidth="1"/>
    <col min="3" max="3" width="9.140625" style="412"/>
    <col min="4" max="4" width="46.42578125" style="349" customWidth="1"/>
    <col min="5" max="5" width="13.85546875" style="454" customWidth="1"/>
    <col min="6" max="6" width="14.85546875" style="454" customWidth="1"/>
    <col min="7" max="7" width="13.85546875" style="454" customWidth="1"/>
    <col min="8" max="8" width="6.42578125" style="612" customWidth="1"/>
    <col min="9" max="16384" width="9.140625" style="349"/>
  </cols>
  <sheetData>
    <row r="1" spans="1:11" ht="18" x14ac:dyDescent="0.25">
      <c r="A1" s="473" t="s">
        <v>870</v>
      </c>
      <c r="B1" s="474"/>
      <c r="C1" s="474"/>
      <c r="D1" s="474"/>
      <c r="E1" s="474"/>
      <c r="F1" s="474"/>
      <c r="G1" s="417"/>
    </row>
    <row r="2" spans="1:11" ht="18.75" thickBot="1" x14ac:dyDescent="0.3">
      <c r="A2" s="476" t="s">
        <v>845</v>
      </c>
      <c r="B2" s="472"/>
      <c r="C2" s="472"/>
      <c r="D2" s="472"/>
      <c r="E2" s="472"/>
      <c r="F2" s="472"/>
      <c r="G2" s="417"/>
      <c r="H2" s="613" t="s">
        <v>846</v>
      </c>
    </row>
    <row r="3" spans="1:11" ht="18" x14ac:dyDescent="0.25">
      <c r="B3" s="417"/>
      <c r="C3" s="417"/>
      <c r="D3" s="417"/>
      <c r="E3" s="417"/>
      <c r="F3" s="417"/>
      <c r="G3" s="417"/>
      <c r="H3" s="614"/>
    </row>
    <row r="4" spans="1:11" s="382" customFormat="1" ht="16.5" customHeight="1" x14ac:dyDescent="0.2">
      <c r="A4" s="67" t="s">
        <v>387</v>
      </c>
      <c r="B4" s="28"/>
      <c r="C4" s="533" t="s">
        <v>363</v>
      </c>
    </row>
    <row r="5" spans="1:11" s="382" customFormat="1" ht="12.75" customHeight="1" x14ac:dyDescent="0.25">
      <c r="A5" s="6"/>
      <c r="B5" s="28"/>
      <c r="C5" s="533" t="s">
        <v>364</v>
      </c>
    </row>
    <row r="6" spans="1:11" ht="18" x14ac:dyDescent="0.25">
      <c r="A6" s="418" t="s">
        <v>868</v>
      </c>
      <c r="B6" s="417"/>
      <c r="C6" s="417"/>
      <c r="D6" s="417"/>
      <c r="E6" s="417"/>
      <c r="F6" s="417"/>
      <c r="G6" s="417"/>
      <c r="H6" s="614"/>
    </row>
    <row r="7" spans="1:11" ht="18.75" thickBot="1" x14ac:dyDescent="0.3">
      <c r="A7" s="418"/>
      <c r="B7" s="417"/>
      <c r="C7" s="417"/>
      <c r="D7" s="417"/>
      <c r="E7" s="417"/>
      <c r="F7" s="417"/>
      <c r="G7" s="417"/>
      <c r="H7" s="615" t="s">
        <v>1289</v>
      </c>
    </row>
    <row r="8" spans="1:11" s="384" customFormat="1" ht="25.5" thickTop="1" thickBot="1" x14ac:dyDescent="0.25">
      <c r="A8" s="537" t="s">
        <v>174</v>
      </c>
      <c r="B8" s="538" t="s">
        <v>800</v>
      </c>
      <c r="C8" s="538" t="s">
        <v>397</v>
      </c>
      <c r="D8" s="539" t="s">
        <v>176</v>
      </c>
      <c r="E8" s="540" t="s">
        <v>669</v>
      </c>
      <c r="F8" s="540" t="s">
        <v>670</v>
      </c>
      <c r="G8" s="541" t="s">
        <v>923</v>
      </c>
      <c r="H8" s="616" t="s">
        <v>924</v>
      </c>
    </row>
    <row r="9" spans="1:11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43">
        <v>5</v>
      </c>
      <c r="F9" s="543">
        <v>6</v>
      </c>
      <c r="G9" s="544">
        <v>7</v>
      </c>
      <c r="H9" s="545" t="s">
        <v>61</v>
      </c>
    </row>
    <row r="10" spans="1:11" s="419" customFormat="1" ht="16.5" thickTop="1" thickBot="1" x14ac:dyDescent="0.25">
      <c r="A10" s="420">
        <v>6409</v>
      </c>
      <c r="B10" s="421">
        <v>5909</v>
      </c>
      <c r="C10" s="422"/>
      <c r="D10" s="423" t="s">
        <v>807</v>
      </c>
      <c r="E10" s="415">
        <v>0</v>
      </c>
      <c r="F10" s="415">
        <v>0</v>
      </c>
      <c r="G10" s="415">
        <v>0</v>
      </c>
      <c r="H10" s="628">
        <v>0</v>
      </c>
      <c r="I10" s="617"/>
      <c r="J10" s="617"/>
      <c r="K10" s="617"/>
    </row>
    <row r="11" spans="1:11" s="340" customFormat="1" ht="16.5" thickTop="1" thickBot="1" x14ac:dyDescent="0.3">
      <c r="A11" s="2754" t="s">
        <v>802</v>
      </c>
      <c r="B11" s="2755"/>
      <c r="C11" s="2755"/>
      <c r="D11" s="2755"/>
      <c r="E11" s="572">
        <f>SUM(,E10:E10)</f>
        <v>0</v>
      </c>
      <c r="F11" s="572">
        <f>SUM(,F10:F10)</f>
        <v>0</v>
      </c>
      <c r="G11" s="572">
        <f>SUM(,G10:G10)</f>
        <v>0</v>
      </c>
      <c r="H11" s="438">
        <v>0</v>
      </c>
      <c r="I11" s="618"/>
    </row>
    <row r="12" spans="1:11" ht="13.5" thickTop="1" x14ac:dyDescent="0.2"/>
    <row r="14" spans="1:11" s="602" customFormat="1" ht="16.5" x14ac:dyDescent="0.25">
      <c r="A14" s="581" t="s">
        <v>487</v>
      </c>
      <c r="B14" s="582"/>
      <c r="C14" s="583"/>
      <c r="D14" s="584"/>
      <c r="E14" s="585">
        <f>SUM(E15:E17)</f>
        <v>0</v>
      </c>
      <c r="F14" s="585">
        <f>F15+F16+F17+F18</f>
        <v>0</v>
      </c>
      <c r="G14" s="585">
        <f>G15+G16+G17+G18</f>
        <v>0</v>
      </c>
      <c r="H14" s="586">
        <v>0</v>
      </c>
    </row>
    <row r="15" spans="1:11" s="382" customFormat="1" ht="15" x14ac:dyDescent="0.2">
      <c r="A15" s="557" t="s">
        <v>277</v>
      </c>
      <c r="B15" s="587"/>
      <c r="C15" s="588"/>
      <c r="D15" s="589"/>
      <c r="E15" s="590">
        <f>SUM(E10:E10)</f>
        <v>0</v>
      </c>
      <c r="F15" s="590">
        <f>SUM(F10:F10)</f>
        <v>0</v>
      </c>
      <c r="G15" s="590">
        <f>SUM(G10:G10)</f>
        <v>0</v>
      </c>
      <c r="H15" s="591">
        <v>0</v>
      </c>
    </row>
    <row r="16" spans="1:11" s="382" customFormat="1" ht="15" x14ac:dyDescent="0.2">
      <c r="A16" s="557" t="s">
        <v>278</v>
      </c>
      <c r="B16" s="592"/>
      <c r="C16" s="588"/>
      <c r="D16" s="593"/>
      <c r="E16" s="590">
        <v>0</v>
      </c>
      <c r="F16" s="590">
        <v>0</v>
      </c>
      <c r="G16" s="590">
        <v>0</v>
      </c>
      <c r="H16" s="591">
        <v>0</v>
      </c>
    </row>
    <row r="17" spans="1:8" s="382" customFormat="1" ht="15" x14ac:dyDescent="0.2">
      <c r="A17" s="557" t="s">
        <v>488</v>
      </c>
      <c r="B17" s="592"/>
      <c r="C17" s="588"/>
      <c r="D17" s="593"/>
      <c r="E17" s="590">
        <v>0</v>
      </c>
      <c r="F17" s="590">
        <v>0</v>
      </c>
      <c r="G17" s="590">
        <v>0</v>
      </c>
      <c r="H17" s="607">
        <v>0</v>
      </c>
    </row>
    <row r="18" spans="1:8" s="382" customFormat="1" ht="15" x14ac:dyDescent="0.2">
      <c r="A18" s="557"/>
      <c r="B18" s="592"/>
      <c r="C18" s="588"/>
      <c r="D18" s="593"/>
      <c r="E18" s="590"/>
      <c r="F18" s="590"/>
      <c r="G18" s="590"/>
      <c r="H18" s="594"/>
    </row>
    <row r="19" spans="1:8" s="58" customFormat="1" ht="69" customHeight="1" thickBot="1" x14ac:dyDescent="0.4">
      <c r="A19" s="2650" t="s">
        <v>871</v>
      </c>
      <c r="B19" s="2756"/>
      <c r="C19" s="2756"/>
      <c r="D19" s="2756"/>
      <c r="E19" s="595">
        <f>SUM(E14)</f>
        <v>0</v>
      </c>
      <c r="F19" s="595">
        <f>SUM(F14)</f>
        <v>0</v>
      </c>
      <c r="G19" s="595">
        <f>SUM(G14)</f>
        <v>0</v>
      </c>
      <c r="H19" s="611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0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2" customWidth="1"/>
    <col min="2" max="2" width="6.7109375" style="412" customWidth="1"/>
    <col min="3" max="3" width="9" style="412" bestFit="1" customWidth="1"/>
    <col min="4" max="4" width="46.42578125" style="349" customWidth="1"/>
    <col min="5" max="5" width="14.7109375" style="454" customWidth="1"/>
    <col min="6" max="6" width="14.5703125" style="454" customWidth="1"/>
    <col min="7" max="7" width="13.85546875" style="454" customWidth="1"/>
    <col min="8" max="8" width="7" style="349" customWidth="1"/>
    <col min="9" max="16384" width="9.140625" style="349"/>
  </cols>
  <sheetData>
    <row r="1" spans="1:8" ht="18" x14ac:dyDescent="0.25">
      <c r="A1" s="473" t="s">
        <v>481</v>
      </c>
      <c r="B1" s="474"/>
      <c r="C1" s="474"/>
      <c r="D1" s="474"/>
      <c r="E1" s="474"/>
      <c r="F1" s="474"/>
      <c r="G1" s="417"/>
    </row>
    <row r="2" spans="1:8" ht="18.75" thickBot="1" x14ac:dyDescent="0.3">
      <c r="A2" s="476" t="s">
        <v>482</v>
      </c>
      <c r="B2" s="472"/>
      <c r="C2" s="472"/>
      <c r="D2" s="472"/>
      <c r="E2" s="472"/>
      <c r="F2" s="472"/>
      <c r="G2" s="417"/>
      <c r="H2" s="574" t="s">
        <v>1280</v>
      </c>
    </row>
    <row r="3" spans="1:8" ht="18" x14ac:dyDescent="0.25">
      <c r="A3" s="418"/>
      <c r="B3" s="417"/>
      <c r="C3" s="417"/>
      <c r="D3" s="417"/>
      <c r="E3" s="417"/>
      <c r="F3" s="417"/>
      <c r="G3" s="417"/>
      <c r="H3" s="574"/>
    </row>
    <row r="4" spans="1:8" s="382" customFormat="1" ht="16.5" customHeight="1" x14ac:dyDescent="0.2">
      <c r="A4" s="67" t="s">
        <v>387</v>
      </c>
      <c r="B4" s="28"/>
      <c r="C4" s="533" t="s">
        <v>363</v>
      </c>
    </row>
    <row r="5" spans="1:8" s="382" customFormat="1" ht="12.75" customHeight="1" x14ac:dyDescent="0.25">
      <c r="A5" s="6"/>
      <c r="B5" s="28"/>
      <c r="C5" s="533" t="s">
        <v>364</v>
      </c>
    </row>
    <row r="6" spans="1:8" ht="18" x14ac:dyDescent="0.25">
      <c r="A6" s="418" t="s">
        <v>713</v>
      </c>
      <c r="B6" s="417"/>
      <c r="C6" s="417"/>
      <c r="D6" s="417"/>
      <c r="E6" s="417"/>
      <c r="F6" s="417"/>
      <c r="G6" s="417"/>
      <c r="H6" s="574"/>
    </row>
    <row r="7" spans="1:8" ht="13.5" thickBot="1" x14ac:dyDescent="0.25">
      <c r="H7" s="349" t="s">
        <v>1289</v>
      </c>
    </row>
    <row r="8" spans="1:8" s="384" customFormat="1" ht="25.5" thickTop="1" thickBot="1" x14ac:dyDescent="0.25">
      <c r="A8" s="537" t="s">
        <v>174</v>
      </c>
      <c r="B8" s="538" t="s">
        <v>800</v>
      </c>
      <c r="C8" s="538" t="s">
        <v>397</v>
      </c>
      <c r="D8" s="539" t="s">
        <v>176</v>
      </c>
      <c r="E8" s="540" t="s">
        <v>669</v>
      </c>
      <c r="F8" s="540" t="s">
        <v>670</v>
      </c>
      <c r="G8" s="541" t="s">
        <v>923</v>
      </c>
      <c r="H8" s="542" t="s">
        <v>924</v>
      </c>
    </row>
    <row r="9" spans="1:8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43">
        <v>5</v>
      </c>
      <c r="F9" s="543">
        <v>6</v>
      </c>
      <c r="G9" s="544">
        <v>7</v>
      </c>
      <c r="H9" s="531" t="s">
        <v>61</v>
      </c>
    </row>
    <row r="10" spans="1:8" ht="21.75" customHeight="1" thickTop="1" thickBot="1" x14ac:dyDescent="0.25">
      <c r="A10" s="420">
        <v>6409</v>
      </c>
      <c r="B10" s="421">
        <v>5909</v>
      </c>
      <c r="C10" s="422"/>
      <c r="D10" s="423" t="s">
        <v>1379</v>
      </c>
      <c r="E10" s="415">
        <v>0</v>
      </c>
      <c r="F10" s="415">
        <v>0</v>
      </c>
      <c r="G10" s="415">
        <v>0</v>
      </c>
      <c r="H10" s="628">
        <v>0</v>
      </c>
    </row>
    <row r="11" spans="1:8" s="340" customFormat="1" ht="16.5" thickTop="1" thickBot="1" x14ac:dyDescent="0.3">
      <c r="A11" s="2754" t="s">
        <v>802</v>
      </c>
      <c r="B11" s="2755"/>
      <c r="C11" s="2755"/>
      <c r="D11" s="2755"/>
      <c r="E11" s="578">
        <f>SUM(E10:E10)</f>
        <v>0</v>
      </c>
      <c r="F11" s="578">
        <f>SUM(F10:F10)</f>
        <v>0</v>
      </c>
      <c r="G11" s="601">
        <f>SUM(G10:G10)</f>
        <v>0</v>
      </c>
      <c r="H11" s="579">
        <v>0</v>
      </c>
    </row>
    <row r="12" spans="1:8" ht="13.5" thickTop="1" x14ac:dyDescent="0.2"/>
    <row r="14" spans="1:8" s="602" customFormat="1" ht="16.5" x14ac:dyDescent="0.25">
      <c r="A14" s="581" t="s">
        <v>487</v>
      </c>
      <c r="B14" s="582"/>
      <c r="C14" s="583"/>
      <c r="D14" s="584"/>
      <c r="E14" s="585">
        <f>SUM(E15:E17)</f>
        <v>0</v>
      </c>
      <c r="F14" s="585">
        <f>F15+F16+F17+F18</f>
        <v>0</v>
      </c>
      <c r="G14" s="585">
        <f>G15+G16+G17+G18</f>
        <v>0</v>
      </c>
      <c r="H14" s="586">
        <v>0</v>
      </c>
    </row>
    <row r="15" spans="1:8" s="382" customFormat="1" ht="15" x14ac:dyDescent="0.2">
      <c r="A15" s="557" t="s">
        <v>277</v>
      </c>
      <c r="B15" s="587"/>
      <c r="C15" s="588"/>
      <c r="D15" s="589"/>
      <c r="E15" s="590">
        <f>SUM(E10:E10)</f>
        <v>0</v>
      </c>
      <c r="F15" s="590">
        <f>SUM(F10:F10)</f>
        <v>0</v>
      </c>
      <c r="G15" s="590">
        <f>SUM(G10:G10)</f>
        <v>0</v>
      </c>
      <c r="H15" s="591">
        <v>0</v>
      </c>
    </row>
    <row r="16" spans="1:8" s="382" customFormat="1" ht="15" x14ac:dyDescent="0.2">
      <c r="A16" s="557" t="s">
        <v>278</v>
      </c>
      <c r="B16" s="592"/>
      <c r="C16" s="588"/>
      <c r="D16" s="593"/>
      <c r="E16" s="590">
        <v>0</v>
      </c>
      <c r="F16" s="590">
        <v>0</v>
      </c>
      <c r="G16" s="590">
        <v>0</v>
      </c>
      <c r="H16" s="591">
        <v>0</v>
      </c>
    </row>
    <row r="17" spans="1:8" s="382" customFormat="1" ht="15" x14ac:dyDescent="0.2">
      <c r="A17" s="557" t="s">
        <v>488</v>
      </c>
      <c r="B17" s="592"/>
      <c r="C17" s="588"/>
      <c r="D17" s="593"/>
      <c r="E17" s="590">
        <v>0</v>
      </c>
      <c r="F17" s="590">
        <v>0</v>
      </c>
      <c r="G17" s="590">
        <v>0</v>
      </c>
      <c r="H17" s="607">
        <v>0</v>
      </c>
    </row>
    <row r="18" spans="1:8" s="382" customFormat="1" ht="15" x14ac:dyDescent="0.2">
      <c r="A18" s="557"/>
      <c r="B18" s="592"/>
      <c r="C18" s="588"/>
      <c r="D18" s="593"/>
      <c r="E18" s="590"/>
      <c r="F18" s="590"/>
      <c r="G18" s="590"/>
      <c r="H18" s="594"/>
    </row>
    <row r="19" spans="1:8" s="58" customFormat="1" ht="71.25" customHeight="1" thickBot="1" x14ac:dyDescent="0.4">
      <c r="A19" s="2650" t="s">
        <v>494</v>
      </c>
      <c r="B19" s="2756"/>
      <c r="C19" s="2756"/>
      <c r="D19" s="2756"/>
      <c r="E19" s="595">
        <f>SUM(E14)</f>
        <v>0</v>
      </c>
      <c r="F19" s="595">
        <f>SUM(F14)</f>
        <v>0</v>
      </c>
      <c r="G19" s="595">
        <f>SUM(G14)</f>
        <v>0</v>
      </c>
      <c r="H19" s="609">
        <v>0</v>
      </c>
    </row>
    <row r="20" spans="1:8" ht="13.5" thickTop="1" x14ac:dyDescent="0.2"/>
  </sheetData>
  <mergeCells count="2">
    <mergeCell ref="A11:D11"/>
    <mergeCell ref="A19:D19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65" firstPageNumber="148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6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2" customWidth="1"/>
    <col min="2" max="2" width="6.7109375" style="412" customWidth="1"/>
    <col min="3" max="3" width="9" style="412" bestFit="1" customWidth="1"/>
    <col min="4" max="4" width="46.42578125" style="349" customWidth="1"/>
    <col min="5" max="5" width="15" style="454" customWidth="1"/>
    <col min="6" max="6" width="13.5703125" style="454" customWidth="1"/>
    <col min="7" max="7" width="12.28515625" style="454" customWidth="1"/>
    <col min="8" max="8" width="6.42578125" style="349" customWidth="1"/>
    <col min="9" max="9" width="12.7109375" style="349" bestFit="1" customWidth="1"/>
    <col min="10" max="16384" width="9.140625" style="349"/>
  </cols>
  <sheetData>
    <row r="1" spans="1:8" ht="18.75" thickBot="1" x14ac:dyDescent="0.3">
      <c r="A1" s="471" t="s">
        <v>1120</v>
      </c>
      <c r="B1" s="472"/>
      <c r="C1" s="472"/>
      <c r="D1" s="472"/>
      <c r="E1" s="472"/>
      <c r="F1" s="417"/>
      <c r="G1" s="417"/>
    </row>
    <row r="2" spans="1:8" ht="18" x14ac:dyDescent="0.25">
      <c r="B2" s="417"/>
      <c r="C2" s="417"/>
      <c r="D2" s="417"/>
      <c r="E2" s="417"/>
      <c r="F2" s="417"/>
      <c r="G2" s="417"/>
      <c r="H2" s="574" t="s">
        <v>1281</v>
      </c>
    </row>
    <row r="3" spans="1:8" s="382" customFormat="1" ht="16.5" customHeight="1" x14ac:dyDescent="0.2">
      <c r="A3" s="67" t="s">
        <v>387</v>
      </c>
      <c r="B3" s="28"/>
      <c r="C3" s="533" t="s">
        <v>363</v>
      </c>
    </row>
    <row r="4" spans="1:8" s="382" customFormat="1" ht="12.75" customHeight="1" x14ac:dyDescent="0.25">
      <c r="A4" s="6"/>
      <c r="B4" s="28"/>
      <c r="C4" s="533" t="s">
        <v>364</v>
      </c>
    </row>
    <row r="5" spans="1:8" ht="18" x14ac:dyDescent="0.25">
      <c r="A5" s="418" t="s">
        <v>1119</v>
      </c>
      <c r="B5" s="417"/>
      <c r="C5" s="417"/>
      <c r="D5" s="417"/>
      <c r="E5" s="417"/>
      <c r="F5" s="417"/>
      <c r="G5" s="417"/>
      <c r="H5" s="574"/>
    </row>
    <row r="6" spans="1:8" ht="18.75" thickBot="1" x14ac:dyDescent="0.3">
      <c r="A6" s="418"/>
      <c r="B6" s="417"/>
      <c r="C6" s="417"/>
      <c r="D6" s="417"/>
      <c r="E6" s="417"/>
      <c r="F6" s="417"/>
      <c r="G6" s="417"/>
      <c r="H6" s="608" t="s">
        <v>1289</v>
      </c>
    </row>
    <row r="7" spans="1:8" s="384" customFormat="1" ht="25.5" thickTop="1" thickBot="1" x14ac:dyDescent="0.25">
      <c r="A7" s="537" t="s">
        <v>174</v>
      </c>
      <c r="B7" s="538" t="s">
        <v>800</v>
      </c>
      <c r="C7" s="538" t="s">
        <v>397</v>
      </c>
      <c r="D7" s="539" t="s">
        <v>176</v>
      </c>
      <c r="E7" s="540" t="s">
        <v>669</v>
      </c>
      <c r="F7" s="540" t="s">
        <v>670</v>
      </c>
      <c r="G7" s="541" t="s">
        <v>923</v>
      </c>
      <c r="H7" s="542" t="s">
        <v>924</v>
      </c>
    </row>
    <row r="8" spans="1:8" s="384" customFormat="1" ht="13.5" thickTop="1" thickBot="1" x14ac:dyDescent="0.25">
      <c r="A8" s="568">
        <v>1</v>
      </c>
      <c r="B8" s="569">
        <v>2</v>
      </c>
      <c r="C8" s="569">
        <v>3</v>
      </c>
      <c r="D8" s="569">
        <v>4</v>
      </c>
      <c r="E8" s="543">
        <v>5</v>
      </c>
      <c r="F8" s="543">
        <v>6</v>
      </c>
      <c r="G8" s="544">
        <v>7</v>
      </c>
      <c r="H8" s="531" t="s">
        <v>61</v>
      </c>
    </row>
    <row r="9" spans="1:8" s="350" customFormat="1" ht="20.25" customHeight="1" thickTop="1" thickBot="1" x14ac:dyDescent="0.25">
      <c r="A9" s="420">
        <v>6409</v>
      </c>
      <c r="B9" s="421">
        <v>5909</v>
      </c>
      <c r="C9" s="422"/>
      <c r="D9" s="423" t="s">
        <v>1379</v>
      </c>
      <c r="E9" s="415">
        <v>0</v>
      </c>
      <c r="F9" s="415">
        <v>0</v>
      </c>
      <c r="G9" s="415">
        <v>0</v>
      </c>
      <c r="H9" s="438">
        <v>0</v>
      </c>
    </row>
    <row r="10" spans="1:8" s="340" customFormat="1" ht="16.5" thickTop="1" thickBot="1" x14ac:dyDescent="0.3">
      <c r="A10" s="2754" t="s">
        <v>802</v>
      </c>
      <c r="B10" s="2755"/>
      <c r="C10" s="2755"/>
      <c r="D10" s="2755"/>
      <c r="E10" s="578">
        <f>SUM(E9:E9)</f>
        <v>0</v>
      </c>
      <c r="F10" s="578">
        <f>SUM(F9:F9)</f>
        <v>0</v>
      </c>
      <c r="G10" s="578">
        <f>SUM(G9:G9)</f>
        <v>0</v>
      </c>
      <c r="H10" s="438">
        <v>0</v>
      </c>
    </row>
    <row r="11" spans="1:8" ht="13.5" thickTop="1" x14ac:dyDescent="0.2"/>
    <row r="13" spans="1:8" s="602" customFormat="1" ht="16.5" x14ac:dyDescent="0.25">
      <c r="A13" s="581" t="s">
        <v>487</v>
      </c>
      <c r="B13" s="582"/>
      <c r="C13" s="583"/>
      <c r="D13" s="584"/>
      <c r="E13" s="585">
        <f>SUM(E14:E16)</f>
        <v>0</v>
      </c>
      <c r="F13" s="585">
        <f>F14+F15+F16+F17</f>
        <v>0</v>
      </c>
      <c r="G13" s="585">
        <f>G14+G15+G16+G17</f>
        <v>0</v>
      </c>
      <c r="H13" s="586">
        <v>0</v>
      </c>
    </row>
    <row r="14" spans="1:8" s="382" customFormat="1" ht="15" x14ac:dyDescent="0.2">
      <c r="A14" s="557" t="s">
        <v>277</v>
      </c>
      <c r="B14" s="587"/>
      <c r="C14" s="588"/>
      <c r="D14" s="589"/>
      <c r="E14" s="590">
        <f>SUM(E10)</f>
        <v>0</v>
      </c>
      <c r="F14" s="590">
        <f>SUM(F10)</f>
        <v>0</v>
      </c>
      <c r="G14" s="590">
        <f>SUM(G10)</f>
        <v>0</v>
      </c>
      <c r="H14" s="591">
        <v>0</v>
      </c>
    </row>
    <row r="15" spans="1:8" s="382" customFormat="1" ht="15" x14ac:dyDescent="0.2">
      <c r="A15" s="557" t="s">
        <v>278</v>
      </c>
      <c r="B15" s="592"/>
      <c r="C15" s="588"/>
      <c r="D15" s="593"/>
      <c r="E15" s="590">
        <v>0</v>
      </c>
      <c r="F15" s="590">
        <v>0</v>
      </c>
      <c r="G15" s="590">
        <v>0</v>
      </c>
      <c r="H15" s="607">
        <v>0</v>
      </c>
    </row>
    <row r="16" spans="1:8" s="382" customFormat="1" ht="15" x14ac:dyDescent="0.2">
      <c r="A16" s="557" t="s">
        <v>488</v>
      </c>
      <c r="B16" s="592"/>
      <c r="C16" s="588"/>
      <c r="D16" s="593"/>
      <c r="E16" s="590">
        <v>0</v>
      </c>
      <c r="F16" s="590">
        <v>0</v>
      </c>
      <c r="G16" s="590">
        <v>0</v>
      </c>
      <c r="H16" s="607">
        <v>0</v>
      </c>
    </row>
    <row r="17" spans="1:8" s="382" customFormat="1" ht="15" x14ac:dyDescent="0.2">
      <c r="A17" s="557"/>
      <c r="B17" s="592"/>
      <c r="C17" s="588"/>
      <c r="D17" s="593"/>
      <c r="E17" s="590"/>
      <c r="F17" s="590"/>
      <c r="G17" s="590"/>
      <c r="H17" s="594"/>
    </row>
    <row r="18" spans="1:8" s="58" customFormat="1" ht="47.25" customHeight="1" thickBot="1" x14ac:dyDescent="0.4">
      <c r="A18" s="2650" t="s">
        <v>1121</v>
      </c>
      <c r="B18" s="2756"/>
      <c r="C18" s="2756"/>
      <c r="D18" s="2756"/>
      <c r="E18" s="595">
        <f>SUM(E13)</f>
        <v>0</v>
      </c>
      <c r="F18" s="595">
        <f>SUM(F13)</f>
        <v>0</v>
      </c>
      <c r="G18" s="595">
        <f>SUM(G13)</f>
        <v>0</v>
      </c>
      <c r="H18" s="609" t="e">
        <f>(G18/F18)*100</f>
        <v>#DIV/0!</v>
      </c>
    </row>
    <row r="19" spans="1:8" ht="13.5" thickTop="1" x14ac:dyDescent="0.2"/>
    <row r="26" spans="1:8" ht="20.25" x14ac:dyDescent="0.3">
      <c r="D26" s="610"/>
    </row>
  </sheetData>
  <mergeCells count="2">
    <mergeCell ref="A10:D10"/>
    <mergeCell ref="A18:D18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49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6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2" customWidth="1"/>
    <col min="2" max="2" width="6.7109375" style="412" customWidth="1"/>
    <col min="3" max="3" width="9.28515625" style="412" customWidth="1"/>
    <col min="4" max="4" width="46.42578125" style="349" customWidth="1"/>
    <col min="5" max="5" width="12.140625" style="454" customWidth="1"/>
    <col min="6" max="6" width="16.85546875" style="454" customWidth="1"/>
    <col min="7" max="7" width="13.85546875" style="454" customWidth="1"/>
    <col min="8" max="8" width="6.42578125" style="349" customWidth="1"/>
    <col min="9" max="9" width="11.7109375" style="349" bestFit="1" customWidth="1"/>
    <col min="10" max="16384" width="9.140625" style="349"/>
  </cols>
  <sheetData>
    <row r="1" spans="1:8" ht="36" customHeight="1" thickBot="1" x14ac:dyDescent="0.3">
      <c r="A1" s="2760" t="s">
        <v>462</v>
      </c>
      <c r="B1" s="2761"/>
      <c r="C1" s="2761"/>
      <c r="D1" s="2761"/>
      <c r="E1" s="2761"/>
      <c r="F1" s="2761"/>
      <c r="G1" s="2761"/>
      <c r="H1" s="2761"/>
    </row>
    <row r="2" spans="1:8" ht="18" x14ac:dyDescent="0.25">
      <c r="B2" s="417"/>
      <c r="C2" s="417"/>
      <c r="D2" s="417"/>
      <c r="E2" s="417"/>
      <c r="F2" s="417"/>
      <c r="G2" s="417"/>
      <c r="H2" s="574" t="s">
        <v>1286</v>
      </c>
    </row>
    <row r="3" spans="1:8" s="382" customFormat="1" ht="16.5" customHeight="1" x14ac:dyDescent="0.25">
      <c r="A3" s="67" t="s">
        <v>387</v>
      </c>
      <c r="B3" s="28"/>
      <c r="C3" s="533" t="s">
        <v>363</v>
      </c>
      <c r="E3" s="16"/>
      <c r="G3" s="603"/>
    </row>
    <row r="4" spans="1:8" s="382" customFormat="1" ht="12.75" customHeight="1" x14ac:dyDescent="0.25">
      <c r="A4" s="6"/>
      <c r="B4" s="28"/>
      <c r="C4" s="533" t="s">
        <v>364</v>
      </c>
      <c r="E4" s="16"/>
      <c r="G4" s="603"/>
    </row>
    <row r="5" spans="1:8" ht="18" x14ac:dyDescent="0.25">
      <c r="A5" s="575"/>
      <c r="B5" s="417"/>
      <c r="C5" s="417"/>
      <c r="D5" s="417"/>
      <c r="E5" s="417"/>
      <c r="F5" s="417"/>
      <c r="G5" s="417"/>
      <c r="H5" s="574"/>
    </row>
    <row r="6" spans="1:8" ht="18" x14ac:dyDescent="0.25">
      <c r="A6" s="418" t="s">
        <v>45</v>
      </c>
      <c r="B6" s="417"/>
      <c r="C6" s="417"/>
      <c r="D6" s="417"/>
      <c r="E6" s="417"/>
      <c r="F6" s="417"/>
      <c r="G6" s="417"/>
      <c r="H6" s="574"/>
    </row>
    <row r="7" spans="1:8" ht="15.75" thickBot="1" x14ac:dyDescent="0.3">
      <c r="A7" s="535"/>
      <c r="H7" s="576" t="s">
        <v>1289</v>
      </c>
    </row>
    <row r="8" spans="1:8" s="384" customFormat="1" ht="25.5" thickTop="1" thickBot="1" x14ac:dyDescent="0.25">
      <c r="A8" s="537" t="s">
        <v>174</v>
      </c>
      <c r="B8" s="538" t="s">
        <v>800</v>
      </c>
      <c r="C8" s="538" t="s">
        <v>397</v>
      </c>
      <c r="D8" s="539" t="s">
        <v>176</v>
      </c>
      <c r="E8" s="540" t="s">
        <v>669</v>
      </c>
      <c r="F8" s="540" t="s">
        <v>670</v>
      </c>
      <c r="G8" s="541" t="s">
        <v>923</v>
      </c>
      <c r="H8" s="542" t="s">
        <v>924</v>
      </c>
    </row>
    <row r="9" spans="1:8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43">
        <v>5</v>
      </c>
      <c r="F9" s="543">
        <v>6</v>
      </c>
      <c r="G9" s="544">
        <v>7</v>
      </c>
      <c r="H9" s="531" t="s">
        <v>61</v>
      </c>
    </row>
    <row r="10" spans="1:8" ht="16.5" thickTop="1" thickBot="1" x14ac:dyDescent="0.25">
      <c r="A10" s="420">
        <v>6409</v>
      </c>
      <c r="B10" s="421">
        <v>5909</v>
      </c>
      <c r="C10" s="422"/>
      <c r="D10" s="423" t="s">
        <v>766</v>
      </c>
      <c r="E10" s="416"/>
      <c r="F10" s="416">
        <v>0</v>
      </c>
      <c r="G10" s="605">
        <v>0</v>
      </c>
      <c r="H10" s="438">
        <v>0</v>
      </c>
    </row>
    <row r="11" spans="1:8" s="340" customFormat="1" ht="16.5" thickTop="1" thickBot="1" x14ac:dyDescent="0.3">
      <c r="A11" s="2754" t="s">
        <v>802</v>
      </c>
      <c r="B11" s="2755"/>
      <c r="C11" s="2755"/>
      <c r="D11" s="2755"/>
      <c r="E11" s="578">
        <f>SUM(E10:E10)</f>
        <v>0</v>
      </c>
      <c r="F11" s="578">
        <f>SUM(F10:F10)</f>
        <v>0</v>
      </c>
      <c r="G11" s="601">
        <f>SUM(G10:G10)</f>
        <v>0</v>
      </c>
      <c r="H11" s="438">
        <v>0</v>
      </c>
    </row>
    <row r="12" spans="1:8" s="340" customFormat="1" ht="15.75" thickTop="1" x14ac:dyDescent="0.25">
      <c r="A12" s="337" t="s">
        <v>803</v>
      </c>
      <c r="B12" s="338"/>
      <c r="C12" s="338"/>
      <c r="D12" s="339"/>
      <c r="E12" s="352"/>
      <c r="F12" s="352">
        <v>0</v>
      </c>
      <c r="G12" s="352">
        <f>G10</f>
        <v>0</v>
      </c>
      <c r="H12" s="374">
        <v>0</v>
      </c>
    </row>
    <row r="13" spans="1:8" s="340" customFormat="1" ht="15.75" thickBot="1" x14ac:dyDescent="0.3">
      <c r="A13" s="597" t="s">
        <v>808</v>
      </c>
      <c r="B13" s="562"/>
      <c r="C13" s="562"/>
      <c r="D13" s="598"/>
      <c r="E13" s="599">
        <f>E11-E12</f>
        <v>0</v>
      </c>
      <c r="F13" s="599">
        <f>F11-F12</f>
        <v>0</v>
      </c>
      <c r="G13" s="599">
        <f>G11-G12</f>
        <v>0</v>
      </c>
      <c r="H13" s="606">
        <v>0</v>
      </c>
    </row>
    <row r="14" spans="1:8" ht="13.5" thickTop="1" x14ac:dyDescent="0.2"/>
    <row r="20" spans="1:8" s="602" customFormat="1" ht="16.5" x14ac:dyDescent="0.25">
      <c r="A20" s="581" t="s">
        <v>487</v>
      </c>
      <c r="B20" s="582"/>
      <c r="C20" s="583"/>
      <c r="D20" s="584"/>
      <c r="E20" s="585">
        <f>SUM(E21:E23)</f>
        <v>0</v>
      </c>
      <c r="F20" s="585">
        <f>F21+F22+F23+F24</f>
        <v>0</v>
      </c>
      <c r="G20" s="585">
        <f>G21+G22+G23+G24</f>
        <v>0</v>
      </c>
      <c r="H20" s="586">
        <v>0</v>
      </c>
    </row>
    <row r="21" spans="1:8" s="382" customFormat="1" ht="15" x14ac:dyDescent="0.2">
      <c r="A21" s="557" t="s">
        <v>277</v>
      </c>
      <c r="B21" s="587"/>
      <c r="C21" s="588"/>
      <c r="D21" s="589"/>
      <c r="E21" s="590">
        <v>0</v>
      </c>
      <c r="F21" s="590">
        <v>0</v>
      </c>
      <c r="G21" s="590">
        <v>0</v>
      </c>
      <c r="H21" s="591">
        <v>0</v>
      </c>
    </row>
    <row r="22" spans="1:8" s="382" customFormat="1" ht="15" x14ac:dyDescent="0.2">
      <c r="A22" s="557" t="s">
        <v>278</v>
      </c>
      <c r="B22" s="592"/>
      <c r="C22" s="588"/>
      <c r="D22" s="593"/>
      <c r="E22" s="590">
        <v>0</v>
      </c>
      <c r="F22" s="590">
        <v>0</v>
      </c>
      <c r="G22" s="590">
        <v>0</v>
      </c>
      <c r="H22" s="607">
        <v>0</v>
      </c>
    </row>
    <row r="23" spans="1:8" s="382" customFormat="1" ht="15" x14ac:dyDescent="0.2">
      <c r="A23" s="557" t="s">
        <v>488</v>
      </c>
      <c r="B23" s="592"/>
      <c r="C23" s="588"/>
      <c r="D23" s="593"/>
      <c r="E23" s="590">
        <f>E10</f>
        <v>0</v>
      </c>
      <c r="F23" s="590">
        <f>F10</f>
        <v>0</v>
      </c>
      <c r="G23" s="590">
        <f>G10</f>
        <v>0</v>
      </c>
      <c r="H23" s="607">
        <v>0</v>
      </c>
    </row>
    <row r="24" spans="1:8" s="382" customFormat="1" ht="15" x14ac:dyDescent="0.2">
      <c r="A24" s="557"/>
      <c r="B24" s="592"/>
      <c r="C24" s="588"/>
      <c r="D24" s="593"/>
      <c r="E24" s="590"/>
      <c r="F24" s="590"/>
      <c r="G24" s="590"/>
      <c r="H24" s="594"/>
    </row>
    <row r="25" spans="1:8" s="58" customFormat="1" ht="75" customHeight="1" thickBot="1" x14ac:dyDescent="0.4">
      <c r="A25" s="2706" t="s">
        <v>1285</v>
      </c>
      <c r="B25" s="2759"/>
      <c r="C25" s="2759"/>
      <c r="D25" s="2759"/>
      <c r="E25" s="595">
        <f>SUM(E20)</f>
        <v>0</v>
      </c>
      <c r="F25" s="595">
        <f>SUM(F20)</f>
        <v>0</v>
      </c>
      <c r="G25" s="595">
        <f>SUM(G20)</f>
        <v>0</v>
      </c>
      <c r="H25" s="596"/>
    </row>
    <row r="26" spans="1:8" ht="13.5" thickTop="1" x14ac:dyDescent="0.2"/>
  </sheetData>
  <mergeCells count="3">
    <mergeCell ref="A25:D25"/>
    <mergeCell ref="A1:H1"/>
    <mergeCell ref="A11:D11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5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1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2" customWidth="1"/>
    <col min="2" max="2" width="6.7109375" style="412" customWidth="1"/>
    <col min="3" max="3" width="9.42578125" style="412" customWidth="1"/>
    <col min="4" max="4" width="46.42578125" style="349" customWidth="1"/>
    <col min="5" max="5" width="12.5703125" style="454" customWidth="1"/>
    <col min="6" max="6" width="16.85546875" style="454" customWidth="1"/>
    <col min="7" max="7" width="13.85546875" style="454" customWidth="1"/>
    <col min="8" max="8" width="6.85546875" style="560" customWidth="1"/>
    <col min="9" max="9" width="15.42578125" style="349" customWidth="1"/>
    <col min="10" max="16384" width="9.140625" style="349"/>
  </cols>
  <sheetData>
    <row r="1" spans="1:8" ht="36" customHeight="1" thickBot="1" x14ac:dyDescent="0.3">
      <c r="A1" s="2760" t="s">
        <v>416</v>
      </c>
      <c r="B1" s="2761"/>
      <c r="C1" s="2761"/>
      <c r="D1" s="2761"/>
      <c r="E1" s="2761"/>
      <c r="F1" s="2761"/>
      <c r="G1" s="2761"/>
      <c r="H1" s="2761"/>
    </row>
    <row r="2" spans="1:8" ht="24" customHeight="1" x14ac:dyDescent="0.25">
      <c r="A2" s="400"/>
      <c r="B2" s="401"/>
      <c r="C2" s="401"/>
      <c r="D2" s="401"/>
      <c r="E2" s="401"/>
      <c r="F2" s="401"/>
      <c r="G2" s="401"/>
      <c r="H2" s="574" t="s">
        <v>40</v>
      </c>
    </row>
    <row r="3" spans="1:8" s="382" customFormat="1" ht="16.5" customHeight="1" x14ac:dyDescent="0.25">
      <c r="A3" s="67" t="s">
        <v>387</v>
      </c>
      <c r="B3" s="28"/>
      <c r="C3" s="533" t="s">
        <v>363</v>
      </c>
      <c r="E3" s="17"/>
      <c r="F3" s="16"/>
      <c r="H3" s="603"/>
    </row>
    <row r="4" spans="1:8" s="382" customFormat="1" ht="12.75" customHeight="1" x14ac:dyDescent="0.25">
      <c r="A4" s="6"/>
      <c r="B4" s="28"/>
      <c r="C4" s="533" t="s">
        <v>364</v>
      </c>
      <c r="E4" s="17"/>
      <c r="F4" s="16"/>
      <c r="H4" s="603"/>
    </row>
    <row r="5" spans="1:8" ht="15.75" x14ac:dyDescent="0.25">
      <c r="A5" s="567"/>
      <c r="B5" s="417"/>
      <c r="C5" s="417"/>
      <c r="D5" s="417"/>
      <c r="E5" s="417"/>
      <c r="F5" s="417"/>
      <c r="G5" s="417"/>
    </row>
    <row r="6" spans="1:8" ht="18" x14ac:dyDescent="0.25">
      <c r="A6" s="418" t="s">
        <v>41</v>
      </c>
      <c r="B6" s="417"/>
      <c r="C6" s="417"/>
      <c r="D6" s="417"/>
      <c r="E6" s="417"/>
      <c r="F6" s="417"/>
      <c r="G6" s="417"/>
      <c r="H6" s="574"/>
    </row>
    <row r="8" spans="1:8" ht="15.75" thickBot="1" x14ac:dyDescent="0.3">
      <c r="A8" s="535"/>
      <c r="H8" s="576" t="s">
        <v>173</v>
      </c>
    </row>
    <row r="9" spans="1:8" s="384" customFormat="1" ht="25.5" thickTop="1" thickBot="1" x14ac:dyDescent="0.25">
      <c r="A9" s="537" t="s">
        <v>174</v>
      </c>
      <c r="B9" s="538" t="s">
        <v>800</v>
      </c>
      <c r="C9" s="538" t="s">
        <v>397</v>
      </c>
      <c r="D9" s="539" t="s">
        <v>176</v>
      </c>
      <c r="E9" s="540" t="s">
        <v>669</v>
      </c>
      <c r="F9" s="540" t="s">
        <v>670</v>
      </c>
      <c r="G9" s="541" t="s">
        <v>923</v>
      </c>
      <c r="H9" s="542" t="s">
        <v>924</v>
      </c>
    </row>
    <row r="10" spans="1:8" s="384" customFormat="1" ht="13.5" thickTop="1" thickBot="1" x14ac:dyDescent="0.25">
      <c r="A10" s="568">
        <v>1</v>
      </c>
      <c r="B10" s="569">
        <v>2</v>
      </c>
      <c r="C10" s="569">
        <v>3</v>
      </c>
      <c r="D10" s="569">
        <v>4</v>
      </c>
      <c r="E10" s="543">
        <v>5</v>
      </c>
      <c r="F10" s="543">
        <v>6</v>
      </c>
      <c r="G10" s="544">
        <v>7</v>
      </c>
      <c r="H10" s="531" t="s">
        <v>61</v>
      </c>
    </row>
    <row r="11" spans="1:8" ht="15.75" thickTop="1" x14ac:dyDescent="0.2">
      <c r="A11" s="420">
        <v>6330</v>
      </c>
      <c r="B11" s="421">
        <v>5345</v>
      </c>
      <c r="C11" s="604"/>
      <c r="D11" s="423" t="s">
        <v>806</v>
      </c>
      <c r="E11" s="391"/>
      <c r="F11" s="391">
        <v>0</v>
      </c>
      <c r="G11" s="600">
        <v>0</v>
      </c>
      <c r="H11" s="439">
        <v>0</v>
      </c>
    </row>
    <row r="12" spans="1:8" ht="21" customHeight="1" thickBot="1" x14ac:dyDescent="0.25">
      <c r="A12" s="420">
        <v>6409</v>
      </c>
      <c r="B12" s="421">
        <v>5909</v>
      </c>
      <c r="C12" s="604"/>
      <c r="D12" s="423" t="s">
        <v>820</v>
      </c>
      <c r="E12" s="391"/>
      <c r="F12" s="391">
        <v>0</v>
      </c>
      <c r="G12" s="600">
        <v>0</v>
      </c>
      <c r="H12" s="438">
        <v>0</v>
      </c>
    </row>
    <row r="13" spans="1:8" s="340" customFormat="1" ht="16.5" thickTop="1" thickBot="1" x14ac:dyDescent="0.3">
      <c r="A13" s="2754" t="s">
        <v>802</v>
      </c>
      <c r="B13" s="2755"/>
      <c r="C13" s="2755"/>
      <c r="D13" s="2755"/>
      <c r="E13" s="578">
        <f>SUM(E11:E12)</f>
        <v>0</v>
      </c>
      <c r="F13" s="578">
        <f>SUM(F11:F12)</f>
        <v>0</v>
      </c>
      <c r="G13" s="601">
        <f>SUM(G11:G12)</f>
        <v>0</v>
      </c>
      <c r="H13" s="438">
        <v>0</v>
      </c>
    </row>
    <row r="14" spans="1:8" ht="13.5" thickTop="1" x14ac:dyDescent="0.2"/>
    <row r="15" spans="1:8" s="602" customFormat="1" ht="16.5" x14ac:dyDescent="0.25">
      <c r="A15" s="581" t="s">
        <v>487</v>
      </c>
      <c r="B15" s="582"/>
      <c r="C15" s="583"/>
      <c r="D15" s="584"/>
      <c r="E15" s="585">
        <f>SUM(E16:E18)</f>
        <v>0</v>
      </c>
      <c r="F15" s="585">
        <f>F16+F17+F18+F19</f>
        <v>0</v>
      </c>
      <c r="G15" s="585">
        <f>G16+G17+G18+G19</f>
        <v>0</v>
      </c>
      <c r="H15" s="586">
        <v>0</v>
      </c>
    </row>
    <row r="16" spans="1:8" s="382" customFormat="1" ht="15" x14ac:dyDescent="0.2">
      <c r="A16" s="557" t="s">
        <v>277</v>
      </c>
      <c r="B16" s="587"/>
      <c r="C16" s="588"/>
      <c r="D16" s="589"/>
      <c r="E16" s="590">
        <f>SUM(E12:E12)</f>
        <v>0</v>
      </c>
      <c r="F16" s="590">
        <f>SUM(F12:F12)</f>
        <v>0</v>
      </c>
      <c r="G16" s="590">
        <f>SUM(G12:G12)</f>
        <v>0</v>
      </c>
      <c r="H16" s="591">
        <v>0</v>
      </c>
    </row>
    <row r="17" spans="1:8" s="382" customFormat="1" ht="15" x14ac:dyDescent="0.2">
      <c r="A17" s="557" t="s">
        <v>278</v>
      </c>
      <c r="B17" s="592"/>
      <c r="C17" s="588"/>
      <c r="D17" s="593"/>
      <c r="E17" s="590">
        <v>0</v>
      </c>
      <c r="F17" s="590">
        <v>0</v>
      </c>
      <c r="G17" s="590">
        <v>0</v>
      </c>
      <c r="H17" s="591">
        <v>0</v>
      </c>
    </row>
    <row r="18" spans="1:8" s="382" customFormat="1" ht="15" x14ac:dyDescent="0.2">
      <c r="A18" s="557" t="s">
        <v>488</v>
      </c>
      <c r="B18" s="592"/>
      <c r="C18" s="588"/>
      <c r="D18" s="593"/>
      <c r="E18" s="590">
        <f>E11</f>
        <v>0</v>
      </c>
      <c r="F18" s="590">
        <f>F11</f>
        <v>0</v>
      </c>
      <c r="G18" s="590">
        <f>G11</f>
        <v>0</v>
      </c>
      <c r="H18" s="591">
        <v>0</v>
      </c>
    </row>
    <row r="19" spans="1:8" s="382" customFormat="1" ht="15" x14ac:dyDescent="0.2">
      <c r="A19" s="557"/>
      <c r="B19" s="592"/>
      <c r="C19" s="588"/>
      <c r="D19" s="593"/>
      <c r="E19" s="590"/>
      <c r="F19" s="590"/>
      <c r="G19" s="590"/>
      <c r="H19" s="594"/>
    </row>
    <row r="20" spans="1:8" s="58" customFormat="1" ht="75" customHeight="1" thickBot="1" x14ac:dyDescent="0.4">
      <c r="A20" s="2650" t="s">
        <v>44</v>
      </c>
      <c r="B20" s="2756"/>
      <c r="C20" s="2756"/>
      <c r="D20" s="2756"/>
      <c r="E20" s="595">
        <f>SUM(E15)</f>
        <v>0</v>
      </c>
      <c r="F20" s="595">
        <f>SUM(F15)</f>
        <v>0</v>
      </c>
      <c r="G20" s="595">
        <f>SUM(G15)</f>
        <v>0</v>
      </c>
      <c r="H20" s="596"/>
    </row>
    <row r="21" spans="1:8" ht="13.5" thickTop="1" x14ac:dyDescent="0.2"/>
  </sheetData>
  <mergeCells count="3">
    <mergeCell ref="A20:D20"/>
    <mergeCell ref="A1:H1"/>
    <mergeCell ref="A13:D13"/>
  </mergeCells>
  <phoneticPr fontId="35" type="noConversion"/>
  <pageMargins left="0.78740157480314965" right="0.98425196850393704" top="0.98425196850393704" bottom="0.98425196850393704" header="0.51181102362204722" footer="0.51181102362204722"/>
  <pageSetup paperSize="9" scale="70" firstPageNumber="155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I19"/>
  <sheetViews>
    <sheetView showGridLines="0" zoomScaleNormal="100" workbookViewId="0">
      <selection activeCell="E22" sqref="E22"/>
    </sheetView>
  </sheetViews>
  <sheetFormatPr defaultRowHeight="12.75" x14ac:dyDescent="0.2"/>
  <cols>
    <col min="1" max="1" width="4.7109375" style="412" customWidth="1"/>
    <col min="2" max="2" width="6.7109375" style="412" customWidth="1"/>
    <col min="3" max="3" width="8.85546875" style="412" customWidth="1"/>
    <col min="4" max="4" width="46.42578125" style="349" customWidth="1"/>
    <col min="5" max="5" width="12.85546875" style="454" customWidth="1"/>
    <col min="6" max="6" width="16.85546875" style="454" customWidth="1"/>
    <col min="7" max="7" width="13.85546875" style="454" customWidth="1"/>
    <col min="8" max="8" width="6.42578125" style="349" customWidth="1"/>
    <col min="9" max="9" width="12.5703125" style="349" customWidth="1"/>
    <col min="10" max="16384" width="9.140625" style="349"/>
  </cols>
  <sheetData>
    <row r="1" spans="1:9" s="382" customFormat="1" ht="18.75" thickBot="1" x14ac:dyDescent="0.3">
      <c r="A1" s="465" t="s">
        <v>858</v>
      </c>
      <c r="B1" s="466"/>
      <c r="C1" s="467"/>
      <c r="D1" s="468"/>
      <c r="E1" s="469"/>
      <c r="F1" s="468"/>
      <c r="G1" s="470"/>
      <c r="H1" s="17"/>
      <c r="I1" s="383"/>
    </row>
    <row r="2" spans="1:9" s="382" customFormat="1" ht="21.75" customHeight="1" x14ac:dyDescent="0.25">
      <c r="A2" s="6"/>
      <c r="B2" s="28"/>
      <c r="C2" s="142"/>
      <c r="D2" s="307"/>
      <c r="E2" s="307"/>
      <c r="F2" s="16"/>
      <c r="G2" s="16"/>
      <c r="H2" s="574" t="s">
        <v>848</v>
      </c>
      <c r="I2" s="383"/>
    </row>
    <row r="3" spans="1:9" s="382" customFormat="1" ht="12.75" customHeight="1" x14ac:dyDescent="0.25">
      <c r="A3" s="67" t="s">
        <v>387</v>
      </c>
      <c r="B3" s="28"/>
      <c r="C3" s="533" t="s">
        <v>485</v>
      </c>
      <c r="D3" s="307"/>
      <c r="E3" s="16"/>
      <c r="F3" s="17"/>
      <c r="G3" s="16"/>
    </row>
    <row r="4" spans="1:9" s="382" customFormat="1" ht="12.75" customHeight="1" x14ac:dyDescent="0.25">
      <c r="A4" s="6"/>
      <c r="B4" s="28"/>
      <c r="C4" s="533" t="s">
        <v>486</v>
      </c>
      <c r="D4" s="307"/>
      <c r="E4" s="16"/>
      <c r="F4" s="17"/>
      <c r="G4" s="16"/>
    </row>
    <row r="5" spans="1:9" ht="18" x14ac:dyDescent="0.25">
      <c r="A5" s="418" t="s">
        <v>857</v>
      </c>
      <c r="B5" s="417"/>
      <c r="C5" s="417"/>
      <c r="D5" s="417"/>
      <c r="E5" s="417"/>
      <c r="F5" s="417"/>
      <c r="G5" s="417"/>
      <c r="H5" s="574"/>
    </row>
    <row r="6" spans="1:9" ht="15.75" x14ac:dyDescent="0.25">
      <c r="A6" s="575"/>
    </row>
    <row r="7" spans="1:9" ht="15.75" thickBot="1" x14ac:dyDescent="0.3">
      <c r="A7" s="535"/>
      <c r="H7" s="349" t="s">
        <v>1289</v>
      </c>
    </row>
    <row r="8" spans="1:9" s="384" customFormat="1" ht="25.5" thickTop="1" thickBot="1" x14ac:dyDescent="0.25">
      <c r="A8" s="537" t="s">
        <v>174</v>
      </c>
      <c r="B8" s="538" t="s">
        <v>800</v>
      </c>
      <c r="C8" s="538" t="s">
        <v>397</v>
      </c>
      <c r="D8" s="539" t="s">
        <v>176</v>
      </c>
      <c r="E8" s="540" t="s">
        <v>669</v>
      </c>
      <c r="F8" s="540" t="s">
        <v>670</v>
      </c>
      <c r="G8" s="541" t="s">
        <v>923</v>
      </c>
      <c r="H8" s="542" t="s">
        <v>924</v>
      </c>
    </row>
    <row r="9" spans="1:9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43">
        <v>5</v>
      </c>
      <c r="F9" s="543">
        <v>6</v>
      </c>
      <c r="G9" s="544">
        <v>7</v>
      </c>
      <c r="H9" s="531" t="s">
        <v>61</v>
      </c>
    </row>
    <row r="10" spans="1:9" ht="16.5" thickTop="1" thickBot="1" x14ac:dyDescent="0.25">
      <c r="A10" s="420">
        <v>6409</v>
      </c>
      <c r="B10" s="421">
        <v>5909</v>
      </c>
      <c r="C10" s="422">
        <v>0</v>
      </c>
      <c r="D10" s="423" t="s">
        <v>766</v>
      </c>
      <c r="E10" s="391">
        <v>0</v>
      </c>
      <c r="F10" s="391">
        <v>0</v>
      </c>
      <c r="G10" s="600">
        <v>0</v>
      </c>
      <c r="H10" s="577">
        <v>0</v>
      </c>
    </row>
    <row r="11" spans="1:9" s="340" customFormat="1" ht="16.5" thickTop="1" thickBot="1" x14ac:dyDescent="0.3">
      <c r="A11" s="2754" t="s">
        <v>802</v>
      </c>
      <c r="B11" s="2755"/>
      <c r="C11" s="2755"/>
      <c r="D11" s="2755"/>
      <c r="E11" s="578">
        <f>SUM(E10:E10)</f>
        <v>0</v>
      </c>
      <c r="F11" s="578">
        <f>SUM(F10:F10)</f>
        <v>0</v>
      </c>
      <c r="G11" s="601">
        <v>0</v>
      </c>
      <c r="H11" s="579">
        <v>0</v>
      </c>
    </row>
    <row r="12" spans="1:9" ht="13.5" thickTop="1" x14ac:dyDescent="0.2"/>
    <row r="13" spans="1:9" s="602" customFormat="1" ht="16.5" x14ac:dyDescent="0.25">
      <c r="A13" s="581" t="s">
        <v>487</v>
      </c>
      <c r="B13" s="582"/>
      <c r="C13" s="583"/>
      <c r="D13" s="584"/>
      <c r="E13" s="585">
        <f>SUM(E14:E16)</f>
        <v>0</v>
      </c>
      <c r="F13" s="585">
        <f>F14+F15+F16+F17</f>
        <v>0</v>
      </c>
      <c r="G13" s="585">
        <f>G14+G15+G16+G17</f>
        <v>0</v>
      </c>
      <c r="H13" s="586">
        <v>0</v>
      </c>
    </row>
    <row r="14" spans="1:9" s="382" customFormat="1" ht="15" x14ac:dyDescent="0.2">
      <c r="A14" s="557" t="s">
        <v>277</v>
      </c>
      <c r="B14" s="587"/>
      <c r="C14" s="588"/>
      <c r="D14" s="589"/>
      <c r="E14" s="590">
        <f>SUM(E11)</f>
        <v>0</v>
      </c>
      <c r="F14" s="590">
        <f>SUM(F11)</f>
        <v>0</v>
      </c>
      <c r="G14" s="590">
        <f>G10</f>
        <v>0</v>
      </c>
      <c r="H14" s="591">
        <v>0</v>
      </c>
    </row>
    <row r="15" spans="1:9" s="382" customFormat="1" ht="15" x14ac:dyDescent="0.2">
      <c r="A15" s="557" t="s">
        <v>278</v>
      </c>
      <c r="B15" s="592"/>
      <c r="C15" s="588"/>
      <c r="D15" s="593"/>
      <c r="E15" s="590">
        <v>0</v>
      </c>
      <c r="F15" s="590">
        <v>0</v>
      </c>
      <c r="G15" s="590">
        <v>0</v>
      </c>
      <c r="H15" s="591">
        <v>0</v>
      </c>
    </row>
    <row r="16" spans="1:9" s="382" customFormat="1" ht="15" x14ac:dyDescent="0.2">
      <c r="A16" s="557" t="s">
        <v>488</v>
      </c>
      <c r="B16" s="592"/>
      <c r="C16" s="588"/>
      <c r="D16" s="593"/>
      <c r="E16" s="590">
        <v>0</v>
      </c>
      <c r="F16" s="590">
        <v>0</v>
      </c>
      <c r="G16" s="590">
        <v>0</v>
      </c>
      <c r="H16" s="591">
        <v>0</v>
      </c>
    </row>
    <row r="17" spans="1:8" s="382" customFormat="1" ht="15" x14ac:dyDescent="0.2">
      <c r="A17" s="557"/>
      <c r="B17" s="592"/>
      <c r="C17" s="588"/>
      <c r="D17" s="593"/>
      <c r="E17" s="590"/>
      <c r="F17" s="590"/>
      <c r="G17" s="590"/>
      <c r="H17" s="594"/>
    </row>
    <row r="18" spans="1:8" s="58" customFormat="1" ht="69" customHeight="1" thickBot="1" x14ac:dyDescent="0.4">
      <c r="A18" s="2650" t="s">
        <v>39</v>
      </c>
      <c r="B18" s="2756"/>
      <c r="C18" s="2756"/>
      <c r="D18" s="2756"/>
      <c r="E18" s="595">
        <f>SUM(E13)</f>
        <v>0</v>
      </c>
      <c r="F18" s="595">
        <f>SUM(F13)</f>
        <v>0</v>
      </c>
      <c r="G18" s="595">
        <f>SUM(G13)</f>
        <v>0</v>
      </c>
      <c r="H18" s="596"/>
    </row>
    <row r="19" spans="1:8" ht="13.5" thickTop="1" x14ac:dyDescent="0.2"/>
  </sheetData>
  <mergeCells count="2">
    <mergeCell ref="A11:D11"/>
    <mergeCell ref="A18:D18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5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0"/>
  <sheetViews>
    <sheetView showGridLines="0" view="pageBreakPreview" zoomScaleNormal="100" zoomScaleSheetLayoutView="100" workbookViewId="0">
      <selection activeCell="F27" sqref="F27"/>
    </sheetView>
  </sheetViews>
  <sheetFormatPr defaultRowHeight="12.75" x14ac:dyDescent="0.2"/>
  <cols>
    <col min="1" max="1" width="4.7109375" style="1936" customWidth="1"/>
    <col min="2" max="2" width="6.7109375" style="1936" customWidth="1"/>
    <col min="3" max="3" width="9" style="1936" bestFit="1" customWidth="1"/>
    <col min="4" max="4" width="46.42578125" style="1937" customWidth="1"/>
    <col min="5" max="5" width="13.85546875" style="1970" customWidth="1"/>
    <col min="6" max="6" width="14.85546875" style="1970" customWidth="1"/>
    <col min="7" max="7" width="13.85546875" style="1970" customWidth="1"/>
    <col min="8" max="8" width="6.42578125" style="1937" customWidth="1"/>
    <col min="9" max="9" width="19.85546875" style="1937" customWidth="1"/>
    <col min="10" max="10" width="9.140625" style="1937"/>
    <col min="11" max="11" width="13.140625" style="1937" customWidth="1"/>
    <col min="12" max="12" width="13.7109375" style="1937" customWidth="1"/>
    <col min="13" max="16384" width="9.140625" style="1937"/>
  </cols>
  <sheetData>
    <row r="1" spans="1:12" ht="18" x14ac:dyDescent="0.25">
      <c r="A1" s="2364" t="s">
        <v>1958</v>
      </c>
      <c r="B1" s="2365"/>
      <c r="C1" s="2365"/>
      <c r="D1" s="2365"/>
      <c r="E1" s="2365"/>
      <c r="F1" s="2365"/>
      <c r="G1" s="1973"/>
    </row>
    <row r="2" spans="1:12" ht="18" x14ac:dyDescent="0.25">
      <c r="A2" s="2366" t="s">
        <v>1959</v>
      </c>
      <c r="B2" s="2367"/>
      <c r="C2" s="2367"/>
      <c r="D2" s="2367"/>
      <c r="E2" s="2367"/>
      <c r="F2" s="2367"/>
      <c r="G2" s="1973"/>
      <c r="H2" s="2027" t="s">
        <v>1960</v>
      </c>
    </row>
    <row r="3" spans="1:12" ht="18" x14ac:dyDescent="0.25">
      <c r="B3" s="1973"/>
      <c r="C3" s="1973"/>
      <c r="D3" s="1973"/>
      <c r="E3" s="1973"/>
      <c r="F3" s="1973"/>
      <c r="G3" s="1973"/>
      <c r="H3" s="2027"/>
    </row>
    <row r="4" spans="1:12" s="1677" customFormat="1" ht="16.5" customHeight="1" x14ac:dyDescent="0.2">
      <c r="A4" s="1815" t="s">
        <v>387</v>
      </c>
      <c r="B4" s="1756"/>
      <c r="C4" s="1935" t="s">
        <v>363</v>
      </c>
    </row>
    <row r="5" spans="1:12" s="1677" customFormat="1" ht="12.75" customHeight="1" x14ac:dyDescent="0.25">
      <c r="A5" s="1812"/>
      <c r="B5" s="1756"/>
      <c r="C5" s="1935" t="s">
        <v>364</v>
      </c>
    </row>
    <row r="6" spans="1:12" ht="18" x14ac:dyDescent="0.25">
      <c r="A6" s="1940" t="s">
        <v>842</v>
      </c>
      <c r="B6" s="1973"/>
      <c r="C6" s="1973"/>
      <c r="D6" s="1973"/>
      <c r="E6" s="1973"/>
      <c r="F6" s="1973"/>
      <c r="G6" s="1973"/>
      <c r="H6" s="2027"/>
    </row>
    <row r="7" spans="1:12" ht="18.75" thickBot="1" x14ac:dyDescent="0.3">
      <c r="A7" s="1940"/>
      <c r="B7" s="1973"/>
      <c r="C7" s="1973"/>
      <c r="D7" s="1973"/>
      <c r="E7" s="1973"/>
      <c r="F7" s="1973"/>
      <c r="G7" s="1973"/>
      <c r="H7" s="2336" t="s">
        <v>1289</v>
      </c>
    </row>
    <row r="8" spans="1:12" s="1735" customFormat="1" ht="25.5" thickTop="1" thickBot="1" x14ac:dyDescent="0.25">
      <c r="A8" s="1943" t="s">
        <v>174</v>
      </c>
      <c r="B8" s="1944" t="s">
        <v>800</v>
      </c>
      <c r="C8" s="1944" t="s">
        <v>397</v>
      </c>
      <c r="D8" s="1945" t="s">
        <v>176</v>
      </c>
      <c r="E8" s="1976" t="s">
        <v>669</v>
      </c>
      <c r="F8" s="1976" t="s">
        <v>670</v>
      </c>
      <c r="G8" s="1977" t="s">
        <v>923</v>
      </c>
      <c r="H8" s="1978" t="s">
        <v>924</v>
      </c>
    </row>
    <row r="9" spans="1:12" s="1735" customFormat="1" ht="13.5" thickTop="1" thickBot="1" x14ac:dyDescent="0.25">
      <c r="A9" s="1740">
        <v>1</v>
      </c>
      <c r="B9" s="1739">
        <v>2</v>
      </c>
      <c r="C9" s="1739">
        <v>3</v>
      </c>
      <c r="D9" s="1739">
        <v>4</v>
      </c>
      <c r="E9" s="1738">
        <v>5</v>
      </c>
      <c r="F9" s="1738">
        <v>6</v>
      </c>
      <c r="G9" s="2028">
        <v>7</v>
      </c>
      <c r="H9" s="1951" t="s">
        <v>61</v>
      </c>
    </row>
    <row r="10" spans="1:12" s="1990" customFormat="1" ht="46.5" thickTop="1" thickBot="1" x14ac:dyDescent="0.25">
      <c r="A10" s="2049">
        <v>6402</v>
      </c>
      <c r="B10" s="2056">
        <v>5364</v>
      </c>
      <c r="C10" s="2057">
        <v>19</v>
      </c>
      <c r="D10" s="1979" t="s">
        <v>1961</v>
      </c>
      <c r="E10" s="2000">
        <v>0</v>
      </c>
      <c r="F10" s="2000">
        <v>151</v>
      </c>
      <c r="G10" s="2368">
        <v>151</v>
      </c>
      <c r="H10" s="2369">
        <f>G10/F10*100</f>
        <v>100</v>
      </c>
    </row>
    <row r="11" spans="1:12" s="1969" customFormat="1" ht="16.5" thickTop="1" thickBot="1" x14ac:dyDescent="0.3">
      <c r="A11" s="2750" t="s">
        <v>802</v>
      </c>
      <c r="B11" s="2751"/>
      <c r="C11" s="2751"/>
      <c r="D11" s="2751"/>
      <c r="E11" s="2370">
        <f>SUM(E10:E10)</f>
        <v>0</v>
      </c>
      <c r="F11" s="2370">
        <f>SUM(F10:F10)</f>
        <v>151</v>
      </c>
      <c r="G11" s="2371">
        <f>SUM(G10:G10)</f>
        <v>151</v>
      </c>
      <c r="H11" s="2372">
        <f>G11/F11*100</f>
        <v>100</v>
      </c>
      <c r="I11" s="2063"/>
    </row>
    <row r="12" spans="1:12" ht="13.5" thickTop="1" x14ac:dyDescent="0.2">
      <c r="I12" s="1970"/>
    </row>
    <row r="14" spans="1:12" s="2023" customFormat="1" ht="16.5" x14ac:dyDescent="0.25">
      <c r="A14" s="2011" t="s">
        <v>487</v>
      </c>
      <c r="B14" s="2012"/>
      <c r="C14" s="2013"/>
      <c r="D14" s="2014"/>
      <c r="E14" s="2015">
        <f>SUM(E15:E17)</f>
        <v>0</v>
      </c>
      <c r="F14" s="2015">
        <f>F15+F16+F17+F18</f>
        <v>151</v>
      </c>
      <c r="G14" s="2015">
        <f>G15+G16+G17+G18</f>
        <v>151</v>
      </c>
      <c r="H14" s="2035">
        <f>G14/F14*100</f>
        <v>100</v>
      </c>
      <c r="J14" s="2031">
        <f>J15+J16+J17</f>
        <v>0</v>
      </c>
      <c r="K14" s="2031">
        <f>K15+K16+K17</f>
        <v>150631.57999999999</v>
      </c>
      <c r="L14" s="2031">
        <f>L15+L16+L17</f>
        <v>150631.57999999999</v>
      </c>
    </row>
    <row r="15" spans="1:12" s="1677" customFormat="1" ht="15" x14ac:dyDescent="0.2">
      <c r="A15" s="1696" t="s">
        <v>277</v>
      </c>
      <c r="B15" s="1699"/>
      <c r="C15" s="1694"/>
      <c r="D15" s="2018"/>
      <c r="E15" s="1697">
        <f>E11</f>
        <v>0</v>
      </c>
      <c r="F15" s="1697">
        <f>F11</f>
        <v>151</v>
      </c>
      <c r="G15" s="1697">
        <f>G11</f>
        <v>151</v>
      </c>
      <c r="H15" s="2034">
        <f>G15/F15*100</f>
        <v>100</v>
      </c>
      <c r="J15" s="2032">
        <v>0</v>
      </c>
      <c r="K15" s="2032">
        <v>150631.57999999999</v>
      </c>
      <c r="L15" s="2032">
        <v>150631.57999999999</v>
      </c>
    </row>
    <row r="16" spans="1:12" s="1677" customFormat="1" ht="15" x14ac:dyDescent="0.2">
      <c r="A16" s="1696" t="s">
        <v>278</v>
      </c>
      <c r="B16" s="1695"/>
      <c r="C16" s="1694"/>
      <c r="D16" s="2020"/>
      <c r="E16" s="1697">
        <v>0</v>
      </c>
      <c r="F16" s="1697">
        <v>0</v>
      </c>
      <c r="G16" s="1697">
        <v>0</v>
      </c>
      <c r="H16" s="2034">
        <v>0</v>
      </c>
      <c r="J16" s="2019">
        <v>0</v>
      </c>
      <c r="K16" s="2019">
        <v>0</v>
      </c>
      <c r="L16" s="2019">
        <v>0</v>
      </c>
    </row>
    <row r="17" spans="1:12" s="1677" customFormat="1" ht="15" x14ac:dyDescent="0.2">
      <c r="A17" s="1696" t="s">
        <v>488</v>
      </c>
      <c r="B17" s="1695"/>
      <c r="C17" s="1694"/>
      <c r="D17" s="2020"/>
      <c r="E17" s="1697">
        <v>0</v>
      </c>
      <c r="F17" s="1697">
        <v>0</v>
      </c>
      <c r="G17" s="1697">
        <v>0</v>
      </c>
      <c r="H17" s="2034">
        <v>0</v>
      </c>
      <c r="J17" s="2019">
        <v>0</v>
      </c>
      <c r="K17" s="2019">
        <v>0</v>
      </c>
      <c r="L17" s="2019">
        <v>0</v>
      </c>
    </row>
    <row r="18" spans="1:12" s="1677" customFormat="1" ht="15" x14ac:dyDescent="0.2">
      <c r="A18" s="1696"/>
      <c r="B18" s="1695"/>
      <c r="C18" s="1694"/>
      <c r="D18" s="2020"/>
      <c r="E18" s="1697"/>
      <c r="F18" s="1697"/>
      <c r="G18" s="1697"/>
      <c r="H18" s="1693"/>
    </row>
    <row r="19" spans="1:12" s="1685" customFormat="1" ht="69" customHeight="1" thickBot="1" x14ac:dyDescent="0.4">
      <c r="A19" s="2746" t="s">
        <v>1962</v>
      </c>
      <c r="B19" s="2747"/>
      <c r="C19" s="2747"/>
      <c r="D19" s="2747"/>
      <c r="E19" s="1687">
        <f>SUM(E14)</f>
        <v>0</v>
      </c>
      <c r="F19" s="1687">
        <f>SUM(F14)</f>
        <v>151</v>
      </c>
      <c r="G19" s="1687">
        <f>SUM(G14)</f>
        <v>151</v>
      </c>
      <c r="H19" s="1686">
        <f>G19/F19*100</f>
        <v>100</v>
      </c>
    </row>
    <row r="20" spans="1:12" ht="13.5" thickTop="1" x14ac:dyDescent="0.2"/>
  </sheetData>
  <mergeCells count="2">
    <mergeCell ref="A11:D11"/>
    <mergeCell ref="A19:D19"/>
  </mergeCells>
  <pageMargins left="0.98425196850393704" right="0.98425196850393704" top="0.98425196850393704" bottom="0.98425196850393704" header="0.51181102362204722" footer="0.51181102362204722"/>
  <pageSetup paperSize="9" scale="70" firstPageNumber="127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1"/>
  <sheetViews>
    <sheetView view="pageBreakPreview" zoomScaleNormal="100" zoomScaleSheetLayoutView="100" workbookViewId="0">
      <selection activeCell="J16" sqref="J16:L18"/>
    </sheetView>
  </sheetViews>
  <sheetFormatPr defaultRowHeight="12.75" x14ac:dyDescent="0.2"/>
  <cols>
    <col min="1" max="3" width="9.140625" style="2139"/>
    <col min="4" max="4" width="28.42578125" style="2139" customWidth="1"/>
    <col min="5" max="5" width="9.140625" style="2139"/>
    <col min="6" max="6" width="15.28515625" style="2139" customWidth="1"/>
    <col min="7" max="7" width="10.7109375" style="2139" customWidth="1"/>
    <col min="8" max="8" width="9" style="2139" customWidth="1"/>
    <col min="9" max="10" width="9.140625" style="2139"/>
    <col min="11" max="12" width="11.42578125" style="2139" bestFit="1" customWidth="1"/>
    <col min="13" max="259" width="9.140625" style="2139"/>
    <col min="260" max="260" width="28.42578125" style="2139" customWidth="1"/>
    <col min="261" max="261" width="9.140625" style="2139"/>
    <col min="262" max="262" width="15.28515625" style="2139" customWidth="1"/>
    <col min="263" max="263" width="10.7109375" style="2139" customWidth="1"/>
    <col min="264" max="264" width="9" style="2139" customWidth="1"/>
    <col min="265" max="266" width="9.140625" style="2139"/>
    <col min="267" max="268" width="10.140625" style="2139" bestFit="1" customWidth="1"/>
    <col min="269" max="515" width="9.140625" style="2139"/>
    <col min="516" max="516" width="28.42578125" style="2139" customWidth="1"/>
    <col min="517" max="517" width="9.140625" style="2139"/>
    <col min="518" max="518" width="15.28515625" style="2139" customWidth="1"/>
    <col min="519" max="519" width="10.7109375" style="2139" customWidth="1"/>
    <col min="520" max="520" width="9" style="2139" customWidth="1"/>
    <col min="521" max="522" width="9.140625" style="2139"/>
    <col min="523" max="524" width="10.140625" style="2139" bestFit="1" customWidth="1"/>
    <col min="525" max="771" width="9.140625" style="2139"/>
    <col min="772" max="772" width="28.42578125" style="2139" customWidth="1"/>
    <col min="773" max="773" width="9.140625" style="2139"/>
    <col min="774" max="774" width="15.28515625" style="2139" customWidth="1"/>
    <col min="775" max="775" width="10.7109375" style="2139" customWidth="1"/>
    <col min="776" max="776" width="9" style="2139" customWidth="1"/>
    <col min="777" max="778" width="9.140625" style="2139"/>
    <col min="779" max="780" width="10.140625" style="2139" bestFit="1" customWidth="1"/>
    <col min="781" max="1027" width="9.140625" style="2139"/>
    <col min="1028" max="1028" width="28.42578125" style="2139" customWidth="1"/>
    <col min="1029" max="1029" width="9.140625" style="2139"/>
    <col min="1030" max="1030" width="15.28515625" style="2139" customWidth="1"/>
    <col min="1031" max="1031" width="10.7109375" style="2139" customWidth="1"/>
    <col min="1032" max="1032" width="9" style="2139" customWidth="1"/>
    <col min="1033" max="1034" width="9.140625" style="2139"/>
    <col min="1035" max="1036" width="10.140625" style="2139" bestFit="1" customWidth="1"/>
    <col min="1037" max="1283" width="9.140625" style="2139"/>
    <col min="1284" max="1284" width="28.42578125" style="2139" customWidth="1"/>
    <col min="1285" max="1285" width="9.140625" style="2139"/>
    <col min="1286" max="1286" width="15.28515625" style="2139" customWidth="1"/>
    <col min="1287" max="1287" width="10.7109375" style="2139" customWidth="1"/>
    <col min="1288" max="1288" width="9" style="2139" customWidth="1"/>
    <col min="1289" max="1290" width="9.140625" style="2139"/>
    <col min="1291" max="1292" width="10.140625" style="2139" bestFit="1" customWidth="1"/>
    <col min="1293" max="1539" width="9.140625" style="2139"/>
    <col min="1540" max="1540" width="28.42578125" style="2139" customWidth="1"/>
    <col min="1541" max="1541" width="9.140625" style="2139"/>
    <col min="1542" max="1542" width="15.28515625" style="2139" customWidth="1"/>
    <col min="1543" max="1543" width="10.7109375" style="2139" customWidth="1"/>
    <col min="1544" max="1544" width="9" style="2139" customWidth="1"/>
    <col min="1545" max="1546" width="9.140625" style="2139"/>
    <col min="1547" max="1548" width="10.140625" style="2139" bestFit="1" customWidth="1"/>
    <col min="1549" max="1795" width="9.140625" style="2139"/>
    <col min="1796" max="1796" width="28.42578125" style="2139" customWidth="1"/>
    <col min="1797" max="1797" width="9.140625" style="2139"/>
    <col min="1798" max="1798" width="15.28515625" style="2139" customWidth="1"/>
    <col min="1799" max="1799" width="10.7109375" style="2139" customWidth="1"/>
    <col min="1800" max="1800" width="9" style="2139" customWidth="1"/>
    <col min="1801" max="1802" width="9.140625" style="2139"/>
    <col min="1803" max="1804" width="10.140625" style="2139" bestFit="1" customWidth="1"/>
    <col min="1805" max="2051" width="9.140625" style="2139"/>
    <col min="2052" max="2052" width="28.42578125" style="2139" customWidth="1"/>
    <col min="2053" max="2053" width="9.140625" style="2139"/>
    <col min="2054" max="2054" width="15.28515625" style="2139" customWidth="1"/>
    <col min="2055" max="2055" width="10.7109375" style="2139" customWidth="1"/>
    <col min="2056" max="2056" width="9" style="2139" customWidth="1"/>
    <col min="2057" max="2058" width="9.140625" style="2139"/>
    <col min="2059" max="2060" width="10.140625" style="2139" bestFit="1" customWidth="1"/>
    <col min="2061" max="2307" width="9.140625" style="2139"/>
    <col min="2308" max="2308" width="28.42578125" style="2139" customWidth="1"/>
    <col min="2309" max="2309" width="9.140625" style="2139"/>
    <col min="2310" max="2310" width="15.28515625" style="2139" customWidth="1"/>
    <col min="2311" max="2311" width="10.7109375" style="2139" customWidth="1"/>
    <col min="2312" max="2312" width="9" style="2139" customWidth="1"/>
    <col min="2313" max="2314" width="9.140625" style="2139"/>
    <col min="2315" max="2316" width="10.140625" style="2139" bestFit="1" customWidth="1"/>
    <col min="2317" max="2563" width="9.140625" style="2139"/>
    <col min="2564" max="2564" width="28.42578125" style="2139" customWidth="1"/>
    <col min="2565" max="2565" width="9.140625" style="2139"/>
    <col min="2566" max="2566" width="15.28515625" style="2139" customWidth="1"/>
    <col min="2567" max="2567" width="10.7109375" style="2139" customWidth="1"/>
    <col min="2568" max="2568" width="9" style="2139" customWidth="1"/>
    <col min="2569" max="2570" width="9.140625" style="2139"/>
    <col min="2571" max="2572" width="10.140625" style="2139" bestFit="1" customWidth="1"/>
    <col min="2573" max="2819" width="9.140625" style="2139"/>
    <col min="2820" max="2820" width="28.42578125" style="2139" customWidth="1"/>
    <col min="2821" max="2821" width="9.140625" style="2139"/>
    <col min="2822" max="2822" width="15.28515625" style="2139" customWidth="1"/>
    <col min="2823" max="2823" width="10.7109375" style="2139" customWidth="1"/>
    <col min="2824" max="2824" width="9" style="2139" customWidth="1"/>
    <col min="2825" max="2826" width="9.140625" style="2139"/>
    <col min="2827" max="2828" width="10.140625" style="2139" bestFit="1" customWidth="1"/>
    <col min="2829" max="3075" width="9.140625" style="2139"/>
    <col min="3076" max="3076" width="28.42578125" style="2139" customWidth="1"/>
    <col min="3077" max="3077" width="9.140625" style="2139"/>
    <col min="3078" max="3078" width="15.28515625" style="2139" customWidth="1"/>
    <col min="3079" max="3079" width="10.7109375" style="2139" customWidth="1"/>
    <col min="3080" max="3080" width="9" style="2139" customWidth="1"/>
    <col min="3081" max="3082" width="9.140625" style="2139"/>
    <col min="3083" max="3084" width="10.140625" style="2139" bestFit="1" customWidth="1"/>
    <col min="3085" max="3331" width="9.140625" style="2139"/>
    <col min="3332" max="3332" width="28.42578125" style="2139" customWidth="1"/>
    <col min="3333" max="3333" width="9.140625" style="2139"/>
    <col min="3334" max="3334" width="15.28515625" style="2139" customWidth="1"/>
    <col min="3335" max="3335" width="10.7109375" style="2139" customWidth="1"/>
    <col min="3336" max="3336" width="9" style="2139" customWidth="1"/>
    <col min="3337" max="3338" width="9.140625" style="2139"/>
    <col min="3339" max="3340" width="10.140625" style="2139" bestFit="1" customWidth="1"/>
    <col min="3341" max="3587" width="9.140625" style="2139"/>
    <col min="3588" max="3588" width="28.42578125" style="2139" customWidth="1"/>
    <col min="3589" max="3589" width="9.140625" style="2139"/>
    <col min="3590" max="3590" width="15.28515625" style="2139" customWidth="1"/>
    <col min="3591" max="3591" width="10.7109375" style="2139" customWidth="1"/>
    <col min="3592" max="3592" width="9" style="2139" customWidth="1"/>
    <col min="3593" max="3594" width="9.140625" style="2139"/>
    <col min="3595" max="3596" width="10.140625" style="2139" bestFit="1" customWidth="1"/>
    <col min="3597" max="3843" width="9.140625" style="2139"/>
    <col min="3844" max="3844" width="28.42578125" style="2139" customWidth="1"/>
    <col min="3845" max="3845" width="9.140625" style="2139"/>
    <col min="3846" max="3846" width="15.28515625" style="2139" customWidth="1"/>
    <col min="3847" max="3847" width="10.7109375" style="2139" customWidth="1"/>
    <col min="3848" max="3848" width="9" style="2139" customWidth="1"/>
    <col min="3849" max="3850" width="9.140625" style="2139"/>
    <col min="3851" max="3852" width="10.140625" style="2139" bestFit="1" customWidth="1"/>
    <col min="3853" max="4099" width="9.140625" style="2139"/>
    <col min="4100" max="4100" width="28.42578125" style="2139" customWidth="1"/>
    <col min="4101" max="4101" width="9.140625" style="2139"/>
    <col min="4102" max="4102" width="15.28515625" style="2139" customWidth="1"/>
    <col min="4103" max="4103" width="10.7109375" style="2139" customWidth="1"/>
    <col min="4104" max="4104" width="9" style="2139" customWidth="1"/>
    <col min="4105" max="4106" width="9.140625" style="2139"/>
    <col min="4107" max="4108" width="10.140625" style="2139" bestFit="1" customWidth="1"/>
    <col min="4109" max="4355" width="9.140625" style="2139"/>
    <col min="4356" max="4356" width="28.42578125" style="2139" customWidth="1"/>
    <col min="4357" max="4357" width="9.140625" style="2139"/>
    <col min="4358" max="4358" width="15.28515625" style="2139" customWidth="1"/>
    <col min="4359" max="4359" width="10.7109375" style="2139" customWidth="1"/>
    <col min="4360" max="4360" width="9" style="2139" customWidth="1"/>
    <col min="4361" max="4362" width="9.140625" style="2139"/>
    <col min="4363" max="4364" width="10.140625" style="2139" bestFit="1" customWidth="1"/>
    <col min="4365" max="4611" width="9.140625" style="2139"/>
    <col min="4612" max="4612" width="28.42578125" style="2139" customWidth="1"/>
    <col min="4613" max="4613" width="9.140625" style="2139"/>
    <col min="4614" max="4614" width="15.28515625" style="2139" customWidth="1"/>
    <col min="4615" max="4615" width="10.7109375" style="2139" customWidth="1"/>
    <col min="4616" max="4616" width="9" style="2139" customWidth="1"/>
    <col min="4617" max="4618" width="9.140625" style="2139"/>
    <col min="4619" max="4620" width="10.140625" style="2139" bestFit="1" customWidth="1"/>
    <col min="4621" max="4867" width="9.140625" style="2139"/>
    <col min="4868" max="4868" width="28.42578125" style="2139" customWidth="1"/>
    <col min="4869" max="4869" width="9.140625" style="2139"/>
    <col min="4870" max="4870" width="15.28515625" style="2139" customWidth="1"/>
    <col min="4871" max="4871" width="10.7109375" style="2139" customWidth="1"/>
    <col min="4872" max="4872" width="9" style="2139" customWidth="1"/>
    <col min="4873" max="4874" width="9.140625" style="2139"/>
    <col min="4875" max="4876" width="10.140625" style="2139" bestFit="1" customWidth="1"/>
    <col min="4877" max="5123" width="9.140625" style="2139"/>
    <col min="5124" max="5124" width="28.42578125" style="2139" customWidth="1"/>
    <col min="5125" max="5125" width="9.140625" style="2139"/>
    <col min="5126" max="5126" width="15.28515625" style="2139" customWidth="1"/>
    <col min="5127" max="5127" width="10.7109375" style="2139" customWidth="1"/>
    <col min="5128" max="5128" width="9" style="2139" customWidth="1"/>
    <col min="5129" max="5130" width="9.140625" style="2139"/>
    <col min="5131" max="5132" width="10.140625" style="2139" bestFit="1" customWidth="1"/>
    <col min="5133" max="5379" width="9.140625" style="2139"/>
    <col min="5380" max="5380" width="28.42578125" style="2139" customWidth="1"/>
    <col min="5381" max="5381" width="9.140625" style="2139"/>
    <col min="5382" max="5382" width="15.28515625" style="2139" customWidth="1"/>
    <col min="5383" max="5383" width="10.7109375" style="2139" customWidth="1"/>
    <col min="5384" max="5384" width="9" style="2139" customWidth="1"/>
    <col min="5385" max="5386" width="9.140625" style="2139"/>
    <col min="5387" max="5388" width="10.140625" style="2139" bestFit="1" customWidth="1"/>
    <col min="5389" max="5635" width="9.140625" style="2139"/>
    <col min="5636" max="5636" width="28.42578125" style="2139" customWidth="1"/>
    <col min="5637" max="5637" width="9.140625" style="2139"/>
    <col min="5638" max="5638" width="15.28515625" style="2139" customWidth="1"/>
    <col min="5639" max="5639" width="10.7109375" style="2139" customWidth="1"/>
    <col min="5640" max="5640" width="9" style="2139" customWidth="1"/>
    <col min="5641" max="5642" width="9.140625" style="2139"/>
    <col min="5643" max="5644" width="10.140625" style="2139" bestFit="1" customWidth="1"/>
    <col min="5645" max="5891" width="9.140625" style="2139"/>
    <col min="5892" max="5892" width="28.42578125" style="2139" customWidth="1"/>
    <col min="5893" max="5893" width="9.140625" style="2139"/>
    <col min="5894" max="5894" width="15.28515625" style="2139" customWidth="1"/>
    <col min="5895" max="5895" width="10.7109375" style="2139" customWidth="1"/>
    <col min="5896" max="5896" width="9" style="2139" customWidth="1"/>
    <col min="5897" max="5898" width="9.140625" style="2139"/>
    <col min="5899" max="5900" width="10.140625" style="2139" bestFit="1" customWidth="1"/>
    <col min="5901" max="6147" width="9.140625" style="2139"/>
    <col min="6148" max="6148" width="28.42578125" style="2139" customWidth="1"/>
    <col min="6149" max="6149" width="9.140625" style="2139"/>
    <col min="6150" max="6150" width="15.28515625" style="2139" customWidth="1"/>
    <col min="6151" max="6151" width="10.7109375" style="2139" customWidth="1"/>
    <col min="6152" max="6152" width="9" style="2139" customWidth="1"/>
    <col min="6153" max="6154" width="9.140625" style="2139"/>
    <col min="6155" max="6156" width="10.140625" style="2139" bestFit="1" customWidth="1"/>
    <col min="6157" max="6403" width="9.140625" style="2139"/>
    <col min="6404" max="6404" width="28.42578125" style="2139" customWidth="1"/>
    <col min="6405" max="6405" width="9.140625" style="2139"/>
    <col min="6406" max="6406" width="15.28515625" style="2139" customWidth="1"/>
    <col min="6407" max="6407" width="10.7109375" style="2139" customWidth="1"/>
    <col min="6408" max="6408" width="9" style="2139" customWidth="1"/>
    <col min="6409" max="6410" width="9.140625" style="2139"/>
    <col min="6411" max="6412" width="10.140625" style="2139" bestFit="1" customWidth="1"/>
    <col min="6413" max="6659" width="9.140625" style="2139"/>
    <col min="6660" max="6660" width="28.42578125" style="2139" customWidth="1"/>
    <col min="6661" max="6661" width="9.140625" style="2139"/>
    <col min="6662" max="6662" width="15.28515625" style="2139" customWidth="1"/>
    <col min="6663" max="6663" width="10.7109375" style="2139" customWidth="1"/>
    <col min="6664" max="6664" width="9" style="2139" customWidth="1"/>
    <col min="6665" max="6666" width="9.140625" style="2139"/>
    <col min="6667" max="6668" width="10.140625" style="2139" bestFit="1" customWidth="1"/>
    <col min="6669" max="6915" width="9.140625" style="2139"/>
    <col min="6916" max="6916" width="28.42578125" style="2139" customWidth="1"/>
    <col min="6917" max="6917" width="9.140625" style="2139"/>
    <col min="6918" max="6918" width="15.28515625" style="2139" customWidth="1"/>
    <col min="6919" max="6919" width="10.7109375" style="2139" customWidth="1"/>
    <col min="6920" max="6920" width="9" style="2139" customWidth="1"/>
    <col min="6921" max="6922" width="9.140625" style="2139"/>
    <col min="6923" max="6924" width="10.140625" style="2139" bestFit="1" customWidth="1"/>
    <col min="6925" max="7171" width="9.140625" style="2139"/>
    <col min="7172" max="7172" width="28.42578125" style="2139" customWidth="1"/>
    <col min="7173" max="7173" width="9.140625" style="2139"/>
    <col min="7174" max="7174" width="15.28515625" style="2139" customWidth="1"/>
    <col min="7175" max="7175" width="10.7109375" style="2139" customWidth="1"/>
    <col min="7176" max="7176" width="9" style="2139" customWidth="1"/>
    <col min="7177" max="7178" width="9.140625" style="2139"/>
    <col min="7179" max="7180" width="10.140625" style="2139" bestFit="1" customWidth="1"/>
    <col min="7181" max="7427" width="9.140625" style="2139"/>
    <col min="7428" max="7428" width="28.42578125" style="2139" customWidth="1"/>
    <col min="7429" max="7429" width="9.140625" style="2139"/>
    <col min="7430" max="7430" width="15.28515625" style="2139" customWidth="1"/>
    <col min="7431" max="7431" width="10.7109375" style="2139" customWidth="1"/>
    <col min="7432" max="7432" width="9" style="2139" customWidth="1"/>
    <col min="7433" max="7434" width="9.140625" style="2139"/>
    <col min="7435" max="7436" width="10.140625" style="2139" bestFit="1" customWidth="1"/>
    <col min="7437" max="7683" width="9.140625" style="2139"/>
    <col min="7684" max="7684" width="28.42578125" style="2139" customWidth="1"/>
    <col min="7685" max="7685" width="9.140625" style="2139"/>
    <col min="7686" max="7686" width="15.28515625" style="2139" customWidth="1"/>
    <col min="7687" max="7687" width="10.7109375" style="2139" customWidth="1"/>
    <col min="7688" max="7688" width="9" style="2139" customWidth="1"/>
    <col min="7689" max="7690" width="9.140625" style="2139"/>
    <col min="7691" max="7692" width="10.140625" style="2139" bestFit="1" customWidth="1"/>
    <col min="7693" max="7939" width="9.140625" style="2139"/>
    <col min="7940" max="7940" width="28.42578125" style="2139" customWidth="1"/>
    <col min="7941" max="7941" width="9.140625" style="2139"/>
    <col min="7942" max="7942" width="15.28515625" style="2139" customWidth="1"/>
    <col min="7943" max="7943" width="10.7109375" style="2139" customWidth="1"/>
    <col min="7944" max="7944" width="9" style="2139" customWidth="1"/>
    <col min="7945" max="7946" width="9.140625" style="2139"/>
    <col min="7947" max="7948" width="10.140625" style="2139" bestFit="1" customWidth="1"/>
    <col min="7949" max="8195" width="9.140625" style="2139"/>
    <col min="8196" max="8196" width="28.42578125" style="2139" customWidth="1"/>
    <col min="8197" max="8197" width="9.140625" style="2139"/>
    <col min="8198" max="8198" width="15.28515625" style="2139" customWidth="1"/>
    <col min="8199" max="8199" width="10.7109375" style="2139" customWidth="1"/>
    <col min="8200" max="8200" width="9" style="2139" customWidth="1"/>
    <col min="8201" max="8202" width="9.140625" style="2139"/>
    <col min="8203" max="8204" width="10.140625" style="2139" bestFit="1" customWidth="1"/>
    <col min="8205" max="8451" width="9.140625" style="2139"/>
    <col min="8452" max="8452" width="28.42578125" style="2139" customWidth="1"/>
    <col min="8453" max="8453" width="9.140625" style="2139"/>
    <col min="8454" max="8454" width="15.28515625" style="2139" customWidth="1"/>
    <col min="8455" max="8455" width="10.7109375" style="2139" customWidth="1"/>
    <col min="8456" max="8456" width="9" style="2139" customWidth="1"/>
    <col min="8457" max="8458" width="9.140625" style="2139"/>
    <col min="8459" max="8460" width="10.140625" style="2139" bestFit="1" customWidth="1"/>
    <col min="8461" max="8707" width="9.140625" style="2139"/>
    <col min="8708" max="8708" width="28.42578125" style="2139" customWidth="1"/>
    <col min="8709" max="8709" width="9.140625" style="2139"/>
    <col min="8710" max="8710" width="15.28515625" style="2139" customWidth="1"/>
    <col min="8711" max="8711" width="10.7109375" style="2139" customWidth="1"/>
    <col min="8712" max="8712" width="9" style="2139" customWidth="1"/>
    <col min="8713" max="8714" width="9.140625" style="2139"/>
    <col min="8715" max="8716" width="10.140625" style="2139" bestFit="1" customWidth="1"/>
    <col min="8717" max="8963" width="9.140625" style="2139"/>
    <col min="8964" max="8964" width="28.42578125" style="2139" customWidth="1"/>
    <col min="8965" max="8965" width="9.140625" style="2139"/>
    <col min="8966" max="8966" width="15.28515625" style="2139" customWidth="1"/>
    <col min="8967" max="8967" width="10.7109375" style="2139" customWidth="1"/>
    <col min="8968" max="8968" width="9" style="2139" customWidth="1"/>
    <col min="8969" max="8970" width="9.140625" style="2139"/>
    <col min="8971" max="8972" width="10.140625" style="2139" bestFit="1" customWidth="1"/>
    <col min="8973" max="9219" width="9.140625" style="2139"/>
    <col min="9220" max="9220" width="28.42578125" style="2139" customWidth="1"/>
    <col min="9221" max="9221" width="9.140625" style="2139"/>
    <col min="9222" max="9222" width="15.28515625" style="2139" customWidth="1"/>
    <col min="9223" max="9223" width="10.7109375" style="2139" customWidth="1"/>
    <col min="9224" max="9224" width="9" style="2139" customWidth="1"/>
    <col min="9225" max="9226" width="9.140625" style="2139"/>
    <col min="9227" max="9228" width="10.140625" style="2139" bestFit="1" customWidth="1"/>
    <col min="9229" max="9475" width="9.140625" style="2139"/>
    <col min="9476" max="9476" width="28.42578125" style="2139" customWidth="1"/>
    <col min="9477" max="9477" width="9.140625" style="2139"/>
    <col min="9478" max="9478" width="15.28515625" style="2139" customWidth="1"/>
    <col min="9479" max="9479" width="10.7109375" style="2139" customWidth="1"/>
    <col min="9480" max="9480" width="9" style="2139" customWidth="1"/>
    <col min="9481" max="9482" width="9.140625" style="2139"/>
    <col min="9483" max="9484" width="10.140625" style="2139" bestFit="1" customWidth="1"/>
    <col min="9485" max="9731" width="9.140625" style="2139"/>
    <col min="9732" max="9732" width="28.42578125" style="2139" customWidth="1"/>
    <col min="9733" max="9733" width="9.140625" style="2139"/>
    <col min="9734" max="9734" width="15.28515625" style="2139" customWidth="1"/>
    <col min="9735" max="9735" width="10.7109375" style="2139" customWidth="1"/>
    <col min="9736" max="9736" width="9" style="2139" customWidth="1"/>
    <col min="9737" max="9738" width="9.140625" style="2139"/>
    <col min="9739" max="9740" width="10.140625" style="2139" bestFit="1" customWidth="1"/>
    <col min="9741" max="9987" width="9.140625" style="2139"/>
    <col min="9988" max="9988" width="28.42578125" style="2139" customWidth="1"/>
    <col min="9989" max="9989" width="9.140625" style="2139"/>
    <col min="9990" max="9990" width="15.28515625" style="2139" customWidth="1"/>
    <col min="9991" max="9991" width="10.7109375" style="2139" customWidth="1"/>
    <col min="9992" max="9992" width="9" style="2139" customWidth="1"/>
    <col min="9993" max="9994" width="9.140625" style="2139"/>
    <col min="9995" max="9996" width="10.140625" style="2139" bestFit="1" customWidth="1"/>
    <col min="9997" max="10243" width="9.140625" style="2139"/>
    <col min="10244" max="10244" width="28.42578125" style="2139" customWidth="1"/>
    <col min="10245" max="10245" width="9.140625" style="2139"/>
    <col min="10246" max="10246" width="15.28515625" style="2139" customWidth="1"/>
    <col min="10247" max="10247" width="10.7109375" style="2139" customWidth="1"/>
    <col min="10248" max="10248" width="9" style="2139" customWidth="1"/>
    <col min="10249" max="10250" width="9.140625" style="2139"/>
    <col min="10251" max="10252" width="10.140625" style="2139" bestFit="1" customWidth="1"/>
    <col min="10253" max="10499" width="9.140625" style="2139"/>
    <col min="10500" max="10500" width="28.42578125" style="2139" customWidth="1"/>
    <col min="10501" max="10501" width="9.140625" style="2139"/>
    <col min="10502" max="10502" width="15.28515625" style="2139" customWidth="1"/>
    <col min="10503" max="10503" width="10.7109375" style="2139" customWidth="1"/>
    <col min="10504" max="10504" width="9" style="2139" customWidth="1"/>
    <col min="10505" max="10506" width="9.140625" style="2139"/>
    <col min="10507" max="10508" width="10.140625" style="2139" bestFit="1" customWidth="1"/>
    <col min="10509" max="10755" width="9.140625" style="2139"/>
    <col min="10756" max="10756" width="28.42578125" style="2139" customWidth="1"/>
    <col min="10757" max="10757" width="9.140625" style="2139"/>
    <col min="10758" max="10758" width="15.28515625" style="2139" customWidth="1"/>
    <col min="10759" max="10759" width="10.7109375" style="2139" customWidth="1"/>
    <col min="10760" max="10760" width="9" style="2139" customWidth="1"/>
    <col min="10761" max="10762" width="9.140625" style="2139"/>
    <col min="10763" max="10764" width="10.140625" style="2139" bestFit="1" customWidth="1"/>
    <col min="10765" max="11011" width="9.140625" style="2139"/>
    <col min="11012" max="11012" width="28.42578125" style="2139" customWidth="1"/>
    <col min="11013" max="11013" width="9.140625" style="2139"/>
    <col min="11014" max="11014" width="15.28515625" style="2139" customWidth="1"/>
    <col min="11015" max="11015" width="10.7109375" style="2139" customWidth="1"/>
    <col min="11016" max="11016" width="9" style="2139" customWidth="1"/>
    <col min="11017" max="11018" width="9.140625" style="2139"/>
    <col min="11019" max="11020" width="10.140625" style="2139" bestFit="1" customWidth="1"/>
    <col min="11021" max="11267" width="9.140625" style="2139"/>
    <col min="11268" max="11268" width="28.42578125" style="2139" customWidth="1"/>
    <col min="11269" max="11269" width="9.140625" style="2139"/>
    <col min="11270" max="11270" width="15.28515625" style="2139" customWidth="1"/>
    <col min="11271" max="11271" width="10.7109375" style="2139" customWidth="1"/>
    <col min="11272" max="11272" width="9" style="2139" customWidth="1"/>
    <col min="11273" max="11274" width="9.140625" style="2139"/>
    <col min="11275" max="11276" width="10.140625" style="2139" bestFit="1" customWidth="1"/>
    <col min="11277" max="11523" width="9.140625" style="2139"/>
    <col min="11524" max="11524" width="28.42578125" style="2139" customWidth="1"/>
    <col min="11525" max="11525" width="9.140625" style="2139"/>
    <col min="11526" max="11526" width="15.28515625" style="2139" customWidth="1"/>
    <col min="11527" max="11527" width="10.7109375" style="2139" customWidth="1"/>
    <col min="11528" max="11528" width="9" style="2139" customWidth="1"/>
    <col min="11529" max="11530" width="9.140625" style="2139"/>
    <col min="11531" max="11532" width="10.140625" style="2139" bestFit="1" customWidth="1"/>
    <col min="11533" max="11779" width="9.140625" style="2139"/>
    <col min="11780" max="11780" width="28.42578125" style="2139" customWidth="1"/>
    <col min="11781" max="11781" width="9.140625" style="2139"/>
    <col min="11782" max="11782" width="15.28515625" style="2139" customWidth="1"/>
    <col min="11783" max="11783" width="10.7109375" style="2139" customWidth="1"/>
    <col min="11784" max="11784" width="9" style="2139" customWidth="1"/>
    <col min="11785" max="11786" width="9.140625" style="2139"/>
    <col min="11787" max="11788" width="10.140625" style="2139" bestFit="1" customWidth="1"/>
    <col min="11789" max="12035" width="9.140625" style="2139"/>
    <col min="12036" max="12036" width="28.42578125" style="2139" customWidth="1"/>
    <col min="12037" max="12037" width="9.140625" style="2139"/>
    <col min="12038" max="12038" width="15.28515625" style="2139" customWidth="1"/>
    <col min="12039" max="12039" width="10.7109375" style="2139" customWidth="1"/>
    <col min="12040" max="12040" width="9" style="2139" customWidth="1"/>
    <col min="12041" max="12042" width="9.140625" style="2139"/>
    <col min="12043" max="12044" width="10.140625" style="2139" bestFit="1" customWidth="1"/>
    <col min="12045" max="12291" width="9.140625" style="2139"/>
    <col min="12292" max="12292" width="28.42578125" style="2139" customWidth="1"/>
    <col min="12293" max="12293" width="9.140625" style="2139"/>
    <col min="12294" max="12294" width="15.28515625" style="2139" customWidth="1"/>
    <col min="12295" max="12295" width="10.7109375" style="2139" customWidth="1"/>
    <col min="12296" max="12296" width="9" style="2139" customWidth="1"/>
    <col min="12297" max="12298" width="9.140625" style="2139"/>
    <col min="12299" max="12300" width="10.140625" style="2139" bestFit="1" customWidth="1"/>
    <col min="12301" max="12547" width="9.140625" style="2139"/>
    <col min="12548" max="12548" width="28.42578125" style="2139" customWidth="1"/>
    <col min="12549" max="12549" width="9.140625" style="2139"/>
    <col min="12550" max="12550" width="15.28515625" style="2139" customWidth="1"/>
    <col min="12551" max="12551" width="10.7109375" style="2139" customWidth="1"/>
    <col min="12552" max="12552" width="9" style="2139" customWidth="1"/>
    <col min="12553" max="12554" width="9.140625" style="2139"/>
    <col min="12555" max="12556" width="10.140625" style="2139" bestFit="1" customWidth="1"/>
    <col min="12557" max="12803" width="9.140625" style="2139"/>
    <col min="12804" max="12804" width="28.42578125" style="2139" customWidth="1"/>
    <col min="12805" max="12805" width="9.140625" style="2139"/>
    <col min="12806" max="12806" width="15.28515625" style="2139" customWidth="1"/>
    <col min="12807" max="12807" width="10.7109375" style="2139" customWidth="1"/>
    <col min="12808" max="12808" width="9" style="2139" customWidth="1"/>
    <col min="12809" max="12810" width="9.140625" style="2139"/>
    <col min="12811" max="12812" width="10.140625" style="2139" bestFit="1" customWidth="1"/>
    <col min="12813" max="13059" width="9.140625" style="2139"/>
    <col min="13060" max="13060" width="28.42578125" style="2139" customWidth="1"/>
    <col min="13061" max="13061" width="9.140625" style="2139"/>
    <col min="13062" max="13062" width="15.28515625" style="2139" customWidth="1"/>
    <col min="13063" max="13063" width="10.7109375" style="2139" customWidth="1"/>
    <col min="13064" max="13064" width="9" style="2139" customWidth="1"/>
    <col min="13065" max="13066" width="9.140625" style="2139"/>
    <col min="13067" max="13068" width="10.140625" style="2139" bestFit="1" customWidth="1"/>
    <col min="13069" max="13315" width="9.140625" style="2139"/>
    <col min="13316" max="13316" width="28.42578125" style="2139" customWidth="1"/>
    <col min="13317" max="13317" width="9.140625" style="2139"/>
    <col min="13318" max="13318" width="15.28515625" style="2139" customWidth="1"/>
    <col min="13319" max="13319" width="10.7109375" style="2139" customWidth="1"/>
    <col min="13320" max="13320" width="9" style="2139" customWidth="1"/>
    <col min="13321" max="13322" width="9.140625" style="2139"/>
    <col min="13323" max="13324" width="10.140625" style="2139" bestFit="1" customWidth="1"/>
    <col min="13325" max="13571" width="9.140625" style="2139"/>
    <col min="13572" max="13572" width="28.42578125" style="2139" customWidth="1"/>
    <col min="13573" max="13573" width="9.140625" style="2139"/>
    <col min="13574" max="13574" width="15.28515625" style="2139" customWidth="1"/>
    <col min="13575" max="13575" width="10.7109375" style="2139" customWidth="1"/>
    <col min="13576" max="13576" width="9" style="2139" customWidth="1"/>
    <col min="13577" max="13578" width="9.140625" style="2139"/>
    <col min="13579" max="13580" width="10.140625" style="2139" bestFit="1" customWidth="1"/>
    <col min="13581" max="13827" width="9.140625" style="2139"/>
    <col min="13828" max="13828" width="28.42578125" style="2139" customWidth="1"/>
    <col min="13829" max="13829" width="9.140625" style="2139"/>
    <col min="13830" max="13830" width="15.28515625" style="2139" customWidth="1"/>
    <col min="13831" max="13831" width="10.7109375" style="2139" customWidth="1"/>
    <col min="13832" max="13832" width="9" style="2139" customWidth="1"/>
    <col min="13833" max="13834" width="9.140625" style="2139"/>
    <col min="13835" max="13836" width="10.140625" style="2139" bestFit="1" customWidth="1"/>
    <col min="13837" max="14083" width="9.140625" style="2139"/>
    <col min="14084" max="14084" width="28.42578125" style="2139" customWidth="1"/>
    <col min="14085" max="14085" width="9.140625" style="2139"/>
    <col min="14086" max="14086" width="15.28515625" style="2139" customWidth="1"/>
    <col min="14087" max="14087" width="10.7109375" style="2139" customWidth="1"/>
    <col min="14088" max="14088" width="9" style="2139" customWidth="1"/>
    <col min="14089" max="14090" width="9.140625" style="2139"/>
    <col min="14091" max="14092" width="10.140625" style="2139" bestFit="1" customWidth="1"/>
    <col min="14093" max="14339" width="9.140625" style="2139"/>
    <col min="14340" max="14340" width="28.42578125" style="2139" customWidth="1"/>
    <col min="14341" max="14341" width="9.140625" style="2139"/>
    <col min="14342" max="14342" width="15.28515625" style="2139" customWidth="1"/>
    <col min="14343" max="14343" width="10.7109375" style="2139" customWidth="1"/>
    <col min="14344" max="14344" width="9" style="2139" customWidth="1"/>
    <col min="14345" max="14346" width="9.140625" style="2139"/>
    <col min="14347" max="14348" width="10.140625" style="2139" bestFit="1" customWidth="1"/>
    <col min="14349" max="14595" width="9.140625" style="2139"/>
    <col min="14596" max="14596" width="28.42578125" style="2139" customWidth="1"/>
    <col min="14597" max="14597" width="9.140625" style="2139"/>
    <col min="14598" max="14598" width="15.28515625" style="2139" customWidth="1"/>
    <col min="14599" max="14599" width="10.7109375" style="2139" customWidth="1"/>
    <col min="14600" max="14600" width="9" style="2139" customWidth="1"/>
    <col min="14601" max="14602" width="9.140625" style="2139"/>
    <col min="14603" max="14604" width="10.140625" style="2139" bestFit="1" customWidth="1"/>
    <col min="14605" max="14851" width="9.140625" style="2139"/>
    <col min="14852" max="14852" width="28.42578125" style="2139" customWidth="1"/>
    <col min="14853" max="14853" width="9.140625" style="2139"/>
    <col min="14854" max="14854" width="15.28515625" style="2139" customWidth="1"/>
    <col min="14855" max="14855" width="10.7109375" style="2139" customWidth="1"/>
    <col min="14856" max="14856" width="9" style="2139" customWidth="1"/>
    <col min="14857" max="14858" width="9.140625" style="2139"/>
    <col min="14859" max="14860" width="10.140625" style="2139" bestFit="1" customWidth="1"/>
    <col min="14861" max="15107" width="9.140625" style="2139"/>
    <col min="15108" max="15108" width="28.42578125" style="2139" customWidth="1"/>
    <col min="15109" max="15109" width="9.140625" style="2139"/>
    <col min="15110" max="15110" width="15.28515625" style="2139" customWidth="1"/>
    <col min="15111" max="15111" width="10.7109375" style="2139" customWidth="1"/>
    <col min="15112" max="15112" width="9" style="2139" customWidth="1"/>
    <col min="15113" max="15114" width="9.140625" style="2139"/>
    <col min="15115" max="15116" width="10.140625" style="2139" bestFit="1" customWidth="1"/>
    <col min="15117" max="15363" width="9.140625" style="2139"/>
    <col min="15364" max="15364" width="28.42578125" style="2139" customWidth="1"/>
    <col min="15365" max="15365" width="9.140625" style="2139"/>
    <col min="15366" max="15366" width="15.28515625" style="2139" customWidth="1"/>
    <col min="15367" max="15367" width="10.7109375" style="2139" customWidth="1"/>
    <col min="15368" max="15368" width="9" style="2139" customWidth="1"/>
    <col min="15369" max="15370" width="9.140625" style="2139"/>
    <col min="15371" max="15372" width="10.140625" style="2139" bestFit="1" customWidth="1"/>
    <col min="15373" max="15619" width="9.140625" style="2139"/>
    <col min="15620" max="15620" width="28.42578125" style="2139" customWidth="1"/>
    <col min="15621" max="15621" width="9.140625" style="2139"/>
    <col min="15622" max="15622" width="15.28515625" style="2139" customWidth="1"/>
    <col min="15623" max="15623" width="10.7109375" style="2139" customWidth="1"/>
    <col min="15624" max="15624" width="9" style="2139" customWidth="1"/>
    <col min="15625" max="15626" width="9.140625" style="2139"/>
    <col min="15627" max="15628" width="10.140625" style="2139" bestFit="1" customWidth="1"/>
    <col min="15629" max="15875" width="9.140625" style="2139"/>
    <col min="15876" max="15876" width="28.42578125" style="2139" customWidth="1"/>
    <col min="15877" max="15877" width="9.140625" style="2139"/>
    <col min="15878" max="15878" width="15.28515625" style="2139" customWidth="1"/>
    <col min="15879" max="15879" width="10.7109375" style="2139" customWidth="1"/>
    <col min="15880" max="15880" width="9" style="2139" customWidth="1"/>
    <col min="15881" max="15882" width="9.140625" style="2139"/>
    <col min="15883" max="15884" width="10.140625" style="2139" bestFit="1" customWidth="1"/>
    <col min="15885" max="16131" width="9.140625" style="2139"/>
    <col min="16132" max="16132" width="28.42578125" style="2139" customWidth="1"/>
    <col min="16133" max="16133" width="9.140625" style="2139"/>
    <col min="16134" max="16134" width="15.28515625" style="2139" customWidth="1"/>
    <col min="16135" max="16135" width="10.7109375" style="2139" customWidth="1"/>
    <col min="16136" max="16136" width="9" style="2139" customWidth="1"/>
    <col min="16137" max="16138" width="9.140625" style="2139"/>
    <col min="16139" max="16140" width="10.140625" style="2139" bestFit="1" customWidth="1"/>
    <col min="16141" max="16384" width="9.140625" style="2139"/>
  </cols>
  <sheetData>
    <row r="1" spans="1:12" ht="43.5" customHeight="1" thickBot="1" x14ac:dyDescent="0.25">
      <c r="A1" s="2762" t="s">
        <v>1708</v>
      </c>
      <c r="B1" s="2762"/>
      <c r="C1" s="2762"/>
      <c r="D1" s="2762"/>
      <c r="E1" s="2762"/>
      <c r="F1" s="2762"/>
      <c r="G1" s="2762"/>
      <c r="H1" s="2762"/>
    </row>
    <row r="2" spans="1:12" ht="18" x14ac:dyDescent="0.25">
      <c r="A2" s="2146"/>
      <c r="B2" s="2146"/>
      <c r="C2" s="2146"/>
      <c r="E2" s="2147"/>
      <c r="F2" s="2147"/>
      <c r="G2" s="2147"/>
      <c r="H2" s="2027" t="s">
        <v>841</v>
      </c>
    </row>
    <row r="3" spans="1:12" s="2238" customFormat="1" ht="12.75" customHeight="1" x14ac:dyDescent="0.2">
      <c r="A3" s="2143" t="s">
        <v>387</v>
      </c>
      <c r="B3" s="2237"/>
      <c r="C3" s="2144" t="s">
        <v>363</v>
      </c>
    </row>
    <row r="4" spans="1:12" s="2238" customFormat="1" ht="12.75" customHeight="1" x14ac:dyDescent="0.25">
      <c r="A4" s="2239"/>
      <c r="B4" s="2237"/>
      <c r="C4" s="2144" t="s">
        <v>364</v>
      </c>
    </row>
    <row r="5" spans="1:12" ht="18" x14ac:dyDescent="0.25">
      <c r="A5" s="2145" t="s">
        <v>842</v>
      </c>
      <c r="B5" s="2146"/>
      <c r="C5" s="2146"/>
      <c r="E5" s="2147"/>
      <c r="F5" s="2147"/>
      <c r="G5" s="2147"/>
    </row>
    <row r="6" spans="1:12" x14ac:dyDescent="0.2">
      <c r="A6" s="2146"/>
      <c r="B6" s="2146"/>
      <c r="C6" s="2146"/>
      <c r="E6" s="2147"/>
      <c r="F6" s="2147"/>
      <c r="G6" s="2147"/>
    </row>
    <row r="7" spans="1:12" ht="15.75" thickBot="1" x14ac:dyDescent="0.3">
      <c r="A7" s="2132" t="s">
        <v>263</v>
      </c>
      <c r="B7" s="2146"/>
      <c r="C7" s="2146"/>
      <c r="E7" s="2147"/>
      <c r="F7" s="2147"/>
      <c r="G7" s="2147"/>
      <c r="H7" s="2240" t="s">
        <v>173</v>
      </c>
    </row>
    <row r="8" spans="1:12" ht="13.5" hidden="1" thickBot="1" x14ac:dyDescent="0.25">
      <c r="A8" s="2146"/>
      <c r="B8" s="2146"/>
      <c r="C8" s="2146"/>
      <c r="E8" s="2147"/>
      <c r="F8" s="2147"/>
      <c r="G8" s="2147"/>
      <c r="H8" s="2240" t="s">
        <v>173</v>
      </c>
    </row>
    <row r="9" spans="1:12" ht="25.5" thickTop="1" thickBot="1" x14ac:dyDescent="0.25">
      <c r="A9" s="2149" t="s">
        <v>174</v>
      </c>
      <c r="B9" s="2150" t="s">
        <v>800</v>
      </c>
      <c r="C9" s="2150" t="s">
        <v>397</v>
      </c>
      <c r="D9" s="2151" t="s">
        <v>176</v>
      </c>
      <c r="E9" s="2152" t="s">
        <v>669</v>
      </c>
      <c r="F9" s="2152" t="s">
        <v>670</v>
      </c>
      <c r="G9" s="2153" t="s">
        <v>923</v>
      </c>
      <c r="H9" s="2154" t="s">
        <v>924</v>
      </c>
    </row>
    <row r="10" spans="1:12" ht="14.25" thickTop="1" thickBot="1" x14ac:dyDescent="0.25">
      <c r="A10" s="2155">
        <v>1</v>
      </c>
      <c r="B10" s="2156">
        <v>2</v>
      </c>
      <c r="C10" s="2156">
        <v>3</v>
      </c>
      <c r="D10" s="2156">
        <v>4</v>
      </c>
      <c r="E10" s="2157">
        <v>5</v>
      </c>
      <c r="F10" s="2157">
        <v>6</v>
      </c>
      <c r="G10" s="2158">
        <v>7</v>
      </c>
      <c r="H10" s="2174" t="s">
        <v>61</v>
      </c>
    </row>
    <row r="11" spans="1:12" ht="32.25" customHeight="1" thickTop="1" thickBot="1" x14ac:dyDescent="0.25">
      <c r="A11" s="2165">
        <v>3636</v>
      </c>
      <c r="B11" s="2166">
        <v>5363</v>
      </c>
      <c r="C11" s="2166"/>
      <c r="D11" s="2241" t="s">
        <v>1652</v>
      </c>
      <c r="E11" s="2242">
        <v>0</v>
      </c>
      <c r="F11" s="2283">
        <v>23</v>
      </c>
      <c r="G11" s="2283">
        <v>23</v>
      </c>
      <c r="H11" s="2173">
        <f>G11/F11*100</f>
        <v>100</v>
      </c>
    </row>
    <row r="12" spans="1:12" ht="16.5" thickTop="1" thickBot="1" x14ac:dyDescent="0.3">
      <c r="A12" s="2339" t="s">
        <v>802</v>
      </c>
      <c r="B12" s="2340"/>
      <c r="C12" s="2340"/>
      <c r="D12" s="2340"/>
      <c r="E12" s="2172">
        <f>SUM(E11:E11)</f>
        <v>0</v>
      </c>
      <c r="F12" s="2172">
        <f>SUM(F11:F11)</f>
        <v>23</v>
      </c>
      <c r="G12" s="2172">
        <f>SUM(G11:G11)</f>
        <v>23</v>
      </c>
      <c r="H12" s="2171">
        <v>0</v>
      </c>
    </row>
    <row r="13" spans="1:12" ht="13.5" thickTop="1" x14ac:dyDescent="0.2">
      <c r="A13" s="2146"/>
      <c r="B13" s="2146"/>
      <c r="C13" s="2146"/>
      <c r="E13" s="2147"/>
      <c r="F13" s="2147"/>
      <c r="G13" s="2147"/>
    </row>
    <row r="14" spans="1:12" s="2243" customFormat="1" x14ac:dyDescent="0.2">
      <c r="A14" s="2146"/>
      <c r="B14" s="2146"/>
      <c r="C14" s="2146"/>
      <c r="D14" s="2139"/>
      <c r="E14" s="2147"/>
      <c r="F14" s="2147"/>
      <c r="G14" s="2147"/>
      <c r="H14" s="2139"/>
    </row>
    <row r="15" spans="1:12" s="2243" customFormat="1" ht="16.5" x14ac:dyDescent="0.25">
      <c r="A15" s="2193" t="s">
        <v>487</v>
      </c>
      <c r="B15" s="2194"/>
      <c r="C15" s="2195"/>
      <c r="D15" s="2196"/>
      <c r="E15" s="2197">
        <f>SUM(E16:E18)</f>
        <v>0</v>
      </c>
      <c r="F15" s="2197">
        <f>F16+F17+F18+F19</f>
        <v>23</v>
      </c>
      <c r="G15" s="2197">
        <f>G16+G17+G18+G19</f>
        <v>23</v>
      </c>
      <c r="H15" s="2244">
        <f>G15/F15*100</f>
        <v>100</v>
      </c>
      <c r="J15" s="2245">
        <f>J16+J17+J18</f>
        <v>0</v>
      </c>
      <c r="K15" s="2245">
        <f>K16+K17+K18</f>
        <v>22553</v>
      </c>
      <c r="L15" s="2245">
        <f>L16+L17+L18</f>
        <v>22553</v>
      </c>
    </row>
    <row r="16" spans="1:12" s="2243" customFormat="1" ht="15" x14ac:dyDescent="0.2">
      <c r="A16" s="2200" t="s">
        <v>277</v>
      </c>
      <c r="B16" s="2201"/>
      <c r="C16" s="2202"/>
      <c r="D16" s="2203"/>
      <c r="E16" s="2204">
        <f>SUM(E11)</f>
        <v>0</v>
      </c>
      <c r="F16" s="2204">
        <f>SUM(F11)</f>
        <v>23</v>
      </c>
      <c r="G16" s="2204">
        <f>SUM(G11)</f>
        <v>23</v>
      </c>
      <c r="H16" s="2246">
        <f>G16/F16*100</f>
        <v>100</v>
      </c>
      <c r="J16" s="2247">
        <v>0</v>
      </c>
      <c r="K16" s="2247">
        <v>22553</v>
      </c>
      <c r="L16" s="2247">
        <v>22553</v>
      </c>
    </row>
    <row r="17" spans="1:12" ht="15" x14ac:dyDescent="0.2">
      <c r="A17" s="2200" t="s">
        <v>278</v>
      </c>
      <c r="B17" s="2207"/>
      <c r="C17" s="2202"/>
      <c r="D17" s="2208"/>
      <c r="E17" s="2204">
        <v>0</v>
      </c>
      <c r="F17" s="2204">
        <v>0</v>
      </c>
      <c r="G17" s="2204">
        <v>0</v>
      </c>
      <c r="H17" s="2246">
        <v>0</v>
      </c>
      <c r="J17" s="2206">
        <v>0</v>
      </c>
      <c r="K17" s="2206">
        <v>0</v>
      </c>
      <c r="L17" s="2206">
        <v>0</v>
      </c>
    </row>
    <row r="18" spans="1:12" ht="15" x14ac:dyDescent="0.2">
      <c r="A18" s="2200" t="s">
        <v>488</v>
      </c>
      <c r="B18" s="2207"/>
      <c r="C18" s="2202"/>
      <c r="D18" s="2208"/>
      <c r="E18" s="2204">
        <v>0</v>
      </c>
      <c r="F18" s="2204">
        <v>0</v>
      </c>
      <c r="G18" s="2204">
        <v>0</v>
      </c>
      <c r="H18" s="2246">
        <v>0</v>
      </c>
      <c r="J18" s="2206">
        <v>0</v>
      </c>
      <c r="K18" s="2206">
        <v>0</v>
      </c>
      <c r="L18" s="2206">
        <v>0</v>
      </c>
    </row>
    <row r="19" spans="1:12" ht="15" x14ac:dyDescent="0.2">
      <c r="A19" s="2200"/>
      <c r="B19" s="2207"/>
      <c r="C19" s="2202"/>
      <c r="D19" s="2208"/>
      <c r="E19" s="2204"/>
      <c r="F19" s="2204"/>
      <c r="G19" s="2204"/>
      <c r="H19" s="2209"/>
    </row>
    <row r="20" spans="1:12" s="2229" customFormat="1" ht="77.25" customHeight="1" thickBot="1" x14ac:dyDescent="0.4">
      <c r="A20" s="2763" t="s">
        <v>1709</v>
      </c>
      <c r="B20" s="2764"/>
      <c r="C20" s="2764"/>
      <c r="D20" s="2764"/>
      <c r="E20" s="2210">
        <f>SUM(E15)</f>
        <v>0</v>
      </c>
      <c r="F20" s="2210">
        <f>SUM(F15)</f>
        <v>23</v>
      </c>
      <c r="G20" s="2210">
        <f>SUM(G15)</f>
        <v>23</v>
      </c>
      <c r="H20" s="2248">
        <f>G20/F20*100</f>
        <v>100</v>
      </c>
    </row>
    <row r="21" spans="1:12" ht="77.25" customHeight="1" thickTop="1" x14ac:dyDescent="0.2"/>
  </sheetData>
  <mergeCells count="2">
    <mergeCell ref="A1:H1"/>
    <mergeCell ref="A20:D20"/>
  </mergeCells>
  <pageMargins left="0.70866141732283472" right="0.70866141732283472" top="0.78740157480314965" bottom="0.78740157480314965" header="0.31496062992125984" footer="0.31496062992125984"/>
  <pageSetup paperSize="9" scale="80" firstPageNumber="128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colBreaks count="1" manualBreakCount="1">
    <brk id="8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48"/>
  <sheetViews>
    <sheetView showGridLines="0" view="pageBreakPreview" zoomScaleNormal="100" zoomScaleSheetLayoutView="100" workbookViewId="0">
      <selection activeCell="K143" sqref="K143:M145"/>
    </sheetView>
  </sheetViews>
  <sheetFormatPr defaultRowHeight="12.75" x14ac:dyDescent="0.2"/>
  <cols>
    <col min="1" max="1" width="5.28515625" style="1936" customWidth="1"/>
    <col min="2" max="2" width="6.7109375" style="1936" customWidth="1"/>
    <col min="3" max="3" width="8.85546875" style="1936" customWidth="1"/>
    <col min="4" max="4" width="46.42578125" style="1936" customWidth="1"/>
    <col min="5" max="5" width="12.85546875" style="1937" customWidth="1"/>
    <col min="6" max="6" width="15.5703125" style="1970" customWidth="1"/>
    <col min="7" max="7" width="15.85546875" style="1970" customWidth="1"/>
    <col min="8" max="8" width="9.28515625" style="1970" customWidth="1"/>
    <col min="9" max="9" width="6.28515625" style="1937" customWidth="1"/>
    <col min="10" max="10" width="7.42578125" style="1937" customWidth="1"/>
    <col min="11" max="11" width="9.140625" style="1937"/>
    <col min="12" max="12" width="17.28515625" style="1937" bestFit="1" customWidth="1"/>
    <col min="13" max="13" width="17.42578125" style="1937" customWidth="1"/>
    <col min="14" max="16384" width="9.140625" style="1937"/>
  </cols>
  <sheetData>
    <row r="1" spans="1:10" ht="18.75" thickBot="1" x14ac:dyDescent="0.3">
      <c r="A1" s="1820" t="s">
        <v>911</v>
      </c>
      <c r="B1" s="1819"/>
      <c r="C1" s="1932"/>
      <c r="D1" s="1817"/>
      <c r="E1" s="1816"/>
      <c r="F1" s="1817"/>
      <c r="G1" s="2053"/>
      <c r="H1" s="1973"/>
    </row>
    <row r="2" spans="1:10" x14ac:dyDescent="0.2">
      <c r="A2" s="2052"/>
    </row>
    <row r="3" spans="1:10" ht="18" x14ac:dyDescent="0.25">
      <c r="A3" s="1815" t="s">
        <v>387</v>
      </c>
      <c r="C3" s="1935" t="s">
        <v>363</v>
      </c>
      <c r="H3" s="2027" t="s">
        <v>912</v>
      </c>
    </row>
    <row r="4" spans="1:10" ht="13.5" customHeight="1" x14ac:dyDescent="0.25">
      <c r="A4" s="1940"/>
      <c r="C4" s="1935" t="s">
        <v>364</v>
      </c>
    </row>
    <row r="5" spans="1:10" ht="18.75" customHeight="1" x14ac:dyDescent="0.25">
      <c r="A5" s="1940" t="s">
        <v>913</v>
      </c>
    </row>
    <row r="6" spans="1:10" ht="13.5" customHeight="1" x14ac:dyDescent="0.25">
      <c r="A6" s="1940"/>
    </row>
    <row r="7" spans="1:10" s="1754" customFormat="1" ht="15" x14ac:dyDescent="0.25">
      <c r="A7" s="1942" t="s">
        <v>1450</v>
      </c>
      <c r="B7" s="1936"/>
      <c r="C7" s="1936"/>
      <c r="D7" s="1936"/>
      <c r="E7" s="1937"/>
      <c r="F7" s="1970"/>
      <c r="G7" s="1970"/>
      <c r="H7" s="1970"/>
      <c r="I7" s="1937"/>
    </row>
    <row r="8" spans="1:10" s="1677" customFormat="1" ht="15.75" thickBot="1" x14ac:dyDescent="0.3">
      <c r="A8" s="1942" t="s">
        <v>1449</v>
      </c>
      <c r="B8" s="1936"/>
      <c r="C8" s="1936"/>
      <c r="D8" s="1936"/>
      <c r="E8" s="1937"/>
      <c r="F8" s="1970"/>
      <c r="G8" s="1970"/>
      <c r="H8" s="1966" t="s">
        <v>173</v>
      </c>
      <c r="I8" s="1937"/>
    </row>
    <row r="9" spans="1:10" ht="25.5" thickTop="1" thickBot="1" x14ac:dyDescent="0.25">
      <c r="A9" s="1943" t="s">
        <v>174</v>
      </c>
      <c r="B9" s="1944" t="s">
        <v>800</v>
      </c>
      <c r="C9" s="1944" t="s">
        <v>397</v>
      </c>
      <c r="D9" s="1945" t="s">
        <v>176</v>
      </c>
      <c r="E9" s="1976" t="s">
        <v>669</v>
      </c>
      <c r="F9" s="1976" t="s">
        <v>670</v>
      </c>
      <c r="G9" s="1977" t="s">
        <v>923</v>
      </c>
      <c r="H9" s="1978" t="s">
        <v>924</v>
      </c>
    </row>
    <row r="10" spans="1:10" ht="14.25" thickTop="1" thickBot="1" x14ac:dyDescent="0.25">
      <c r="A10" s="1740">
        <v>1</v>
      </c>
      <c r="B10" s="1739">
        <v>2</v>
      </c>
      <c r="C10" s="1739">
        <v>3</v>
      </c>
      <c r="D10" s="1739">
        <v>5</v>
      </c>
      <c r="E10" s="1738">
        <v>6</v>
      </c>
      <c r="F10" s="1738">
        <v>7</v>
      </c>
      <c r="G10" s="2028">
        <v>8</v>
      </c>
      <c r="H10" s="1951" t="s">
        <v>801</v>
      </c>
    </row>
    <row r="11" spans="1:10" ht="15.75" thickTop="1" x14ac:dyDescent="0.2">
      <c r="A11" s="1952">
        <v>2212</v>
      </c>
      <c r="B11" s="1953">
        <v>6121</v>
      </c>
      <c r="C11" s="1953">
        <v>12</v>
      </c>
      <c r="D11" s="1979" t="s">
        <v>640</v>
      </c>
      <c r="E11" s="1989">
        <v>0</v>
      </c>
      <c r="F11" s="1989">
        <v>63557</v>
      </c>
      <c r="G11" s="1989">
        <v>63517</v>
      </c>
      <c r="H11" s="1961">
        <f>G11/F11*100</f>
        <v>99.93706436741823</v>
      </c>
      <c r="I11" s="1970"/>
    </row>
    <row r="12" spans="1:10" ht="15.75" thickBot="1" x14ac:dyDescent="0.25">
      <c r="A12" s="1952">
        <v>2212</v>
      </c>
      <c r="B12" s="1953">
        <v>6121</v>
      </c>
      <c r="C12" s="1953">
        <v>38100870</v>
      </c>
      <c r="D12" s="1979" t="s">
        <v>640</v>
      </c>
      <c r="E12" s="1989">
        <v>0</v>
      </c>
      <c r="F12" s="1989">
        <v>149298</v>
      </c>
      <c r="G12" s="1989">
        <v>149115</v>
      </c>
      <c r="H12" s="1961">
        <f>G12/F12*100</f>
        <v>99.877426355343005</v>
      </c>
      <c r="I12" s="1970"/>
    </row>
    <row r="13" spans="1:10" ht="15.75" hidden="1" thickBot="1" x14ac:dyDescent="0.25">
      <c r="A13" s="1952">
        <v>2212</v>
      </c>
      <c r="B13" s="2050">
        <v>6121</v>
      </c>
      <c r="C13" s="2050">
        <v>38100874</v>
      </c>
      <c r="D13" s="1979" t="s">
        <v>640</v>
      </c>
      <c r="E13" s="1989">
        <v>0</v>
      </c>
      <c r="F13" s="1989">
        <v>0</v>
      </c>
      <c r="G13" s="1989">
        <v>0</v>
      </c>
      <c r="H13" s="1961" t="e">
        <f>G13/F13*100</f>
        <v>#DIV/0!</v>
      </c>
      <c r="I13" s="1970"/>
    </row>
    <row r="14" spans="1:10" ht="15.75" hidden="1" thickBot="1" x14ac:dyDescent="0.25">
      <c r="A14" s="1952">
        <v>2212</v>
      </c>
      <c r="B14" s="2050">
        <v>6121</v>
      </c>
      <c r="C14" s="2050">
        <v>38500871</v>
      </c>
      <c r="D14" s="1979" t="s">
        <v>640</v>
      </c>
      <c r="E14" s="1989">
        <v>0</v>
      </c>
      <c r="F14" s="1989">
        <v>0</v>
      </c>
      <c r="G14" s="1989">
        <v>0</v>
      </c>
      <c r="H14" s="1961" t="e">
        <f>G14/F14*100</f>
        <v>#DIV/0!</v>
      </c>
      <c r="I14" s="1970"/>
    </row>
    <row r="15" spans="1:10" ht="16.5" thickTop="1" thickBot="1" x14ac:dyDescent="0.3">
      <c r="A15" s="1980" t="s">
        <v>802</v>
      </c>
      <c r="B15" s="1981"/>
      <c r="C15" s="1981"/>
      <c r="D15" s="1982"/>
      <c r="E15" s="1957">
        <f>SUM(E12:E14)</f>
        <v>0</v>
      </c>
      <c r="F15" s="1957">
        <f>SUM(F11:F14)</f>
        <v>212855</v>
      </c>
      <c r="G15" s="1957">
        <f>SUM(G11:G14)</f>
        <v>212632</v>
      </c>
      <c r="H15" s="1962">
        <f>G15/F15*100</f>
        <v>99.895233844636024</v>
      </c>
      <c r="I15" s="1970"/>
    </row>
    <row r="16" spans="1:10" s="2051" customFormat="1" ht="16.5" customHeight="1" thickTop="1" x14ac:dyDescent="0.25">
      <c r="A16" s="1940"/>
      <c r="B16" s="1936"/>
      <c r="C16" s="1936"/>
      <c r="D16" s="1936"/>
      <c r="E16" s="1937"/>
      <c r="F16" s="1970"/>
      <c r="G16" s="1970"/>
      <c r="H16" s="1970"/>
      <c r="I16" s="1937"/>
      <c r="J16" s="2017"/>
    </row>
    <row r="17" spans="1:9" s="1754" customFormat="1" ht="15" hidden="1" x14ac:dyDescent="0.25">
      <c r="A17" s="1942" t="s">
        <v>581</v>
      </c>
      <c r="B17" s="1936"/>
      <c r="C17" s="1936"/>
      <c r="D17" s="1936"/>
      <c r="E17" s="1937"/>
      <c r="F17" s="1970"/>
      <c r="G17" s="1970"/>
      <c r="H17" s="1970"/>
      <c r="I17" s="1937"/>
    </row>
    <row r="18" spans="1:9" s="1677" customFormat="1" ht="15" hidden="1" x14ac:dyDescent="0.25">
      <c r="A18" s="1942" t="s">
        <v>1354</v>
      </c>
      <c r="B18" s="1936"/>
      <c r="C18" s="1936"/>
      <c r="D18" s="1936"/>
      <c r="E18" s="1937"/>
      <c r="F18" s="1970"/>
      <c r="G18" s="1970"/>
      <c r="H18" s="2043" t="s">
        <v>173</v>
      </c>
      <c r="I18" s="1937"/>
    </row>
    <row r="19" spans="1:9" ht="25.5" hidden="1" thickTop="1" thickBot="1" x14ac:dyDescent="0.25">
      <c r="A19" s="1943" t="s">
        <v>174</v>
      </c>
      <c r="B19" s="1944" t="s">
        <v>800</v>
      </c>
      <c r="C19" s="1944" t="s">
        <v>397</v>
      </c>
      <c r="D19" s="1945" t="s">
        <v>176</v>
      </c>
      <c r="E19" s="1976" t="s">
        <v>669</v>
      </c>
      <c r="F19" s="1976" t="s">
        <v>670</v>
      </c>
      <c r="G19" s="1977" t="s">
        <v>923</v>
      </c>
      <c r="H19" s="1978" t="s">
        <v>924</v>
      </c>
    </row>
    <row r="20" spans="1:9" ht="14.25" hidden="1" thickTop="1" thickBot="1" x14ac:dyDescent="0.25">
      <c r="A20" s="1740">
        <v>1</v>
      </c>
      <c r="B20" s="1739">
        <v>2</v>
      </c>
      <c r="C20" s="1739">
        <v>3</v>
      </c>
      <c r="D20" s="1739">
        <v>5</v>
      </c>
      <c r="E20" s="1738">
        <v>6</v>
      </c>
      <c r="F20" s="1738">
        <v>7</v>
      </c>
      <c r="G20" s="2028">
        <v>8</v>
      </c>
      <c r="H20" s="1951" t="s">
        <v>801</v>
      </c>
    </row>
    <row r="21" spans="1:9" ht="15" hidden="1" customHeight="1" thickTop="1" x14ac:dyDescent="0.2">
      <c r="A21" s="1952">
        <v>2212</v>
      </c>
      <c r="B21" s="2050">
        <v>5363</v>
      </c>
      <c r="C21" s="2050"/>
      <c r="D21" s="1979" t="s">
        <v>1652</v>
      </c>
      <c r="E21" s="1989">
        <v>0</v>
      </c>
      <c r="F21" s="1989">
        <v>0</v>
      </c>
      <c r="G21" s="1989">
        <v>0</v>
      </c>
      <c r="H21" s="1961" t="e">
        <f t="shared" ref="H21:H26" si="0">G21/F21*100</f>
        <v>#DIV/0!</v>
      </c>
    </row>
    <row r="22" spans="1:9" ht="15" hidden="1" customHeight="1" x14ac:dyDescent="0.2">
      <c r="A22" s="1952">
        <v>2212</v>
      </c>
      <c r="B22" s="1953">
        <v>6121</v>
      </c>
      <c r="C22" s="1953">
        <v>38100870</v>
      </c>
      <c r="D22" s="1979" t="s">
        <v>640</v>
      </c>
      <c r="E22" s="1989">
        <v>0</v>
      </c>
      <c r="F22" s="1989">
        <v>0</v>
      </c>
      <c r="G22" s="1989">
        <v>0</v>
      </c>
      <c r="H22" s="1961" t="e">
        <f t="shared" si="0"/>
        <v>#DIV/0!</v>
      </c>
    </row>
    <row r="23" spans="1:9" ht="15" hidden="1" x14ac:dyDescent="0.2">
      <c r="A23" s="1952">
        <v>2212</v>
      </c>
      <c r="B23" s="1953">
        <v>6121</v>
      </c>
      <c r="C23" s="1953">
        <v>38100872</v>
      </c>
      <c r="D23" s="1979" t="s">
        <v>640</v>
      </c>
      <c r="E23" s="1989">
        <v>0</v>
      </c>
      <c r="F23" s="1989">
        <v>0</v>
      </c>
      <c r="G23" s="1989">
        <v>0</v>
      </c>
      <c r="H23" s="1961" t="e">
        <f t="shared" si="0"/>
        <v>#DIV/0!</v>
      </c>
      <c r="I23" s="1970"/>
    </row>
    <row r="24" spans="1:9" ht="15" hidden="1" x14ac:dyDescent="0.2">
      <c r="A24" s="1952">
        <v>2212</v>
      </c>
      <c r="B24" s="2050">
        <v>6121</v>
      </c>
      <c r="C24" s="2050">
        <v>38100874</v>
      </c>
      <c r="D24" s="1979" t="s">
        <v>640</v>
      </c>
      <c r="E24" s="1989">
        <v>0</v>
      </c>
      <c r="F24" s="1989">
        <v>0</v>
      </c>
      <c r="G24" s="1989">
        <v>0</v>
      </c>
      <c r="H24" s="1961" t="e">
        <f t="shared" si="0"/>
        <v>#DIV/0!</v>
      </c>
      <c r="I24" s="1970"/>
    </row>
    <row r="25" spans="1:9" ht="15" hidden="1" x14ac:dyDescent="0.2">
      <c r="A25" s="1952">
        <v>2212</v>
      </c>
      <c r="B25" s="2050">
        <v>6121</v>
      </c>
      <c r="C25" s="2050">
        <v>38500871</v>
      </c>
      <c r="D25" s="1979" t="s">
        <v>640</v>
      </c>
      <c r="E25" s="1989">
        <v>0</v>
      </c>
      <c r="F25" s="1989">
        <v>0</v>
      </c>
      <c r="G25" s="1989">
        <v>0</v>
      </c>
      <c r="H25" s="1961" t="e">
        <f t="shared" si="0"/>
        <v>#DIV/0!</v>
      </c>
      <c r="I25" s="1970"/>
    </row>
    <row r="26" spans="1:9" ht="16.5" hidden="1" thickTop="1" thickBot="1" x14ac:dyDescent="0.3">
      <c r="A26" s="1980" t="s">
        <v>802</v>
      </c>
      <c r="B26" s="1981"/>
      <c r="C26" s="1981"/>
      <c r="D26" s="1982"/>
      <c r="E26" s="1957">
        <f>SUM(E21:E25)</f>
        <v>0</v>
      </c>
      <c r="F26" s="1957">
        <f>SUM(F21:F25)</f>
        <v>0</v>
      </c>
      <c r="G26" s="1957">
        <f>SUM(G21:G25)</f>
        <v>0</v>
      </c>
      <c r="H26" s="1962" t="e">
        <f t="shared" si="0"/>
        <v>#DIV/0!</v>
      </c>
      <c r="I26" s="1970"/>
    </row>
    <row r="27" spans="1:9" ht="15" hidden="1" x14ac:dyDescent="0.25">
      <c r="A27" s="1994"/>
      <c r="B27" s="1994"/>
      <c r="C27" s="1994"/>
      <c r="D27" s="1994"/>
      <c r="E27" s="1964"/>
      <c r="F27" s="1964"/>
      <c r="G27" s="1964"/>
      <c r="H27" s="1995"/>
      <c r="I27" s="1970"/>
    </row>
    <row r="28" spans="1:9" s="1754" customFormat="1" ht="15" hidden="1" x14ac:dyDescent="0.25">
      <c r="A28" s="1942" t="s">
        <v>1003</v>
      </c>
      <c r="B28" s="1936"/>
      <c r="C28" s="1936"/>
      <c r="D28" s="1936"/>
      <c r="E28" s="1937"/>
      <c r="F28" s="1970"/>
      <c r="G28" s="1970"/>
      <c r="H28" s="1970"/>
      <c r="I28" s="1937"/>
    </row>
    <row r="29" spans="1:9" s="1677" customFormat="1" ht="15" hidden="1" x14ac:dyDescent="0.25">
      <c r="A29" s="1942" t="s">
        <v>1448</v>
      </c>
      <c r="B29" s="1936"/>
      <c r="C29" s="1936"/>
      <c r="D29" s="1936"/>
      <c r="E29" s="1937"/>
      <c r="F29" s="1970"/>
      <c r="G29" s="1970"/>
      <c r="H29" s="2043" t="s">
        <v>173</v>
      </c>
      <c r="I29" s="1937"/>
    </row>
    <row r="30" spans="1:9" ht="25.5" hidden="1" thickTop="1" thickBot="1" x14ac:dyDescent="0.25">
      <c r="A30" s="1943" t="s">
        <v>174</v>
      </c>
      <c r="B30" s="1944" t="s">
        <v>800</v>
      </c>
      <c r="C30" s="1944" t="s">
        <v>397</v>
      </c>
      <c r="D30" s="1945" t="s">
        <v>176</v>
      </c>
      <c r="E30" s="1976" t="s">
        <v>669</v>
      </c>
      <c r="F30" s="1976" t="s">
        <v>670</v>
      </c>
      <c r="G30" s="1977" t="s">
        <v>923</v>
      </c>
      <c r="H30" s="1978" t="s">
        <v>924</v>
      </c>
    </row>
    <row r="31" spans="1:9" ht="14.25" hidden="1" thickTop="1" thickBot="1" x14ac:dyDescent="0.25">
      <c r="A31" s="1740">
        <v>1</v>
      </c>
      <c r="B31" s="1739">
        <v>2</v>
      </c>
      <c r="C31" s="1739">
        <v>3</v>
      </c>
      <c r="D31" s="1739">
        <v>5</v>
      </c>
      <c r="E31" s="1738">
        <v>6</v>
      </c>
      <c r="F31" s="1738">
        <v>7</v>
      </c>
      <c r="G31" s="2028">
        <v>8</v>
      </c>
      <c r="H31" s="1951" t="s">
        <v>801</v>
      </c>
    </row>
    <row r="32" spans="1:9" ht="15" hidden="1" x14ac:dyDescent="0.2">
      <c r="A32" s="1952">
        <v>2212</v>
      </c>
      <c r="B32" s="1953">
        <v>6121</v>
      </c>
      <c r="C32" s="1953">
        <v>38100870</v>
      </c>
      <c r="D32" s="1979" t="s">
        <v>640</v>
      </c>
      <c r="E32" s="1989">
        <v>0</v>
      </c>
      <c r="F32" s="1989">
        <v>0</v>
      </c>
      <c r="G32" s="1989">
        <v>0</v>
      </c>
      <c r="H32" s="1961" t="e">
        <f>G32/F32*100</f>
        <v>#DIV/0!</v>
      </c>
      <c r="I32" s="1970"/>
    </row>
    <row r="33" spans="1:10" ht="15" hidden="1" x14ac:dyDescent="0.2">
      <c r="A33" s="1952">
        <v>2212</v>
      </c>
      <c r="B33" s="2050">
        <v>6121</v>
      </c>
      <c r="C33" s="2050">
        <v>38100874</v>
      </c>
      <c r="D33" s="1979" t="s">
        <v>640</v>
      </c>
      <c r="E33" s="1989">
        <v>0</v>
      </c>
      <c r="F33" s="1989">
        <v>0</v>
      </c>
      <c r="G33" s="1989">
        <v>0</v>
      </c>
      <c r="H33" s="1961" t="e">
        <f>G33/F33*100</f>
        <v>#DIV/0!</v>
      </c>
      <c r="I33" s="1970"/>
    </row>
    <row r="34" spans="1:10" ht="15" hidden="1" x14ac:dyDescent="0.2">
      <c r="A34" s="1952">
        <v>2212</v>
      </c>
      <c r="B34" s="2050">
        <v>6121</v>
      </c>
      <c r="C34" s="2050">
        <v>38500871</v>
      </c>
      <c r="D34" s="1979" t="s">
        <v>640</v>
      </c>
      <c r="E34" s="1989">
        <v>0</v>
      </c>
      <c r="F34" s="1989">
        <v>0</v>
      </c>
      <c r="G34" s="1989">
        <v>0</v>
      </c>
      <c r="H34" s="1961" t="e">
        <f>G34/F34*100</f>
        <v>#DIV/0!</v>
      </c>
      <c r="I34" s="1970"/>
    </row>
    <row r="35" spans="1:10" ht="16.5" hidden="1" thickTop="1" thickBot="1" x14ac:dyDescent="0.3">
      <c r="A35" s="1980" t="s">
        <v>802</v>
      </c>
      <c r="B35" s="1981"/>
      <c r="C35" s="1981"/>
      <c r="D35" s="1982"/>
      <c r="E35" s="1957">
        <f>SUM(E32:E34)</f>
        <v>0</v>
      </c>
      <c r="F35" s="1957">
        <f>SUM(F32:F34)</f>
        <v>0</v>
      </c>
      <c r="G35" s="1957">
        <f>SUM(G32:G34)</f>
        <v>0</v>
      </c>
      <c r="H35" s="1962" t="e">
        <f>G35/F35*100</f>
        <v>#DIV/0!</v>
      </c>
      <c r="I35" s="1970"/>
    </row>
    <row r="36" spans="1:10" s="2051" customFormat="1" ht="18" hidden="1" x14ac:dyDescent="0.25">
      <c r="A36" s="1940"/>
      <c r="B36" s="1936"/>
      <c r="C36" s="1936"/>
      <c r="D36" s="1936"/>
      <c r="E36" s="1937"/>
      <c r="F36" s="1970"/>
      <c r="G36" s="1970"/>
      <c r="H36" s="1970"/>
      <c r="I36" s="1937"/>
      <c r="J36" s="2017"/>
    </row>
    <row r="37" spans="1:10" s="1754" customFormat="1" ht="15" hidden="1" x14ac:dyDescent="0.25">
      <c r="A37" s="1942" t="s">
        <v>1447</v>
      </c>
      <c r="B37" s="1936"/>
      <c r="C37" s="1936"/>
      <c r="D37" s="1936"/>
      <c r="E37" s="1937"/>
      <c r="F37" s="1970"/>
      <c r="G37" s="1970"/>
      <c r="H37" s="1970"/>
      <c r="I37" s="1937"/>
    </row>
    <row r="38" spans="1:10" s="1677" customFormat="1" ht="15" hidden="1" x14ac:dyDescent="0.25">
      <c r="A38" s="1942" t="s">
        <v>1446</v>
      </c>
      <c r="B38" s="1936"/>
      <c r="C38" s="1936"/>
      <c r="D38" s="1936"/>
      <c r="E38" s="1937"/>
      <c r="F38" s="1970"/>
      <c r="G38" s="1970"/>
      <c r="H38" s="2043" t="s">
        <v>173</v>
      </c>
      <c r="I38" s="1937"/>
    </row>
    <row r="39" spans="1:10" ht="25.5" hidden="1" thickTop="1" thickBot="1" x14ac:dyDescent="0.25">
      <c r="A39" s="1943" t="s">
        <v>174</v>
      </c>
      <c r="B39" s="1944" t="s">
        <v>800</v>
      </c>
      <c r="C39" s="1944" t="s">
        <v>397</v>
      </c>
      <c r="D39" s="1945" t="s">
        <v>176</v>
      </c>
      <c r="E39" s="1976" t="s">
        <v>669</v>
      </c>
      <c r="F39" s="1976" t="s">
        <v>670</v>
      </c>
      <c r="G39" s="1977" t="s">
        <v>923</v>
      </c>
      <c r="H39" s="1978" t="s">
        <v>924</v>
      </c>
    </row>
    <row r="40" spans="1:10" ht="14.25" hidden="1" thickTop="1" thickBot="1" x14ac:dyDescent="0.25">
      <c r="A40" s="1740">
        <v>1</v>
      </c>
      <c r="B40" s="1739">
        <v>2</v>
      </c>
      <c r="C40" s="1739">
        <v>3</v>
      </c>
      <c r="D40" s="1739">
        <v>5</v>
      </c>
      <c r="E40" s="1738">
        <v>6</v>
      </c>
      <c r="F40" s="1738">
        <v>7</v>
      </c>
      <c r="G40" s="2028">
        <v>8</v>
      </c>
      <c r="H40" s="1951" t="s">
        <v>801</v>
      </c>
    </row>
    <row r="41" spans="1:10" ht="15" hidden="1" x14ac:dyDescent="0.2">
      <c r="A41" s="1952">
        <v>2212</v>
      </c>
      <c r="B41" s="1953">
        <v>5169</v>
      </c>
      <c r="C41" s="1953">
        <v>38100874</v>
      </c>
      <c r="D41" s="1979" t="s">
        <v>892</v>
      </c>
      <c r="E41" s="1989">
        <v>0</v>
      </c>
      <c r="F41" s="1989">
        <v>0</v>
      </c>
      <c r="G41" s="1989">
        <v>0</v>
      </c>
      <c r="H41" s="1961" t="e">
        <f>G41/F41*100</f>
        <v>#DIV/0!</v>
      </c>
    </row>
    <row r="42" spans="1:10" ht="15" hidden="1" x14ac:dyDescent="0.2">
      <c r="A42" s="1952">
        <v>2212</v>
      </c>
      <c r="B42" s="1953">
        <v>6121</v>
      </c>
      <c r="C42" s="1953">
        <v>38100870</v>
      </c>
      <c r="D42" s="1979" t="s">
        <v>640</v>
      </c>
      <c r="E42" s="1989">
        <v>0</v>
      </c>
      <c r="F42" s="1989">
        <v>0</v>
      </c>
      <c r="G42" s="1989">
        <v>0</v>
      </c>
      <c r="H42" s="1961" t="e">
        <f>G42/F42*100</f>
        <v>#DIV/0!</v>
      </c>
      <c r="I42" s="1970"/>
    </row>
    <row r="43" spans="1:10" ht="15" hidden="1" x14ac:dyDescent="0.2">
      <c r="A43" s="1952">
        <v>2212</v>
      </c>
      <c r="B43" s="2050">
        <v>6121</v>
      </c>
      <c r="C43" s="2050">
        <v>38100874</v>
      </c>
      <c r="D43" s="1979" t="s">
        <v>640</v>
      </c>
      <c r="E43" s="1989">
        <v>0</v>
      </c>
      <c r="F43" s="1989">
        <v>0</v>
      </c>
      <c r="G43" s="1989">
        <v>0</v>
      </c>
      <c r="H43" s="1961" t="e">
        <f>G43/F43*100</f>
        <v>#DIV/0!</v>
      </c>
      <c r="I43" s="1970"/>
    </row>
    <row r="44" spans="1:10" ht="15" hidden="1" x14ac:dyDescent="0.2">
      <c r="A44" s="1952">
        <v>2212</v>
      </c>
      <c r="B44" s="2050">
        <v>6121</v>
      </c>
      <c r="C44" s="2050">
        <v>38500871</v>
      </c>
      <c r="D44" s="1979" t="s">
        <v>640</v>
      </c>
      <c r="E44" s="1989">
        <v>0</v>
      </c>
      <c r="F44" s="1989">
        <v>0</v>
      </c>
      <c r="G44" s="1989">
        <v>0</v>
      </c>
      <c r="H44" s="1961" t="e">
        <f>G44/F44*100</f>
        <v>#DIV/0!</v>
      </c>
      <c r="I44" s="1970"/>
    </row>
    <row r="45" spans="1:10" ht="16.5" hidden="1" thickTop="1" thickBot="1" x14ac:dyDescent="0.3">
      <c r="A45" s="1980" t="s">
        <v>802</v>
      </c>
      <c r="B45" s="1981"/>
      <c r="C45" s="1981"/>
      <c r="D45" s="1982"/>
      <c r="E45" s="1957">
        <f>SUM(E41:E44)</f>
        <v>0</v>
      </c>
      <c r="F45" s="1957">
        <f>SUM(F41:F44)</f>
        <v>0</v>
      </c>
      <c r="G45" s="1957">
        <f>SUM(G41:G44)</f>
        <v>0</v>
      </c>
      <c r="H45" s="1962" t="e">
        <f>G45/F45*100</f>
        <v>#DIV/0!</v>
      </c>
      <c r="I45" s="1970"/>
    </row>
    <row r="46" spans="1:10" s="2051" customFormat="1" ht="18" hidden="1" x14ac:dyDescent="0.25">
      <c r="A46" s="1940"/>
      <c r="B46" s="1936"/>
      <c r="C46" s="1936"/>
      <c r="D46" s="1936"/>
      <c r="E46" s="1937"/>
      <c r="F46" s="1970"/>
      <c r="G46" s="1970"/>
      <c r="H46" s="1970"/>
      <c r="I46" s="1937"/>
      <c r="J46" s="2017"/>
    </row>
    <row r="47" spans="1:10" s="2051" customFormat="1" ht="18" hidden="1" x14ac:dyDescent="0.25">
      <c r="A47" s="1940"/>
      <c r="B47" s="1936"/>
      <c r="C47" s="1936"/>
      <c r="D47" s="1936"/>
      <c r="E47" s="1937"/>
      <c r="F47" s="1970"/>
      <c r="G47" s="1970"/>
      <c r="H47" s="1970"/>
      <c r="I47" s="1937"/>
      <c r="J47" s="2017"/>
    </row>
    <row r="48" spans="1:10" ht="15" hidden="1" x14ac:dyDescent="0.25">
      <c r="A48" s="1942" t="s">
        <v>519</v>
      </c>
    </row>
    <row r="49" spans="1:8" ht="15" hidden="1" x14ac:dyDescent="0.25">
      <c r="A49" s="1942" t="s">
        <v>264</v>
      </c>
      <c r="H49" s="1970" t="s">
        <v>173</v>
      </c>
    </row>
    <row r="50" spans="1:8" ht="25.5" hidden="1" thickTop="1" thickBot="1" x14ac:dyDescent="0.25">
      <c r="A50" s="1943" t="s">
        <v>174</v>
      </c>
      <c r="B50" s="1944" t="s">
        <v>800</v>
      </c>
      <c r="C50" s="1944" t="s">
        <v>397</v>
      </c>
      <c r="D50" s="1945" t="s">
        <v>176</v>
      </c>
      <c r="E50" s="1976" t="s">
        <v>669</v>
      </c>
      <c r="F50" s="1976" t="s">
        <v>670</v>
      </c>
      <c r="G50" s="1977" t="s">
        <v>923</v>
      </c>
      <c r="H50" s="1978" t="s">
        <v>924</v>
      </c>
    </row>
    <row r="51" spans="1:8" ht="14.25" hidden="1" thickTop="1" thickBot="1" x14ac:dyDescent="0.25">
      <c r="A51" s="1740">
        <v>1</v>
      </c>
      <c r="B51" s="1739">
        <v>2</v>
      </c>
      <c r="C51" s="1739">
        <v>3</v>
      </c>
      <c r="D51" s="1739">
        <v>5</v>
      </c>
      <c r="E51" s="1738">
        <v>6</v>
      </c>
      <c r="F51" s="1738">
        <v>7</v>
      </c>
      <c r="G51" s="2028">
        <v>8</v>
      </c>
      <c r="H51" s="1951" t="s">
        <v>801</v>
      </c>
    </row>
    <row r="52" spans="1:8" ht="15" hidden="1" x14ac:dyDescent="0.2">
      <c r="A52" s="1952">
        <v>2212</v>
      </c>
      <c r="B52" s="1953">
        <v>6121</v>
      </c>
      <c r="C52" s="2050">
        <v>38100870</v>
      </c>
      <c r="D52" s="1979" t="s">
        <v>640</v>
      </c>
      <c r="E52" s="1989"/>
      <c r="F52" s="1989"/>
      <c r="G52" s="1989"/>
      <c r="H52" s="1961">
        <v>0</v>
      </c>
    </row>
    <row r="53" spans="1:8" ht="15" hidden="1" x14ac:dyDescent="0.2">
      <c r="A53" s="1952">
        <v>2212</v>
      </c>
      <c r="B53" s="2050">
        <v>6121</v>
      </c>
      <c r="C53" s="2050">
        <v>38100872</v>
      </c>
      <c r="D53" s="1979" t="s">
        <v>640</v>
      </c>
      <c r="E53" s="1989"/>
      <c r="F53" s="1989"/>
      <c r="G53" s="2036"/>
      <c r="H53" s="1961">
        <v>0</v>
      </c>
    </row>
    <row r="54" spans="1:8" ht="15.75" hidden="1" thickBot="1" x14ac:dyDescent="0.25">
      <c r="A54" s="1952">
        <v>2212</v>
      </c>
      <c r="B54" s="2050">
        <v>6121</v>
      </c>
      <c r="C54" s="2050">
        <v>38500871</v>
      </c>
      <c r="D54" s="1979" t="s">
        <v>640</v>
      </c>
      <c r="E54" s="1989"/>
      <c r="F54" s="1986"/>
      <c r="G54" s="1986"/>
      <c r="H54" s="1961" t="e">
        <f>G54/F54*100</f>
        <v>#DIV/0!</v>
      </c>
    </row>
    <row r="55" spans="1:8" ht="16.5" hidden="1" thickTop="1" thickBot="1" x14ac:dyDescent="0.3">
      <c r="A55" s="1980" t="s">
        <v>802</v>
      </c>
      <c r="B55" s="1981"/>
      <c r="C55" s="1981"/>
      <c r="D55" s="1982"/>
      <c r="E55" s="1957">
        <f>SUM(E52:E54)</f>
        <v>0</v>
      </c>
      <c r="F55" s="1957">
        <f>SUM(F52:F54)</f>
        <v>0</v>
      </c>
      <c r="G55" s="1957">
        <f>SUM(G52:G54)</f>
        <v>0</v>
      </c>
      <c r="H55" s="1962" t="e">
        <f>G55/F55*100</f>
        <v>#DIV/0!</v>
      </c>
    </row>
    <row r="56" spans="1:8" ht="18" hidden="1" x14ac:dyDescent="0.25">
      <c r="A56" s="1940"/>
    </row>
    <row r="57" spans="1:8" ht="18" hidden="1" x14ac:dyDescent="0.25">
      <c r="A57" s="1940"/>
    </row>
    <row r="58" spans="1:8" ht="15" hidden="1" x14ac:dyDescent="0.25">
      <c r="A58" s="1942" t="s">
        <v>520</v>
      </c>
    </row>
    <row r="59" spans="1:8" ht="15" hidden="1" x14ac:dyDescent="0.25">
      <c r="A59" s="1942" t="s">
        <v>265</v>
      </c>
      <c r="H59" s="1970" t="s">
        <v>173</v>
      </c>
    </row>
    <row r="60" spans="1:8" ht="25.5" hidden="1" thickTop="1" thickBot="1" x14ac:dyDescent="0.25">
      <c r="A60" s="1943" t="s">
        <v>174</v>
      </c>
      <c r="B60" s="1944" t="s">
        <v>800</v>
      </c>
      <c r="C60" s="1944" t="s">
        <v>397</v>
      </c>
      <c r="D60" s="1945" t="s">
        <v>176</v>
      </c>
      <c r="E60" s="1976" t="s">
        <v>669</v>
      </c>
      <c r="F60" s="1976" t="s">
        <v>670</v>
      </c>
      <c r="G60" s="1977" t="s">
        <v>923</v>
      </c>
      <c r="H60" s="1978" t="s">
        <v>924</v>
      </c>
    </row>
    <row r="61" spans="1:8" ht="14.25" hidden="1" thickTop="1" thickBot="1" x14ac:dyDescent="0.25">
      <c r="A61" s="1740">
        <v>1</v>
      </c>
      <c r="B61" s="1739">
        <v>2</v>
      </c>
      <c r="C61" s="1739">
        <v>3</v>
      </c>
      <c r="D61" s="1739">
        <v>5</v>
      </c>
      <c r="E61" s="1738">
        <v>6</v>
      </c>
      <c r="F61" s="1738">
        <v>7</v>
      </c>
      <c r="G61" s="2028">
        <v>8</v>
      </c>
      <c r="H61" s="1951" t="s">
        <v>801</v>
      </c>
    </row>
    <row r="62" spans="1:8" ht="15" hidden="1" x14ac:dyDescent="0.2">
      <c r="A62" s="1952">
        <v>2212</v>
      </c>
      <c r="B62" s="1953">
        <v>6121</v>
      </c>
      <c r="C62" s="2050">
        <v>38100870</v>
      </c>
      <c r="D62" s="1979" t="s">
        <v>640</v>
      </c>
      <c r="E62" s="1989"/>
      <c r="F62" s="1989"/>
      <c r="G62" s="1989"/>
      <c r="H62" s="1961" t="e">
        <f>G62/F62*100</f>
        <v>#DIV/0!</v>
      </c>
    </row>
    <row r="63" spans="1:8" ht="15" hidden="1" x14ac:dyDescent="0.2">
      <c r="A63" s="1952">
        <v>2212</v>
      </c>
      <c r="B63" s="2050">
        <v>6121</v>
      </c>
      <c r="C63" s="2050">
        <v>38100872</v>
      </c>
      <c r="D63" s="1979" t="s">
        <v>640</v>
      </c>
      <c r="E63" s="1989"/>
      <c r="F63" s="1989"/>
      <c r="G63" s="2036"/>
      <c r="H63" s="1961">
        <v>0</v>
      </c>
    </row>
    <row r="64" spans="1:8" ht="15.75" hidden="1" thickBot="1" x14ac:dyDescent="0.25">
      <c r="A64" s="1952">
        <v>2212</v>
      </c>
      <c r="B64" s="2050">
        <v>6121</v>
      </c>
      <c r="C64" s="2050">
        <v>38500871</v>
      </c>
      <c r="D64" s="1979" t="s">
        <v>640</v>
      </c>
      <c r="E64" s="1989"/>
      <c r="F64" s="1986"/>
      <c r="G64" s="1986"/>
      <c r="H64" s="1961" t="e">
        <f>G64/F64*100</f>
        <v>#DIV/0!</v>
      </c>
    </row>
    <row r="65" spans="1:9" ht="16.5" hidden="1" thickTop="1" thickBot="1" x14ac:dyDescent="0.3">
      <c r="A65" s="1980" t="s">
        <v>802</v>
      </c>
      <c r="B65" s="1981"/>
      <c r="C65" s="1981"/>
      <c r="D65" s="1982"/>
      <c r="E65" s="1957">
        <f>SUM(E62:E64)</f>
        <v>0</v>
      </c>
      <c r="F65" s="1957">
        <f>SUM(F62:F64)</f>
        <v>0</v>
      </c>
      <c r="G65" s="1957">
        <f>SUM(G62:G64)</f>
        <v>0</v>
      </c>
      <c r="H65" s="1962" t="e">
        <f>G65/F65*100</f>
        <v>#DIV/0!</v>
      </c>
    </row>
    <row r="66" spans="1:9" ht="18" hidden="1" x14ac:dyDescent="0.25">
      <c r="A66" s="1940"/>
    </row>
    <row r="67" spans="1:9" ht="18" hidden="1" x14ac:dyDescent="0.25">
      <c r="A67" s="1940"/>
    </row>
    <row r="68" spans="1:9" ht="15" hidden="1" x14ac:dyDescent="0.25">
      <c r="A68" s="1942" t="s">
        <v>1735</v>
      </c>
    </row>
    <row r="69" spans="1:9" ht="15" hidden="1" x14ac:dyDescent="0.25">
      <c r="A69" s="1942" t="s">
        <v>1125</v>
      </c>
      <c r="H69" s="2043" t="s">
        <v>173</v>
      </c>
    </row>
    <row r="70" spans="1:9" ht="25.5" hidden="1" thickTop="1" thickBot="1" x14ac:dyDescent="0.25">
      <c r="A70" s="1943" t="s">
        <v>174</v>
      </c>
      <c r="B70" s="1944" t="s">
        <v>800</v>
      </c>
      <c r="C70" s="1944" t="s">
        <v>397</v>
      </c>
      <c r="D70" s="1945" t="s">
        <v>176</v>
      </c>
      <c r="E70" s="1976" t="s">
        <v>669</v>
      </c>
      <c r="F70" s="1976" t="s">
        <v>670</v>
      </c>
      <c r="G70" s="1977" t="s">
        <v>923</v>
      </c>
      <c r="H70" s="1978" t="s">
        <v>924</v>
      </c>
    </row>
    <row r="71" spans="1:9" ht="14.25" hidden="1" thickTop="1" thickBot="1" x14ac:dyDescent="0.25">
      <c r="A71" s="1740">
        <v>1</v>
      </c>
      <c r="B71" s="1739">
        <v>2</v>
      </c>
      <c r="C71" s="1739">
        <v>3</v>
      </c>
      <c r="D71" s="1739">
        <v>5</v>
      </c>
      <c r="E71" s="1738">
        <v>6</v>
      </c>
      <c r="F71" s="1738">
        <v>7</v>
      </c>
      <c r="G71" s="2028">
        <v>8</v>
      </c>
      <c r="H71" s="1951" t="s">
        <v>801</v>
      </c>
    </row>
    <row r="72" spans="1:9" ht="15" hidden="1" x14ac:dyDescent="0.2">
      <c r="A72" s="1952">
        <v>2212</v>
      </c>
      <c r="B72" s="2050">
        <v>6121</v>
      </c>
      <c r="C72" s="2050">
        <v>21</v>
      </c>
      <c r="D72" s="1979" t="s">
        <v>640</v>
      </c>
      <c r="E72" s="1989">
        <v>0</v>
      </c>
      <c r="F72" s="1989">
        <v>0</v>
      </c>
      <c r="G72" s="1989">
        <v>0</v>
      </c>
      <c r="H72" s="1961" t="e">
        <f t="shared" ref="H72:H77" si="1">G72/F72*100</f>
        <v>#DIV/0!</v>
      </c>
    </row>
    <row r="73" spans="1:9" ht="15" hidden="1" x14ac:dyDescent="0.2">
      <c r="A73" s="1952">
        <v>2212</v>
      </c>
      <c r="B73" s="2050">
        <v>6121</v>
      </c>
      <c r="C73" s="2050">
        <v>38100872</v>
      </c>
      <c r="D73" s="1979" t="s">
        <v>646</v>
      </c>
      <c r="E73" s="1989">
        <v>0</v>
      </c>
      <c r="F73" s="1989"/>
      <c r="G73" s="1989"/>
      <c r="H73" s="1961" t="e">
        <f t="shared" si="1"/>
        <v>#DIV/0!</v>
      </c>
    </row>
    <row r="74" spans="1:9" ht="15" hidden="1" x14ac:dyDescent="0.2">
      <c r="A74" s="1952">
        <v>2212</v>
      </c>
      <c r="B74" s="2050">
        <v>6121</v>
      </c>
      <c r="C74" s="2050">
        <v>38100874</v>
      </c>
      <c r="D74" s="1979" t="s">
        <v>646</v>
      </c>
      <c r="E74" s="1989">
        <v>0</v>
      </c>
      <c r="F74" s="1989"/>
      <c r="G74" s="1989"/>
      <c r="H74" s="1961" t="e">
        <f t="shared" si="1"/>
        <v>#DIV/0!</v>
      </c>
    </row>
    <row r="75" spans="1:9" ht="15" hidden="1" x14ac:dyDescent="0.2">
      <c r="A75" s="1952">
        <v>2212</v>
      </c>
      <c r="B75" s="2050">
        <v>6121</v>
      </c>
      <c r="C75" s="2050">
        <v>38500871</v>
      </c>
      <c r="D75" s="1979" t="s">
        <v>640</v>
      </c>
      <c r="E75" s="1989">
        <v>0</v>
      </c>
      <c r="F75" s="1989"/>
      <c r="G75" s="1989"/>
      <c r="H75" s="1961" t="e">
        <f t="shared" si="1"/>
        <v>#DIV/0!</v>
      </c>
    </row>
    <row r="76" spans="1:9" ht="15" hidden="1" x14ac:dyDescent="0.2">
      <c r="A76" s="1952">
        <v>2212</v>
      </c>
      <c r="B76" s="2050">
        <v>6121</v>
      </c>
      <c r="C76" s="2050">
        <v>38591628</v>
      </c>
      <c r="D76" s="1979" t="s">
        <v>640</v>
      </c>
      <c r="E76" s="1989">
        <v>0</v>
      </c>
      <c r="F76" s="1989"/>
      <c r="G76" s="1989"/>
      <c r="H76" s="1961" t="e">
        <f t="shared" si="1"/>
        <v>#DIV/0!</v>
      </c>
    </row>
    <row r="77" spans="1:9" ht="16.5" hidden="1" thickTop="1" thickBot="1" x14ac:dyDescent="0.3">
      <c r="A77" s="1980" t="s">
        <v>802</v>
      </c>
      <c r="B77" s="1981"/>
      <c r="C77" s="1981"/>
      <c r="D77" s="1982"/>
      <c r="E77" s="1957">
        <f>SUM(E75:E76)</f>
        <v>0</v>
      </c>
      <c r="F77" s="1957">
        <f>SUM(F72:F76)</f>
        <v>0</v>
      </c>
      <c r="G77" s="1957">
        <f>SUM(G72:G76)</f>
        <v>0</v>
      </c>
      <c r="H77" s="1962" t="e">
        <f t="shared" si="1"/>
        <v>#DIV/0!</v>
      </c>
    </row>
    <row r="78" spans="1:9" ht="14.25" hidden="1" customHeight="1" thickTop="1" x14ac:dyDescent="0.2">
      <c r="A78" s="2044"/>
      <c r="B78" s="2044"/>
      <c r="C78" s="2044"/>
      <c r="D78" s="2044"/>
      <c r="E78" s="2046"/>
      <c r="F78" s="2045"/>
      <c r="G78" s="2045"/>
      <c r="H78" s="2045"/>
      <c r="I78" s="2044"/>
    </row>
    <row r="79" spans="1:9" s="1754" customFormat="1" ht="15" hidden="1" x14ac:dyDescent="0.25">
      <c r="A79" s="1942" t="s">
        <v>1639</v>
      </c>
      <c r="B79" s="1936"/>
      <c r="C79" s="1936"/>
      <c r="D79" s="1936"/>
      <c r="E79" s="1937"/>
      <c r="F79" s="1970"/>
      <c r="G79" s="1970"/>
      <c r="H79" s="1970"/>
      <c r="I79" s="1937"/>
    </row>
    <row r="80" spans="1:9" s="1677" customFormat="1" ht="15" hidden="1" x14ac:dyDescent="0.25">
      <c r="A80" s="1942" t="s">
        <v>1640</v>
      </c>
      <c r="B80" s="1936"/>
      <c r="C80" s="1936"/>
      <c r="D80" s="1936"/>
      <c r="E80" s="1937"/>
      <c r="F80" s="1970"/>
      <c r="G80" s="1970"/>
      <c r="H80" s="2043" t="s">
        <v>173</v>
      </c>
      <c r="I80" s="1937"/>
    </row>
    <row r="81" spans="1:9" ht="25.5" hidden="1" thickTop="1" thickBot="1" x14ac:dyDescent="0.25">
      <c r="A81" s="1943" t="s">
        <v>174</v>
      </c>
      <c r="B81" s="1944" t="s">
        <v>800</v>
      </c>
      <c r="C81" s="1944" t="s">
        <v>397</v>
      </c>
      <c r="D81" s="1945" t="s">
        <v>176</v>
      </c>
      <c r="E81" s="1976" t="s">
        <v>669</v>
      </c>
      <c r="F81" s="1976" t="s">
        <v>670</v>
      </c>
      <c r="G81" s="1977" t="s">
        <v>923</v>
      </c>
      <c r="H81" s="1978" t="s">
        <v>924</v>
      </c>
    </row>
    <row r="82" spans="1:9" ht="14.25" hidden="1" thickTop="1" thickBot="1" x14ac:dyDescent="0.25">
      <c r="A82" s="1740">
        <v>1</v>
      </c>
      <c r="B82" s="1739">
        <v>2</v>
      </c>
      <c r="C82" s="1739">
        <v>3</v>
      </c>
      <c r="D82" s="1739">
        <v>5</v>
      </c>
      <c r="E82" s="1738">
        <v>6</v>
      </c>
      <c r="F82" s="1738">
        <v>7</v>
      </c>
      <c r="G82" s="2028">
        <v>8</v>
      </c>
      <c r="H82" s="1951" t="s">
        <v>801</v>
      </c>
    </row>
    <row r="83" spans="1:9" ht="15" hidden="1" x14ac:dyDescent="0.2">
      <c r="A83" s="1952">
        <v>2212</v>
      </c>
      <c r="B83" s="1953">
        <v>5169</v>
      </c>
      <c r="C83" s="1953">
        <v>38100874</v>
      </c>
      <c r="D83" s="1979" t="s">
        <v>892</v>
      </c>
      <c r="E83" s="1989">
        <v>0</v>
      </c>
      <c r="F83" s="1989"/>
      <c r="G83" s="1989"/>
      <c r="H83" s="1961">
        <v>0</v>
      </c>
    </row>
    <row r="84" spans="1:9" ht="15" hidden="1" x14ac:dyDescent="0.2">
      <c r="A84" s="1952">
        <v>2212</v>
      </c>
      <c r="B84" s="1953">
        <v>6121</v>
      </c>
      <c r="C84" s="1953">
        <v>38100870</v>
      </c>
      <c r="D84" s="1979" t="s">
        <v>640</v>
      </c>
      <c r="E84" s="1989">
        <v>0</v>
      </c>
      <c r="F84" s="1989"/>
      <c r="G84" s="1989"/>
      <c r="H84" s="1961" t="e">
        <f>G84/F84*100</f>
        <v>#DIV/0!</v>
      </c>
      <c r="I84" s="1970"/>
    </row>
    <row r="85" spans="1:9" ht="15" hidden="1" x14ac:dyDescent="0.2">
      <c r="A85" s="1952">
        <v>2212</v>
      </c>
      <c r="B85" s="2050">
        <v>6121</v>
      </c>
      <c r="C85" s="2050">
        <v>38100874</v>
      </c>
      <c r="D85" s="1979" t="s">
        <v>640</v>
      </c>
      <c r="E85" s="1989">
        <v>0</v>
      </c>
      <c r="F85" s="1989"/>
      <c r="G85" s="1989"/>
      <c r="H85" s="1961" t="e">
        <f>G85/F85*100</f>
        <v>#DIV/0!</v>
      </c>
      <c r="I85" s="1970"/>
    </row>
    <row r="86" spans="1:9" ht="15" hidden="1" x14ac:dyDescent="0.2">
      <c r="A86" s="1952">
        <v>2212</v>
      </c>
      <c r="B86" s="2050">
        <v>6121</v>
      </c>
      <c r="C86" s="2050">
        <v>38500871</v>
      </c>
      <c r="D86" s="1979" t="s">
        <v>640</v>
      </c>
      <c r="E86" s="1989">
        <v>0</v>
      </c>
      <c r="F86" s="1989"/>
      <c r="G86" s="1989"/>
      <c r="H86" s="1961" t="e">
        <f>G86/F86*100</f>
        <v>#DIV/0!</v>
      </c>
      <c r="I86" s="1970"/>
    </row>
    <row r="87" spans="1:9" ht="16.5" hidden="1" thickTop="1" thickBot="1" x14ac:dyDescent="0.3">
      <c r="A87" s="1980" t="s">
        <v>802</v>
      </c>
      <c r="B87" s="1981"/>
      <c r="C87" s="1981"/>
      <c r="D87" s="1982"/>
      <c r="E87" s="1957">
        <f>SUM(E83:E86)</f>
        <v>0</v>
      </c>
      <c r="F87" s="1957">
        <f>SUM(F83:F86)</f>
        <v>0</v>
      </c>
      <c r="G87" s="1957">
        <f>SUM(G83:G86)</f>
        <v>0</v>
      </c>
      <c r="H87" s="1962" t="e">
        <f>G87/F87*100</f>
        <v>#DIV/0!</v>
      </c>
      <c r="I87" s="1970"/>
    </row>
    <row r="88" spans="1:9" ht="14.25" hidden="1" customHeight="1" x14ac:dyDescent="0.2">
      <c r="A88" s="2044"/>
      <c r="B88" s="2044"/>
      <c r="C88" s="2044"/>
      <c r="D88" s="2044"/>
      <c r="E88" s="2046"/>
      <c r="F88" s="2045"/>
      <c r="G88" s="2045"/>
      <c r="H88" s="2045"/>
      <c r="I88" s="2044"/>
    </row>
    <row r="89" spans="1:9" s="1754" customFormat="1" ht="15" hidden="1" x14ac:dyDescent="0.25">
      <c r="A89" s="1942" t="s">
        <v>1445</v>
      </c>
      <c r="B89" s="1936"/>
      <c r="C89" s="1936"/>
      <c r="D89" s="1936"/>
      <c r="E89" s="1937"/>
      <c r="F89" s="1970"/>
      <c r="G89" s="1970"/>
      <c r="H89" s="1970"/>
      <c r="I89" s="1937"/>
    </row>
    <row r="90" spans="1:9" s="1677" customFormat="1" ht="15" hidden="1" x14ac:dyDescent="0.25">
      <c r="A90" s="1942" t="s">
        <v>1444</v>
      </c>
      <c r="B90" s="1936"/>
      <c r="C90" s="1936"/>
      <c r="D90" s="1936"/>
      <c r="E90" s="1937"/>
      <c r="F90" s="1970"/>
      <c r="G90" s="1970"/>
      <c r="H90" s="2043" t="s">
        <v>173</v>
      </c>
      <c r="I90" s="1937"/>
    </row>
    <row r="91" spans="1:9" ht="25.5" hidden="1" thickTop="1" thickBot="1" x14ac:dyDescent="0.25">
      <c r="A91" s="1943" t="s">
        <v>174</v>
      </c>
      <c r="B91" s="1944" t="s">
        <v>800</v>
      </c>
      <c r="C91" s="1944" t="s">
        <v>397</v>
      </c>
      <c r="D91" s="1945" t="s">
        <v>176</v>
      </c>
      <c r="E91" s="1976" t="s">
        <v>669</v>
      </c>
      <c r="F91" s="1976" t="s">
        <v>670</v>
      </c>
      <c r="G91" s="1977" t="s">
        <v>923</v>
      </c>
      <c r="H91" s="1978" t="s">
        <v>924</v>
      </c>
    </row>
    <row r="92" spans="1:9" ht="14.25" hidden="1" thickTop="1" thickBot="1" x14ac:dyDescent="0.25">
      <c r="A92" s="1740">
        <v>1</v>
      </c>
      <c r="B92" s="1739">
        <v>2</v>
      </c>
      <c r="C92" s="1739">
        <v>3</v>
      </c>
      <c r="D92" s="1739">
        <v>5</v>
      </c>
      <c r="E92" s="1738">
        <v>6</v>
      </c>
      <c r="F92" s="1738">
        <v>7</v>
      </c>
      <c r="G92" s="2028">
        <v>8</v>
      </c>
      <c r="H92" s="1951" t="s">
        <v>801</v>
      </c>
    </row>
    <row r="93" spans="1:9" ht="15" hidden="1" x14ac:dyDescent="0.2">
      <c r="A93" s="1952">
        <v>2212</v>
      </c>
      <c r="B93" s="1953">
        <v>6121</v>
      </c>
      <c r="C93" s="1953">
        <v>38100870</v>
      </c>
      <c r="D93" s="1979" t="s">
        <v>640</v>
      </c>
      <c r="E93" s="1989">
        <v>0</v>
      </c>
      <c r="F93" s="1989"/>
      <c r="G93" s="1989"/>
      <c r="H93" s="1961" t="e">
        <f>G93/F93*100</f>
        <v>#DIV/0!</v>
      </c>
      <c r="I93" s="1970"/>
    </row>
    <row r="94" spans="1:9" ht="15" hidden="1" x14ac:dyDescent="0.2">
      <c r="A94" s="1952">
        <v>2212</v>
      </c>
      <c r="B94" s="2050">
        <v>6121</v>
      </c>
      <c r="C94" s="2050">
        <v>38100874</v>
      </c>
      <c r="D94" s="1979" t="s">
        <v>640</v>
      </c>
      <c r="E94" s="1989">
        <v>0</v>
      </c>
      <c r="F94" s="1989"/>
      <c r="G94" s="1989"/>
      <c r="H94" s="1961" t="e">
        <f>G94/F94*100</f>
        <v>#DIV/0!</v>
      </c>
      <c r="I94" s="1970"/>
    </row>
    <row r="95" spans="1:9" ht="15" hidden="1" x14ac:dyDescent="0.2">
      <c r="A95" s="1952">
        <v>2212</v>
      </c>
      <c r="B95" s="2050">
        <v>6121</v>
      </c>
      <c r="C95" s="2050">
        <v>38500871</v>
      </c>
      <c r="D95" s="1979" t="s">
        <v>640</v>
      </c>
      <c r="E95" s="1989">
        <v>0</v>
      </c>
      <c r="F95" s="1989"/>
      <c r="G95" s="1989"/>
      <c r="H95" s="1961" t="e">
        <f>G95/F95*100</f>
        <v>#DIV/0!</v>
      </c>
      <c r="I95" s="1970"/>
    </row>
    <row r="96" spans="1:9" ht="16.5" hidden="1" thickTop="1" thickBot="1" x14ac:dyDescent="0.3">
      <c r="A96" s="1980" t="s">
        <v>802</v>
      </c>
      <c r="B96" s="1981"/>
      <c r="C96" s="1981"/>
      <c r="D96" s="1982"/>
      <c r="E96" s="1957">
        <f>SUM(E93:E95)</f>
        <v>0</v>
      </c>
      <c r="F96" s="1957">
        <f>SUM(F93:F95)</f>
        <v>0</v>
      </c>
      <c r="G96" s="1957">
        <f>SUM(G93:G95)</f>
        <v>0</v>
      </c>
      <c r="H96" s="1962" t="e">
        <f>G96/F96*100</f>
        <v>#DIV/0!</v>
      </c>
      <c r="I96" s="1970"/>
    </row>
    <row r="97" spans="1:12" ht="15" hidden="1" x14ac:dyDescent="0.25">
      <c r="A97" s="1994"/>
      <c r="B97" s="1994"/>
      <c r="C97" s="1994"/>
      <c r="D97" s="1994"/>
      <c r="E97" s="1964"/>
      <c r="F97" s="1964"/>
      <c r="G97" s="1964"/>
      <c r="H97" s="1995"/>
      <c r="I97" s="1970"/>
    </row>
    <row r="98" spans="1:12" s="1754" customFormat="1" ht="15" hidden="1" x14ac:dyDescent="0.25">
      <c r="A98" s="1942" t="s">
        <v>1355</v>
      </c>
      <c r="B98" s="1936"/>
      <c r="C98" s="1936"/>
      <c r="D98" s="1936"/>
      <c r="E98" s="1937"/>
      <c r="F98" s="1970"/>
      <c r="G98" s="1970"/>
      <c r="H98" s="1970"/>
      <c r="I98" s="1937"/>
    </row>
    <row r="99" spans="1:12" s="1677" customFormat="1" ht="15" hidden="1" x14ac:dyDescent="0.25">
      <c r="A99" s="1942" t="s">
        <v>1356</v>
      </c>
      <c r="B99" s="1936"/>
      <c r="C99" s="1936"/>
      <c r="D99" s="1936"/>
      <c r="E99" s="1937"/>
      <c r="F99" s="1970"/>
      <c r="G99" s="1970"/>
      <c r="H99" s="2043" t="s">
        <v>173</v>
      </c>
      <c r="I99" s="1937"/>
    </row>
    <row r="100" spans="1:12" ht="25.5" hidden="1" thickTop="1" thickBot="1" x14ac:dyDescent="0.25">
      <c r="A100" s="1943" t="s">
        <v>174</v>
      </c>
      <c r="B100" s="1944" t="s">
        <v>800</v>
      </c>
      <c r="C100" s="1944" t="s">
        <v>397</v>
      </c>
      <c r="D100" s="1945" t="s">
        <v>176</v>
      </c>
      <c r="E100" s="1976" t="s">
        <v>669</v>
      </c>
      <c r="F100" s="1976" t="s">
        <v>670</v>
      </c>
      <c r="G100" s="1977" t="s">
        <v>923</v>
      </c>
      <c r="H100" s="1978" t="s">
        <v>924</v>
      </c>
    </row>
    <row r="101" spans="1:12" ht="14.25" hidden="1" thickTop="1" thickBot="1" x14ac:dyDescent="0.25">
      <c r="A101" s="1740">
        <v>1</v>
      </c>
      <c r="B101" s="1739">
        <v>2</v>
      </c>
      <c r="C101" s="1739">
        <v>3</v>
      </c>
      <c r="D101" s="1739">
        <v>5</v>
      </c>
      <c r="E101" s="1738">
        <v>6</v>
      </c>
      <c r="F101" s="1738">
        <v>7</v>
      </c>
      <c r="G101" s="2028">
        <v>8</v>
      </c>
      <c r="H101" s="1951" t="s">
        <v>801</v>
      </c>
    </row>
    <row r="102" spans="1:12" ht="15" hidden="1" x14ac:dyDescent="0.2">
      <c r="A102" s="1952">
        <v>2212</v>
      </c>
      <c r="B102" s="2050">
        <v>5363</v>
      </c>
      <c r="C102" s="1953">
        <v>38100884</v>
      </c>
      <c r="D102" s="1979" t="s">
        <v>1652</v>
      </c>
      <c r="E102" s="1989">
        <v>0</v>
      </c>
      <c r="F102" s="1989"/>
      <c r="G102" s="1989"/>
      <c r="H102" s="1961" t="e">
        <f t="shared" ref="H102:H107" si="2">G102/F102*100</f>
        <v>#DIV/0!</v>
      </c>
    </row>
    <row r="103" spans="1:12" ht="15" hidden="1" x14ac:dyDescent="0.2">
      <c r="A103" s="1952">
        <v>2212</v>
      </c>
      <c r="B103" s="1953">
        <v>6121</v>
      </c>
      <c r="C103" s="1953">
        <v>38100870</v>
      </c>
      <c r="D103" s="1979" t="s">
        <v>640</v>
      </c>
      <c r="E103" s="1989">
        <v>0</v>
      </c>
      <c r="F103" s="1989"/>
      <c r="G103" s="1989"/>
      <c r="H103" s="1961" t="e">
        <f t="shared" si="2"/>
        <v>#DIV/0!</v>
      </c>
      <c r="I103" s="1970"/>
    </row>
    <row r="104" spans="1:12" ht="15" hidden="1" x14ac:dyDescent="0.2">
      <c r="A104" s="1952">
        <v>2212</v>
      </c>
      <c r="B104" s="2050">
        <v>6121</v>
      </c>
      <c r="C104" s="2050">
        <v>38100872</v>
      </c>
      <c r="D104" s="1979" t="s">
        <v>640</v>
      </c>
      <c r="E104" s="1989">
        <v>0</v>
      </c>
      <c r="F104" s="1989"/>
      <c r="G104" s="1989"/>
      <c r="H104" s="1961" t="e">
        <f t="shared" si="2"/>
        <v>#DIV/0!</v>
      </c>
      <c r="I104" s="1970"/>
      <c r="K104" s="1677"/>
      <c r="L104" s="1677"/>
    </row>
    <row r="105" spans="1:12" ht="15" hidden="1" x14ac:dyDescent="0.2">
      <c r="A105" s="1952">
        <v>2212</v>
      </c>
      <c r="B105" s="2050">
        <v>6121</v>
      </c>
      <c r="C105" s="2050">
        <v>38100874</v>
      </c>
      <c r="D105" s="1979" t="s">
        <v>640</v>
      </c>
      <c r="E105" s="1989">
        <v>0</v>
      </c>
      <c r="F105" s="1989"/>
      <c r="G105" s="1989"/>
      <c r="H105" s="1961" t="e">
        <f t="shared" si="2"/>
        <v>#DIV/0!</v>
      </c>
      <c r="I105" s="1970"/>
    </row>
    <row r="106" spans="1:12" ht="15" hidden="1" x14ac:dyDescent="0.2">
      <c r="A106" s="1952">
        <v>2212</v>
      </c>
      <c r="B106" s="2050">
        <v>6121</v>
      </c>
      <c r="C106" s="2050">
        <v>38500871</v>
      </c>
      <c r="D106" s="1979" t="s">
        <v>640</v>
      </c>
      <c r="E106" s="1989">
        <v>0</v>
      </c>
      <c r="F106" s="1989"/>
      <c r="G106" s="1989"/>
      <c r="H106" s="1961" t="e">
        <f t="shared" si="2"/>
        <v>#DIV/0!</v>
      </c>
      <c r="I106" s="1970"/>
    </row>
    <row r="107" spans="1:12" ht="16.5" hidden="1" thickTop="1" thickBot="1" x14ac:dyDescent="0.3">
      <c r="A107" s="1980" t="s">
        <v>802</v>
      </c>
      <c r="B107" s="1981"/>
      <c r="C107" s="1981"/>
      <c r="D107" s="1982"/>
      <c r="E107" s="1957">
        <f>SUM(E103:E106)</f>
        <v>0</v>
      </c>
      <c r="F107" s="1957">
        <f>SUM(F103:F106)</f>
        <v>0</v>
      </c>
      <c r="G107" s="1957">
        <f>SUM(G103:G106)</f>
        <v>0</v>
      </c>
      <c r="H107" s="1962" t="e">
        <f t="shared" si="2"/>
        <v>#DIV/0!</v>
      </c>
      <c r="I107" s="1970"/>
    </row>
    <row r="108" spans="1:12" ht="14.25" hidden="1" customHeight="1" x14ac:dyDescent="0.2">
      <c r="A108" s="2044"/>
      <c r="B108" s="2044"/>
      <c r="C108" s="2044"/>
      <c r="D108" s="2044"/>
      <c r="E108" s="2046"/>
      <c r="F108" s="2045"/>
      <c r="G108" s="2045"/>
      <c r="H108" s="2045"/>
      <c r="I108" s="2044"/>
    </row>
    <row r="109" spans="1:12" ht="14.25" customHeight="1" x14ac:dyDescent="0.25">
      <c r="A109" s="1942" t="s">
        <v>1839</v>
      </c>
      <c r="I109" s="2044"/>
    </row>
    <row r="110" spans="1:12" ht="14.25" customHeight="1" thickBot="1" x14ac:dyDescent="0.3">
      <c r="A110" s="1942" t="s">
        <v>1840</v>
      </c>
      <c r="H110" s="2043" t="s">
        <v>173</v>
      </c>
      <c r="I110" s="2044"/>
    </row>
    <row r="111" spans="1:12" ht="27" customHeight="1" thickTop="1" thickBot="1" x14ac:dyDescent="0.25">
      <c r="A111" s="1943" t="s">
        <v>174</v>
      </c>
      <c r="B111" s="1944" t="s">
        <v>800</v>
      </c>
      <c r="C111" s="1944" t="s">
        <v>397</v>
      </c>
      <c r="D111" s="1945" t="s">
        <v>176</v>
      </c>
      <c r="E111" s="1976" t="s">
        <v>669</v>
      </c>
      <c r="F111" s="1976" t="s">
        <v>670</v>
      </c>
      <c r="G111" s="1977" t="s">
        <v>923</v>
      </c>
      <c r="H111" s="1978" t="s">
        <v>924</v>
      </c>
      <c r="I111" s="2044"/>
    </row>
    <row r="112" spans="1:12" ht="14.25" customHeight="1" thickTop="1" thickBot="1" x14ac:dyDescent="0.25">
      <c r="A112" s="1740">
        <v>1</v>
      </c>
      <c r="B112" s="1739">
        <v>2</v>
      </c>
      <c r="C112" s="1739">
        <v>3</v>
      </c>
      <c r="D112" s="1739">
        <v>5</v>
      </c>
      <c r="E112" s="1738">
        <v>6</v>
      </c>
      <c r="F112" s="1738">
        <v>7</v>
      </c>
      <c r="G112" s="2028">
        <v>8</v>
      </c>
      <c r="H112" s="1951" t="s">
        <v>801</v>
      </c>
      <c r="I112" s="2044"/>
    </row>
    <row r="113" spans="1:9" ht="15.75" thickTop="1" x14ac:dyDescent="0.2">
      <c r="A113" s="1952">
        <v>2212</v>
      </c>
      <c r="B113" s="2050">
        <v>6121</v>
      </c>
      <c r="C113" s="2050">
        <v>38100870</v>
      </c>
      <c r="D113" s="1979" t="s">
        <v>640</v>
      </c>
      <c r="E113" s="1989">
        <v>0</v>
      </c>
      <c r="F113" s="1989">
        <v>2803</v>
      </c>
      <c r="G113" s="1989">
        <v>2803</v>
      </c>
      <c r="H113" s="1961">
        <f>G113/F113*100</f>
        <v>100</v>
      </c>
      <c r="I113" s="1970"/>
    </row>
    <row r="114" spans="1:9" ht="15" x14ac:dyDescent="0.2">
      <c r="A114" s="1952">
        <v>2212</v>
      </c>
      <c r="B114" s="2050">
        <v>6121</v>
      </c>
      <c r="C114" s="2050">
        <v>38100871</v>
      </c>
      <c r="D114" s="1979" t="s">
        <v>640</v>
      </c>
      <c r="E114" s="1989">
        <v>0</v>
      </c>
      <c r="F114" s="1989">
        <v>15884</v>
      </c>
      <c r="G114" s="1989">
        <v>15884</v>
      </c>
      <c r="H114" s="1961">
        <f>G114/F114*100</f>
        <v>100</v>
      </c>
      <c r="I114" s="1970"/>
    </row>
    <row r="115" spans="1:9" ht="15.75" thickBot="1" x14ac:dyDescent="0.25">
      <c r="A115" s="1952">
        <v>2212</v>
      </c>
      <c r="B115" s="2050">
        <v>6121</v>
      </c>
      <c r="C115" s="2050">
        <v>38100874</v>
      </c>
      <c r="D115" s="1979" t="s">
        <v>640</v>
      </c>
      <c r="E115" s="1989">
        <v>0</v>
      </c>
      <c r="F115" s="1989">
        <v>602</v>
      </c>
      <c r="G115" s="1989">
        <v>602</v>
      </c>
      <c r="H115" s="1961">
        <f>G115/F115*100</f>
        <v>100</v>
      </c>
      <c r="I115" s="1970"/>
    </row>
    <row r="116" spans="1:9" ht="14.25" customHeight="1" thickTop="1" thickBot="1" x14ac:dyDescent="0.3">
      <c r="A116" s="1980" t="s">
        <v>802</v>
      </c>
      <c r="B116" s="1981"/>
      <c r="C116" s="1981"/>
      <c r="D116" s="1982"/>
      <c r="E116" s="1957">
        <f>SUM(E113:E115)</f>
        <v>0</v>
      </c>
      <c r="F116" s="1957">
        <f>SUM(F113:F115)</f>
        <v>19289</v>
      </c>
      <c r="G116" s="1957">
        <f>SUM(G113:G115)</f>
        <v>19289</v>
      </c>
      <c r="H116" s="1962">
        <f>G116/F116*100</f>
        <v>100</v>
      </c>
      <c r="I116" s="2044"/>
    </row>
    <row r="117" spans="1:9" ht="14.25" customHeight="1" thickTop="1" x14ac:dyDescent="0.25">
      <c r="A117" s="1994"/>
      <c r="B117" s="1994"/>
      <c r="C117" s="1994"/>
      <c r="D117" s="1994"/>
      <c r="E117" s="1964"/>
      <c r="F117" s="1964"/>
      <c r="G117" s="1964"/>
      <c r="H117" s="1995"/>
      <c r="I117" s="2044"/>
    </row>
    <row r="118" spans="1:9" ht="14.25" hidden="1" customHeight="1" x14ac:dyDescent="0.25">
      <c r="A118" s="1942" t="s">
        <v>1651</v>
      </c>
      <c r="I118" s="2044"/>
    </row>
    <row r="119" spans="1:9" ht="14.25" hidden="1" customHeight="1" thickBot="1" x14ac:dyDescent="0.3">
      <c r="A119" s="1942" t="s">
        <v>1125</v>
      </c>
      <c r="H119" s="2043" t="s">
        <v>173</v>
      </c>
      <c r="I119" s="2044"/>
    </row>
    <row r="120" spans="1:9" ht="27" hidden="1" customHeight="1" thickTop="1" thickBot="1" x14ac:dyDescent="0.25">
      <c r="A120" s="1943" t="s">
        <v>174</v>
      </c>
      <c r="B120" s="1944" t="s">
        <v>800</v>
      </c>
      <c r="C120" s="1944" t="s">
        <v>397</v>
      </c>
      <c r="D120" s="1945" t="s">
        <v>176</v>
      </c>
      <c r="E120" s="1976" t="s">
        <v>669</v>
      </c>
      <c r="F120" s="1976" t="s">
        <v>670</v>
      </c>
      <c r="G120" s="1977" t="s">
        <v>923</v>
      </c>
      <c r="H120" s="1978" t="s">
        <v>924</v>
      </c>
      <c r="I120" s="2044"/>
    </row>
    <row r="121" spans="1:9" ht="14.25" hidden="1" customHeight="1" thickTop="1" thickBot="1" x14ac:dyDescent="0.25">
      <c r="A121" s="1740">
        <v>1</v>
      </c>
      <c r="B121" s="1739">
        <v>2</v>
      </c>
      <c r="C121" s="1739">
        <v>3</v>
      </c>
      <c r="D121" s="1739">
        <v>5</v>
      </c>
      <c r="E121" s="1738">
        <v>6</v>
      </c>
      <c r="F121" s="1738">
        <v>7</v>
      </c>
      <c r="G121" s="2028">
        <v>8</v>
      </c>
      <c r="H121" s="1951" t="s">
        <v>801</v>
      </c>
      <c r="I121" s="2044"/>
    </row>
    <row r="122" spans="1:9" ht="49.5" hidden="1" customHeight="1" thickTop="1" thickBot="1" x14ac:dyDescent="0.25">
      <c r="A122" s="2049">
        <v>6402</v>
      </c>
      <c r="B122" s="2048">
        <v>5368</v>
      </c>
      <c r="C122" s="2048">
        <v>19</v>
      </c>
      <c r="D122" s="2047" t="s">
        <v>1650</v>
      </c>
      <c r="E122" s="1989">
        <v>0</v>
      </c>
      <c r="F122" s="1989"/>
      <c r="G122" s="1989"/>
      <c r="H122" s="1961" t="e">
        <f>G122/F122*100</f>
        <v>#DIV/0!</v>
      </c>
      <c r="I122" s="1970"/>
    </row>
    <row r="123" spans="1:9" ht="14.25" hidden="1" customHeight="1" thickTop="1" thickBot="1" x14ac:dyDescent="0.3">
      <c r="A123" s="1980" t="s">
        <v>802</v>
      </c>
      <c r="B123" s="1981"/>
      <c r="C123" s="1981"/>
      <c r="D123" s="1982"/>
      <c r="E123" s="1957">
        <f>SUM(E122:E122)</f>
        <v>0</v>
      </c>
      <c r="F123" s="1957">
        <f>SUM(F122:F122)</f>
        <v>0</v>
      </c>
      <c r="G123" s="1957">
        <f>SUM(G122:G122)</f>
        <v>0</v>
      </c>
      <c r="H123" s="1962" t="e">
        <f>G123/F123*100</f>
        <v>#DIV/0!</v>
      </c>
      <c r="I123" s="2044"/>
    </row>
    <row r="124" spans="1:9" ht="14.25" hidden="1" customHeight="1" thickTop="1" x14ac:dyDescent="0.25">
      <c r="A124" s="1994"/>
      <c r="B124" s="1994"/>
      <c r="C124" s="1994"/>
      <c r="D124" s="1994"/>
      <c r="E124" s="1964"/>
      <c r="F124" s="1964"/>
      <c r="G124" s="1964"/>
      <c r="H124" s="1995"/>
      <c r="I124" s="2044"/>
    </row>
    <row r="125" spans="1:9" ht="14.25" hidden="1" customHeight="1" x14ac:dyDescent="0.25">
      <c r="A125" s="1994"/>
      <c r="B125" s="1994"/>
      <c r="C125" s="1994"/>
      <c r="D125" s="1994"/>
      <c r="E125" s="1964"/>
      <c r="F125" s="1964"/>
      <c r="G125" s="1964"/>
      <c r="H125" s="1995"/>
      <c r="I125" s="2044"/>
    </row>
    <row r="126" spans="1:9" ht="14.25" hidden="1" customHeight="1" x14ac:dyDescent="0.2">
      <c r="A126" s="2044"/>
      <c r="B126" s="2044"/>
      <c r="C126" s="2044"/>
      <c r="D126" s="2044"/>
      <c r="E126" s="2046"/>
      <c r="F126" s="2045"/>
      <c r="G126" s="2045"/>
      <c r="H126" s="2045"/>
      <c r="I126" s="2044"/>
    </row>
    <row r="127" spans="1:9" hidden="1" x14ac:dyDescent="0.2">
      <c r="A127" s="2044"/>
      <c r="B127" s="2044"/>
      <c r="C127" s="2044"/>
      <c r="D127" s="2044"/>
      <c r="E127" s="2046"/>
      <c r="F127" s="2045"/>
      <c r="G127" s="2045"/>
      <c r="H127" s="2045"/>
      <c r="I127" s="2044"/>
    </row>
    <row r="128" spans="1:9" ht="15.75" thickBot="1" x14ac:dyDescent="0.3">
      <c r="A128" s="1942" t="s">
        <v>263</v>
      </c>
      <c r="H128" s="2043" t="s">
        <v>173</v>
      </c>
      <c r="I128" s="2042"/>
    </row>
    <row r="129" spans="1:13" ht="25.5" thickTop="1" thickBot="1" x14ac:dyDescent="0.25">
      <c r="A129" s="1943" t="s">
        <v>174</v>
      </c>
      <c r="B129" s="1944" t="s">
        <v>800</v>
      </c>
      <c r="C129" s="1944" t="s">
        <v>397</v>
      </c>
      <c r="D129" s="1945" t="s">
        <v>176</v>
      </c>
      <c r="E129" s="1976" t="s">
        <v>669</v>
      </c>
      <c r="F129" s="1976" t="s">
        <v>670</v>
      </c>
      <c r="G129" s="1977" t="s">
        <v>923</v>
      </c>
      <c r="H129" s="1978" t="s">
        <v>924</v>
      </c>
    </row>
    <row r="130" spans="1:13" ht="14.25" thickTop="1" thickBot="1" x14ac:dyDescent="0.25">
      <c r="A130" s="1740">
        <v>1</v>
      </c>
      <c r="B130" s="1739">
        <v>2</v>
      </c>
      <c r="C130" s="1739">
        <v>3</v>
      </c>
      <c r="D130" s="1739">
        <v>5</v>
      </c>
      <c r="E130" s="1738">
        <v>6</v>
      </c>
      <c r="F130" s="1738">
        <v>7</v>
      </c>
      <c r="G130" s="2028">
        <v>8</v>
      </c>
      <c r="H130" s="1951" t="s">
        <v>801</v>
      </c>
    </row>
    <row r="131" spans="1:13" s="1973" customFormat="1" ht="16.5" thickTop="1" thickBot="1" x14ac:dyDescent="0.3">
      <c r="A131" s="2041">
        <v>6330</v>
      </c>
      <c r="B131" s="1953">
        <v>5345</v>
      </c>
      <c r="C131" s="2040"/>
      <c r="D131" s="2037" t="s">
        <v>806</v>
      </c>
      <c r="E131" s="1975">
        <v>0</v>
      </c>
      <c r="F131" s="1975">
        <v>0</v>
      </c>
      <c r="G131" s="2039">
        <v>80727</v>
      </c>
      <c r="H131" s="1958">
        <v>0</v>
      </c>
    </row>
    <row r="132" spans="1:13" s="1973" customFormat="1" ht="15.75" hidden="1" thickBot="1" x14ac:dyDescent="0.3">
      <c r="A132" s="1952">
        <v>6409</v>
      </c>
      <c r="B132" s="1953">
        <v>5909</v>
      </c>
      <c r="C132" s="2038"/>
      <c r="D132" s="2037" t="s">
        <v>820</v>
      </c>
      <c r="E132" s="1989">
        <v>0</v>
      </c>
      <c r="F132" s="1989">
        <v>0</v>
      </c>
      <c r="G132" s="2036">
        <v>0</v>
      </c>
      <c r="H132" s="1961">
        <v>0</v>
      </c>
    </row>
    <row r="133" spans="1:13" ht="16.5" thickTop="1" thickBot="1" x14ac:dyDescent="0.3">
      <c r="A133" s="1980" t="s">
        <v>802</v>
      </c>
      <c r="B133" s="1981"/>
      <c r="C133" s="1981"/>
      <c r="D133" s="1982"/>
      <c r="E133" s="1957">
        <f>SUM(E131:E132)</f>
        <v>0</v>
      </c>
      <c r="F133" s="1957">
        <f>SUM(F131:F132)</f>
        <v>0</v>
      </c>
      <c r="G133" s="1957">
        <f>SUM(G131:G132)</f>
        <v>80727</v>
      </c>
      <c r="H133" s="1962">
        <v>0</v>
      </c>
    </row>
    <row r="134" spans="1:13" ht="17.25" customHeight="1" thickTop="1" x14ac:dyDescent="0.2"/>
    <row r="135" spans="1:13" ht="14.25" customHeight="1" x14ac:dyDescent="0.2"/>
    <row r="136" spans="1:13" ht="15.75" customHeight="1" x14ac:dyDescent="0.2"/>
    <row r="137" spans="1:13" ht="12.75" customHeight="1" x14ac:dyDescent="0.2"/>
    <row r="138" spans="1:13" ht="18.75" customHeight="1" x14ac:dyDescent="0.2"/>
    <row r="139" spans="1:13" ht="15" customHeight="1" x14ac:dyDescent="0.2"/>
    <row r="140" spans="1:13" ht="19.5" customHeight="1" x14ac:dyDescent="0.2"/>
    <row r="141" spans="1:13" ht="18.75" customHeight="1" x14ac:dyDescent="0.2"/>
    <row r="142" spans="1:13" ht="16.5" x14ac:dyDescent="0.25">
      <c r="A142" s="2011" t="s">
        <v>487</v>
      </c>
      <c r="B142" s="2012"/>
      <c r="C142" s="2013"/>
      <c r="D142" s="2014"/>
      <c r="E142" s="2015">
        <f>SUM(E143:E145)</f>
        <v>0</v>
      </c>
      <c r="F142" s="2015">
        <f>F143+F144+F145+F146</f>
        <v>232144</v>
      </c>
      <c r="G142" s="2015">
        <f>G143+G144+G145+G146</f>
        <v>312648</v>
      </c>
      <c r="H142" s="2035">
        <f>G142/F142*100</f>
        <v>134.67847542904403</v>
      </c>
      <c r="K142" s="2017">
        <f>K143+K144+K145</f>
        <v>0</v>
      </c>
      <c r="L142" s="2017">
        <f>L143+L144+L145</f>
        <v>232143705.13999999</v>
      </c>
      <c r="M142" s="2017">
        <f>M143+M144+M145</f>
        <v>312647964.39999998</v>
      </c>
    </row>
    <row r="143" spans="1:13" ht="15" x14ac:dyDescent="0.2">
      <c r="A143" s="1696" t="s">
        <v>277</v>
      </c>
      <c r="B143" s="1699"/>
      <c r="C143" s="1694"/>
      <c r="D143" s="2018"/>
      <c r="E143" s="1697">
        <f>E21+E41+E83+E102+E122</f>
        <v>0</v>
      </c>
      <c r="F143" s="1697">
        <f>F21+F41+F83+F102+F122</f>
        <v>0</v>
      </c>
      <c r="G143" s="1697">
        <f>G21+G41+G83+G102+G122</f>
        <v>0</v>
      </c>
      <c r="H143" s="2034">
        <v>0</v>
      </c>
      <c r="K143" s="2019">
        <v>0</v>
      </c>
      <c r="L143" s="2019">
        <v>0</v>
      </c>
      <c r="M143" s="2019">
        <v>0</v>
      </c>
    </row>
    <row r="144" spans="1:13" ht="15" x14ac:dyDescent="0.2">
      <c r="A144" s="1696" t="s">
        <v>278</v>
      </c>
      <c r="B144" s="1695"/>
      <c r="C144" s="1694"/>
      <c r="D144" s="2020"/>
      <c r="E144" s="1697">
        <f>E12+E13+E14+E22+E23+E24+E25+E32+E33+E34+E42+E43+E44+E72+E84+E85+E86+E93+E94+E95+E103+E104+E105+E106+E115+E11+E113+E114</f>
        <v>0</v>
      </c>
      <c r="F144" s="1697">
        <f>F12+F13+F14+F22+F23+F24+F25+F32+F33+F34+F42+F43+F44+F72+F84+F85+F86+F93+F94+F95+F103+F104+F105+F106+F115+F11+F113+F114</f>
        <v>232144</v>
      </c>
      <c r="G144" s="1697">
        <f>G12+G13+G14+G22+G23+G24+G25+G32+G33+G34+G42+G43+G44+G72+G84+G85+G86+G93+G94+G95+G103+G104+G105+G106+G115+G11+G113+G114</f>
        <v>231921</v>
      </c>
      <c r="H144" s="2034">
        <f>G144/F144*100</f>
        <v>99.903938934454473</v>
      </c>
      <c r="K144" s="2019">
        <v>0</v>
      </c>
      <c r="L144" s="2019">
        <v>232143705.13999999</v>
      </c>
      <c r="M144" s="2019">
        <v>231921470.69</v>
      </c>
    </row>
    <row r="145" spans="1:13" ht="15" x14ac:dyDescent="0.2">
      <c r="A145" s="1696" t="s">
        <v>488</v>
      </c>
      <c r="B145" s="1695"/>
      <c r="C145" s="1694"/>
      <c r="D145" s="2020"/>
      <c r="E145" s="1697">
        <f>E131</f>
        <v>0</v>
      </c>
      <c r="F145" s="1697">
        <f>F131</f>
        <v>0</v>
      </c>
      <c r="G145" s="1697">
        <v>80727</v>
      </c>
      <c r="H145" s="2034">
        <v>0</v>
      </c>
      <c r="K145" s="2019">
        <v>0</v>
      </c>
      <c r="L145" s="2019">
        <v>0</v>
      </c>
      <c r="M145" s="2019">
        <v>80726493.709999993</v>
      </c>
    </row>
    <row r="146" spans="1:13" ht="15" x14ac:dyDescent="0.2">
      <c r="A146" s="1696"/>
      <c r="B146" s="1695"/>
      <c r="C146" s="1694"/>
      <c r="D146" s="2020"/>
      <c r="E146" s="1697"/>
      <c r="F146" s="1697"/>
      <c r="G146" s="1697"/>
      <c r="H146" s="1693"/>
    </row>
    <row r="147" spans="1:13" ht="51" customHeight="1" thickBot="1" x14ac:dyDescent="0.4">
      <c r="A147" s="2746" t="s">
        <v>1649</v>
      </c>
      <c r="B147" s="2747"/>
      <c r="C147" s="2747"/>
      <c r="D147" s="2747"/>
      <c r="E147" s="1687">
        <f>SUM(E142)</f>
        <v>0</v>
      </c>
      <c r="F147" s="1687">
        <f>SUM(F142)</f>
        <v>232144</v>
      </c>
      <c r="G147" s="1687">
        <f>SUM(G142)</f>
        <v>312648</v>
      </c>
      <c r="H147" s="1686">
        <f>(G147/F147)*100</f>
        <v>134.67847542904403</v>
      </c>
    </row>
    <row r="148" spans="1:13" ht="13.5" thickTop="1" x14ac:dyDescent="0.2"/>
  </sheetData>
  <mergeCells count="1">
    <mergeCell ref="A147:D147"/>
  </mergeCells>
  <pageMargins left="0.78740157480314965" right="0.98425196850393704" top="0.98425196850393704" bottom="0.98425196850393704" header="0.51181102362204722" footer="0.51181102362204722"/>
  <pageSetup paperSize="9" scale="65" firstPageNumber="129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75"/>
  <sheetViews>
    <sheetView showGridLines="0" view="pageBreakPreview" topLeftCell="A25" zoomScaleNormal="100" zoomScaleSheetLayoutView="100" workbookViewId="0">
      <selection activeCell="D141" sqref="D141"/>
    </sheetView>
  </sheetViews>
  <sheetFormatPr defaultRowHeight="12.75" x14ac:dyDescent="0.2"/>
  <cols>
    <col min="1" max="1" width="4.7109375" style="1684" customWidth="1"/>
    <col min="2" max="2" width="4.7109375" style="1677" customWidth="1"/>
    <col min="3" max="3" width="8.85546875" style="1683" customWidth="1"/>
    <col min="4" max="4" width="47.28515625" style="1677" customWidth="1"/>
    <col min="5" max="5" width="12.85546875" style="1682" customWidth="1"/>
    <col min="6" max="6" width="15" style="1682" customWidth="1"/>
    <col min="7" max="7" width="14.85546875" style="1682" customWidth="1"/>
    <col min="8" max="8" width="8.28515625" style="1681" customWidth="1"/>
    <col min="9" max="16384" width="9.140625" style="1677"/>
  </cols>
  <sheetData>
    <row r="1" spans="1:9" ht="18.75" thickBot="1" x14ac:dyDescent="0.3">
      <c r="A1" s="1820" t="s">
        <v>1311</v>
      </c>
      <c r="B1" s="1819"/>
      <c r="C1" s="1819"/>
      <c r="D1" s="1818"/>
      <c r="E1" s="1817"/>
      <c r="F1" s="1816" t="s">
        <v>643</v>
      </c>
      <c r="I1" s="1751"/>
    </row>
    <row r="2" spans="1:9" ht="12.75" customHeight="1" x14ac:dyDescent="0.25">
      <c r="A2" s="1812"/>
      <c r="B2" s="1756"/>
      <c r="C2" s="1756"/>
      <c r="D2" s="1811"/>
      <c r="E2" s="1753"/>
      <c r="F2" s="1753"/>
      <c r="G2" s="1752"/>
      <c r="H2" s="1750"/>
      <c r="I2" s="1751"/>
    </row>
    <row r="3" spans="1:9" ht="12.75" customHeight="1" x14ac:dyDescent="0.25">
      <c r="A3" s="1815" t="s">
        <v>387</v>
      </c>
      <c r="B3" s="1756"/>
      <c r="C3" s="1813" t="s">
        <v>385</v>
      </c>
      <c r="D3" s="1814"/>
      <c r="E3" s="1753"/>
      <c r="F3" s="1752"/>
      <c r="G3" s="1751"/>
      <c r="H3" s="1750"/>
    </row>
    <row r="4" spans="1:9" ht="12.75" customHeight="1" x14ac:dyDescent="0.25">
      <c r="A4" s="1812"/>
      <c r="B4" s="1756"/>
      <c r="C4" s="1813" t="s">
        <v>386</v>
      </c>
      <c r="D4" s="1682"/>
      <c r="E4" s="1753"/>
      <c r="F4" s="1752"/>
      <c r="G4" s="1751"/>
      <c r="H4" s="1750"/>
    </row>
    <row r="5" spans="1:9" ht="12.75" customHeight="1" x14ac:dyDescent="0.25">
      <c r="A5" s="1812"/>
      <c r="B5" s="1756"/>
      <c r="C5" s="1756"/>
      <c r="D5" s="1811"/>
      <c r="E5" s="1753"/>
      <c r="F5" s="1753"/>
      <c r="G5" s="1752"/>
      <c r="H5" s="1750"/>
      <c r="I5" s="1751"/>
    </row>
    <row r="6" spans="1:9" ht="18" x14ac:dyDescent="0.25">
      <c r="A6" s="1757" t="s">
        <v>925</v>
      </c>
      <c r="B6" s="1756"/>
      <c r="C6" s="1756"/>
      <c r="D6" s="1811"/>
      <c r="E6" s="1753"/>
      <c r="F6" s="1753"/>
      <c r="G6" s="1752"/>
      <c r="H6" s="1750"/>
      <c r="I6" s="1751"/>
    </row>
    <row r="7" spans="1:9" ht="13.5" thickBot="1" x14ac:dyDescent="0.25">
      <c r="A7" s="1749"/>
      <c r="B7" s="1749"/>
      <c r="C7" s="1749"/>
      <c r="D7" s="1785"/>
      <c r="G7" s="1747"/>
      <c r="H7" s="1681" t="s">
        <v>173</v>
      </c>
    </row>
    <row r="8" spans="1:9" s="1741" customFormat="1" ht="20.25" customHeight="1" thickTop="1" thickBot="1" x14ac:dyDescent="0.25">
      <c r="A8" s="1746" t="s">
        <v>174</v>
      </c>
      <c r="B8" s="1745" t="s">
        <v>175</v>
      </c>
      <c r="C8" s="1784" t="s">
        <v>744</v>
      </c>
      <c r="D8" s="1784" t="s">
        <v>176</v>
      </c>
      <c r="E8" s="1784" t="s">
        <v>177</v>
      </c>
      <c r="F8" s="1784" t="s">
        <v>922</v>
      </c>
      <c r="G8" s="1784" t="s">
        <v>923</v>
      </c>
      <c r="H8" s="1742" t="s">
        <v>924</v>
      </c>
    </row>
    <row r="9" spans="1:9" s="1735" customFormat="1" ht="13.5" thickTop="1" thickBot="1" x14ac:dyDescent="0.25">
      <c r="A9" s="1740">
        <v>1</v>
      </c>
      <c r="B9" s="1739">
        <v>2</v>
      </c>
      <c r="C9" s="1739">
        <v>3</v>
      </c>
      <c r="D9" s="1739">
        <v>4</v>
      </c>
      <c r="E9" s="1739">
        <v>5</v>
      </c>
      <c r="F9" s="1738">
        <v>6</v>
      </c>
      <c r="G9" s="1738">
        <v>7</v>
      </c>
      <c r="H9" s="1737" t="s">
        <v>61</v>
      </c>
      <c r="I9" s="1736"/>
    </row>
    <row r="10" spans="1:9" s="1800" customFormat="1" ht="15.75" thickTop="1" x14ac:dyDescent="0.25">
      <c r="A10" s="1810">
        <v>2143</v>
      </c>
      <c r="B10" s="1809">
        <v>5139</v>
      </c>
      <c r="C10" s="1808"/>
      <c r="D10" s="1807" t="s">
        <v>662</v>
      </c>
      <c r="E10" s="1733">
        <v>200</v>
      </c>
      <c r="F10" s="1734">
        <v>200</v>
      </c>
      <c r="G10" s="1733">
        <v>200</v>
      </c>
      <c r="H10" s="1779">
        <f t="shared" ref="H10:H48" si="0">(G10/F10)*100</f>
        <v>100</v>
      </c>
    </row>
    <row r="11" spans="1:9" s="1800" customFormat="1" ht="15" customHeight="1" x14ac:dyDescent="0.25">
      <c r="A11" s="1806"/>
      <c r="B11" s="1805"/>
      <c r="C11" s="1721" t="s">
        <v>1566</v>
      </c>
      <c r="D11" s="1799" t="s">
        <v>1565</v>
      </c>
      <c r="E11" s="1802">
        <v>200</v>
      </c>
      <c r="F11" s="1801">
        <v>200</v>
      </c>
      <c r="G11" s="1714">
        <v>200</v>
      </c>
      <c r="H11" s="1775">
        <f t="shared" si="0"/>
        <v>100</v>
      </c>
    </row>
    <row r="12" spans="1:9" s="1800" customFormat="1" ht="15" customHeight="1" x14ac:dyDescent="0.25">
      <c r="A12" s="1792">
        <v>2143</v>
      </c>
      <c r="B12" s="1791">
        <v>5166</v>
      </c>
      <c r="C12" s="1721"/>
      <c r="D12" s="1774" t="s">
        <v>646</v>
      </c>
      <c r="E12" s="1803">
        <v>850</v>
      </c>
      <c r="F12" s="1804">
        <v>656</v>
      </c>
      <c r="G12" s="1723">
        <v>466</v>
      </c>
      <c r="H12" s="1779">
        <f t="shared" si="0"/>
        <v>71.036585365853654</v>
      </c>
    </row>
    <row r="13" spans="1:9" s="1800" customFormat="1" ht="15" customHeight="1" x14ac:dyDescent="0.2">
      <c r="A13" s="1792"/>
      <c r="B13" s="1791"/>
      <c r="C13" s="1721" t="s">
        <v>1566</v>
      </c>
      <c r="D13" s="1728" t="s">
        <v>1565</v>
      </c>
      <c r="E13" s="1802">
        <v>850</v>
      </c>
      <c r="F13" s="1801">
        <v>656</v>
      </c>
      <c r="G13" s="1714">
        <v>466</v>
      </c>
      <c r="H13" s="1775">
        <f t="shared" si="0"/>
        <v>71.036585365853654</v>
      </c>
    </row>
    <row r="14" spans="1:9" s="1712" customFormat="1" ht="15" x14ac:dyDescent="0.25">
      <c r="A14" s="1792">
        <v>2143</v>
      </c>
      <c r="B14" s="1791">
        <v>5169</v>
      </c>
      <c r="C14" s="1721"/>
      <c r="D14" s="1774" t="s">
        <v>892</v>
      </c>
      <c r="E14" s="1781">
        <v>4835</v>
      </c>
      <c r="F14" s="1781">
        <v>3385</v>
      </c>
      <c r="G14" s="1781">
        <v>3382</v>
      </c>
      <c r="H14" s="1779">
        <f t="shared" si="0"/>
        <v>99.91137370753323</v>
      </c>
    </row>
    <row r="15" spans="1:9" s="1712" customFormat="1" ht="15" customHeight="1" x14ac:dyDescent="0.2">
      <c r="A15" s="1792"/>
      <c r="B15" s="1791"/>
      <c r="C15" s="1721" t="s">
        <v>1566</v>
      </c>
      <c r="D15" s="1728" t="s">
        <v>1565</v>
      </c>
      <c r="E15" s="1716">
        <v>4835</v>
      </c>
      <c r="F15" s="1715">
        <v>3385</v>
      </c>
      <c r="G15" s="1714">
        <v>3382</v>
      </c>
      <c r="H15" s="1775">
        <f t="shared" si="0"/>
        <v>99.91137370753323</v>
      </c>
    </row>
    <row r="16" spans="1:9" s="1712" customFormat="1" ht="15" customHeight="1" x14ac:dyDescent="0.25">
      <c r="A16" s="1792">
        <v>2143</v>
      </c>
      <c r="B16" s="1791">
        <v>5175</v>
      </c>
      <c r="C16" s="1721"/>
      <c r="D16" s="1774" t="s">
        <v>707</v>
      </c>
      <c r="E16" s="1781">
        <v>15</v>
      </c>
      <c r="F16" s="1773">
        <v>15</v>
      </c>
      <c r="G16" s="1723">
        <v>15</v>
      </c>
      <c r="H16" s="1779">
        <f t="shared" si="0"/>
        <v>100</v>
      </c>
    </row>
    <row r="17" spans="1:8" s="1712" customFormat="1" ht="15" customHeight="1" x14ac:dyDescent="0.2">
      <c r="A17" s="1792"/>
      <c r="B17" s="1791"/>
      <c r="C17" s="1721" t="s">
        <v>1566</v>
      </c>
      <c r="D17" s="1728" t="s">
        <v>1565</v>
      </c>
      <c r="E17" s="1716">
        <v>15</v>
      </c>
      <c r="F17" s="1714">
        <v>15</v>
      </c>
      <c r="G17" s="1714">
        <v>15</v>
      </c>
      <c r="H17" s="1775">
        <f t="shared" si="0"/>
        <v>100</v>
      </c>
    </row>
    <row r="18" spans="1:8" s="1712" customFormat="1" ht="15" customHeight="1" x14ac:dyDescent="0.25">
      <c r="A18" s="1792">
        <v>2143</v>
      </c>
      <c r="B18" s="1791">
        <v>5212</v>
      </c>
      <c r="C18" s="1721"/>
      <c r="D18" s="1730" t="s">
        <v>1571</v>
      </c>
      <c r="E18" s="1729">
        <f>E19+E20+E21</f>
        <v>372</v>
      </c>
      <c r="F18" s="1729">
        <f>F19+F20+F21</f>
        <v>742</v>
      </c>
      <c r="G18" s="1729">
        <f>G19+G20+G21</f>
        <v>742</v>
      </c>
      <c r="H18" s="1779">
        <f t="shared" si="0"/>
        <v>100</v>
      </c>
    </row>
    <row r="19" spans="1:8" s="1712" customFormat="1" ht="15" customHeight="1" x14ac:dyDescent="0.2">
      <c r="A19" s="1792"/>
      <c r="B19" s="1791"/>
      <c r="C19" s="1721" t="s">
        <v>1570</v>
      </c>
      <c r="D19" s="1728" t="s">
        <v>1569</v>
      </c>
      <c r="E19" s="1716">
        <v>372</v>
      </c>
      <c r="F19" s="1714">
        <v>372</v>
      </c>
      <c r="G19" s="1714">
        <v>372</v>
      </c>
      <c r="H19" s="1775">
        <f t="shared" si="0"/>
        <v>100</v>
      </c>
    </row>
    <row r="20" spans="1:8" s="1712" customFormat="1" ht="15" customHeight="1" x14ac:dyDescent="0.2">
      <c r="A20" s="1792"/>
      <c r="B20" s="1791"/>
      <c r="C20" s="1721" t="s">
        <v>1572</v>
      </c>
      <c r="D20" s="1728" t="s">
        <v>1573</v>
      </c>
      <c r="E20" s="1716"/>
      <c r="F20" s="1714">
        <v>340</v>
      </c>
      <c r="G20" s="1714">
        <v>340</v>
      </c>
      <c r="H20" s="1775">
        <f t="shared" si="0"/>
        <v>100</v>
      </c>
    </row>
    <row r="21" spans="1:8" s="1712" customFormat="1" ht="15" customHeight="1" x14ac:dyDescent="0.2">
      <c r="A21" s="1792"/>
      <c r="B21" s="1791"/>
      <c r="C21" s="1721" t="s">
        <v>1574</v>
      </c>
      <c r="D21" s="1728" t="s">
        <v>1575</v>
      </c>
      <c r="E21" s="1716"/>
      <c r="F21" s="1714">
        <v>30</v>
      </c>
      <c r="G21" s="1714">
        <v>30</v>
      </c>
      <c r="H21" s="1775">
        <f t="shared" si="0"/>
        <v>100</v>
      </c>
    </row>
    <row r="22" spans="1:8" s="1712" customFormat="1" ht="15" customHeight="1" x14ac:dyDescent="0.25">
      <c r="A22" s="1792">
        <v>2143</v>
      </c>
      <c r="B22" s="1791">
        <v>5213</v>
      </c>
      <c r="C22" s="1721"/>
      <c r="D22" s="1774" t="s">
        <v>225</v>
      </c>
      <c r="E22" s="1716"/>
      <c r="F22" s="1723">
        <f>F23+F24</f>
        <v>180</v>
      </c>
      <c r="G22" s="1723">
        <f>G23+G24</f>
        <v>180</v>
      </c>
      <c r="H22" s="1772">
        <f t="shared" si="0"/>
        <v>100</v>
      </c>
    </row>
    <row r="23" spans="1:8" s="1712" customFormat="1" ht="15" customHeight="1" x14ac:dyDescent="0.25">
      <c r="A23" s="1792"/>
      <c r="B23" s="1791"/>
      <c r="C23" s="1721" t="s">
        <v>1572</v>
      </c>
      <c r="D23" s="1728" t="s">
        <v>1573</v>
      </c>
      <c r="E23" s="1716"/>
      <c r="F23" s="1714">
        <v>70</v>
      </c>
      <c r="G23" s="1714">
        <v>70</v>
      </c>
      <c r="H23" s="1772">
        <f t="shared" si="0"/>
        <v>100</v>
      </c>
    </row>
    <row r="24" spans="1:8" s="1712" customFormat="1" ht="15" customHeight="1" x14ac:dyDescent="0.2">
      <c r="A24" s="1792"/>
      <c r="B24" s="1791"/>
      <c r="C24" s="1721" t="s">
        <v>1574</v>
      </c>
      <c r="D24" s="1728" t="s">
        <v>1575</v>
      </c>
      <c r="E24" s="1716"/>
      <c r="F24" s="1714">
        <v>110</v>
      </c>
      <c r="G24" s="1714">
        <v>110</v>
      </c>
      <c r="H24" s="1775">
        <f t="shared" si="0"/>
        <v>100</v>
      </c>
    </row>
    <row r="25" spans="1:8" s="1712" customFormat="1" ht="15" customHeight="1" x14ac:dyDescent="0.25">
      <c r="A25" s="1792">
        <v>2143</v>
      </c>
      <c r="B25" s="1791">
        <v>5221</v>
      </c>
      <c r="C25" s="1721"/>
      <c r="D25" s="1774" t="s">
        <v>46</v>
      </c>
      <c r="E25" s="1716"/>
      <c r="F25" s="1723">
        <v>50</v>
      </c>
      <c r="G25" s="1723">
        <v>50</v>
      </c>
      <c r="H25" s="1772">
        <f t="shared" si="0"/>
        <v>100</v>
      </c>
    </row>
    <row r="26" spans="1:8" s="1712" customFormat="1" ht="15" customHeight="1" x14ac:dyDescent="0.2">
      <c r="A26" s="1792"/>
      <c r="B26" s="1791"/>
      <c r="C26" s="1721" t="s">
        <v>1574</v>
      </c>
      <c r="D26" s="1728" t="s">
        <v>1575</v>
      </c>
      <c r="E26" s="1716"/>
      <c r="F26" s="1715">
        <v>50</v>
      </c>
      <c r="G26" s="1714">
        <v>50</v>
      </c>
      <c r="H26" s="1775">
        <f t="shared" si="0"/>
        <v>100</v>
      </c>
    </row>
    <row r="27" spans="1:8" s="1712" customFormat="1" ht="15" x14ac:dyDescent="0.25">
      <c r="A27" s="1792">
        <v>2143</v>
      </c>
      <c r="B27" s="1791">
        <v>5222</v>
      </c>
      <c r="C27" s="1821"/>
      <c r="D27" s="1788" t="s">
        <v>234</v>
      </c>
      <c r="E27" s="1781">
        <v>400</v>
      </c>
      <c r="F27" s="1780">
        <f>F28+F30+F29+F31+F32</f>
        <v>1030</v>
      </c>
      <c r="G27" s="1780">
        <f>G28+G30+G29+G31+G32</f>
        <v>1030</v>
      </c>
      <c r="H27" s="1779">
        <f t="shared" si="0"/>
        <v>100</v>
      </c>
    </row>
    <row r="28" spans="1:8" s="1712" customFormat="1" ht="15" x14ac:dyDescent="0.25">
      <c r="A28" s="1792"/>
      <c r="B28" s="1791"/>
      <c r="C28" s="1726" t="s">
        <v>262</v>
      </c>
      <c r="D28" s="1727" t="s">
        <v>333</v>
      </c>
      <c r="E28" s="1781"/>
      <c r="F28" s="1715">
        <v>50</v>
      </c>
      <c r="G28" s="1714">
        <v>50</v>
      </c>
      <c r="H28" s="1775">
        <f t="shared" si="0"/>
        <v>100</v>
      </c>
    </row>
    <row r="29" spans="1:8" s="1712" customFormat="1" ht="15" x14ac:dyDescent="0.25">
      <c r="A29" s="1792"/>
      <c r="B29" s="1791"/>
      <c r="C29" s="1726" t="s">
        <v>1262</v>
      </c>
      <c r="D29" s="1727" t="s">
        <v>1757</v>
      </c>
      <c r="E29" s="1781"/>
      <c r="F29" s="1715">
        <v>10</v>
      </c>
      <c r="G29" s="1714">
        <v>10</v>
      </c>
      <c r="H29" s="1775">
        <f t="shared" si="0"/>
        <v>100</v>
      </c>
    </row>
    <row r="30" spans="1:8" s="1712" customFormat="1" ht="14.25" x14ac:dyDescent="0.2">
      <c r="A30" s="1792"/>
      <c r="B30" s="1791"/>
      <c r="C30" s="1721" t="s">
        <v>1568</v>
      </c>
      <c r="D30" s="1799" t="s">
        <v>1567</v>
      </c>
      <c r="E30" s="1716">
        <v>400</v>
      </c>
      <c r="F30" s="1715">
        <v>400</v>
      </c>
      <c r="G30" s="1714">
        <v>400</v>
      </c>
      <c r="H30" s="1775">
        <f t="shared" si="0"/>
        <v>100</v>
      </c>
    </row>
    <row r="31" spans="1:8" s="1712" customFormat="1" ht="14.25" x14ac:dyDescent="0.2">
      <c r="A31" s="1792"/>
      <c r="B31" s="1791"/>
      <c r="C31" s="1721" t="s">
        <v>1572</v>
      </c>
      <c r="D31" s="1728" t="s">
        <v>1573</v>
      </c>
      <c r="E31" s="1716"/>
      <c r="F31" s="1715">
        <v>530</v>
      </c>
      <c r="G31" s="1714">
        <v>530</v>
      </c>
      <c r="H31" s="1775">
        <f t="shared" si="0"/>
        <v>100</v>
      </c>
    </row>
    <row r="32" spans="1:8" s="1712" customFormat="1" ht="14.25" x14ac:dyDescent="0.2">
      <c r="A32" s="1792"/>
      <c r="B32" s="1791"/>
      <c r="C32" s="1721" t="s">
        <v>1574</v>
      </c>
      <c r="D32" s="1728" t="s">
        <v>1575</v>
      </c>
      <c r="E32" s="1716"/>
      <c r="F32" s="1715">
        <v>40</v>
      </c>
      <c r="G32" s="1714">
        <v>40</v>
      </c>
      <c r="H32" s="1775">
        <f t="shared" si="0"/>
        <v>100</v>
      </c>
    </row>
    <row r="33" spans="1:8" s="1712" customFormat="1" ht="15" x14ac:dyDescent="0.25">
      <c r="A33" s="1792">
        <v>2143</v>
      </c>
      <c r="B33" s="1791">
        <v>5229</v>
      </c>
      <c r="C33" s="1721"/>
      <c r="D33" s="1774" t="s">
        <v>1191</v>
      </c>
      <c r="E33" s="1781">
        <f>E34+E35+E36</f>
        <v>6324</v>
      </c>
      <c r="F33" s="1781">
        <f>F34+F35+F36</f>
        <v>8382</v>
      </c>
      <c r="G33" s="1781">
        <f>G34+G35+G36</f>
        <v>8382</v>
      </c>
      <c r="H33" s="1779">
        <f t="shared" si="0"/>
        <v>100</v>
      </c>
    </row>
    <row r="34" spans="1:8" s="1712" customFormat="1" ht="15" x14ac:dyDescent="0.25">
      <c r="A34" s="1792"/>
      <c r="B34" s="1791"/>
      <c r="C34" s="1726" t="s">
        <v>262</v>
      </c>
      <c r="D34" s="1727" t="s">
        <v>333</v>
      </c>
      <c r="E34" s="1781"/>
      <c r="F34" s="1798">
        <v>500</v>
      </c>
      <c r="G34" s="1714">
        <v>500</v>
      </c>
      <c r="H34" s="1775">
        <f t="shared" si="0"/>
        <v>100</v>
      </c>
    </row>
    <row r="35" spans="1:8" s="1712" customFormat="1" ht="14.25" x14ac:dyDescent="0.2">
      <c r="A35" s="1792"/>
      <c r="B35" s="1791"/>
      <c r="C35" s="1721" t="s">
        <v>1562</v>
      </c>
      <c r="D35" s="1720" t="s">
        <v>1563</v>
      </c>
      <c r="E35" s="1716">
        <v>6324</v>
      </c>
      <c r="F35" s="1715">
        <v>7762</v>
      </c>
      <c r="G35" s="1714">
        <v>7762</v>
      </c>
      <c r="H35" s="1775">
        <f t="shared" si="0"/>
        <v>100</v>
      </c>
    </row>
    <row r="36" spans="1:8" s="1712" customFormat="1" ht="14.25" customHeight="1" x14ac:dyDescent="0.2">
      <c r="A36" s="1792"/>
      <c r="B36" s="1791"/>
      <c r="C36" s="1721" t="s">
        <v>1572</v>
      </c>
      <c r="D36" s="1728" t="s">
        <v>1573</v>
      </c>
      <c r="E36" s="1716"/>
      <c r="F36" s="1715">
        <v>120</v>
      </c>
      <c r="G36" s="1714">
        <v>120</v>
      </c>
      <c r="H36" s="1775">
        <f t="shared" si="0"/>
        <v>100</v>
      </c>
    </row>
    <row r="37" spans="1:8" s="1712" customFormat="1" ht="14.25" customHeight="1" x14ac:dyDescent="0.25">
      <c r="A37" s="1792">
        <v>2143</v>
      </c>
      <c r="B37" s="1791">
        <v>5321</v>
      </c>
      <c r="C37" s="1721"/>
      <c r="D37" s="1774" t="s">
        <v>1261</v>
      </c>
      <c r="E37" s="1729">
        <f>E39+E40+E41</f>
        <v>800</v>
      </c>
      <c r="F37" s="1729">
        <f>F39+F40+F41+F38</f>
        <v>845</v>
      </c>
      <c r="G37" s="1729">
        <f>G39+G40+G41+G38</f>
        <v>842</v>
      </c>
      <c r="H37" s="1779">
        <f t="shared" si="0"/>
        <v>99.644970414201183</v>
      </c>
    </row>
    <row r="38" spans="1:8" s="1712" customFormat="1" ht="14.25" customHeight="1" x14ac:dyDescent="0.25">
      <c r="A38" s="1792"/>
      <c r="B38" s="1791"/>
      <c r="C38" s="1726" t="s">
        <v>1262</v>
      </c>
      <c r="D38" s="1727" t="s">
        <v>1757</v>
      </c>
      <c r="E38" s="1729"/>
      <c r="F38" s="1798">
        <v>25</v>
      </c>
      <c r="G38" s="1716">
        <v>25</v>
      </c>
      <c r="H38" s="1775">
        <f t="shared" si="0"/>
        <v>100</v>
      </c>
    </row>
    <row r="39" spans="1:8" s="1712" customFormat="1" ht="14.25" customHeight="1" x14ac:dyDescent="0.2">
      <c r="A39" s="1792"/>
      <c r="B39" s="1791"/>
      <c r="C39" s="1721" t="s">
        <v>1566</v>
      </c>
      <c r="D39" s="1728" t="s">
        <v>1565</v>
      </c>
      <c r="E39" s="1716">
        <v>800</v>
      </c>
      <c r="F39" s="1715">
        <v>0</v>
      </c>
      <c r="G39" s="1714">
        <v>0</v>
      </c>
      <c r="H39" s="1775">
        <v>0</v>
      </c>
    </row>
    <row r="40" spans="1:8" s="1712" customFormat="1" ht="14.25" customHeight="1" x14ac:dyDescent="0.2">
      <c r="A40" s="1792"/>
      <c r="B40" s="1791"/>
      <c r="C40" s="1721" t="s">
        <v>1572</v>
      </c>
      <c r="D40" s="1728" t="s">
        <v>1573</v>
      </c>
      <c r="E40" s="1716"/>
      <c r="F40" s="1715">
        <v>290</v>
      </c>
      <c r="G40" s="1714">
        <v>290</v>
      </c>
      <c r="H40" s="1775">
        <f t="shared" si="0"/>
        <v>100</v>
      </c>
    </row>
    <row r="41" spans="1:8" s="1712" customFormat="1" ht="14.25" customHeight="1" x14ac:dyDescent="0.2">
      <c r="A41" s="1792"/>
      <c r="B41" s="1791"/>
      <c r="C41" s="1721" t="s">
        <v>1574</v>
      </c>
      <c r="D41" s="1728" t="s">
        <v>1575</v>
      </c>
      <c r="E41" s="1716"/>
      <c r="F41" s="1715">
        <v>530</v>
      </c>
      <c r="G41" s="1714">
        <v>527</v>
      </c>
      <c r="H41" s="1775">
        <f t="shared" si="0"/>
        <v>99.433962264150949</v>
      </c>
    </row>
    <row r="42" spans="1:8" s="1712" customFormat="1" ht="14.25" customHeight="1" x14ac:dyDescent="0.25">
      <c r="A42" s="1792">
        <v>2143</v>
      </c>
      <c r="B42" s="1791">
        <v>5323</v>
      </c>
      <c r="C42" s="1721"/>
      <c r="D42" s="1783" t="s">
        <v>235</v>
      </c>
      <c r="E42" s="1729">
        <v>300</v>
      </c>
      <c r="F42" s="1724">
        <v>250</v>
      </c>
      <c r="G42" s="1723">
        <v>250</v>
      </c>
      <c r="H42" s="1772">
        <f t="shared" si="0"/>
        <v>100</v>
      </c>
    </row>
    <row r="43" spans="1:8" s="1712" customFormat="1" ht="14.25" customHeight="1" x14ac:dyDescent="0.2">
      <c r="A43" s="1792"/>
      <c r="B43" s="1791"/>
      <c r="C43" s="1721" t="s">
        <v>1566</v>
      </c>
      <c r="D43" s="1728" t="s">
        <v>1565</v>
      </c>
      <c r="E43" s="1716">
        <v>300</v>
      </c>
      <c r="F43" s="1715">
        <v>250</v>
      </c>
      <c r="G43" s="1714">
        <v>250</v>
      </c>
      <c r="H43" s="1775">
        <f t="shared" si="0"/>
        <v>100</v>
      </c>
    </row>
    <row r="44" spans="1:8" s="1712" customFormat="1" ht="15" x14ac:dyDescent="0.25">
      <c r="A44" s="1792">
        <v>2143</v>
      </c>
      <c r="B44" s="1791">
        <v>5329</v>
      </c>
      <c r="C44" s="1721"/>
      <c r="D44" s="1783" t="s">
        <v>965</v>
      </c>
      <c r="E44" s="1729"/>
      <c r="F44" s="1724">
        <v>40</v>
      </c>
      <c r="G44" s="1723">
        <v>40</v>
      </c>
      <c r="H44" s="1772">
        <f t="shared" si="0"/>
        <v>100</v>
      </c>
    </row>
    <row r="45" spans="1:8" s="1712" customFormat="1" ht="14.25" x14ac:dyDescent="0.2">
      <c r="A45" s="1792"/>
      <c r="B45" s="1791"/>
      <c r="C45" s="1721" t="s">
        <v>1574</v>
      </c>
      <c r="D45" s="1728" t="s">
        <v>1575</v>
      </c>
      <c r="E45" s="1716"/>
      <c r="F45" s="1715">
        <v>40</v>
      </c>
      <c r="G45" s="1714">
        <v>40</v>
      </c>
      <c r="H45" s="1775">
        <f t="shared" si="0"/>
        <v>100</v>
      </c>
    </row>
    <row r="46" spans="1:8" s="1712" customFormat="1" ht="15" x14ac:dyDescent="0.25">
      <c r="A46" s="1792">
        <v>2143</v>
      </c>
      <c r="B46" s="1791">
        <v>5331</v>
      </c>
      <c r="C46" s="1721"/>
      <c r="D46" s="1795" t="s">
        <v>996</v>
      </c>
      <c r="E46" s="1716"/>
      <c r="F46" s="1724">
        <v>150</v>
      </c>
      <c r="G46" s="1723">
        <v>150</v>
      </c>
      <c r="H46" s="1772">
        <f t="shared" si="0"/>
        <v>100</v>
      </c>
    </row>
    <row r="47" spans="1:8" s="1712" customFormat="1" ht="14.25" x14ac:dyDescent="0.2">
      <c r="A47" s="1792"/>
      <c r="B47" s="1791"/>
      <c r="C47" s="1721" t="s">
        <v>1572</v>
      </c>
      <c r="D47" s="1728" t="s">
        <v>1573</v>
      </c>
      <c r="E47" s="1716"/>
      <c r="F47" s="1715">
        <v>150</v>
      </c>
      <c r="G47" s="1714">
        <v>150</v>
      </c>
      <c r="H47" s="1775">
        <f t="shared" si="0"/>
        <v>100</v>
      </c>
    </row>
    <row r="48" spans="1:8" s="1712" customFormat="1" ht="15" x14ac:dyDescent="0.25">
      <c r="A48" s="1792">
        <v>2143</v>
      </c>
      <c r="B48" s="1791">
        <v>5629</v>
      </c>
      <c r="C48" s="1726"/>
      <c r="D48" s="2649" t="s">
        <v>1564</v>
      </c>
      <c r="E48" s="1729">
        <v>4235</v>
      </c>
      <c r="F48" s="1723">
        <v>9366</v>
      </c>
      <c r="G48" s="1723">
        <v>9366</v>
      </c>
      <c r="H48" s="1779">
        <f t="shared" si="0"/>
        <v>100</v>
      </c>
    </row>
    <row r="49" spans="1:8" s="1712" customFormat="1" ht="15" x14ac:dyDescent="0.25">
      <c r="A49" s="1792"/>
      <c r="B49" s="1791"/>
      <c r="C49" s="1726"/>
      <c r="D49" s="2649"/>
      <c r="E49" s="1716"/>
      <c r="F49" s="1724"/>
      <c r="G49" s="1714"/>
      <c r="H49" s="1775"/>
    </row>
    <row r="50" spans="1:8" s="1712" customFormat="1" ht="14.25" x14ac:dyDescent="0.2">
      <c r="A50" s="1792"/>
      <c r="B50" s="1791"/>
      <c r="C50" s="1721" t="s">
        <v>1562</v>
      </c>
      <c r="D50" s="1720" t="s">
        <v>1563</v>
      </c>
      <c r="E50" s="1716">
        <v>4235</v>
      </c>
      <c r="F50" s="1715">
        <v>9366</v>
      </c>
      <c r="G50" s="1714">
        <v>9366</v>
      </c>
      <c r="H50" s="1775">
        <f>(G50/F50)*100</f>
        <v>100</v>
      </c>
    </row>
    <row r="51" spans="1:8" s="1712" customFormat="1" ht="15" x14ac:dyDescent="0.25">
      <c r="A51" s="1792">
        <v>2144</v>
      </c>
      <c r="B51" s="1791">
        <v>5169</v>
      </c>
      <c r="C51" s="1782"/>
      <c r="D51" s="1774" t="s">
        <v>892</v>
      </c>
      <c r="E51" s="1729">
        <v>1200</v>
      </c>
      <c r="F51" s="1724">
        <v>700</v>
      </c>
      <c r="G51" s="1723">
        <v>544</v>
      </c>
      <c r="H51" s="1772">
        <f t="shared" ref="H51:H66" si="1">(G51/F51)*100</f>
        <v>77.714285714285708</v>
      </c>
    </row>
    <row r="52" spans="1:8" s="1712" customFormat="1" ht="15" x14ac:dyDescent="0.25">
      <c r="A52" s="1792">
        <v>2144</v>
      </c>
      <c r="B52" s="1791">
        <v>5213</v>
      </c>
      <c r="C52" s="1782"/>
      <c r="D52" s="1774" t="s">
        <v>225</v>
      </c>
      <c r="E52" s="1729"/>
      <c r="F52" s="1724">
        <v>44</v>
      </c>
      <c r="G52" s="1723">
        <v>44</v>
      </c>
      <c r="H52" s="1772">
        <f t="shared" si="1"/>
        <v>100</v>
      </c>
    </row>
    <row r="53" spans="1:8" s="1712" customFormat="1" ht="15" x14ac:dyDescent="0.25">
      <c r="A53" s="1792"/>
      <c r="B53" s="1791"/>
      <c r="C53" s="1721" t="s">
        <v>1576</v>
      </c>
      <c r="D53" s="1727" t="s">
        <v>1577</v>
      </c>
      <c r="E53" s="1729"/>
      <c r="F53" s="1715">
        <v>44</v>
      </c>
      <c r="G53" s="1714">
        <v>44</v>
      </c>
      <c r="H53" s="1775">
        <f t="shared" si="1"/>
        <v>100</v>
      </c>
    </row>
    <row r="54" spans="1:8" s="1712" customFormat="1" ht="15" x14ac:dyDescent="0.25">
      <c r="A54" s="1792">
        <v>2144</v>
      </c>
      <c r="B54" s="1791">
        <v>5222</v>
      </c>
      <c r="C54" s="1726"/>
      <c r="D54" s="1788" t="s">
        <v>234</v>
      </c>
      <c r="E54" s="1729"/>
      <c r="F54" s="1723">
        <f>F55+F57+F55</f>
        <v>341</v>
      </c>
      <c r="G54" s="1723">
        <f>G55+G57+G55</f>
        <v>341</v>
      </c>
      <c r="H54" s="1772">
        <f t="shared" si="1"/>
        <v>100</v>
      </c>
    </row>
    <row r="55" spans="1:8" s="1712" customFormat="1" ht="15" x14ac:dyDescent="0.25">
      <c r="A55" s="1792"/>
      <c r="B55" s="1791"/>
      <c r="C55" s="1726" t="s">
        <v>262</v>
      </c>
      <c r="D55" s="1727" t="s">
        <v>333</v>
      </c>
      <c r="E55" s="1729"/>
      <c r="F55" s="1715">
        <v>100</v>
      </c>
      <c r="G55" s="1714">
        <v>100</v>
      </c>
      <c r="H55" s="1775">
        <f t="shared" si="1"/>
        <v>100</v>
      </c>
    </row>
    <row r="56" spans="1:8" s="1712" customFormat="1" ht="15" x14ac:dyDescent="0.25">
      <c r="A56" s="1792"/>
      <c r="B56" s="1791"/>
      <c r="C56" s="1790" t="s">
        <v>369</v>
      </c>
      <c r="D56" s="1789" t="s">
        <v>933</v>
      </c>
      <c r="E56" s="1729"/>
      <c r="F56" s="1715">
        <v>100</v>
      </c>
      <c r="G56" s="1714">
        <v>100</v>
      </c>
      <c r="H56" s="1775">
        <f t="shared" si="1"/>
        <v>100</v>
      </c>
    </row>
    <row r="57" spans="1:8" s="1712" customFormat="1" ht="15" x14ac:dyDescent="0.25">
      <c r="A57" s="1792"/>
      <c r="B57" s="1791"/>
      <c r="C57" s="1721" t="s">
        <v>1576</v>
      </c>
      <c r="D57" s="1727" t="s">
        <v>1577</v>
      </c>
      <c r="E57" s="1729"/>
      <c r="F57" s="1715">
        <v>141</v>
      </c>
      <c r="G57" s="1714">
        <v>141</v>
      </c>
      <c r="H57" s="1775">
        <f t="shared" si="1"/>
        <v>100</v>
      </c>
    </row>
    <row r="58" spans="1:8" s="1712" customFormat="1" ht="15" x14ac:dyDescent="0.25">
      <c r="A58" s="1792">
        <v>2144</v>
      </c>
      <c r="B58" s="1791">
        <v>5223</v>
      </c>
      <c r="C58" s="1721"/>
      <c r="D58" s="1725" t="s">
        <v>1578</v>
      </c>
      <c r="E58" s="1729"/>
      <c r="F58" s="1724">
        <v>27</v>
      </c>
      <c r="G58" s="1723">
        <v>27</v>
      </c>
      <c r="H58" s="1772">
        <f t="shared" si="1"/>
        <v>100</v>
      </c>
    </row>
    <row r="59" spans="1:8" s="1712" customFormat="1" ht="15" x14ac:dyDescent="0.25">
      <c r="A59" s="1792"/>
      <c r="B59" s="1791"/>
      <c r="C59" s="1721" t="s">
        <v>1576</v>
      </c>
      <c r="D59" s="1727" t="s">
        <v>1577</v>
      </c>
      <c r="E59" s="1729"/>
      <c r="F59" s="1715">
        <v>27</v>
      </c>
      <c r="G59" s="1714">
        <v>27</v>
      </c>
      <c r="H59" s="1775">
        <f t="shared" si="1"/>
        <v>100</v>
      </c>
    </row>
    <row r="60" spans="1:8" s="1712" customFormat="1" ht="15" x14ac:dyDescent="0.25">
      <c r="A60" s="1792">
        <v>2144</v>
      </c>
      <c r="B60" s="1791">
        <v>5321</v>
      </c>
      <c r="C60" s="1782"/>
      <c r="D60" s="1788" t="s">
        <v>1261</v>
      </c>
      <c r="E60" s="1729">
        <v>350</v>
      </c>
      <c r="F60" s="1723">
        <f>F61+F62</f>
        <v>403</v>
      </c>
      <c r="G60" s="1723">
        <f>G61+G62</f>
        <v>378</v>
      </c>
      <c r="H60" s="1779">
        <f t="shared" si="1"/>
        <v>93.796526054590572</v>
      </c>
    </row>
    <row r="61" spans="1:8" s="1712" customFormat="1" ht="14.25" x14ac:dyDescent="0.2">
      <c r="A61" s="1792"/>
      <c r="B61" s="1791"/>
      <c r="C61" s="1721" t="s">
        <v>1561</v>
      </c>
      <c r="D61" s="1728" t="s">
        <v>1560</v>
      </c>
      <c r="E61" s="1716">
        <v>350</v>
      </c>
      <c r="F61" s="1715">
        <v>350</v>
      </c>
      <c r="G61" s="1714">
        <v>325</v>
      </c>
      <c r="H61" s="1775">
        <f t="shared" si="1"/>
        <v>92.857142857142861</v>
      </c>
    </row>
    <row r="62" spans="1:8" s="1712" customFormat="1" ht="14.25" x14ac:dyDescent="0.2">
      <c r="A62" s="1792"/>
      <c r="B62" s="1791"/>
      <c r="C62" s="1721" t="s">
        <v>1576</v>
      </c>
      <c r="D62" s="1727" t="s">
        <v>1577</v>
      </c>
      <c r="E62" s="1716"/>
      <c r="F62" s="1715">
        <v>53</v>
      </c>
      <c r="G62" s="1714">
        <v>53</v>
      </c>
      <c r="H62" s="1775">
        <f t="shared" si="1"/>
        <v>100</v>
      </c>
    </row>
    <row r="63" spans="1:8" s="1712" customFormat="1" ht="15" x14ac:dyDescent="0.25">
      <c r="A63" s="1792">
        <v>2144</v>
      </c>
      <c r="B63" s="1791">
        <v>5331</v>
      </c>
      <c r="C63" s="1726"/>
      <c r="D63" s="1795" t="s">
        <v>996</v>
      </c>
      <c r="E63" s="1716"/>
      <c r="F63" s="1724">
        <v>87</v>
      </c>
      <c r="G63" s="1723">
        <v>70</v>
      </c>
      <c r="H63" s="1772">
        <f t="shared" si="1"/>
        <v>80.459770114942529</v>
      </c>
    </row>
    <row r="64" spans="1:8" s="1712" customFormat="1" ht="14.25" x14ac:dyDescent="0.2">
      <c r="A64" s="1792"/>
      <c r="B64" s="1791"/>
      <c r="C64" s="1721" t="s">
        <v>1576</v>
      </c>
      <c r="D64" s="1727" t="s">
        <v>1577</v>
      </c>
      <c r="E64" s="1716"/>
      <c r="F64" s="1715">
        <v>87</v>
      </c>
      <c r="G64" s="1714">
        <v>70</v>
      </c>
      <c r="H64" s="1775">
        <f t="shared" si="1"/>
        <v>80.459770114942529</v>
      </c>
    </row>
    <row r="65" spans="1:12" s="1712" customFormat="1" ht="15" x14ac:dyDescent="0.25">
      <c r="A65" s="1792">
        <v>2144</v>
      </c>
      <c r="B65" s="1791">
        <v>5339</v>
      </c>
      <c r="C65" s="1721"/>
      <c r="D65" s="1725" t="s">
        <v>1408</v>
      </c>
      <c r="E65" s="1716"/>
      <c r="F65" s="1724">
        <v>48</v>
      </c>
      <c r="G65" s="1723">
        <v>48</v>
      </c>
      <c r="H65" s="1772">
        <f t="shared" si="1"/>
        <v>100</v>
      </c>
    </row>
    <row r="66" spans="1:12" s="1712" customFormat="1" ht="14.25" x14ac:dyDescent="0.2">
      <c r="A66" s="1792"/>
      <c r="B66" s="1791"/>
      <c r="C66" s="1721" t="s">
        <v>1576</v>
      </c>
      <c r="D66" s="1727" t="s">
        <v>1577</v>
      </c>
      <c r="E66" s="1716"/>
      <c r="F66" s="1715">
        <v>48</v>
      </c>
      <c r="G66" s="1714">
        <v>48</v>
      </c>
      <c r="H66" s="1775">
        <f t="shared" si="1"/>
        <v>100</v>
      </c>
    </row>
    <row r="67" spans="1:12" s="1712" customFormat="1" ht="15.75" thickBot="1" x14ac:dyDescent="0.3">
      <c r="A67" s="1797">
        <v>2144</v>
      </c>
      <c r="B67" s="1796">
        <v>5499</v>
      </c>
      <c r="C67" s="1822"/>
      <c r="D67" s="1823" t="s">
        <v>1559</v>
      </c>
      <c r="E67" s="1767">
        <v>25</v>
      </c>
      <c r="F67" s="1766">
        <v>25</v>
      </c>
      <c r="G67" s="1824">
        <v>0</v>
      </c>
      <c r="H67" s="1825">
        <v>0</v>
      </c>
      <c r="J67" s="1786">
        <f>E10+E12+E14+E16+E18+E27+E33+E37+E48+E51+E60+E67+E42</f>
        <v>19906</v>
      </c>
      <c r="K67" s="1786">
        <f>F10+F12+F14+F16+F18+F22+F25+F27+F33+F37+F42+F44+F46+F48+F51+F52+F54+F58+F60+F63+F65+F67</f>
        <v>26966</v>
      </c>
      <c r="L67" s="1786">
        <f>G10+G12+G14+G16+G18+G22+G25+G27+G33+G37+G42+G44+G46+G48+G51+G52+G54+G58+G60+G63+G65+G67</f>
        <v>26547</v>
      </c>
    </row>
    <row r="68" spans="1:12" ht="13.5" thickTop="1" x14ac:dyDescent="0.2">
      <c r="A68" s="1749"/>
      <c r="B68" s="1749"/>
      <c r="C68" s="1749"/>
      <c r="D68" s="1785"/>
      <c r="G68" s="1747"/>
    </row>
    <row r="69" spans="1:12" x14ac:dyDescent="0.2">
      <c r="A69" s="1749"/>
      <c r="B69" s="1749"/>
      <c r="C69" s="1749"/>
      <c r="D69" s="1785"/>
      <c r="G69" s="1747"/>
    </row>
    <row r="70" spans="1:12" x14ac:dyDescent="0.2">
      <c r="A70" s="1749"/>
      <c r="B70" s="1749"/>
      <c r="C70" s="1749"/>
      <c r="D70" s="1785"/>
      <c r="G70" s="1747"/>
    </row>
    <row r="71" spans="1:12" ht="13.5" thickBot="1" x14ac:dyDescent="0.25">
      <c r="A71" s="1749"/>
      <c r="B71" s="1749"/>
      <c r="C71" s="1749"/>
      <c r="D71" s="1785"/>
      <c r="G71" s="1747"/>
      <c r="H71" s="1681" t="s">
        <v>173</v>
      </c>
    </row>
    <row r="72" spans="1:12" s="1741" customFormat="1" ht="20.25" customHeight="1" thickTop="1" thickBot="1" x14ac:dyDescent="0.25">
      <c r="A72" s="1746" t="s">
        <v>174</v>
      </c>
      <c r="B72" s="1745" t="s">
        <v>175</v>
      </c>
      <c r="C72" s="1784" t="s">
        <v>744</v>
      </c>
      <c r="D72" s="1784" t="s">
        <v>176</v>
      </c>
      <c r="E72" s="1784" t="s">
        <v>177</v>
      </c>
      <c r="F72" s="1784" t="s">
        <v>922</v>
      </c>
      <c r="G72" s="1784" t="s">
        <v>923</v>
      </c>
      <c r="H72" s="1742" t="s">
        <v>924</v>
      </c>
    </row>
    <row r="73" spans="1:12" s="1735" customFormat="1" ht="13.5" thickTop="1" thickBot="1" x14ac:dyDescent="0.25">
      <c r="A73" s="1740">
        <v>1</v>
      </c>
      <c r="B73" s="1739">
        <v>2</v>
      </c>
      <c r="C73" s="1739">
        <v>3</v>
      </c>
      <c r="D73" s="1739">
        <v>4</v>
      </c>
      <c r="E73" s="1739">
        <v>5</v>
      </c>
      <c r="F73" s="1738">
        <v>6</v>
      </c>
      <c r="G73" s="1738">
        <v>7</v>
      </c>
      <c r="H73" s="1737" t="s">
        <v>61</v>
      </c>
      <c r="I73" s="1736"/>
    </row>
    <row r="74" spans="1:12" s="1712" customFormat="1" ht="15.75" thickTop="1" x14ac:dyDescent="0.25">
      <c r="A74" s="1792">
        <v>3341</v>
      </c>
      <c r="B74" s="1791">
        <v>5169</v>
      </c>
      <c r="C74" s="1794"/>
      <c r="D74" s="1774" t="s">
        <v>892</v>
      </c>
      <c r="E74" s="1781">
        <v>3000</v>
      </c>
      <c r="F74" s="1773">
        <v>176</v>
      </c>
      <c r="G74" s="1723">
        <v>176</v>
      </c>
      <c r="H74" s="1779">
        <f>(G74/F74)*100</f>
        <v>100</v>
      </c>
    </row>
    <row r="75" spans="1:12" s="1712" customFormat="1" ht="14.25" x14ac:dyDescent="0.2">
      <c r="A75" s="1792"/>
      <c r="B75" s="1791"/>
      <c r="C75" s="1790" t="s">
        <v>1409</v>
      </c>
      <c r="D75" s="1727" t="s">
        <v>1410</v>
      </c>
      <c r="E75" s="1716">
        <v>3000</v>
      </c>
      <c r="F75" s="1715">
        <v>176</v>
      </c>
      <c r="G75" s="1714">
        <v>176</v>
      </c>
      <c r="H75" s="1775">
        <f>(G75/F75)*100</f>
        <v>100</v>
      </c>
    </row>
    <row r="76" spans="1:12" s="1712" customFormat="1" ht="15" x14ac:dyDescent="0.25">
      <c r="A76" s="1792">
        <v>3349</v>
      </c>
      <c r="B76" s="1791">
        <v>5169</v>
      </c>
      <c r="C76" s="1794"/>
      <c r="D76" s="1774" t="s">
        <v>892</v>
      </c>
      <c r="E76" s="1729">
        <v>7200</v>
      </c>
      <c r="F76" s="1724">
        <v>2521</v>
      </c>
      <c r="G76" s="1723">
        <v>2521</v>
      </c>
      <c r="H76" s="1772">
        <f>(G76/F76)*100</f>
        <v>100</v>
      </c>
    </row>
    <row r="77" spans="1:12" s="1712" customFormat="1" ht="14.25" x14ac:dyDescent="0.2">
      <c r="A77" s="1792"/>
      <c r="B77" s="1791"/>
      <c r="C77" s="1790" t="s">
        <v>1409</v>
      </c>
      <c r="D77" s="1727" t="s">
        <v>1410</v>
      </c>
      <c r="E77" s="1716">
        <v>7200</v>
      </c>
      <c r="F77" s="1715">
        <v>2521</v>
      </c>
      <c r="G77" s="1714">
        <v>2521</v>
      </c>
      <c r="H77" s="1775">
        <f>(G77/F77)*100</f>
        <v>100</v>
      </c>
    </row>
    <row r="78" spans="1:12" s="1712" customFormat="1" ht="15" x14ac:dyDescent="0.25">
      <c r="A78" s="1792">
        <v>3429</v>
      </c>
      <c r="B78" s="1791">
        <v>5222</v>
      </c>
      <c r="C78" s="1726"/>
      <c r="D78" s="1788" t="s">
        <v>234</v>
      </c>
      <c r="E78" s="1781"/>
      <c r="F78" s="1724">
        <v>300</v>
      </c>
      <c r="G78" s="1723">
        <v>300</v>
      </c>
      <c r="H78" s="1779">
        <f t="shared" ref="H78:H106" si="2">(G78/F78)*100</f>
        <v>100</v>
      </c>
    </row>
    <row r="79" spans="1:12" s="1712" customFormat="1" ht="15" x14ac:dyDescent="0.25">
      <c r="A79" s="1792"/>
      <c r="B79" s="1791"/>
      <c r="C79" s="1726" t="s">
        <v>262</v>
      </c>
      <c r="D79" s="1727" t="s">
        <v>333</v>
      </c>
      <c r="E79" s="1781"/>
      <c r="F79" s="1715">
        <v>300</v>
      </c>
      <c r="G79" s="1714">
        <v>300</v>
      </c>
      <c r="H79" s="1775">
        <f t="shared" si="2"/>
        <v>100</v>
      </c>
    </row>
    <row r="80" spans="1:12" s="1712" customFormat="1" ht="15" x14ac:dyDescent="0.25">
      <c r="A80" s="1792">
        <v>3429</v>
      </c>
      <c r="B80" s="1791">
        <v>5493</v>
      </c>
      <c r="C80" s="1726"/>
      <c r="D80" s="1783" t="s">
        <v>964</v>
      </c>
      <c r="E80" s="1781"/>
      <c r="F80" s="1724">
        <v>25</v>
      </c>
      <c r="G80" s="1723">
        <v>25</v>
      </c>
      <c r="H80" s="1772">
        <f t="shared" si="2"/>
        <v>100</v>
      </c>
    </row>
    <row r="81" spans="1:8" s="1712" customFormat="1" ht="15" x14ac:dyDescent="0.25">
      <c r="A81" s="1792"/>
      <c r="B81" s="1791"/>
      <c r="C81" s="1726" t="s">
        <v>1262</v>
      </c>
      <c r="D81" s="1727" t="s">
        <v>1757</v>
      </c>
      <c r="E81" s="1781"/>
      <c r="F81" s="1715">
        <v>25</v>
      </c>
      <c r="G81" s="1714">
        <v>25</v>
      </c>
      <c r="H81" s="1775">
        <f t="shared" si="2"/>
        <v>100</v>
      </c>
    </row>
    <row r="82" spans="1:8" s="1712" customFormat="1" ht="15" x14ac:dyDescent="0.25">
      <c r="A82" s="1792">
        <v>4349</v>
      </c>
      <c r="B82" s="1791">
        <v>5222</v>
      </c>
      <c r="C82" s="1726"/>
      <c r="D82" s="1788" t="s">
        <v>234</v>
      </c>
      <c r="E82" s="1781"/>
      <c r="F82" s="1724">
        <v>30</v>
      </c>
      <c r="G82" s="1723">
        <v>30</v>
      </c>
      <c r="H82" s="1779">
        <f t="shared" si="2"/>
        <v>100</v>
      </c>
    </row>
    <row r="83" spans="1:8" s="1712" customFormat="1" ht="15" x14ac:dyDescent="0.25">
      <c r="A83" s="1792"/>
      <c r="B83" s="1791"/>
      <c r="C83" s="1726" t="s">
        <v>1262</v>
      </c>
      <c r="D83" s="1727" t="s">
        <v>1757</v>
      </c>
      <c r="E83" s="1781"/>
      <c r="F83" s="1715">
        <v>30</v>
      </c>
      <c r="G83" s="1714">
        <v>30</v>
      </c>
      <c r="H83" s="1775">
        <f t="shared" si="2"/>
        <v>100</v>
      </c>
    </row>
    <row r="84" spans="1:8" s="1712" customFormat="1" ht="15" x14ac:dyDescent="0.25">
      <c r="A84" s="1792">
        <v>5272</v>
      </c>
      <c r="B84" s="1791">
        <v>5168</v>
      </c>
      <c r="C84" s="1793"/>
      <c r="D84" s="1730" t="s">
        <v>185</v>
      </c>
      <c r="E84" s="1781">
        <v>100</v>
      </c>
      <c r="F84" s="1773">
        <v>100</v>
      </c>
      <c r="G84" s="1723">
        <v>100</v>
      </c>
      <c r="H84" s="1779">
        <f t="shared" si="2"/>
        <v>100</v>
      </c>
    </row>
    <row r="85" spans="1:8" s="1712" customFormat="1" ht="15" x14ac:dyDescent="0.25">
      <c r="A85" s="1792">
        <v>5273</v>
      </c>
      <c r="B85" s="1791">
        <v>5134</v>
      </c>
      <c r="C85" s="1782"/>
      <c r="D85" s="1774" t="s">
        <v>644</v>
      </c>
      <c r="E85" s="1781">
        <v>85</v>
      </c>
      <c r="F85" s="1773">
        <v>85</v>
      </c>
      <c r="G85" s="1723">
        <v>85</v>
      </c>
      <c r="H85" s="1779">
        <f t="shared" si="2"/>
        <v>100</v>
      </c>
    </row>
    <row r="86" spans="1:8" s="1712" customFormat="1" ht="15" x14ac:dyDescent="0.25">
      <c r="A86" s="1792">
        <v>5273</v>
      </c>
      <c r="B86" s="1720">
        <v>5136</v>
      </c>
      <c r="C86" s="1782"/>
      <c r="D86" s="1774" t="s">
        <v>645</v>
      </c>
      <c r="E86" s="1781">
        <v>2</v>
      </c>
      <c r="F86" s="1773">
        <v>2</v>
      </c>
      <c r="G86" s="1723">
        <v>0</v>
      </c>
      <c r="H86" s="1779">
        <f t="shared" si="2"/>
        <v>0</v>
      </c>
    </row>
    <row r="87" spans="1:8" s="1712" customFormat="1" ht="15" x14ac:dyDescent="0.25">
      <c r="A87" s="1792">
        <v>5273</v>
      </c>
      <c r="B87" s="1791">
        <v>5137</v>
      </c>
      <c r="C87" s="1782"/>
      <c r="D87" s="1774" t="s">
        <v>167</v>
      </c>
      <c r="E87" s="1781">
        <v>5</v>
      </c>
      <c r="F87" s="1773">
        <v>5</v>
      </c>
      <c r="G87" s="1723">
        <v>0</v>
      </c>
      <c r="H87" s="1779">
        <f t="shared" si="2"/>
        <v>0</v>
      </c>
    </row>
    <row r="88" spans="1:8" s="1712" customFormat="1" ht="15" x14ac:dyDescent="0.25">
      <c r="A88" s="1792">
        <v>5273</v>
      </c>
      <c r="B88" s="1791">
        <v>5139</v>
      </c>
      <c r="C88" s="1782"/>
      <c r="D88" s="1725" t="s">
        <v>309</v>
      </c>
      <c r="E88" s="1781">
        <v>190</v>
      </c>
      <c r="F88" s="1781">
        <f>F89+F90</f>
        <v>224</v>
      </c>
      <c r="G88" s="1781">
        <f>G89+G90</f>
        <v>31</v>
      </c>
      <c r="H88" s="1779">
        <f t="shared" si="2"/>
        <v>13.839285714285715</v>
      </c>
    </row>
    <row r="89" spans="1:8" s="1712" customFormat="1" ht="14.25" x14ac:dyDescent="0.2">
      <c r="A89" s="1719"/>
      <c r="B89" s="1718"/>
      <c r="C89" s="1721" t="s">
        <v>792</v>
      </c>
      <c r="D89" s="1727" t="s">
        <v>1321</v>
      </c>
      <c r="E89" s="1716">
        <v>190</v>
      </c>
      <c r="F89" s="1715">
        <v>190</v>
      </c>
      <c r="G89" s="1714">
        <v>27</v>
      </c>
      <c r="H89" s="1775">
        <f t="shared" si="2"/>
        <v>14.210526315789473</v>
      </c>
    </row>
    <row r="90" spans="1:8" s="1712" customFormat="1" ht="14.25" x14ac:dyDescent="0.2">
      <c r="A90" s="1719"/>
      <c r="B90" s="1718"/>
      <c r="C90" s="1721" t="s">
        <v>260</v>
      </c>
      <c r="D90" s="1728" t="s">
        <v>32</v>
      </c>
      <c r="E90" s="1716"/>
      <c r="F90" s="1715">
        <v>34</v>
      </c>
      <c r="G90" s="1714">
        <v>4</v>
      </c>
      <c r="H90" s="1775">
        <f t="shared" si="2"/>
        <v>11.76470588235294</v>
      </c>
    </row>
    <row r="91" spans="1:8" s="1712" customFormat="1" ht="15" x14ac:dyDescent="0.25">
      <c r="A91" s="1719">
        <v>5273</v>
      </c>
      <c r="B91" s="1718">
        <v>5151</v>
      </c>
      <c r="C91" s="1721"/>
      <c r="D91" s="1783" t="s">
        <v>900</v>
      </c>
      <c r="E91" s="1716"/>
      <c r="F91" s="1724">
        <v>3</v>
      </c>
      <c r="G91" s="1723">
        <v>3</v>
      </c>
      <c r="H91" s="1772">
        <f t="shared" si="2"/>
        <v>100</v>
      </c>
    </row>
    <row r="92" spans="1:8" s="1712" customFormat="1" ht="14.25" x14ac:dyDescent="0.2">
      <c r="A92" s="1719"/>
      <c r="B92" s="1718"/>
      <c r="C92" s="1721" t="s">
        <v>260</v>
      </c>
      <c r="D92" s="1728" t="s">
        <v>32</v>
      </c>
      <c r="E92" s="1716"/>
      <c r="F92" s="1715">
        <v>3</v>
      </c>
      <c r="G92" s="1714">
        <v>3</v>
      </c>
      <c r="H92" s="1775">
        <f t="shared" si="2"/>
        <v>100</v>
      </c>
    </row>
    <row r="93" spans="1:8" s="1712" customFormat="1" ht="15" x14ac:dyDescent="0.25">
      <c r="A93" s="1719">
        <v>5273</v>
      </c>
      <c r="B93" s="1718">
        <v>5153</v>
      </c>
      <c r="C93" s="1721"/>
      <c r="D93" s="1783" t="s">
        <v>1288</v>
      </c>
      <c r="E93" s="1716"/>
      <c r="F93" s="1724">
        <v>1</v>
      </c>
      <c r="G93" s="1723">
        <v>1</v>
      </c>
      <c r="H93" s="1772">
        <f t="shared" si="2"/>
        <v>100</v>
      </c>
    </row>
    <row r="94" spans="1:8" s="1712" customFormat="1" ht="15" x14ac:dyDescent="0.25">
      <c r="A94" s="1719">
        <v>5273</v>
      </c>
      <c r="B94" s="1718">
        <v>5164</v>
      </c>
      <c r="C94" s="1782"/>
      <c r="D94" s="1774" t="s">
        <v>182</v>
      </c>
      <c r="E94" s="1781">
        <v>10</v>
      </c>
      <c r="F94" s="1773">
        <v>14</v>
      </c>
      <c r="G94" s="1780">
        <v>13</v>
      </c>
      <c r="H94" s="1779">
        <f t="shared" si="2"/>
        <v>92.857142857142861</v>
      </c>
    </row>
    <row r="95" spans="1:8" s="1712" customFormat="1" ht="14.25" x14ac:dyDescent="0.2">
      <c r="A95" s="1719"/>
      <c r="B95" s="1718"/>
      <c r="C95" s="1721" t="s">
        <v>792</v>
      </c>
      <c r="D95" s="1727" t="s">
        <v>1321</v>
      </c>
      <c r="E95" s="1716">
        <v>10</v>
      </c>
      <c r="F95" s="1715">
        <v>9</v>
      </c>
      <c r="G95" s="1714">
        <v>8</v>
      </c>
      <c r="H95" s="1775">
        <f t="shared" si="2"/>
        <v>88.888888888888886</v>
      </c>
    </row>
    <row r="96" spans="1:8" s="1712" customFormat="1" ht="14.25" x14ac:dyDescent="0.2">
      <c r="A96" s="1719"/>
      <c r="B96" s="1718"/>
      <c r="C96" s="1721" t="s">
        <v>260</v>
      </c>
      <c r="D96" s="1728" t="s">
        <v>32</v>
      </c>
      <c r="E96" s="1716"/>
      <c r="F96" s="1715">
        <v>5</v>
      </c>
      <c r="G96" s="1714">
        <v>5</v>
      </c>
      <c r="H96" s="1775">
        <f t="shared" si="2"/>
        <v>100</v>
      </c>
    </row>
    <row r="97" spans="1:8" s="1712" customFormat="1" ht="15" x14ac:dyDescent="0.25">
      <c r="A97" s="1719">
        <v>5273</v>
      </c>
      <c r="B97" s="1718">
        <v>5169</v>
      </c>
      <c r="C97" s="1782"/>
      <c r="D97" s="1774" t="s">
        <v>892</v>
      </c>
      <c r="E97" s="1781">
        <v>150</v>
      </c>
      <c r="F97" s="1781">
        <v>525</v>
      </c>
      <c r="G97" s="1781">
        <f>G98+G99</f>
        <v>468</v>
      </c>
      <c r="H97" s="1779">
        <f t="shared" si="2"/>
        <v>89.142857142857139</v>
      </c>
    </row>
    <row r="98" spans="1:8" s="1712" customFormat="1" ht="14.25" x14ac:dyDescent="0.2">
      <c r="A98" s="1719"/>
      <c r="B98" s="1718"/>
      <c r="C98" s="1721" t="s">
        <v>792</v>
      </c>
      <c r="D98" s="1727" t="s">
        <v>1321</v>
      </c>
      <c r="E98" s="1716">
        <v>150</v>
      </c>
      <c r="F98" s="1715">
        <v>200</v>
      </c>
      <c r="G98" s="1714">
        <v>195</v>
      </c>
      <c r="H98" s="1775">
        <f t="shared" si="2"/>
        <v>97.5</v>
      </c>
    </row>
    <row r="99" spans="1:8" s="1712" customFormat="1" ht="15" x14ac:dyDescent="0.25">
      <c r="A99" s="1719"/>
      <c r="B99" s="1718"/>
      <c r="C99" s="1721" t="s">
        <v>260</v>
      </c>
      <c r="D99" s="1728" t="s">
        <v>32</v>
      </c>
      <c r="E99" s="1781"/>
      <c r="F99" s="1715">
        <v>325</v>
      </c>
      <c r="G99" s="1714">
        <v>273</v>
      </c>
      <c r="H99" s="1775">
        <f t="shared" si="2"/>
        <v>84</v>
      </c>
    </row>
    <row r="100" spans="1:8" s="1712" customFormat="1" ht="15" x14ac:dyDescent="0.25">
      <c r="A100" s="1719">
        <v>5273</v>
      </c>
      <c r="B100" s="1718">
        <v>5175</v>
      </c>
      <c r="C100" s="1721"/>
      <c r="D100" s="1732" t="s">
        <v>707</v>
      </c>
      <c r="E100" s="1781">
        <v>120</v>
      </c>
      <c r="F100" s="1780">
        <f>F101+F102</f>
        <v>310</v>
      </c>
      <c r="G100" s="1780">
        <f>G101+G102</f>
        <v>269</v>
      </c>
      <c r="H100" s="1779">
        <f t="shared" si="2"/>
        <v>86.774193548387103</v>
      </c>
    </row>
    <row r="101" spans="1:8" s="1712" customFormat="1" ht="14.25" x14ac:dyDescent="0.2">
      <c r="A101" s="1719"/>
      <c r="B101" s="1718"/>
      <c r="C101" s="1721" t="s">
        <v>792</v>
      </c>
      <c r="D101" s="1727" t="s">
        <v>1321</v>
      </c>
      <c r="E101" s="1716">
        <v>120</v>
      </c>
      <c r="F101" s="1715">
        <v>70</v>
      </c>
      <c r="G101" s="1714">
        <v>70</v>
      </c>
      <c r="H101" s="1775">
        <f t="shared" si="2"/>
        <v>100</v>
      </c>
    </row>
    <row r="102" spans="1:8" s="1712" customFormat="1" ht="14.25" x14ac:dyDescent="0.2">
      <c r="A102" s="1719"/>
      <c r="B102" s="1718"/>
      <c r="C102" s="1721" t="s">
        <v>260</v>
      </c>
      <c r="D102" s="1728" t="s">
        <v>32</v>
      </c>
      <c r="E102" s="1716"/>
      <c r="F102" s="1715">
        <v>240</v>
      </c>
      <c r="G102" s="1714">
        <v>199</v>
      </c>
      <c r="H102" s="1775">
        <f t="shared" si="2"/>
        <v>82.916666666666671</v>
      </c>
    </row>
    <row r="103" spans="1:8" s="1712" customFormat="1" ht="15" x14ac:dyDescent="0.25">
      <c r="A103" s="1719">
        <v>5273</v>
      </c>
      <c r="B103" s="1718">
        <v>5222</v>
      </c>
      <c r="C103" s="1721"/>
      <c r="D103" s="1788" t="s">
        <v>234</v>
      </c>
      <c r="E103" s="1781">
        <v>200</v>
      </c>
      <c r="F103" s="1780">
        <f>F104+F105+F106</f>
        <v>340</v>
      </c>
      <c r="G103" s="1780">
        <f>G104+G105+G106</f>
        <v>340</v>
      </c>
      <c r="H103" s="1779">
        <f t="shared" si="2"/>
        <v>100</v>
      </c>
    </row>
    <row r="104" spans="1:8" s="1712" customFormat="1" ht="15" x14ac:dyDescent="0.25">
      <c r="A104" s="1719"/>
      <c r="B104" s="1718"/>
      <c r="C104" s="1726" t="s">
        <v>262</v>
      </c>
      <c r="D104" s="1727" t="s">
        <v>333</v>
      </c>
      <c r="E104" s="1781"/>
      <c r="F104" s="1715">
        <v>90</v>
      </c>
      <c r="G104" s="1714">
        <v>90</v>
      </c>
      <c r="H104" s="1775">
        <f t="shared" si="2"/>
        <v>100</v>
      </c>
    </row>
    <row r="105" spans="1:8" s="1712" customFormat="1" ht="15" x14ac:dyDescent="0.25">
      <c r="A105" s="1719"/>
      <c r="B105" s="1718"/>
      <c r="C105" s="1726" t="s">
        <v>1262</v>
      </c>
      <c r="D105" s="1727" t="s">
        <v>1757</v>
      </c>
      <c r="E105" s="1781"/>
      <c r="F105" s="1715">
        <v>50</v>
      </c>
      <c r="G105" s="1714">
        <v>50</v>
      </c>
      <c r="H105" s="1775">
        <f t="shared" si="2"/>
        <v>100</v>
      </c>
    </row>
    <row r="106" spans="1:8" s="1712" customFormat="1" ht="14.25" x14ac:dyDescent="0.2">
      <c r="A106" s="1719"/>
      <c r="B106" s="1718"/>
      <c r="C106" s="1790" t="s">
        <v>369</v>
      </c>
      <c r="D106" s="1789" t="s">
        <v>933</v>
      </c>
      <c r="E106" s="1716">
        <v>200</v>
      </c>
      <c r="F106" s="1777">
        <v>200</v>
      </c>
      <c r="G106" s="1776">
        <v>200</v>
      </c>
      <c r="H106" s="1775">
        <f t="shared" si="2"/>
        <v>100</v>
      </c>
    </row>
    <row r="107" spans="1:8" s="1712" customFormat="1" ht="15" x14ac:dyDescent="0.25">
      <c r="A107" s="1719">
        <v>5273</v>
      </c>
      <c r="B107" s="1718">
        <v>5901</v>
      </c>
      <c r="C107" s="1782"/>
      <c r="D107" s="1774" t="s">
        <v>837</v>
      </c>
      <c r="E107" s="1781">
        <v>6000</v>
      </c>
      <c r="F107" s="1773">
        <v>1</v>
      </c>
      <c r="G107" s="1780">
        <v>0</v>
      </c>
      <c r="H107" s="1779">
        <v>0</v>
      </c>
    </row>
    <row r="108" spans="1:8" s="1712" customFormat="1" ht="14.25" x14ac:dyDescent="0.2">
      <c r="A108" s="1719"/>
      <c r="B108" s="1718"/>
      <c r="C108" s="1721" t="s">
        <v>260</v>
      </c>
      <c r="D108" s="1728" t="s">
        <v>32</v>
      </c>
      <c r="E108" s="1716">
        <v>6000</v>
      </c>
      <c r="F108" s="1777">
        <v>1</v>
      </c>
      <c r="G108" s="1776">
        <v>0</v>
      </c>
      <c r="H108" s="1775">
        <v>0</v>
      </c>
    </row>
    <row r="109" spans="1:8" s="1712" customFormat="1" ht="15" x14ac:dyDescent="0.25">
      <c r="A109" s="1719">
        <v>5299</v>
      </c>
      <c r="B109" s="1718">
        <v>5321</v>
      </c>
      <c r="C109" s="1717"/>
      <c r="D109" s="1774" t="s">
        <v>1261</v>
      </c>
      <c r="E109" s="1716"/>
      <c r="F109" s="1724">
        <v>900</v>
      </c>
      <c r="G109" s="1723">
        <v>900</v>
      </c>
      <c r="H109" s="1772">
        <f>(G109/F109)*100</f>
        <v>100</v>
      </c>
    </row>
    <row r="110" spans="1:8" s="1712" customFormat="1" ht="14.25" x14ac:dyDescent="0.2">
      <c r="A110" s="1719"/>
      <c r="B110" s="1718"/>
      <c r="C110" s="1721" t="s">
        <v>260</v>
      </c>
      <c r="D110" s="1728" t="s">
        <v>32</v>
      </c>
      <c r="E110" s="1716"/>
      <c r="F110" s="1777">
        <v>900</v>
      </c>
      <c r="G110" s="1776">
        <v>900</v>
      </c>
      <c r="H110" s="1775">
        <f>(G110/F110)*100</f>
        <v>100</v>
      </c>
    </row>
    <row r="111" spans="1:8" s="1712" customFormat="1" ht="15" x14ac:dyDescent="0.25">
      <c r="A111" s="1719">
        <v>5299</v>
      </c>
      <c r="B111" s="1718">
        <v>5493</v>
      </c>
      <c r="C111" s="1721"/>
      <c r="D111" s="1783" t="s">
        <v>964</v>
      </c>
      <c r="E111" s="1716"/>
      <c r="F111" s="1724">
        <v>40</v>
      </c>
      <c r="G111" s="1723">
        <v>40</v>
      </c>
      <c r="H111" s="1772">
        <f>(G111/F111)*100</f>
        <v>100</v>
      </c>
    </row>
    <row r="112" spans="1:8" s="1712" customFormat="1" ht="14.25" x14ac:dyDescent="0.2">
      <c r="A112" s="1719"/>
      <c r="B112" s="1718"/>
      <c r="C112" s="1721" t="s">
        <v>260</v>
      </c>
      <c r="D112" s="1728" t="s">
        <v>32</v>
      </c>
      <c r="E112" s="1716"/>
      <c r="F112" s="1777">
        <v>40</v>
      </c>
      <c r="G112" s="1776">
        <v>40</v>
      </c>
      <c r="H112" s="1775">
        <f>(G112/F112)*100</f>
        <v>100</v>
      </c>
    </row>
    <row r="113" spans="1:8" s="1712" customFormat="1" ht="15" x14ac:dyDescent="0.25">
      <c r="A113" s="1719">
        <v>5511</v>
      </c>
      <c r="B113" s="1718">
        <v>5311</v>
      </c>
      <c r="C113" s="1721"/>
      <c r="D113" s="1732" t="s">
        <v>47</v>
      </c>
      <c r="E113" s="1729"/>
      <c r="F113" s="1780">
        <f>F114+F115</f>
        <v>1148</v>
      </c>
      <c r="G113" s="1780">
        <f>G114+G115</f>
        <v>1148</v>
      </c>
      <c r="H113" s="1772">
        <f t="shared" ref="H113:H126" si="3">(G113/F113)*100</f>
        <v>100</v>
      </c>
    </row>
    <row r="114" spans="1:8" s="1712" customFormat="1" ht="15" x14ac:dyDescent="0.25">
      <c r="A114" s="1719"/>
      <c r="B114" s="1718"/>
      <c r="C114" s="1726" t="s">
        <v>262</v>
      </c>
      <c r="D114" s="1727" t="s">
        <v>333</v>
      </c>
      <c r="E114" s="1729"/>
      <c r="F114" s="1715">
        <v>93</v>
      </c>
      <c r="G114" s="1714">
        <v>93</v>
      </c>
      <c r="H114" s="1775">
        <f>(G114/F114)*100</f>
        <v>100</v>
      </c>
    </row>
    <row r="115" spans="1:8" s="1712" customFormat="1" ht="15" x14ac:dyDescent="0.25">
      <c r="A115" s="1719"/>
      <c r="B115" s="1718"/>
      <c r="C115" s="1721" t="s">
        <v>260</v>
      </c>
      <c r="D115" s="1728" t="s">
        <v>32</v>
      </c>
      <c r="E115" s="1729"/>
      <c r="F115" s="1777">
        <v>1055</v>
      </c>
      <c r="G115" s="1776">
        <v>1055</v>
      </c>
      <c r="H115" s="1775">
        <f t="shared" si="3"/>
        <v>100</v>
      </c>
    </row>
    <row r="116" spans="1:8" s="1712" customFormat="1" ht="15" x14ac:dyDescent="0.25">
      <c r="A116" s="1719">
        <v>5512</v>
      </c>
      <c r="B116" s="1718">
        <v>5213</v>
      </c>
      <c r="C116" s="1721"/>
      <c r="D116" s="1774" t="s">
        <v>225</v>
      </c>
      <c r="E116" s="1729"/>
      <c r="F116" s="1724">
        <v>115</v>
      </c>
      <c r="G116" s="1723">
        <v>115</v>
      </c>
      <c r="H116" s="1772">
        <f t="shared" si="3"/>
        <v>100</v>
      </c>
    </row>
    <row r="117" spans="1:8" s="1712" customFormat="1" ht="15" x14ac:dyDescent="0.25">
      <c r="A117" s="1719"/>
      <c r="B117" s="1718"/>
      <c r="C117" s="1721" t="s">
        <v>260</v>
      </c>
      <c r="D117" s="1728" t="s">
        <v>32</v>
      </c>
      <c r="E117" s="1729"/>
      <c r="F117" s="1777">
        <v>115</v>
      </c>
      <c r="G117" s="1776">
        <v>115</v>
      </c>
      <c r="H117" s="1775">
        <f t="shared" si="3"/>
        <v>100</v>
      </c>
    </row>
    <row r="118" spans="1:8" s="1712" customFormat="1" ht="15" x14ac:dyDescent="0.25">
      <c r="A118" s="1719">
        <v>5512</v>
      </c>
      <c r="B118" s="1718">
        <v>5222</v>
      </c>
      <c r="C118" s="1726"/>
      <c r="D118" s="1788" t="s">
        <v>234</v>
      </c>
      <c r="E118" s="1729"/>
      <c r="F118" s="1780">
        <f>F119+F120+F121</f>
        <v>2052</v>
      </c>
      <c r="G118" s="1780">
        <f>G119+G120+G121</f>
        <v>2052</v>
      </c>
      <c r="H118" s="1779">
        <f t="shared" si="3"/>
        <v>100</v>
      </c>
    </row>
    <row r="119" spans="1:8" s="1712" customFormat="1" ht="15" x14ac:dyDescent="0.25">
      <c r="A119" s="1719"/>
      <c r="B119" s="1718"/>
      <c r="C119" s="1726" t="s">
        <v>262</v>
      </c>
      <c r="D119" s="1727" t="s">
        <v>333</v>
      </c>
      <c r="E119" s="1729"/>
      <c r="F119" s="1777">
        <v>80</v>
      </c>
      <c r="G119" s="1776">
        <v>80</v>
      </c>
      <c r="H119" s="1775">
        <f t="shared" si="3"/>
        <v>100</v>
      </c>
    </row>
    <row r="120" spans="1:8" s="1712" customFormat="1" ht="15" x14ac:dyDescent="0.25">
      <c r="A120" s="1719"/>
      <c r="B120" s="1718"/>
      <c r="C120" s="1726" t="s">
        <v>1262</v>
      </c>
      <c r="D120" s="1727" t="s">
        <v>1757</v>
      </c>
      <c r="E120" s="1729"/>
      <c r="F120" s="1777">
        <v>1392</v>
      </c>
      <c r="G120" s="1776">
        <v>1392</v>
      </c>
      <c r="H120" s="1775">
        <f t="shared" si="3"/>
        <v>100</v>
      </c>
    </row>
    <row r="121" spans="1:8" s="1712" customFormat="1" ht="15" x14ac:dyDescent="0.25">
      <c r="A121" s="1719"/>
      <c r="B121" s="1718"/>
      <c r="C121" s="1721" t="s">
        <v>260</v>
      </c>
      <c r="D121" s="1728" t="s">
        <v>32</v>
      </c>
      <c r="E121" s="1729"/>
      <c r="F121" s="1777">
        <v>580</v>
      </c>
      <c r="G121" s="1776">
        <v>580</v>
      </c>
      <c r="H121" s="1775">
        <f t="shared" si="3"/>
        <v>100</v>
      </c>
    </row>
    <row r="122" spans="1:8" s="1712" customFormat="1" ht="15" x14ac:dyDescent="0.25">
      <c r="A122" s="1719">
        <v>5512</v>
      </c>
      <c r="B122" s="1718">
        <v>5321</v>
      </c>
      <c r="C122" s="1782"/>
      <c r="D122" s="1774" t="s">
        <v>1261</v>
      </c>
      <c r="E122" s="1781">
        <v>5000</v>
      </c>
      <c r="F122" s="1780">
        <f>F123+F124+F125+F126</f>
        <v>22555</v>
      </c>
      <c r="G122" s="1780">
        <f>G123+G124+G125+G126</f>
        <v>22519</v>
      </c>
      <c r="H122" s="1772">
        <f t="shared" si="3"/>
        <v>99.840390157393045</v>
      </c>
    </row>
    <row r="123" spans="1:8" s="1712" customFormat="1" ht="14.25" x14ac:dyDescent="0.2">
      <c r="A123" s="1719"/>
      <c r="B123" s="1718"/>
      <c r="C123" s="1721" t="s">
        <v>1264</v>
      </c>
      <c r="D123" s="1720" t="s">
        <v>1176</v>
      </c>
      <c r="E123" s="1716">
        <v>5000</v>
      </c>
      <c r="F123" s="1777">
        <v>2649</v>
      </c>
      <c r="G123" s="1776">
        <v>2620</v>
      </c>
      <c r="H123" s="1775">
        <f t="shared" si="3"/>
        <v>98.905247263118156</v>
      </c>
    </row>
    <row r="124" spans="1:8" s="1712" customFormat="1" ht="14.25" x14ac:dyDescent="0.2">
      <c r="A124" s="1719"/>
      <c r="B124" s="1718"/>
      <c r="C124" s="1790" t="s">
        <v>369</v>
      </c>
      <c r="D124" s="1789" t="s">
        <v>933</v>
      </c>
      <c r="E124" s="1716"/>
      <c r="F124" s="1777">
        <v>66</v>
      </c>
      <c r="G124" s="1776">
        <v>66</v>
      </c>
      <c r="H124" s="1775">
        <f t="shared" si="3"/>
        <v>100</v>
      </c>
    </row>
    <row r="125" spans="1:8" s="1712" customFormat="1" ht="14.25" x14ac:dyDescent="0.2">
      <c r="A125" s="1719"/>
      <c r="B125" s="1718"/>
      <c r="C125" s="1721" t="s">
        <v>316</v>
      </c>
      <c r="D125" s="1787" t="s">
        <v>210</v>
      </c>
      <c r="E125" s="1716"/>
      <c r="F125" s="1777">
        <v>13825</v>
      </c>
      <c r="G125" s="1776">
        <v>13825</v>
      </c>
      <c r="H125" s="1775">
        <f t="shared" si="3"/>
        <v>100</v>
      </c>
    </row>
    <row r="126" spans="1:8" s="1712" customFormat="1" ht="14.25" x14ac:dyDescent="0.2">
      <c r="A126" s="1719"/>
      <c r="B126" s="1718"/>
      <c r="C126" s="1721" t="s">
        <v>1758</v>
      </c>
      <c r="D126" s="2298" t="s">
        <v>210</v>
      </c>
      <c r="E126" s="1716"/>
      <c r="F126" s="1777">
        <v>6015</v>
      </c>
      <c r="G126" s="1776">
        <v>6008</v>
      </c>
      <c r="H126" s="1775">
        <f t="shared" si="3"/>
        <v>99.883624272651701</v>
      </c>
    </row>
    <row r="127" spans="1:8" s="1712" customFormat="1" ht="15" x14ac:dyDescent="0.25">
      <c r="A127" s="1719">
        <v>5529</v>
      </c>
      <c r="B127" s="1718">
        <v>5169</v>
      </c>
      <c r="C127" s="1782"/>
      <c r="D127" s="1774" t="s">
        <v>892</v>
      </c>
      <c r="E127" s="1781">
        <v>40</v>
      </c>
      <c r="F127" s="1773">
        <v>40</v>
      </c>
      <c r="G127" s="1780">
        <v>40</v>
      </c>
      <c r="H127" s="1779">
        <f>(G127/F127)*100</f>
        <v>100</v>
      </c>
    </row>
    <row r="128" spans="1:8" s="1712" customFormat="1" ht="15" x14ac:dyDescent="0.25">
      <c r="A128" s="1719">
        <v>5599</v>
      </c>
      <c r="B128" s="1718">
        <v>5221</v>
      </c>
      <c r="C128" s="1726"/>
      <c r="D128" s="1774" t="s">
        <v>46</v>
      </c>
      <c r="E128" s="1781"/>
      <c r="F128" s="1773">
        <v>200</v>
      </c>
      <c r="G128" s="1723">
        <v>200</v>
      </c>
      <c r="H128" s="1772">
        <f>(G128/F128)*100</f>
        <v>100</v>
      </c>
    </row>
    <row r="129" spans="1:12" s="1712" customFormat="1" ht="15" x14ac:dyDescent="0.25">
      <c r="A129" s="1719"/>
      <c r="B129" s="1718"/>
      <c r="C129" s="1721" t="s">
        <v>260</v>
      </c>
      <c r="D129" s="1728" t="s">
        <v>32</v>
      </c>
      <c r="E129" s="1781"/>
      <c r="F129" s="1777">
        <v>200</v>
      </c>
      <c r="G129" s="1776">
        <v>200</v>
      </c>
      <c r="H129" s="1775">
        <f>(G129/F129)*100</f>
        <v>100</v>
      </c>
      <c r="J129" s="1786"/>
      <c r="K129" s="1786"/>
      <c r="L129" s="1786"/>
    </row>
    <row r="130" spans="1:12" s="1712" customFormat="1" ht="15" x14ac:dyDescent="0.25">
      <c r="A130" s="1719">
        <v>6143</v>
      </c>
      <c r="B130" s="1718">
        <v>5137</v>
      </c>
      <c r="C130" s="1721"/>
      <c r="D130" s="1774" t="s">
        <v>167</v>
      </c>
      <c r="E130" s="1781"/>
      <c r="F130" s="1724">
        <v>70</v>
      </c>
      <c r="G130" s="1723">
        <v>66</v>
      </c>
      <c r="H130" s="1772">
        <f>(G130/F130)*100</f>
        <v>94.285714285714278</v>
      </c>
      <c r="J130" s="1786"/>
      <c r="K130" s="1786"/>
      <c r="L130" s="1786"/>
    </row>
    <row r="131" spans="1:12" s="1712" customFormat="1" ht="15" x14ac:dyDescent="0.25">
      <c r="A131" s="1719"/>
      <c r="B131" s="1718"/>
      <c r="C131" s="1721" t="s">
        <v>260</v>
      </c>
      <c r="D131" s="1728" t="s">
        <v>32</v>
      </c>
      <c r="E131" s="1781"/>
      <c r="F131" s="1777">
        <v>70</v>
      </c>
      <c r="G131" s="1776">
        <v>66</v>
      </c>
      <c r="H131" s="1775">
        <f>(G131/F131)*100</f>
        <v>94.285714285714278</v>
      </c>
      <c r="J131" s="1786"/>
      <c r="K131" s="1786"/>
      <c r="L131" s="1786"/>
    </row>
    <row r="132" spans="1:12" s="1712" customFormat="1" ht="15" x14ac:dyDescent="0.25">
      <c r="A132" s="1719">
        <v>6172</v>
      </c>
      <c r="B132" s="1718">
        <v>5139</v>
      </c>
      <c r="C132" s="1782"/>
      <c r="D132" s="1774" t="s">
        <v>804</v>
      </c>
      <c r="E132" s="1781">
        <v>2300</v>
      </c>
      <c r="F132" s="1773">
        <v>122</v>
      </c>
      <c r="G132" s="1780">
        <v>122</v>
      </c>
      <c r="H132" s="1779">
        <f t="shared" ref="H132:H145" si="4">(G132/F132)*100</f>
        <v>100</v>
      </c>
    </row>
    <row r="133" spans="1:12" s="1712" customFormat="1" ht="14.25" x14ac:dyDescent="0.2">
      <c r="A133" s="1719"/>
      <c r="B133" s="1718"/>
      <c r="C133" s="1790" t="s">
        <v>1409</v>
      </c>
      <c r="D133" s="1727" t="s">
        <v>1410</v>
      </c>
      <c r="E133" s="1716">
        <v>2300</v>
      </c>
      <c r="F133" s="1777">
        <v>122</v>
      </c>
      <c r="G133" s="1776">
        <v>122</v>
      </c>
      <c r="H133" s="1775">
        <f t="shared" si="4"/>
        <v>100</v>
      </c>
    </row>
    <row r="134" spans="1:12" s="1712" customFormat="1" ht="15" x14ac:dyDescent="0.25">
      <c r="A134" s="1719">
        <v>6172</v>
      </c>
      <c r="B134" s="1718">
        <v>5169</v>
      </c>
      <c r="C134" s="1721"/>
      <c r="D134" s="1774" t="s">
        <v>892</v>
      </c>
      <c r="E134" s="1781">
        <v>1100</v>
      </c>
      <c r="F134" s="1780">
        <f>F135+F136</f>
        <v>274</v>
      </c>
      <c r="G134" s="1780">
        <f>G135+G136</f>
        <v>194</v>
      </c>
      <c r="H134" s="1779">
        <f t="shared" si="4"/>
        <v>70.802919708029194</v>
      </c>
    </row>
    <row r="135" spans="1:12" s="1712" customFormat="1" ht="14.25" x14ac:dyDescent="0.2">
      <c r="A135" s="1719"/>
      <c r="B135" s="1718"/>
      <c r="C135" s="1721" t="s">
        <v>792</v>
      </c>
      <c r="D135" s="1727" t="s">
        <v>1321</v>
      </c>
      <c r="E135" s="1716">
        <v>100</v>
      </c>
      <c r="F135" s="1715">
        <v>100</v>
      </c>
      <c r="G135" s="1714">
        <v>20</v>
      </c>
      <c r="H135" s="1775">
        <f t="shared" si="4"/>
        <v>20</v>
      </c>
    </row>
    <row r="136" spans="1:12" s="1712" customFormat="1" ht="14.25" x14ac:dyDescent="0.2">
      <c r="A136" s="1719"/>
      <c r="B136" s="1718"/>
      <c r="C136" s="1778" t="s">
        <v>1409</v>
      </c>
      <c r="D136" s="1727" t="s">
        <v>1410</v>
      </c>
      <c r="E136" s="1716">
        <v>1000</v>
      </c>
      <c r="F136" s="1777">
        <v>174</v>
      </c>
      <c r="G136" s="1776">
        <v>174</v>
      </c>
      <c r="H136" s="1775">
        <f t="shared" si="4"/>
        <v>100</v>
      </c>
    </row>
    <row r="137" spans="1:12" s="1712" customFormat="1" ht="15" x14ac:dyDescent="0.25">
      <c r="A137" s="1719">
        <v>6172</v>
      </c>
      <c r="B137" s="1718">
        <v>5175</v>
      </c>
      <c r="C137" s="1778"/>
      <c r="D137" s="1774" t="s">
        <v>707</v>
      </c>
      <c r="E137" s="1729">
        <v>100</v>
      </c>
      <c r="F137" s="1724">
        <v>0</v>
      </c>
      <c r="G137" s="1723">
        <v>0</v>
      </c>
      <c r="H137" s="1772">
        <v>0</v>
      </c>
    </row>
    <row r="138" spans="1:12" s="1712" customFormat="1" ht="15" thickBot="1" x14ac:dyDescent="0.25">
      <c r="A138" s="1771"/>
      <c r="B138" s="1770"/>
      <c r="C138" s="2400" t="s">
        <v>1409</v>
      </c>
      <c r="D138" s="2401" t="s">
        <v>1410</v>
      </c>
      <c r="E138" s="2402">
        <v>100</v>
      </c>
      <c r="F138" s="2403">
        <v>0</v>
      </c>
      <c r="G138" s="2404">
        <v>0</v>
      </c>
      <c r="H138" s="2405">
        <v>0</v>
      </c>
      <c r="J138" s="1786">
        <f>E74+E76+E84+E85+E86+E87+E88+E94+E97+E100+E103+E107+E122+E127+E132+E134+E137</f>
        <v>25602</v>
      </c>
      <c r="K138" s="1786">
        <f>F74+F76+F78+F80+F82+F84+F85+F86+F87+F88+F91+F93+F94+F97+F100+F103+F107+F109+F111+F113+F116+F118+F122+F127+F128+F130+F132+F134+F137</f>
        <v>32178</v>
      </c>
      <c r="L138" s="1786">
        <f>G74+G76+G78+G80+G82+G84+G85+G86+G87+G88+G91+G93+G94+G97+G100+G103+G107+G109+G111+G113+G116+G118+G122+G127+G128+G130+G132+G134+G137</f>
        <v>31758</v>
      </c>
    </row>
    <row r="139" spans="1:12" s="1727" customFormat="1" ht="15" thickTop="1" x14ac:dyDescent="0.2">
      <c r="A139" s="1791"/>
      <c r="B139" s="1791"/>
      <c r="C139" s="2398"/>
      <c r="E139" s="1798"/>
      <c r="F139" s="1777"/>
      <c r="G139" s="1777"/>
      <c r="H139" s="2399"/>
    </row>
    <row r="140" spans="1:12" ht="13.5" thickBot="1" x14ac:dyDescent="0.25">
      <c r="A140" s="1749"/>
      <c r="B140" s="1749"/>
      <c r="C140" s="1749"/>
      <c r="D140" s="1785"/>
      <c r="G140" s="1747"/>
      <c r="H140" s="1681" t="s">
        <v>173</v>
      </c>
    </row>
    <row r="141" spans="1:12" s="1741" customFormat="1" ht="20.25" customHeight="1" thickTop="1" thickBot="1" x14ac:dyDescent="0.25">
      <c r="A141" s="1746" t="s">
        <v>174</v>
      </c>
      <c r="B141" s="1745" t="s">
        <v>175</v>
      </c>
      <c r="C141" s="1784" t="s">
        <v>744</v>
      </c>
      <c r="D141" s="1784" t="s">
        <v>176</v>
      </c>
      <c r="E141" s="1784" t="s">
        <v>177</v>
      </c>
      <c r="F141" s="1784" t="s">
        <v>922</v>
      </c>
      <c r="G141" s="1784" t="s">
        <v>923</v>
      </c>
      <c r="H141" s="1742" t="s">
        <v>924</v>
      </c>
    </row>
    <row r="142" spans="1:12" s="1735" customFormat="1" ht="13.5" thickTop="1" thickBot="1" x14ac:dyDescent="0.25">
      <c r="A142" s="1740">
        <v>1</v>
      </c>
      <c r="B142" s="1739">
        <v>2</v>
      </c>
      <c r="C142" s="1739">
        <v>3</v>
      </c>
      <c r="D142" s="1739">
        <v>4</v>
      </c>
      <c r="E142" s="1739">
        <v>5</v>
      </c>
      <c r="F142" s="1738">
        <v>6</v>
      </c>
      <c r="G142" s="1738">
        <v>7</v>
      </c>
      <c r="H142" s="1737" t="s">
        <v>61</v>
      </c>
      <c r="I142" s="1736"/>
    </row>
    <row r="143" spans="1:12" s="1712" customFormat="1" ht="15.75" thickTop="1" x14ac:dyDescent="0.25">
      <c r="A143" s="1719">
        <v>6402</v>
      </c>
      <c r="B143" s="1718">
        <v>5364</v>
      </c>
      <c r="C143" s="1778"/>
      <c r="D143" s="2647" t="s">
        <v>1579</v>
      </c>
      <c r="E143" s="1716"/>
      <c r="F143" s="1724">
        <v>230</v>
      </c>
      <c r="G143" s="1723">
        <v>230</v>
      </c>
      <c r="H143" s="1772">
        <f t="shared" si="4"/>
        <v>100</v>
      </c>
    </row>
    <row r="144" spans="1:12" s="1712" customFormat="1" ht="15" x14ac:dyDescent="0.25">
      <c r="A144" s="1719"/>
      <c r="B144" s="1718"/>
      <c r="C144" s="1778"/>
      <c r="D144" s="2648"/>
      <c r="E144" s="1716"/>
      <c r="F144" s="1724"/>
      <c r="G144" s="1723"/>
      <c r="H144" s="1772"/>
    </row>
    <row r="145" spans="1:12" s="1712" customFormat="1" ht="14.25" x14ac:dyDescent="0.2">
      <c r="A145" s="1719"/>
      <c r="B145" s="1718"/>
      <c r="C145" s="1166" t="s">
        <v>608</v>
      </c>
      <c r="D145" s="1673" t="s">
        <v>473</v>
      </c>
      <c r="E145" s="1716"/>
      <c r="F145" s="1777">
        <v>230</v>
      </c>
      <c r="G145" s="1776">
        <v>230</v>
      </c>
      <c r="H145" s="1775">
        <f t="shared" si="4"/>
        <v>100</v>
      </c>
    </row>
    <row r="146" spans="1:12" s="1712" customFormat="1" ht="15.75" thickBot="1" x14ac:dyDescent="0.3">
      <c r="A146" s="1771">
        <v>6409</v>
      </c>
      <c r="B146" s="1770">
        <v>5169</v>
      </c>
      <c r="C146" s="1769"/>
      <c r="D146" s="1768" t="s">
        <v>892</v>
      </c>
      <c r="E146" s="1767">
        <v>5400</v>
      </c>
      <c r="F146" s="1766">
        <v>1361</v>
      </c>
      <c r="G146" s="1765">
        <v>1361</v>
      </c>
      <c r="H146" s="1764">
        <f>(G146/F146)*100</f>
        <v>100</v>
      </c>
      <c r="J146" s="1763">
        <f>E143+E146</f>
        <v>5400</v>
      </c>
      <c r="K146" s="1763">
        <f>F143+F146</f>
        <v>1591</v>
      </c>
      <c r="L146" s="1763">
        <f>G143+G146</f>
        <v>1591</v>
      </c>
    </row>
    <row r="147" spans="1:12" s="1705" customFormat="1" ht="35.25" customHeight="1" thickTop="1" thickBot="1" x14ac:dyDescent="0.3">
      <c r="A147" s="1711" t="s">
        <v>258</v>
      </c>
      <c r="B147" s="1710"/>
      <c r="C147" s="1762"/>
      <c r="D147" s="1710"/>
      <c r="E147" s="1707">
        <f>J146+J138+J67</f>
        <v>50908</v>
      </c>
      <c r="F147" s="1707">
        <f>K146+K138+K67</f>
        <v>60735</v>
      </c>
      <c r="G147" s="1707">
        <f>L146+L138+L67</f>
        <v>59896</v>
      </c>
      <c r="H147" s="1706">
        <f>(G147/F147)*100</f>
        <v>98.618588952004615</v>
      </c>
      <c r="I147" s="1677"/>
      <c r="J147" s="1682"/>
      <c r="K147" s="1682"/>
    </row>
    <row r="148" spans="1:12" ht="15.75" thickTop="1" x14ac:dyDescent="0.25">
      <c r="B148" s="1684"/>
      <c r="C148" s="1748"/>
      <c r="D148" s="1761"/>
      <c r="E148" s="1759"/>
      <c r="F148" s="1760"/>
      <c r="G148" s="1759"/>
      <c r="H148" s="1758"/>
    </row>
    <row r="149" spans="1:12" ht="15" x14ac:dyDescent="0.25">
      <c r="B149" s="1684"/>
      <c r="C149" s="1748"/>
      <c r="D149" s="1761"/>
      <c r="E149" s="1759"/>
      <c r="F149" s="1760"/>
      <c r="G149" s="1827"/>
      <c r="H149" s="1758"/>
    </row>
    <row r="150" spans="1:12" ht="15" x14ac:dyDescent="0.25">
      <c r="B150" s="1684"/>
      <c r="C150" s="1748"/>
      <c r="D150" s="1761"/>
      <c r="E150" s="1759"/>
      <c r="F150" s="1760"/>
      <c r="G150" s="1759"/>
      <c r="H150" s="1758"/>
    </row>
    <row r="151" spans="1:12" ht="18" x14ac:dyDescent="0.25">
      <c r="A151" s="1757" t="s">
        <v>1310</v>
      </c>
      <c r="B151" s="1756"/>
      <c r="C151" s="1755"/>
      <c r="D151" s="1754"/>
      <c r="E151" s="1753"/>
      <c r="F151" s="1752"/>
      <c r="G151" s="1751"/>
      <c r="H151" s="1750"/>
    </row>
    <row r="152" spans="1:12" ht="13.5" thickBot="1" x14ac:dyDescent="0.25">
      <c r="A152" s="1749"/>
      <c r="B152" s="1749"/>
      <c r="C152" s="1748"/>
      <c r="F152" s="1747"/>
      <c r="H152" s="1681" t="s">
        <v>173</v>
      </c>
      <c r="I152" s="1741"/>
    </row>
    <row r="153" spans="1:12" s="1741" customFormat="1" ht="20.25" customHeight="1" thickTop="1" thickBot="1" x14ac:dyDescent="0.25">
      <c r="A153" s="1746" t="s">
        <v>174</v>
      </c>
      <c r="B153" s="1745" t="s">
        <v>175</v>
      </c>
      <c r="C153" s="1744" t="s">
        <v>744</v>
      </c>
      <c r="D153" s="1743" t="s">
        <v>176</v>
      </c>
      <c r="E153" s="1743" t="s">
        <v>177</v>
      </c>
      <c r="F153" s="1743" t="s">
        <v>922</v>
      </c>
      <c r="G153" s="1743" t="s">
        <v>923</v>
      </c>
      <c r="H153" s="1742" t="s">
        <v>924</v>
      </c>
      <c r="I153" s="1677"/>
    </row>
    <row r="154" spans="1:12" s="1735" customFormat="1" ht="13.5" thickTop="1" thickBot="1" x14ac:dyDescent="0.25">
      <c r="A154" s="1740">
        <v>1</v>
      </c>
      <c r="B154" s="1739">
        <v>2</v>
      </c>
      <c r="C154" s="1739">
        <v>3</v>
      </c>
      <c r="D154" s="1739">
        <v>4</v>
      </c>
      <c r="E154" s="1739">
        <v>5</v>
      </c>
      <c r="F154" s="1738">
        <v>6</v>
      </c>
      <c r="G154" s="1738">
        <v>7</v>
      </c>
      <c r="H154" s="1737" t="s">
        <v>61</v>
      </c>
      <c r="I154" s="1736"/>
    </row>
    <row r="155" spans="1:12" s="1735" customFormat="1" ht="15.75" thickTop="1" x14ac:dyDescent="0.25">
      <c r="A155" s="1719">
        <v>2143</v>
      </c>
      <c r="B155" s="1718">
        <v>6322</v>
      </c>
      <c r="C155" s="1717"/>
      <c r="D155" s="1725" t="s">
        <v>1205</v>
      </c>
      <c r="E155" s="2007"/>
      <c r="F155" s="1724">
        <v>900</v>
      </c>
      <c r="G155" s="1723">
        <v>900</v>
      </c>
      <c r="H155" s="1731">
        <f>(G155/F155)*100</f>
        <v>100</v>
      </c>
      <c r="I155" s="1736"/>
    </row>
    <row r="156" spans="1:12" s="1735" customFormat="1" ht="14.25" x14ac:dyDescent="0.2">
      <c r="A156" s="1719"/>
      <c r="B156" s="1718"/>
      <c r="C156" s="1726" t="s">
        <v>262</v>
      </c>
      <c r="D156" s="1727" t="s">
        <v>333</v>
      </c>
      <c r="E156" s="2007"/>
      <c r="F156" s="1715">
        <v>900</v>
      </c>
      <c r="G156" s="1714">
        <v>900</v>
      </c>
      <c r="H156" s="1713">
        <f>(G156/F156)*100</f>
        <v>100</v>
      </c>
      <c r="I156" s="1736"/>
    </row>
    <row r="157" spans="1:12" s="1712" customFormat="1" ht="15" x14ac:dyDescent="0.25">
      <c r="A157" s="1719">
        <v>5511</v>
      </c>
      <c r="B157" s="1718">
        <v>6331</v>
      </c>
      <c r="C157" s="1721"/>
      <c r="D157" s="1730" t="s">
        <v>855</v>
      </c>
      <c r="E157" s="1729"/>
      <c r="F157" s="1724">
        <v>1200</v>
      </c>
      <c r="G157" s="1723">
        <v>1200</v>
      </c>
      <c r="H157" s="1731">
        <f t="shared" ref="H157:H162" si="5">(G157/F157)*100</f>
        <v>100</v>
      </c>
    </row>
    <row r="158" spans="1:12" s="1712" customFormat="1" ht="15" x14ac:dyDescent="0.25">
      <c r="A158" s="1719"/>
      <c r="B158" s="1718"/>
      <c r="C158" s="1721" t="s">
        <v>260</v>
      </c>
      <c r="D158" s="1728" t="s">
        <v>32</v>
      </c>
      <c r="E158" s="1729"/>
      <c r="F158" s="1715">
        <v>1200</v>
      </c>
      <c r="G158" s="1714">
        <v>1200</v>
      </c>
      <c r="H158" s="1713">
        <f t="shared" si="5"/>
        <v>100</v>
      </c>
    </row>
    <row r="159" spans="1:12" s="1712" customFormat="1" ht="15" x14ac:dyDescent="0.25">
      <c r="A159" s="1719">
        <v>5512</v>
      </c>
      <c r="B159" s="1718">
        <v>6341</v>
      </c>
      <c r="C159" s="1726"/>
      <c r="D159" s="1725" t="s">
        <v>261</v>
      </c>
      <c r="E159" s="1716"/>
      <c r="F159" s="1724">
        <v>4601</v>
      </c>
      <c r="G159" s="1723">
        <v>4594</v>
      </c>
      <c r="H159" s="1722">
        <f t="shared" si="5"/>
        <v>99.847859161051943</v>
      </c>
    </row>
    <row r="160" spans="1:12" s="1712" customFormat="1" ht="14.25" x14ac:dyDescent="0.2">
      <c r="A160" s="1719"/>
      <c r="B160" s="1718"/>
      <c r="C160" s="1721" t="s">
        <v>1264</v>
      </c>
      <c r="D160" s="1720" t="s">
        <v>1176</v>
      </c>
      <c r="E160" s="1716"/>
      <c r="F160" s="1715">
        <v>2351</v>
      </c>
      <c r="G160" s="1714">
        <v>2344</v>
      </c>
      <c r="H160" s="1713">
        <f t="shared" si="5"/>
        <v>99.702254359846876</v>
      </c>
    </row>
    <row r="161" spans="1:9" s="1712" customFormat="1" ht="15" thickBot="1" x14ac:dyDescent="0.25">
      <c r="A161" s="1719"/>
      <c r="B161" s="1718"/>
      <c r="C161" s="1721" t="s">
        <v>260</v>
      </c>
      <c r="D161" s="1826" t="s">
        <v>32</v>
      </c>
      <c r="E161" s="1716"/>
      <c r="F161" s="1715">
        <v>2250</v>
      </c>
      <c r="G161" s="1714">
        <v>2250</v>
      </c>
      <c r="H161" s="1713">
        <f t="shared" si="5"/>
        <v>100</v>
      </c>
    </row>
    <row r="162" spans="1:9" s="1705" customFormat="1" ht="35.25" customHeight="1" thickTop="1" thickBot="1" x14ac:dyDescent="0.3">
      <c r="A162" s="1711" t="s">
        <v>257</v>
      </c>
      <c r="B162" s="1710"/>
      <c r="C162" s="1709"/>
      <c r="D162" s="1708"/>
      <c r="E162" s="1707">
        <v>0</v>
      </c>
      <c r="F162" s="1707">
        <f>F155+F157+F159</f>
        <v>6701</v>
      </c>
      <c r="G162" s="1707">
        <f>G155+G157+G159</f>
        <v>6694</v>
      </c>
      <c r="H162" s="1706">
        <f t="shared" si="5"/>
        <v>99.895537979406058</v>
      </c>
      <c r="I162" s="1677"/>
    </row>
    <row r="163" spans="1:9" ht="13.5" thickTop="1" x14ac:dyDescent="0.2">
      <c r="H163" s="1691"/>
    </row>
    <row r="164" spans="1:9" x14ac:dyDescent="0.2">
      <c r="H164" s="1691"/>
    </row>
    <row r="165" spans="1:9" x14ac:dyDescent="0.2">
      <c r="H165" s="1691"/>
    </row>
    <row r="166" spans="1:9" ht="16.5" x14ac:dyDescent="0.25">
      <c r="A166" s="1704" t="s">
        <v>508</v>
      </c>
      <c r="B166" s="1703"/>
      <c r="C166" s="1702"/>
      <c r="E166" s="1701">
        <f>E167+E168+E169+E170</f>
        <v>50908</v>
      </c>
      <c r="F166" s="1701">
        <f>F167+F168+F169+F170</f>
        <v>67436</v>
      </c>
      <c r="G166" s="1701">
        <f>G167+G168+G169+G170</f>
        <v>66590</v>
      </c>
      <c r="H166" s="1700">
        <f>(G166/F166)*100</f>
        <v>98.745477193190581</v>
      </c>
    </row>
    <row r="167" spans="1:9" ht="15" x14ac:dyDescent="0.2">
      <c r="A167" s="1696" t="s">
        <v>277</v>
      </c>
      <c r="B167" s="1699"/>
      <c r="C167" s="1694"/>
      <c r="E167" s="1698">
        <f>E147</f>
        <v>50908</v>
      </c>
      <c r="F167" s="1698">
        <f>F147-F169</f>
        <v>40895</v>
      </c>
      <c r="G167" s="1698">
        <f>G147-G169</f>
        <v>40063</v>
      </c>
      <c r="H167" s="1692">
        <f>(G167/F167)*100</f>
        <v>97.965521457390878</v>
      </c>
    </row>
    <row r="168" spans="1:9" ht="15" x14ac:dyDescent="0.2">
      <c r="A168" s="1696" t="s">
        <v>278</v>
      </c>
      <c r="B168" s="1695"/>
      <c r="C168" s="1694"/>
      <c r="E168" s="1693">
        <f>E162</f>
        <v>0</v>
      </c>
      <c r="F168" s="1693">
        <f>F162</f>
        <v>6701</v>
      </c>
      <c r="G168" s="1693">
        <f>G162</f>
        <v>6694</v>
      </c>
      <c r="H168" s="1692">
        <f>(G168/F168)*100</f>
        <v>99.895537979406058</v>
      </c>
    </row>
    <row r="169" spans="1:9" ht="15" x14ac:dyDescent="0.2">
      <c r="A169" s="1696" t="s">
        <v>221</v>
      </c>
      <c r="B169" s="1695"/>
      <c r="C169" s="1694"/>
      <c r="E169" s="1693">
        <v>0</v>
      </c>
      <c r="F169" s="1697">
        <f>F125+F126</f>
        <v>19840</v>
      </c>
      <c r="G169" s="1697">
        <f>G125+G126</f>
        <v>19833</v>
      </c>
      <c r="H169" s="1692">
        <f>(G169/F169)*100</f>
        <v>99.964717741935488</v>
      </c>
    </row>
    <row r="170" spans="1:9" ht="15" x14ac:dyDescent="0.2">
      <c r="A170" s="1696" t="s">
        <v>1206</v>
      </c>
      <c r="B170" s="1695"/>
      <c r="C170" s="1694"/>
      <c r="E170" s="1693">
        <v>0</v>
      </c>
      <c r="F170" s="1693">
        <v>0</v>
      </c>
      <c r="G170" s="1693">
        <v>0</v>
      </c>
      <c r="H170" s="1692">
        <v>0</v>
      </c>
    </row>
    <row r="171" spans="1:9" x14ac:dyDescent="0.2">
      <c r="H171" s="1691"/>
    </row>
    <row r="172" spans="1:9" x14ac:dyDescent="0.2">
      <c r="H172" s="1691"/>
    </row>
    <row r="173" spans="1:9" ht="23.25" x14ac:dyDescent="0.35">
      <c r="H173" s="1691"/>
      <c r="I173" s="1685"/>
    </row>
    <row r="174" spans="1:9" s="1685" customFormat="1" ht="47.25" customHeight="1" thickBot="1" x14ac:dyDescent="0.4">
      <c r="A174" s="1690" t="s">
        <v>1312</v>
      </c>
      <c r="B174" s="1689"/>
      <c r="C174" s="1689"/>
      <c r="D174" s="1688"/>
      <c r="E174" s="1687">
        <f>SUM(E162,E147)</f>
        <v>50908</v>
      </c>
      <c r="F174" s="1687">
        <f>SUM(F162,F147)</f>
        <v>67436</v>
      </c>
      <c r="G174" s="1687">
        <f>SUM(G162,G147)</f>
        <v>66590</v>
      </c>
      <c r="H174" s="1686">
        <f>(G174/F174)*100</f>
        <v>98.745477193190581</v>
      </c>
      <c r="I174" s="1677"/>
    </row>
    <row r="175" spans="1:9" ht="13.5" thickTop="1" x14ac:dyDescent="0.2"/>
  </sheetData>
  <mergeCells count="2">
    <mergeCell ref="D143:D144"/>
    <mergeCell ref="D48:D49"/>
  </mergeCells>
  <pageMargins left="0.98425196850393704" right="0.98425196850393704" top="0.98425196850393704" bottom="0.98425196850393704" header="0.51181102362204722" footer="0.51181102362204722"/>
  <pageSetup paperSize="9" scale="70" firstPageNumber="29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17"/>
  <sheetViews>
    <sheetView showGridLines="0" view="pageBreakPreview" zoomScaleNormal="100" zoomScaleSheetLayoutView="100" workbookViewId="0">
      <selection activeCell="J289" sqref="J289:L291"/>
    </sheetView>
  </sheetViews>
  <sheetFormatPr defaultRowHeight="12.75" x14ac:dyDescent="0.2"/>
  <cols>
    <col min="1" max="1" width="4.7109375" style="1936" customWidth="1"/>
    <col min="2" max="2" width="6.7109375" style="1936" customWidth="1"/>
    <col min="3" max="3" width="8.85546875" style="1936" customWidth="1"/>
    <col min="4" max="4" width="46.42578125" style="1937" customWidth="1"/>
    <col min="5" max="5" width="12.85546875" style="1970" customWidth="1"/>
    <col min="6" max="6" width="15.5703125" style="1970" customWidth="1"/>
    <col min="7" max="7" width="15.85546875" style="1970" customWidth="1"/>
    <col min="8" max="8" width="9" style="1937" customWidth="1"/>
    <col min="9" max="9" width="5.28515625" style="1937" customWidth="1"/>
    <col min="10" max="10" width="12.7109375" style="1937" bestFit="1" customWidth="1"/>
    <col min="11" max="11" width="15.5703125" style="1937" customWidth="1"/>
    <col min="12" max="12" width="16" style="1937" customWidth="1"/>
    <col min="13" max="256" width="9.140625" style="1937"/>
    <col min="257" max="257" width="4.7109375" style="1937" customWidth="1"/>
    <col min="258" max="258" width="6.7109375" style="1937" customWidth="1"/>
    <col min="259" max="259" width="8.85546875" style="1937" customWidth="1"/>
    <col min="260" max="260" width="46.42578125" style="1937" customWidth="1"/>
    <col min="261" max="261" width="12.85546875" style="1937" customWidth="1"/>
    <col min="262" max="262" width="15.5703125" style="1937" customWidth="1"/>
    <col min="263" max="263" width="15.85546875" style="1937" customWidth="1"/>
    <col min="264" max="264" width="7.140625" style="1937" customWidth="1"/>
    <col min="265" max="265" width="5.28515625" style="1937" customWidth="1"/>
    <col min="266" max="266" width="9.140625" style="1937"/>
    <col min="267" max="267" width="15.5703125" style="1937" customWidth="1"/>
    <col min="268" max="268" width="16" style="1937" customWidth="1"/>
    <col min="269" max="512" width="9.140625" style="1937"/>
    <col min="513" max="513" width="4.7109375" style="1937" customWidth="1"/>
    <col min="514" max="514" width="6.7109375" style="1937" customWidth="1"/>
    <col min="515" max="515" width="8.85546875" style="1937" customWidth="1"/>
    <col min="516" max="516" width="46.42578125" style="1937" customWidth="1"/>
    <col min="517" max="517" width="12.85546875" style="1937" customWidth="1"/>
    <col min="518" max="518" width="15.5703125" style="1937" customWidth="1"/>
    <col min="519" max="519" width="15.85546875" style="1937" customWidth="1"/>
    <col min="520" max="520" width="7.140625" style="1937" customWidth="1"/>
    <col min="521" max="521" width="5.28515625" style="1937" customWidth="1"/>
    <col min="522" max="522" width="9.140625" style="1937"/>
    <col min="523" max="523" width="15.5703125" style="1937" customWidth="1"/>
    <col min="524" max="524" width="16" style="1937" customWidth="1"/>
    <col min="525" max="768" width="9.140625" style="1937"/>
    <col min="769" max="769" width="4.7109375" style="1937" customWidth="1"/>
    <col min="770" max="770" width="6.7109375" style="1937" customWidth="1"/>
    <col min="771" max="771" width="8.85546875" style="1937" customWidth="1"/>
    <col min="772" max="772" width="46.42578125" style="1937" customWidth="1"/>
    <col min="773" max="773" width="12.85546875" style="1937" customWidth="1"/>
    <col min="774" max="774" width="15.5703125" style="1937" customWidth="1"/>
    <col min="775" max="775" width="15.85546875" style="1937" customWidth="1"/>
    <col min="776" max="776" width="7.140625" style="1937" customWidth="1"/>
    <col min="777" max="777" width="5.28515625" style="1937" customWidth="1"/>
    <col min="778" max="778" width="9.140625" style="1937"/>
    <col min="779" max="779" width="15.5703125" style="1937" customWidth="1"/>
    <col min="780" max="780" width="16" style="1937" customWidth="1"/>
    <col min="781" max="1024" width="9.140625" style="1937"/>
    <col min="1025" max="1025" width="4.7109375" style="1937" customWidth="1"/>
    <col min="1026" max="1026" width="6.7109375" style="1937" customWidth="1"/>
    <col min="1027" max="1027" width="8.85546875" style="1937" customWidth="1"/>
    <col min="1028" max="1028" width="46.42578125" style="1937" customWidth="1"/>
    <col min="1029" max="1029" width="12.85546875" style="1937" customWidth="1"/>
    <col min="1030" max="1030" width="15.5703125" style="1937" customWidth="1"/>
    <col min="1031" max="1031" width="15.85546875" style="1937" customWidth="1"/>
    <col min="1032" max="1032" width="7.140625" style="1937" customWidth="1"/>
    <col min="1033" max="1033" width="5.28515625" style="1937" customWidth="1"/>
    <col min="1034" max="1034" width="9.140625" style="1937"/>
    <col min="1035" max="1035" width="15.5703125" style="1937" customWidth="1"/>
    <col min="1036" max="1036" width="16" style="1937" customWidth="1"/>
    <col min="1037" max="1280" width="9.140625" style="1937"/>
    <col min="1281" max="1281" width="4.7109375" style="1937" customWidth="1"/>
    <col min="1282" max="1282" width="6.7109375" style="1937" customWidth="1"/>
    <col min="1283" max="1283" width="8.85546875" style="1937" customWidth="1"/>
    <col min="1284" max="1284" width="46.42578125" style="1937" customWidth="1"/>
    <col min="1285" max="1285" width="12.85546875" style="1937" customWidth="1"/>
    <col min="1286" max="1286" width="15.5703125" style="1937" customWidth="1"/>
    <col min="1287" max="1287" width="15.85546875" style="1937" customWidth="1"/>
    <col min="1288" max="1288" width="7.140625" style="1937" customWidth="1"/>
    <col min="1289" max="1289" width="5.28515625" style="1937" customWidth="1"/>
    <col min="1290" max="1290" width="9.140625" style="1937"/>
    <col min="1291" max="1291" width="15.5703125" style="1937" customWidth="1"/>
    <col min="1292" max="1292" width="16" style="1937" customWidth="1"/>
    <col min="1293" max="1536" width="9.140625" style="1937"/>
    <col min="1537" max="1537" width="4.7109375" style="1937" customWidth="1"/>
    <col min="1538" max="1538" width="6.7109375" style="1937" customWidth="1"/>
    <col min="1539" max="1539" width="8.85546875" style="1937" customWidth="1"/>
    <col min="1540" max="1540" width="46.42578125" style="1937" customWidth="1"/>
    <col min="1541" max="1541" width="12.85546875" style="1937" customWidth="1"/>
    <col min="1542" max="1542" width="15.5703125" style="1937" customWidth="1"/>
    <col min="1543" max="1543" width="15.85546875" style="1937" customWidth="1"/>
    <col min="1544" max="1544" width="7.140625" style="1937" customWidth="1"/>
    <col min="1545" max="1545" width="5.28515625" style="1937" customWidth="1"/>
    <col min="1546" max="1546" width="9.140625" style="1937"/>
    <col min="1547" max="1547" width="15.5703125" style="1937" customWidth="1"/>
    <col min="1548" max="1548" width="16" style="1937" customWidth="1"/>
    <col min="1549" max="1792" width="9.140625" style="1937"/>
    <col min="1793" max="1793" width="4.7109375" style="1937" customWidth="1"/>
    <col min="1794" max="1794" width="6.7109375" style="1937" customWidth="1"/>
    <col min="1795" max="1795" width="8.85546875" style="1937" customWidth="1"/>
    <col min="1796" max="1796" width="46.42578125" style="1937" customWidth="1"/>
    <col min="1797" max="1797" width="12.85546875" style="1937" customWidth="1"/>
    <col min="1798" max="1798" width="15.5703125" style="1937" customWidth="1"/>
    <col min="1799" max="1799" width="15.85546875" style="1937" customWidth="1"/>
    <col min="1800" max="1800" width="7.140625" style="1937" customWidth="1"/>
    <col min="1801" max="1801" width="5.28515625" style="1937" customWidth="1"/>
    <col min="1802" max="1802" width="9.140625" style="1937"/>
    <col min="1803" max="1803" width="15.5703125" style="1937" customWidth="1"/>
    <col min="1804" max="1804" width="16" style="1937" customWidth="1"/>
    <col min="1805" max="2048" width="9.140625" style="1937"/>
    <col min="2049" max="2049" width="4.7109375" style="1937" customWidth="1"/>
    <col min="2050" max="2050" width="6.7109375" style="1937" customWidth="1"/>
    <col min="2051" max="2051" width="8.85546875" style="1937" customWidth="1"/>
    <col min="2052" max="2052" width="46.42578125" style="1937" customWidth="1"/>
    <col min="2053" max="2053" width="12.85546875" style="1937" customWidth="1"/>
    <col min="2054" max="2054" width="15.5703125" style="1937" customWidth="1"/>
    <col min="2055" max="2055" width="15.85546875" style="1937" customWidth="1"/>
    <col min="2056" max="2056" width="7.140625" style="1937" customWidth="1"/>
    <col min="2057" max="2057" width="5.28515625" style="1937" customWidth="1"/>
    <col min="2058" max="2058" width="9.140625" style="1937"/>
    <col min="2059" max="2059" width="15.5703125" style="1937" customWidth="1"/>
    <col min="2060" max="2060" width="16" style="1937" customWidth="1"/>
    <col min="2061" max="2304" width="9.140625" style="1937"/>
    <col min="2305" max="2305" width="4.7109375" style="1937" customWidth="1"/>
    <col min="2306" max="2306" width="6.7109375" style="1937" customWidth="1"/>
    <col min="2307" max="2307" width="8.85546875" style="1937" customWidth="1"/>
    <col min="2308" max="2308" width="46.42578125" style="1937" customWidth="1"/>
    <col min="2309" max="2309" width="12.85546875" style="1937" customWidth="1"/>
    <col min="2310" max="2310" width="15.5703125" style="1937" customWidth="1"/>
    <col min="2311" max="2311" width="15.85546875" style="1937" customWidth="1"/>
    <col min="2312" max="2312" width="7.140625" style="1937" customWidth="1"/>
    <col min="2313" max="2313" width="5.28515625" style="1937" customWidth="1"/>
    <col min="2314" max="2314" width="9.140625" style="1937"/>
    <col min="2315" max="2315" width="15.5703125" style="1937" customWidth="1"/>
    <col min="2316" max="2316" width="16" style="1937" customWidth="1"/>
    <col min="2317" max="2560" width="9.140625" style="1937"/>
    <col min="2561" max="2561" width="4.7109375" style="1937" customWidth="1"/>
    <col min="2562" max="2562" width="6.7109375" style="1937" customWidth="1"/>
    <col min="2563" max="2563" width="8.85546875" style="1937" customWidth="1"/>
    <col min="2564" max="2564" width="46.42578125" style="1937" customWidth="1"/>
    <col min="2565" max="2565" width="12.85546875" style="1937" customWidth="1"/>
    <col min="2566" max="2566" width="15.5703125" style="1937" customWidth="1"/>
    <col min="2567" max="2567" width="15.85546875" style="1937" customWidth="1"/>
    <col min="2568" max="2568" width="7.140625" style="1937" customWidth="1"/>
    <col min="2569" max="2569" width="5.28515625" style="1937" customWidth="1"/>
    <col min="2570" max="2570" width="9.140625" style="1937"/>
    <col min="2571" max="2571" width="15.5703125" style="1937" customWidth="1"/>
    <col min="2572" max="2572" width="16" style="1937" customWidth="1"/>
    <col min="2573" max="2816" width="9.140625" style="1937"/>
    <col min="2817" max="2817" width="4.7109375" style="1937" customWidth="1"/>
    <col min="2818" max="2818" width="6.7109375" style="1937" customWidth="1"/>
    <col min="2819" max="2819" width="8.85546875" style="1937" customWidth="1"/>
    <col min="2820" max="2820" width="46.42578125" style="1937" customWidth="1"/>
    <col min="2821" max="2821" width="12.85546875" style="1937" customWidth="1"/>
    <col min="2822" max="2822" width="15.5703125" style="1937" customWidth="1"/>
    <col min="2823" max="2823" width="15.85546875" style="1937" customWidth="1"/>
    <col min="2824" max="2824" width="7.140625" style="1937" customWidth="1"/>
    <col min="2825" max="2825" width="5.28515625" style="1937" customWidth="1"/>
    <col min="2826" max="2826" width="9.140625" style="1937"/>
    <col min="2827" max="2827" width="15.5703125" style="1937" customWidth="1"/>
    <col min="2828" max="2828" width="16" style="1937" customWidth="1"/>
    <col min="2829" max="3072" width="9.140625" style="1937"/>
    <col min="3073" max="3073" width="4.7109375" style="1937" customWidth="1"/>
    <col min="3074" max="3074" width="6.7109375" style="1937" customWidth="1"/>
    <col min="3075" max="3075" width="8.85546875" style="1937" customWidth="1"/>
    <col min="3076" max="3076" width="46.42578125" style="1937" customWidth="1"/>
    <col min="3077" max="3077" width="12.85546875" style="1937" customWidth="1"/>
    <col min="3078" max="3078" width="15.5703125" style="1937" customWidth="1"/>
    <col min="3079" max="3079" width="15.85546875" style="1937" customWidth="1"/>
    <col min="3080" max="3080" width="7.140625" style="1937" customWidth="1"/>
    <col min="3081" max="3081" width="5.28515625" style="1937" customWidth="1"/>
    <col min="3082" max="3082" width="9.140625" style="1937"/>
    <col min="3083" max="3083" width="15.5703125" style="1937" customWidth="1"/>
    <col min="3084" max="3084" width="16" style="1937" customWidth="1"/>
    <col min="3085" max="3328" width="9.140625" style="1937"/>
    <col min="3329" max="3329" width="4.7109375" style="1937" customWidth="1"/>
    <col min="3330" max="3330" width="6.7109375" style="1937" customWidth="1"/>
    <col min="3331" max="3331" width="8.85546875" style="1937" customWidth="1"/>
    <col min="3332" max="3332" width="46.42578125" style="1937" customWidth="1"/>
    <col min="3333" max="3333" width="12.85546875" style="1937" customWidth="1"/>
    <col min="3334" max="3334" width="15.5703125" style="1937" customWidth="1"/>
    <col min="3335" max="3335" width="15.85546875" style="1937" customWidth="1"/>
    <col min="3336" max="3336" width="7.140625" style="1937" customWidth="1"/>
    <col min="3337" max="3337" width="5.28515625" style="1937" customWidth="1"/>
    <col min="3338" max="3338" width="9.140625" style="1937"/>
    <col min="3339" max="3339" width="15.5703125" style="1937" customWidth="1"/>
    <col min="3340" max="3340" width="16" style="1937" customWidth="1"/>
    <col min="3341" max="3584" width="9.140625" style="1937"/>
    <col min="3585" max="3585" width="4.7109375" style="1937" customWidth="1"/>
    <col min="3586" max="3586" width="6.7109375" style="1937" customWidth="1"/>
    <col min="3587" max="3587" width="8.85546875" style="1937" customWidth="1"/>
    <col min="3588" max="3588" width="46.42578125" style="1937" customWidth="1"/>
    <col min="3589" max="3589" width="12.85546875" style="1937" customWidth="1"/>
    <col min="3590" max="3590" width="15.5703125" style="1937" customWidth="1"/>
    <col min="3591" max="3591" width="15.85546875" style="1937" customWidth="1"/>
    <col min="3592" max="3592" width="7.140625" style="1937" customWidth="1"/>
    <col min="3593" max="3593" width="5.28515625" style="1937" customWidth="1"/>
    <col min="3594" max="3594" width="9.140625" style="1937"/>
    <col min="3595" max="3595" width="15.5703125" style="1937" customWidth="1"/>
    <col min="3596" max="3596" width="16" style="1937" customWidth="1"/>
    <col min="3597" max="3840" width="9.140625" style="1937"/>
    <col min="3841" max="3841" width="4.7109375" style="1937" customWidth="1"/>
    <col min="3842" max="3842" width="6.7109375" style="1937" customWidth="1"/>
    <col min="3843" max="3843" width="8.85546875" style="1937" customWidth="1"/>
    <col min="3844" max="3844" width="46.42578125" style="1937" customWidth="1"/>
    <col min="3845" max="3845" width="12.85546875" style="1937" customWidth="1"/>
    <col min="3846" max="3846" width="15.5703125" style="1937" customWidth="1"/>
    <col min="3847" max="3847" width="15.85546875" style="1937" customWidth="1"/>
    <col min="3848" max="3848" width="7.140625" style="1937" customWidth="1"/>
    <col min="3849" max="3849" width="5.28515625" style="1937" customWidth="1"/>
    <col min="3850" max="3850" width="9.140625" style="1937"/>
    <col min="3851" max="3851" width="15.5703125" style="1937" customWidth="1"/>
    <col min="3852" max="3852" width="16" style="1937" customWidth="1"/>
    <col min="3853" max="4096" width="9.140625" style="1937"/>
    <col min="4097" max="4097" width="4.7109375" style="1937" customWidth="1"/>
    <col min="4098" max="4098" width="6.7109375" style="1937" customWidth="1"/>
    <col min="4099" max="4099" width="8.85546875" style="1937" customWidth="1"/>
    <col min="4100" max="4100" width="46.42578125" style="1937" customWidth="1"/>
    <col min="4101" max="4101" width="12.85546875" style="1937" customWidth="1"/>
    <col min="4102" max="4102" width="15.5703125" style="1937" customWidth="1"/>
    <col min="4103" max="4103" width="15.85546875" style="1937" customWidth="1"/>
    <col min="4104" max="4104" width="7.140625" style="1937" customWidth="1"/>
    <col min="4105" max="4105" width="5.28515625" style="1937" customWidth="1"/>
    <col min="4106" max="4106" width="9.140625" style="1937"/>
    <col min="4107" max="4107" width="15.5703125" style="1937" customWidth="1"/>
    <col min="4108" max="4108" width="16" style="1937" customWidth="1"/>
    <col min="4109" max="4352" width="9.140625" style="1937"/>
    <col min="4353" max="4353" width="4.7109375" style="1937" customWidth="1"/>
    <col min="4354" max="4354" width="6.7109375" style="1937" customWidth="1"/>
    <col min="4355" max="4355" width="8.85546875" style="1937" customWidth="1"/>
    <col min="4356" max="4356" width="46.42578125" style="1937" customWidth="1"/>
    <col min="4357" max="4357" width="12.85546875" style="1937" customWidth="1"/>
    <col min="4358" max="4358" width="15.5703125" style="1937" customWidth="1"/>
    <col min="4359" max="4359" width="15.85546875" style="1937" customWidth="1"/>
    <col min="4360" max="4360" width="7.140625" style="1937" customWidth="1"/>
    <col min="4361" max="4361" width="5.28515625" style="1937" customWidth="1"/>
    <col min="4362" max="4362" width="9.140625" style="1937"/>
    <col min="4363" max="4363" width="15.5703125" style="1937" customWidth="1"/>
    <col min="4364" max="4364" width="16" style="1937" customWidth="1"/>
    <col min="4365" max="4608" width="9.140625" style="1937"/>
    <col min="4609" max="4609" width="4.7109375" style="1937" customWidth="1"/>
    <col min="4610" max="4610" width="6.7109375" style="1937" customWidth="1"/>
    <col min="4611" max="4611" width="8.85546875" style="1937" customWidth="1"/>
    <col min="4612" max="4612" width="46.42578125" style="1937" customWidth="1"/>
    <col min="4613" max="4613" width="12.85546875" style="1937" customWidth="1"/>
    <col min="4614" max="4614" width="15.5703125" style="1937" customWidth="1"/>
    <col min="4615" max="4615" width="15.85546875" style="1937" customWidth="1"/>
    <col min="4616" max="4616" width="7.140625" style="1937" customWidth="1"/>
    <col min="4617" max="4617" width="5.28515625" style="1937" customWidth="1"/>
    <col min="4618" max="4618" width="9.140625" style="1937"/>
    <col min="4619" max="4619" width="15.5703125" style="1937" customWidth="1"/>
    <col min="4620" max="4620" width="16" style="1937" customWidth="1"/>
    <col min="4621" max="4864" width="9.140625" style="1937"/>
    <col min="4865" max="4865" width="4.7109375" style="1937" customWidth="1"/>
    <col min="4866" max="4866" width="6.7109375" style="1937" customWidth="1"/>
    <col min="4867" max="4867" width="8.85546875" style="1937" customWidth="1"/>
    <col min="4868" max="4868" width="46.42578125" style="1937" customWidth="1"/>
    <col min="4869" max="4869" width="12.85546875" style="1937" customWidth="1"/>
    <col min="4870" max="4870" width="15.5703125" style="1937" customWidth="1"/>
    <col min="4871" max="4871" width="15.85546875" style="1937" customWidth="1"/>
    <col min="4872" max="4872" width="7.140625" style="1937" customWidth="1"/>
    <col min="4873" max="4873" width="5.28515625" style="1937" customWidth="1"/>
    <col min="4874" max="4874" width="9.140625" style="1937"/>
    <col min="4875" max="4875" width="15.5703125" style="1937" customWidth="1"/>
    <col min="4876" max="4876" width="16" style="1937" customWidth="1"/>
    <col min="4877" max="5120" width="9.140625" style="1937"/>
    <col min="5121" max="5121" width="4.7109375" style="1937" customWidth="1"/>
    <col min="5122" max="5122" width="6.7109375" style="1937" customWidth="1"/>
    <col min="5123" max="5123" width="8.85546875" style="1937" customWidth="1"/>
    <col min="5124" max="5124" width="46.42578125" style="1937" customWidth="1"/>
    <col min="5125" max="5125" width="12.85546875" style="1937" customWidth="1"/>
    <col min="5126" max="5126" width="15.5703125" style="1937" customWidth="1"/>
    <col min="5127" max="5127" width="15.85546875" style="1937" customWidth="1"/>
    <col min="5128" max="5128" width="7.140625" style="1937" customWidth="1"/>
    <col min="5129" max="5129" width="5.28515625" style="1937" customWidth="1"/>
    <col min="5130" max="5130" width="9.140625" style="1937"/>
    <col min="5131" max="5131" width="15.5703125" style="1937" customWidth="1"/>
    <col min="5132" max="5132" width="16" style="1937" customWidth="1"/>
    <col min="5133" max="5376" width="9.140625" style="1937"/>
    <col min="5377" max="5377" width="4.7109375" style="1937" customWidth="1"/>
    <col min="5378" max="5378" width="6.7109375" style="1937" customWidth="1"/>
    <col min="5379" max="5379" width="8.85546875" style="1937" customWidth="1"/>
    <col min="5380" max="5380" width="46.42578125" style="1937" customWidth="1"/>
    <col min="5381" max="5381" width="12.85546875" style="1937" customWidth="1"/>
    <col min="5382" max="5382" width="15.5703125" style="1937" customWidth="1"/>
    <col min="5383" max="5383" width="15.85546875" style="1937" customWidth="1"/>
    <col min="5384" max="5384" width="7.140625" style="1937" customWidth="1"/>
    <col min="5385" max="5385" width="5.28515625" style="1937" customWidth="1"/>
    <col min="5386" max="5386" width="9.140625" style="1937"/>
    <col min="5387" max="5387" width="15.5703125" style="1937" customWidth="1"/>
    <col min="5388" max="5388" width="16" style="1937" customWidth="1"/>
    <col min="5389" max="5632" width="9.140625" style="1937"/>
    <col min="5633" max="5633" width="4.7109375" style="1937" customWidth="1"/>
    <col min="5634" max="5634" width="6.7109375" style="1937" customWidth="1"/>
    <col min="5635" max="5635" width="8.85546875" style="1937" customWidth="1"/>
    <col min="5636" max="5636" width="46.42578125" style="1937" customWidth="1"/>
    <col min="5637" max="5637" width="12.85546875" style="1937" customWidth="1"/>
    <col min="5638" max="5638" width="15.5703125" style="1937" customWidth="1"/>
    <col min="5639" max="5639" width="15.85546875" style="1937" customWidth="1"/>
    <col min="5640" max="5640" width="7.140625" style="1937" customWidth="1"/>
    <col min="5641" max="5641" width="5.28515625" style="1937" customWidth="1"/>
    <col min="5642" max="5642" width="9.140625" style="1937"/>
    <col min="5643" max="5643" width="15.5703125" style="1937" customWidth="1"/>
    <col min="5644" max="5644" width="16" style="1937" customWidth="1"/>
    <col min="5645" max="5888" width="9.140625" style="1937"/>
    <col min="5889" max="5889" width="4.7109375" style="1937" customWidth="1"/>
    <col min="5890" max="5890" width="6.7109375" style="1937" customWidth="1"/>
    <col min="5891" max="5891" width="8.85546875" style="1937" customWidth="1"/>
    <col min="5892" max="5892" width="46.42578125" style="1937" customWidth="1"/>
    <col min="5893" max="5893" width="12.85546875" style="1937" customWidth="1"/>
    <col min="5894" max="5894" width="15.5703125" style="1937" customWidth="1"/>
    <col min="5895" max="5895" width="15.85546875" style="1937" customWidth="1"/>
    <col min="5896" max="5896" width="7.140625" style="1937" customWidth="1"/>
    <col min="5897" max="5897" width="5.28515625" style="1937" customWidth="1"/>
    <col min="5898" max="5898" width="9.140625" style="1937"/>
    <col min="5899" max="5899" width="15.5703125" style="1937" customWidth="1"/>
    <col min="5900" max="5900" width="16" style="1937" customWidth="1"/>
    <col min="5901" max="6144" width="9.140625" style="1937"/>
    <col min="6145" max="6145" width="4.7109375" style="1937" customWidth="1"/>
    <col min="6146" max="6146" width="6.7109375" style="1937" customWidth="1"/>
    <col min="6147" max="6147" width="8.85546875" style="1937" customWidth="1"/>
    <col min="6148" max="6148" width="46.42578125" style="1937" customWidth="1"/>
    <col min="6149" max="6149" width="12.85546875" style="1937" customWidth="1"/>
    <col min="6150" max="6150" width="15.5703125" style="1937" customWidth="1"/>
    <col min="6151" max="6151" width="15.85546875" style="1937" customWidth="1"/>
    <col min="6152" max="6152" width="7.140625" style="1937" customWidth="1"/>
    <col min="6153" max="6153" width="5.28515625" style="1937" customWidth="1"/>
    <col min="6154" max="6154" width="9.140625" style="1937"/>
    <col min="6155" max="6155" width="15.5703125" style="1937" customWidth="1"/>
    <col min="6156" max="6156" width="16" style="1937" customWidth="1"/>
    <col min="6157" max="6400" width="9.140625" style="1937"/>
    <col min="6401" max="6401" width="4.7109375" style="1937" customWidth="1"/>
    <col min="6402" max="6402" width="6.7109375" style="1937" customWidth="1"/>
    <col min="6403" max="6403" width="8.85546875" style="1937" customWidth="1"/>
    <col min="6404" max="6404" width="46.42578125" style="1937" customWidth="1"/>
    <col min="6405" max="6405" width="12.85546875" style="1937" customWidth="1"/>
    <col min="6406" max="6406" width="15.5703125" style="1937" customWidth="1"/>
    <col min="6407" max="6407" width="15.85546875" style="1937" customWidth="1"/>
    <col min="6408" max="6408" width="7.140625" style="1937" customWidth="1"/>
    <col min="6409" max="6409" width="5.28515625" style="1937" customWidth="1"/>
    <col min="6410" max="6410" width="9.140625" style="1937"/>
    <col min="6411" max="6411" width="15.5703125" style="1937" customWidth="1"/>
    <col min="6412" max="6412" width="16" style="1937" customWidth="1"/>
    <col min="6413" max="6656" width="9.140625" style="1937"/>
    <col min="6657" max="6657" width="4.7109375" style="1937" customWidth="1"/>
    <col min="6658" max="6658" width="6.7109375" style="1937" customWidth="1"/>
    <col min="6659" max="6659" width="8.85546875" style="1937" customWidth="1"/>
    <col min="6660" max="6660" width="46.42578125" style="1937" customWidth="1"/>
    <col min="6661" max="6661" width="12.85546875" style="1937" customWidth="1"/>
    <col min="6662" max="6662" width="15.5703125" style="1937" customWidth="1"/>
    <col min="6663" max="6663" width="15.85546875" style="1937" customWidth="1"/>
    <col min="6664" max="6664" width="7.140625" style="1937" customWidth="1"/>
    <col min="6665" max="6665" width="5.28515625" style="1937" customWidth="1"/>
    <col min="6666" max="6666" width="9.140625" style="1937"/>
    <col min="6667" max="6667" width="15.5703125" style="1937" customWidth="1"/>
    <col min="6668" max="6668" width="16" style="1937" customWidth="1"/>
    <col min="6669" max="6912" width="9.140625" style="1937"/>
    <col min="6913" max="6913" width="4.7109375" style="1937" customWidth="1"/>
    <col min="6914" max="6914" width="6.7109375" style="1937" customWidth="1"/>
    <col min="6915" max="6915" width="8.85546875" style="1937" customWidth="1"/>
    <col min="6916" max="6916" width="46.42578125" style="1937" customWidth="1"/>
    <col min="6917" max="6917" width="12.85546875" style="1937" customWidth="1"/>
    <col min="6918" max="6918" width="15.5703125" style="1937" customWidth="1"/>
    <col min="6919" max="6919" width="15.85546875" style="1937" customWidth="1"/>
    <col min="6920" max="6920" width="7.140625" style="1937" customWidth="1"/>
    <col min="6921" max="6921" width="5.28515625" style="1937" customWidth="1"/>
    <col min="6922" max="6922" width="9.140625" style="1937"/>
    <col min="6923" max="6923" width="15.5703125" style="1937" customWidth="1"/>
    <col min="6924" max="6924" width="16" style="1937" customWidth="1"/>
    <col min="6925" max="7168" width="9.140625" style="1937"/>
    <col min="7169" max="7169" width="4.7109375" style="1937" customWidth="1"/>
    <col min="7170" max="7170" width="6.7109375" style="1937" customWidth="1"/>
    <col min="7171" max="7171" width="8.85546875" style="1937" customWidth="1"/>
    <col min="7172" max="7172" width="46.42578125" style="1937" customWidth="1"/>
    <col min="7173" max="7173" width="12.85546875" style="1937" customWidth="1"/>
    <col min="7174" max="7174" width="15.5703125" style="1937" customWidth="1"/>
    <col min="7175" max="7175" width="15.85546875" style="1937" customWidth="1"/>
    <col min="7176" max="7176" width="7.140625" style="1937" customWidth="1"/>
    <col min="7177" max="7177" width="5.28515625" style="1937" customWidth="1"/>
    <col min="7178" max="7178" width="9.140625" style="1937"/>
    <col min="7179" max="7179" width="15.5703125" style="1937" customWidth="1"/>
    <col min="7180" max="7180" width="16" style="1937" customWidth="1"/>
    <col min="7181" max="7424" width="9.140625" style="1937"/>
    <col min="7425" max="7425" width="4.7109375" style="1937" customWidth="1"/>
    <col min="7426" max="7426" width="6.7109375" style="1937" customWidth="1"/>
    <col min="7427" max="7427" width="8.85546875" style="1937" customWidth="1"/>
    <col min="7428" max="7428" width="46.42578125" style="1937" customWidth="1"/>
    <col min="7429" max="7429" width="12.85546875" style="1937" customWidth="1"/>
    <col min="7430" max="7430" width="15.5703125" style="1937" customWidth="1"/>
    <col min="7431" max="7431" width="15.85546875" style="1937" customWidth="1"/>
    <col min="7432" max="7432" width="7.140625" style="1937" customWidth="1"/>
    <col min="7433" max="7433" width="5.28515625" style="1937" customWidth="1"/>
    <col min="7434" max="7434" width="9.140625" style="1937"/>
    <col min="7435" max="7435" width="15.5703125" style="1937" customWidth="1"/>
    <col min="7436" max="7436" width="16" style="1937" customWidth="1"/>
    <col min="7437" max="7680" width="9.140625" style="1937"/>
    <col min="7681" max="7681" width="4.7109375" style="1937" customWidth="1"/>
    <col min="7682" max="7682" width="6.7109375" style="1937" customWidth="1"/>
    <col min="7683" max="7683" width="8.85546875" style="1937" customWidth="1"/>
    <col min="7684" max="7684" width="46.42578125" style="1937" customWidth="1"/>
    <col min="7685" max="7685" width="12.85546875" style="1937" customWidth="1"/>
    <col min="7686" max="7686" width="15.5703125" style="1937" customWidth="1"/>
    <col min="7687" max="7687" width="15.85546875" style="1937" customWidth="1"/>
    <col min="7688" max="7688" width="7.140625" style="1937" customWidth="1"/>
    <col min="7689" max="7689" width="5.28515625" style="1937" customWidth="1"/>
    <col min="7690" max="7690" width="9.140625" style="1937"/>
    <col min="7691" max="7691" width="15.5703125" style="1937" customWidth="1"/>
    <col min="7692" max="7692" width="16" style="1937" customWidth="1"/>
    <col min="7693" max="7936" width="9.140625" style="1937"/>
    <col min="7937" max="7937" width="4.7109375" style="1937" customWidth="1"/>
    <col min="7938" max="7938" width="6.7109375" style="1937" customWidth="1"/>
    <col min="7939" max="7939" width="8.85546875" style="1937" customWidth="1"/>
    <col min="7940" max="7940" width="46.42578125" style="1937" customWidth="1"/>
    <col min="7941" max="7941" width="12.85546875" style="1937" customWidth="1"/>
    <col min="7942" max="7942" width="15.5703125" style="1937" customWidth="1"/>
    <col min="7943" max="7943" width="15.85546875" style="1937" customWidth="1"/>
    <col min="7944" max="7944" width="7.140625" style="1937" customWidth="1"/>
    <col min="7945" max="7945" width="5.28515625" style="1937" customWidth="1"/>
    <col min="7946" max="7946" width="9.140625" style="1937"/>
    <col min="7947" max="7947" width="15.5703125" style="1937" customWidth="1"/>
    <col min="7948" max="7948" width="16" style="1937" customWidth="1"/>
    <col min="7949" max="8192" width="9.140625" style="1937"/>
    <col min="8193" max="8193" width="4.7109375" style="1937" customWidth="1"/>
    <col min="8194" max="8194" width="6.7109375" style="1937" customWidth="1"/>
    <col min="8195" max="8195" width="8.85546875" style="1937" customWidth="1"/>
    <col min="8196" max="8196" width="46.42578125" style="1937" customWidth="1"/>
    <col min="8197" max="8197" width="12.85546875" style="1937" customWidth="1"/>
    <col min="8198" max="8198" width="15.5703125" style="1937" customWidth="1"/>
    <col min="8199" max="8199" width="15.85546875" style="1937" customWidth="1"/>
    <col min="8200" max="8200" width="7.140625" style="1937" customWidth="1"/>
    <col min="8201" max="8201" width="5.28515625" style="1937" customWidth="1"/>
    <col min="8202" max="8202" width="9.140625" style="1937"/>
    <col min="8203" max="8203" width="15.5703125" style="1937" customWidth="1"/>
    <col min="8204" max="8204" width="16" style="1937" customWidth="1"/>
    <col min="8205" max="8448" width="9.140625" style="1937"/>
    <col min="8449" max="8449" width="4.7109375" style="1937" customWidth="1"/>
    <col min="8450" max="8450" width="6.7109375" style="1937" customWidth="1"/>
    <col min="8451" max="8451" width="8.85546875" style="1937" customWidth="1"/>
    <col min="8452" max="8452" width="46.42578125" style="1937" customWidth="1"/>
    <col min="8453" max="8453" width="12.85546875" style="1937" customWidth="1"/>
    <col min="8454" max="8454" width="15.5703125" style="1937" customWidth="1"/>
    <col min="8455" max="8455" width="15.85546875" style="1937" customWidth="1"/>
    <col min="8456" max="8456" width="7.140625" style="1937" customWidth="1"/>
    <col min="8457" max="8457" width="5.28515625" style="1937" customWidth="1"/>
    <col min="8458" max="8458" width="9.140625" style="1937"/>
    <col min="8459" max="8459" width="15.5703125" style="1937" customWidth="1"/>
    <col min="8460" max="8460" width="16" style="1937" customWidth="1"/>
    <col min="8461" max="8704" width="9.140625" style="1937"/>
    <col min="8705" max="8705" width="4.7109375" style="1937" customWidth="1"/>
    <col min="8706" max="8706" width="6.7109375" style="1937" customWidth="1"/>
    <col min="8707" max="8707" width="8.85546875" style="1937" customWidth="1"/>
    <col min="8708" max="8708" width="46.42578125" style="1937" customWidth="1"/>
    <col min="8709" max="8709" width="12.85546875" style="1937" customWidth="1"/>
    <col min="8710" max="8710" width="15.5703125" style="1937" customWidth="1"/>
    <col min="8711" max="8711" width="15.85546875" style="1937" customWidth="1"/>
    <col min="8712" max="8712" width="7.140625" style="1937" customWidth="1"/>
    <col min="8713" max="8713" width="5.28515625" style="1937" customWidth="1"/>
    <col min="8714" max="8714" width="9.140625" style="1937"/>
    <col min="8715" max="8715" width="15.5703125" style="1937" customWidth="1"/>
    <col min="8716" max="8716" width="16" style="1937" customWidth="1"/>
    <col min="8717" max="8960" width="9.140625" style="1937"/>
    <col min="8961" max="8961" width="4.7109375" style="1937" customWidth="1"/>
    <col min="8962" max="8962" width="6.7109375" style="1937" customWidth="1"/>
    <col min="8963" max="8963" width="8.85546875" style="1937" customWidth="1"/>
    <col min="8964" max="8964" width="46.42578125" style="1937" customWidth="1"/>
    <col min="8965" max="8965" width="12.85546875" style="1937" customWidth="1"/>
    <col min="8966" max="8966" width="15.5703125" style="1937" customWidth="1"/>
    <col min="8967" max="8967" width="15.85546875" style="1937" customWidth="1"/>
    <col min="8968" max="8968" width="7.140625" style="1937" customWidth="1"/>
    <col min="8969" max="8969" width="5.28515625" style="1937" customWidth="1"/>
    <col min="8970" max="8970" width="9.140625" style="1937"/>
    <col min="8971" max="8971" width="15.5703125" style="1937" customWidth="1"/>
    <col min="8972" max="8972" width="16" style="1937" customWidth="1"/>
    <col min="8973" max="9216" width="9.140625" style="1937"/>
    <col min="9217" max="9217" width="4.7109375" style="1937" customWidth="1"/>
    <col min="9218" max="9218" width="6.7109375" style="1937" customWidth="1"/>
    <col min="9219" max="9219" width="8.85546875" style="1937" customWidth="1"/>
    <col min="9220" max="9220" width="46.42578125" style="1937" customWidth="1"/>
    <col min="9221" max="9221" width="12.85546875" style="1937" customWidth="1"/>
    <col min="9222" max="9222" width="15.5703125" style="1937" customWidth="1"/>
    <col min="9223" max="9223" width="15.85546875" style="1937" customWidth="1"/>
    <col min="9224" max="9224" width="7.140625" style="1937" customWidth="1"/>
    <col min="9225" max="9225" width="5.28515625" style="1937" customWidth="1"/>
    <col min="9226" max="9226" width="9.140625" style="1937"/>
    <col min="9227" max="9227" width="15.5703125" style="1937" customWidth="1"/>
    <col min="9228" max="9228" width="16" style="1937" customWidth="1"/>
    <col min="9229" max="9472" width="9.140625" style="1937"/>
    <col min="9473" max="9473" width="4.7109375" style="1937" customWidth="1"/>
    <col min="9474" max="9474" width="6.7109375" style="1937" customWidth="1"/>
    <col min="9475" max="9475" width="8.85546875" style="1937" customWidth="1"/>
    <col min="9476" max="9476" width="46.42578125" style="1937" customWidth="1"/>
    <col min="9477" max="9477" width="12.85546875" style="1937" customWidth="1"/>
    <col min="9478" max="9478" width="15.5703125" style="1937" customWidth="1"/>
    <col min="9479" max="9479" width="15.85546875" style="1937" customWidth="1"/>
    <col min="9480" max="9480" width="7.140625" style="1937" customWidth="1"/>
    <col min="9481" max="9481" width="5.28515625" style="1937" customWidth="1"/>
    <col min="9482" max="9482" width="9.140625" style="1937"/>
    <col min="9483" max="9483" width="15.5703125" style="1937" customWidth="1"/>
    <col min="9484" max="9484" width="16" style="1937" customWidth="1"/>
    <col min="9485" max="9728" width="9.140625" style="1937"/>
    <col min="9729" max="9729" width="4.7109375" style="1937" customWidth="1"/>
    <col min="9730" max="9730" width="6.7109375" style="1937" customWidth="1"/>
    <col min="9731" max="9731" width="8.85546875" style="1937" customWidth="1"/>
    <col min="9732" max="9732" width="46.42578125" style="1937" customWidth="1"/>
    <col min="9733" max="9733" width="12.85546875" style="1937" customWidth="1"/>
    <col min="9734" max="9734" width="15.5703125" style="1937" customWidth="1"/>
    <col min="9735" max="9735" width="15.85546875" style="1937" customWidth="1"/>
    <col min="9736" max="9736" width="7.140625" style="1937" customWidth="1"/>
    <col min="9737" max="9737" width="5.28515625" style="1937" customWidth="1"/>
    <col min="9738" max="9738" width="9.140625" style="1937"/>
    <col min="9739" max="9739" width="15.5703125" style="1937" customWidth="1"/>
    <col min="9740" max="9740" width="16" style="1937" customWidth="1"/>
    <col min="9741" max="9984" width="9.140625" style="1937"/>
    <col min="9985" max="9985" width="4.7109375" style="1937" customWidth="1"/>
    <col min="9986" max="9986" width="6.7109375" style="1937" customWidth="1"/>
    <col min="9987" max="9987" width="8.85546875" style="1937" customWidth="1"/>
    <col min="9988" max="9988" width="46.42578125" style="1937" customWidth="1"/>
    <col min="9989" max="9989" width="12.85546875" style="1937" customWidth="1"/>
    <col min="9990" max="9990" width="15.5703125" style="1937" customWidth="1"/>
    <col min="9991" max="9991" width="15.85546875" style="1937" customWidth="1"/>
    <col min="9992" max="9992" width="7.140625" style="1937" customWidth="1"/>
    <col min="9993" max="9993" width="5.28515625" style="1937" customWidth="1"/>
    <col min="9994" max="9994" width="9.140625" style="1937"/>
    <col min="9995" max="9995" width="15.5703125" style="1937" customWidth="1"/>
    <col min="9996" max="9996" width="16" style="1937" customWidth="1"/>
    <col min="9997" max="10240" width="9.140625" style="1937"/>
    <col min="10241" max="10241" width="4.7109375" style="1937" customWidth="1"/>
    <col min="10242" max="10242" width="6.7109375" style="1937" customWidth="1"/>
    <col min="10243" max="10243" width="8.85546875" style="1937" customWidth="1"/>
    <col min="10244" max="10244" width="46.42578125" style="1937" customWidth="1"/>
    <col min="10245" max="10245" width="12.85546875" style="1937" customWidth="1"/>
    <col min="10246" max="10246" width="15.5703125" style="1937" customWidth="1"/>
    <col min="10247" max="10247" width="15.85546875" style="1937" customWidth="1"/>
    <col min="10248" max="10248" width="7.140625" style="1937" customWidth="1"/>
    <col min="10249" max="10249" width="5.28515625" style="1937" customWidth="1"/>
    <col min="10250" max="10250" width="9.140625" style="1937"/>
    <col min="10251" max="10251" width="15.5703125" style="1937" customWidth="1"/>
    <col min="10252" max="10252" width="16" style="1937" customWidth="1"/>
    <col min="10253" max="10496" width="9.140625" style="1937"/>
    <col min="10497" max="10497" width="4.7109375" style="1937" customWidth="1"/>
    <col min="10498" max="10498" width="6.7109375" style="1937" customWidth="1"/>
    <col min="10499" max="10499" width="8.85546875" style="1937" customWidth="1"/>
    <col min="10500" max="10500" width="46.42578125" style="1937" customWidth="1"/>
    <col min="10501" max="10501" width="12.85546875" style="1937" customWidth="1"/>
    <col min="10502" max="10502" width="15.5703125" style="1937" customWidth="1"/>
    <col min="10503" max="10503" width="15.85546875" style="1937" customWidth="1"/>
    <col min="10504" max="10504" width="7.140625" style="1937" customWidth="1"/>
    <col min="10505" max="10505" width="5.28515625" style="1937" customWidth="1"/>
    <col min="10506" max="10506" width="9.140625" style="1937"/>
    <col min="10507" max="10507" width="15.5703125" style="1937" customWidth="1"/>
    <col min="10508" max="10508" width="16" style="1937" customWidth="1"/>
    <col min="10509" max="10752" width="9.140625" style="1937"/>
    <col min="10753" max="10753" width="4.7109375" style="1937" customWidth="1"/>
    <col min="10754" max="10754" width="6.7109375" style="1937" customWidth="1"/>
    <col min="10755" max="10755" width="8.85546875" style="1937" customWidth="1"/>
    <col min="10756" max="10756" width="46.42578125" style="1937" customWidth="1"/>
    <col min="10757" max="10757" width="12.85546875" style="1937" customWidth="1"/>
    <col min="10758" max="10758" width="15.5703125" style="1937" customWidth="1"/>
    <col min="10759" max="10759" width="15.85546875" style="1937" customWidth="1"/>
    <col min="10760" max="10760" width="7.140625" style="1937" customWidth="1"/>
    <col min="10761" max="10761" width="5.28515625" style="1937" customWidth="1"/>
    <col min="10762" max="10762" width="9.140625" style="1937"/>
    <col min="10763" max="10763" width="15.5703125" style="1937" customWidth="1"/>
    <col min="10764" max="10764" width="16" style="1937" customWidth="1"/>
    <col min="10765" max="11008" width="9.140625" style="1937"/>
    <col min="11009" max="11009" width="4.7109375" style="1937" customWidth="1"/>
    <col min="11010" max="11010" width="6.7109375" style="1937" customWidth="1"/>
    <col min="11011" max="11011" width="8.85546875" style="1937" customWidth="1"/>
    <col min="11012" max="11012" width="46.42578125" style="1937" customWidth="1"/>
    <col min="11013" max="11013" width="12.85546875" style="1937" customWidth="1"/>
    <col min="11014" max="11014" width="15.5703125" style="1937" customWidth="1"/>
    <col min="11015" max="11015" width="15.85546875" style="1937" customWidth="1"/>
    <col min="11016" max="11016" width="7.140625" style="1937" customWidth="1"/>
    <col min="11017" max="11017" width="5.28515625" style="1937" customWidth="1"/>
    <col min="11018" max="11018" width="9.140625" style="1937"/>
    <col min="11019" max="11019" width="15.5703125" style="1937" customWidth="1"/>
    <col min="11020" max="11020" width="16" style="1937" customWidth="1"/>
    <col min="11021" max="11264" width="9.140625" style="1937"/>
    <col min="11265" max="11265" width="4.7109375" style="1937" customWidth="1"/>
    <col min="11266" max="11266" width="6.7109375" style="1937" customWidth="1"/>
    <col min="11267" max="11267" width="8.85546875" style="1937" customWidth="1"/>
    <col min="11268" max="11268" width="46.42578125" style="1937" customWidth="1"/>
    <col min="11269" max="11269" width="12.85546875" style="1937" customWidth="1"/>
    <col min="11270" max="11270" width="15.5703125" style="1937" customWidth="1"/>
    <col min="11271" max="11271" width="15.85546875" style="1937" customWidth="1"/>
    <col min="11272" max="11272" width="7.140625" style="1937" customWidth="1"/>
    <col min="11273" max="11273" width="5.28515625" style="1937" customWidth="1"/>
    <col min="11274" max="11274" width="9.140625" style="1937"/>
    <col min="11275" max="11275" width="15.5703125" style="1937" customWidth="1"/>
    <col min="11276" max="11276" width="16" style="1937" customWidth="1"/>
    <col min="11277" max="11520" width="9.140625" style="1937"/>
    <col min="11521" max="11521" width="4.7109375" style="1937" customWidth="1"/>
    <col min="11522" max="11522" width="6.7109375" style="1937" customWidth="1"/>
    <col min="11523" max="11523" width="8.85546875" style="1937" customWidth="1"/>
    <col min="11524" max="11524" width="46.42578125" style="1937" customWidth="1"/>
    <col min="11525" max="11525" width="12.85546875" style="1937" customWidth="1"/>
    <col min="11526" max="11526" width="15.5703125" style="1937" customWidth="1"/>
    <col min="11527" max="11527" width="15.85546875" style="1937" customWidth="1"/>
    <col min="11528" max="11528" width="7.140625" style="1937" customWidth="1"/>
    <col min="11529" max="11529" width="5.28515625" style="1937" customWidth="1"/>
    <col min="11530" max="11530" width="9.140625" style="1937"/>
    <col min="11531" max="11531" width="15.5703125" style="1937" customWidth="1"/>
    <col min="11532" max="11532" width="16" style="1937" customWidth="1"/>
    <col min="11533" max="11776" width="9.140625" style="1937"/>
    <col min="11777" max="11777" width="4.7109375" style="1937" customWidth="1"/>
    <col min="11778" max="11778" width="6.7109375" style="1937" customWidth="1"/>
    <col min="11779" max="11779" width="8.85546875" style="1937" customWidth="1"/>
    <col min="11780" max="11780" width="46.42578125" style="1937" customWidth="1"/>
    <col min="11781" max="11781" width="12.85546875" style="1937" customWidth="1"/>
    <col min="11782" max="11782" width="15.5703125" style="1937" customWidth="1"/>
    <col min="11783" max="11783" width="15.85546875" style="1937" customWidth="1"/>
    <col min="11784" max="11784" width="7.140625" style="1937" customWidth="1"/>
    <col min="11785" max="11785" width="5.28515625" style="1937" customWidth="1"/>
    <col min="11786" max="11786" width="9.140625" style="1937"/>
    <col min="11787" max="11787" width="15.5703125" style="1937" customWidth="1"/>
    <col min="11788" max="11788" width="16" style="1937" customWidth="1"/>
    <col min="11789" max="12032" width="9.140625" style="1937"/>
    <col min="12033" max="12033" width="4.7109375" style="1937" customWidth="1"/>
    <col min="12034" max="12034" width="6.7109375" style="1937" customWidth="1"/>
    <col min="12035" max="12035" width="8.85546875" style="1937" customWidth="1"/>
    <col min="12036" max="12036" width="46.42578125" style="1937" customWidth="1"/>
    <col min="12037" max="12037" width="12.85546875" style="1937" customWidth="1"/>
    <col min="12038" max="12038" width="15.5703125" style="1937" customWidth="1"/>
    <col min="12039" max="12039" width="15.85546875" style="1937" customWidth="1"/>
    <col min="12040" max="12040" width="7.140625" style="1937" customWidth="1"/>
    <col min="12041" max="12041" width="5.28515625" style="1937" customWidth="1"/>
    <col min="12042" max="12042" width="9.140625" style="1937"/>
    <col min="12043" max="12043" width="15.5703125" style="1937" customWidth="1"/>
    <col min="12044" max="12044" width="16" style="1937" customWidth="1"/>
    <col min="12045" max="12288" width="9.140625" style="1937"/>
    <col min="12289" max="12289" width="4.7109375" style="1937" customWidth="1"/>
    <col min="12290" max="12290" width="6.7109375" style="1937" customWidth="1"/>
    <col min="12291" max="12291" width="8.85546875" style="1937" customWidth="1"/>
    <col min="12292" max="12292" width="46.42578125" style="1937" customWidth="1"/>
    <col min="12293" max="12293" width="12.85546875" style="1937" customWidth="1"/>
    <col min="12294" max="12294" width="15.5703125" style="1937" customWidth="1"/>
    <col min="12295" max="12295" width="15.85546875" style="1937" customWidth="1"/>
    <col min="12296" max="12296" width="7.140625" style="1937" customWidth="1"/>
    <col min="12297" max="12297" width="5.28515625" style="1937" customWidth="1"/>
    <col min="12298" max="12298" width="9.140625" style="1937"/>
    <col min="12299" max="12299" width="15.5703125" style="1937" customWidth="1"/>
    <col min="12300" max="12300" width="16" style="1937" customWidth="1"/>
    <col min="12301" max="12544" width="9.140625" style="1937"/>
    <col min="12545" max="12545" width="4.7109375" style="1937" customWidth="1"/>
    <col min="12546" max="12546" width="6.7109375" style="1937" customWidth="1"/>
    <col min="12547" max="12547" width="8.85546875" style="1937" customWidth="1"/>
    <col min="12548" max="12548" width="46.42578125" style="1937" customWidth="1"/>
    <col min="12549" max="12549" width="12.85546875" style="1937" customWidth="1"/>
    <col min="12550" max="12550" width="15.5703125" style="1937" customWidth="1"/>
    <col min="12551" max="12551" width="15.85546875" style="1937" customWidth="1"/>
    <col min="12552" max="12552" width="7.140625" style="1937" customWidth="1"/>
    <col min="12553" max="12553" width="5.28515625" style="1937" customWidth="1"/>
    <col min="12554" max="12554" width="9.140625" style="1937"/>
    <col min="12555" max="12555" width="15.5703125" style="1937" customWidth="1"/>
    <col min="12556" max="12556" width="16" style="1937" customWidth="1"/>
    <col min="12557" max="12800" width="9.140625" style="1937"/>
    <col min="12801" max="12801" width="4.7109375" style="1937" customWidth="1"/>
    <col min="12802" max="12802" width="6.7109375" style="1937" customWidth="1"/>
    <col min="12803" max="12803" width="8.85546875" style="1937" customWidth="1"/>
    <col min="12804" max="12804" width="46.42578125" style="1937" customWidth="1"/>
    <col min="12805" max="12805" width="12.85546875" style="1937" customWidth="1"/>
    <col min="12806" max="12806" width="15.5703125" style="1937" customWidth="1"/>
    <col min="12807" max="12807" width="15.85546875" style="1937" customWidth="1"/>
    <col min="12808" max="12808" width="7.140625" style="1937" customWidth="1"/>
    <col min="12809" max="12809" width="5.28515625" style="1937" customWidth="1"/>
    <col min="12810" max="12810" width="9.140625" style="1937"/>
    <col min="12811" max="12811" width="15.5703125" style="1937" customWidth="1"/>
    <col min="12812" max="12812" width="16" style="1937" customWidth="1"/>
    <col min="12813" max="13056" width="9.140625" style="1937"/>
    <col min="13057" max="13057" width="4.7109375" style="1937" customWidth="1"/>
    <col min="13058" max="13058" width="6.7109375" style="1937" customWidth="1"/>
    <col min="13059" max="13059" width="8.85546875" style="1937" customWidth="1"/>
    <col min="13060" max="13060" width="46.42578125" style="1937" customWidth="1"/>
    <col min="13061" max="13061" width="12.85546875" style="1937" customWidth="1"/>
    <col min="13062" max="13062" width="15.5703125" style="1937" customWidth="1"/>
    <col min="13063" max="13063" width="15.85546875" style="1937" customWidth="1"/>
    <col min="13064" max="13064" width="7.140625" style="1937" customWidth="1"/>
    <col min="13065" max="13065" width="5.28515625" style="1937" customWidth="1"/>
    <col min="13066" max="13066" width="9.140625" style="1937"/>
    <col min="13067" max="13067" width="15.5703125" style="1937" customWidth="1"/>
    <col min="13068" max="13068" width="16" style="1937" customWidth="1"/>
    <col min="13069" max="13312" width="9.140625" style="1937"/>
    <col min="13313" max="13313" width="4.7109375" style="1937" customWidth="1"/>
    <col min="13314" max="13314" width="6.7109375" style="1937" customWidth="1"/>
    <col min="13315" max="13315" width="8.85546875" style="1937" customWidth="1"/>
    <col min="13316" max="13316" width="46.42578125" style="1937" customWidth="1"/>
    <col min="13317" max="13317" width="12.85546875" style="1937" customWidth="1"/>
    <col min="13318" max="13318" width="15.5703125" style="1937" customWidth="1"/>
    <col min="13319" max="13319" width="15.85546875" style="1937" customWidth="1"/>
    <col min="13320" max="13320" width="7.140625" style="1937" customWidth="1"/>
    <col min="13321" max="13321" width="5.28515625" style="1937" customWidth="1"/>
    <col min="13322" max="13322" width="9.140625" style="1937"/>
    <col min="13323" max="13323" width="15.5703125" style="1937" customWidth="1"/>
    <col min="13324" max="13324" width="16" style="1937" customWidth="1"/>
    <col min="13325" max="13568" width="9.140625" style="1937"/>
    <col min="13569" max="13569" width="4.7109375" style="1937" customWidth="1"/>
    <col min="13570" max="13570" width="6.7109375" style="1937" customWidth="1"/>
    <col min="13571" max="13571" width="8.85546875" style="1937" customWidth="1"/>
    <col min="13572" max="13572" width="46.42578125" style="1937" customWidth="1"/>
    <col min="13573" max="13573" width="12.85546875" style="1937" customWidth="1"/>
    <col min="13574" max="13574" width="15.5703125" style="1937" customWidth="1"/>
    <col min="13575" max="13575" width="15.85546875" style="1937" customWidth="1"/>
    <col min="13576" max="13576" width="7.140625" style="1937" customWidth="1"/>
    <col min="13577" max="13577" width="5.28515625" style="1937" customWidth="1"/>
    <col min="13578" max="13578" width="9.140625" style="1937"/>
    <col min="13579" max="13579" width="15.5703125" style="1937" customWidth="1"/>
    <col min="13580" max="13580" width="16" style="1937" customWidth="1"/>
    <col min="13581" max="13824" width="9.140625" style="1937"/>
    <col min="13825" max="13825" width="4.7109375" style="1937" customWidth="1"/>
    <col min="13826" max="13826" width="6.7109375" style="1937" customWidth="1"/>
    <col min="13827" max="13827" width="8.85546875" style="1937" customWidth="1"/>
    <col min="13828" max="13828" width="46.42578125" style="1937" customWidth="1"/>
    <col min="13829" max="13829" width="12.85546875" style="1937" customWidth="1"/>
    <col min="13830" max="13830" width="15.5703125" style="1937" customWidth="1"/>
    <col min="13831" max="13831" width="15.85546875" style="1937" customWidth="1"/>
    <col min="13832" max="13832" width="7.140625" style="1937" customWidth="1"/>
    <col min="13833" max="13833" width="5.28515625" style="1937" customWidth="1"/>
    <col min="13834" max="13834" width="9.140625" style="1937"/>
    <col min="13835" max="13835" width="15.5703125" style="1937" customWidth="1"/>
    <col min="13836" max="13836" width="16" style="1937" customWidth="1"/>
    <col min="13837" max="14080" width="9.140625" style="1937"/>
    <col min="14081" max="14081" width="4.7109375" style="1937" customWidth="1"/>
    <col min="14082" max="14082" width="6.7109375" style="1937" customWidth="1"/>
    <col min="14083" max="14083" width="8.85546875" style="1937" customWidth="1"/>
    <col min="14084" max="14084" width="46.42578125" style="1937" customWidth="1"/>
    <col min="14085" max="14085" width="12.85546875" style="1937" customWidth="1"/>
    <col min="14086" max="14086" width="15.5703125" style="1937" customWidth="1"/>
    <col min="14087" max="14087" width="15.85546875" style="1937" customWidth="1"/>
    <col min="14088" max="14088" width="7.140625" style="1937" customWidth="1"/>
    <col min="14089" max="14089" width="5.28515625" style="1937" customWidth="1"/>
    <col min="14090" max="14090" width="9.140625" style="1937"/>
    <col min="14091" max="14091" width="15.5703125" style="1937" customWidth="1"/>
    <col min="14092" max="14092" width="16" style="1937" customWidth="1"/>
    <col min="14093" max="14336" width="9.140625" style="1937"/>
    <col min="14337" max="14337" width="4.7109375" style="1937" customWidth="1"/>
    <col min="14338" max="14338" width="6.7109375" style="1937" customWidth="1"/>
    <col min="14339" max="14339" width="8.85546875" style="1937" customWidth="1"/>
    <col min="14340" max="14340" width="46.42578125" style="1937" customWidth="1"/>
    <col min="14341" max="14341" width="12.85546875" style="1937" customWidth="1"/>
    <col min="14342" max="14342" width="15.5703125" style="1937" customWidth="1"/>
    <col min="14343" max="14343" width="15.85546875" style="1937" customWidth="1"/>
    <col min="14344" max="14344" width="7.140625" style="1937" customWidth="1"/>
    <col min="14345" max="14345" width="5.28515625" style="1937" customWidth="1"/>
    <col min="14346" max="14346" width="9.140625" style="1937"/>
    <col min="14347" max="14347" width="15.5703125" style="1937" customWidth="1"/>
    <col min="14348" max="14348" width="16" style="1937" customWidth="1"/>
    <col min="14349" max="14592" width="9.140625" style="1937"/>
    <col min="14593" max="14593" width="4.7109375" style="1937" customWidth="1"/>
    <col min="14594" max="14594" width="6.7109375" style="1937" customWidth="1"/>
    <col min="14595" max="14595" width="8.85546875" style="1937" customWidth="1"/>
    <col min="14596" max="14596" width="46.42578125" style="1937" customWidth="1"/>
    <col min="14597" max="14597" width="12.85546875" style="1937" customWidth="1"/>
    <col min="14598" max="14598" width="15.5703125" style="1937" customWidth="1"/>
    <col min="14599" max="14599" width="15.85546875" style="1937" customWidth="1"/>
    <col min="14600" max="14600" width="7.140625" style="1937" customWidth="1"/>
    <col min="14601" max="14601" width="5.28515625" style="1937" customWidth="1"/>
    <col min="14602" max="14602" width="9.140625" style="1937"/>
    <col min="14603" max="14603" width="15.5703125" style="1937" customWidth="1"/>
    <col min="14604" max="14604" width="16" style="1937" customWidth="1"/>
    <col min="14605" max="14848" width="9.140625" style="1937"/>
    <col min="14849" max="14849" width="4.7109375" style="1937" customWidth="1"/>
    <col min="14850" max="14850" width="6.7109375" style="1937" customWidth="1"/>
    <col min="14851" max="14851" width="8.85546875" style="1937" customWidth="1"/>
    <col min="14852" max="14852" width="46.42578125" style="1937" customWidth="1"/>
    <col min="14853" max="14853" width="12.85546875" style="1937" customWidth="1"/>
    <col min="14854" max="14854" width="15.5703125" style="1937" customWidth="1"/>
    <col min="14855" max="14855" width="15.85546875" style="1937" customWidth="1"/>
    <col min="14856" max="14856" width="7.140625" style="1937" customWidth="1"/>
    <col min="14857" max="14857" width="5.28515625" style="1937" customWidth="1"/>
    <col min="14858" max="14858" width="9.140625" style="1937"/>
    <col min="14859" max="14859" width="15.5703125" style="1937" customWidth="1"/>
    <col min="14860" max="14860" width="16" style="1937" customWidth="1"/>
    <col min="14861" max="15104" width="9.140625" style="1937"/>
    <col min="15105" max="15105" width="4.7109375" style="1937" customWidth="1"/>
    <col min="15106" max="15106" width="6.7109375" style="1937" customWidth="1"/>
    <col min="15107" max="15107" width="8.85546875" style="1937" customWidth="1"/>
    <col min="15108" max="15108" width="46.42578125" style="1937" customWidth="1"/>
    <col min="15109" max="15109" width="12.85546875" style="1937" customWidth="1"/>
    <col min="15110" max="15110" width="15.5703125" style="1937" customWidth="1"/>
    <col min="15111" max="15111" width="15.85546875" style="1937" customWidth="1"/>
    <col min="15112" max="15112" width="7.140625" style="1937" customWidth="1"/>
    <col min="15113" max="15113" width="5.28515625" style="1937" customWidth="1"/>
    <col min="15114" max="15114" width="9.140625" style="1937"/>
    <col min="15115" max="15115" width="15.5703125" style="1937" customWidth="1"/>
    <col min="15116" max="15116" width="16" style="1937" customWidth="1"/>
    <col min="15117" max="15360" width="9.140625" style="1937"/>
    <col min="15361" max="15361" width="4.7109375" style="1937" customWidth="1"/>
    <col min="15362" max="15362" width="6.7109375" style="1937" customWidth="1"/>
    <col min="15363" max="15363" width="8.85546875" style="1937" customWidth="1"/>
    <col min="15364" max="15364" width="46.42578125" style="1937" customWidth="1"/>
    <col min="15365" max="15365" width="12.85546875" style="1937" customWidth="1"/>
    <col min="15366" max="15366" width="15.5703125" style="1937" customWidth="1"/>
    <col min="15367" max="15367" width="15.85546875" style="1937" customWidth="1"/>
    <col min="15368" max="15368" width="7.140625" style="1937" customWidth="1"/>
    <col min="15369" max="15369" width="5.28515625" style="1937" customWidth="1"/>
    <col min="15370" max="15370" width="9.140625" style="1937"/>
    <col min="15371" max="15371" width="15.5703125" style="1937" customWidth="1"/>
    <col min="15372" max="15372" width="16" style="1937" customWidth="1"/>
    <col min="15373" max="15616" width="9.140625" style="1937"/>
    <col min="15617" max="15617" width="4.7109375" style="1937" customWidth="1"/>
    <col min="15618" max="15618" width="6.7109375" style="1937" customWidth="1"/>
    <col min="15619" max="15619" width="8.85546875" style="1937" customWidth="1"/>
    <col min="15620" max="15620" width="46.42578125" style="1937" customWidth="1"/>
    <col min="15621" max="15621" width="12.85546875" style="1937" customWidth="1"/>
    <col min="15622" max="15622" width="15.5703125" style="1937" customWidth="1"/>
    <col min="15623" max="15623" width="15.85546875" style="1937" customWidth="1"/>
    <col min="15624" max="15624" width="7.140625" style="1937" customWidth="1"/>
    <col min="15625" max="15625" width="5.28515625" style="1937" customWidth="1"/>
    <col min="15626" max="15626" width="9.140625" style="1937"/>
    <col min="15627" max="15627" width="15.5703125" style="1937" customWidth="1"/>
    <col min="15628" max="15628" width="16" style="1937" customWidth="1"/>
    <col min="15629" max="15872" width="9.140625" style="1937"/>
    <col min="15873" max="15873" width="4.7109375" style="1937" customWidth="1"/>
    <col min="15874" max="15874" width="6.7109375" style="1937" customWidth="1"/>
    <col min="15875" max="15875" width="8.85546875" style="1937" customWidth="1"/>
    <col min="15876" max="15876" width="46.42578125" style="1937" customWidth="1"/>
    <col min="15877" max="15877" width="12.85546875" style="1937" customWidth="1"/>
    <col min="15878" max="15878" width="15.5703125" style="1937" customWidth="1"/>
    <col min="15879" max="15879" width="15.85546875" style="1937" customWidth="1"/>
    <col min="15880" max="15880" width="7.140625" style="1937" customWidth="1"/>
    <col min="15881" max="15881" width="5.28515625" style="1937" customWidth="1"/>
    <col min="15882" max="15882" width="9.140625" style="1937"/>
    <col min="15883" max="15883" width="15.5703125" style="1937" customWidth="1"/>
    <col min="15884" max="15884" width="16" style="1937" customWidth="1"/>
    <col min="15885" max="16128" width="9.140625" style="1937"/>
    <col min="16129" max="16129" width="4.7109375" style="1937" customWidth="1"/>
    <col min="16130" max="16130" width="6.7109375" style="1937" customWidth="1"/>
    <col min="16131" max="16131" width="8.85546875" style="1937" customWidth="1"/>
    <col min="16132" max="16132" width="46.42578125" style="1937" customWidth="1"/>
    <col min="16133" max="16133" width="12.85546875" style="1937" customWidth="1"/>
    <col min="16134" max="16134" width="15.5703125" style="1937" customWidth="1"/>
    <col min="16135" max="16135" width="15.85546875" style="1937" customWidth="1"/>
    <col min="16136" max="16136" width="7.140625" style="1937" customWidth="1"/>
    <col min="16137" max="16137" width="5.28515625" style="1937" customWidth="1"/>
    <col min="16138" max="16138" width="9.140625" style="1937"/>
    <col min="16139" max="16139" width="15.5703125" style="1937" customWidth="1"/>
    <col min="16140" max="16140" width="16" style="1937" customWidth="1"/>
    <col min="16141" max="16384" width="9.140625" style="1937"/>
  </cols>
  <sheetData>
    <row r="1" spans="1:9" ht="19.5" customHeight="1" thickBot="1" x14ac:dyDescent="0.3">
      <c r="A1" s="1820" t="s">
        <v>959</v>
      </c>
      <c r="B1" s="1819"/>
      <c r="C1" s="1932"/>
      <c r="D1" s="1817"/>
      <c r="E1" s="1816"/>
      <c r="F1" s="1817"/>
      <c r="G1" s="2053"/>
      <c r="H1" s="1820"/>
    </row>
    <row r="2" spans="1:9" ht="19.5" customHeight="1" x14ac:dyDescent="0.25">
      <c r="A2" s="1940"/>
      <c r="B2" s="2338"/>
      <c r="C2" s="2338"/>
      <c r="D2" s="2338"/>
      <c r="E2" s="2338"/>
      <c r="F2" s="2338"/>
      <c r="G2" s="2338"/>
      <c r="H2" s="2338"/>
    </row>
    <row r="3" spans="1:9" ht="19.5" customHeight="1" x14ac:dyDescent="0.2">
      <c r="A3" s="1815" t="s">
        <v>387</v>
      </c>
      <c r="B3" s="2338"/>
      <c r="C3" s="1935" t="s">
        <v>363</v>
      </c>
      <c r="D3" s="2338"/>
      <c r="E3" s="2338"/>
      <c r="F3" s="2338"/>
      <c r="G3" s="2338"/>
      <c r="H3" s="2338"/>
    </row>
    <row r="4" spans="1:9" ht="18" x14ac:dyDescent="0.25">
      <c r="B4" s="1973"/>
      <c r="C4" s="1935" t="s">
        <v>364</v>
      </c>
      <c r="D4" s="1973"/>
      <c r="E4" s="1973"/>
      <c r="F4" s="1973"/>
      <c r="G4" s="1973"/>
      <c r="H4" s="2027" t="s">
        <v>960</v>
      </c>
    </row>
    <row r="5" spans="1:9" ht="18" x14ac:dyDescent="0.25">
      <c r="A5" s="1940" t="s">
        <v>961</v>
      </c>
      <c r="B5" s="1973"/>
      <c r="C5" s="1973"/>
      <c r="D5" s="1973"/>
      <c r="E5" s="1973"/>
      <c r="F5" s="1973"/>
      <c r="G5" s="1973"/>
      <c r="H5" s="2027"/>
    </row>
    <row r="6" spans="1:9" ht="18" x14ac:dyDescent="0.25">
      <c r="A6" s="1940"/>
      <c r="B6" s="1973"/>
      <c r="C6" s="1973"/>
      <c r="D6" s="1973"/>
      <c r="E6" s="1973"/>
      <c r="F6" s="1973"/>
      <c r="G6" s="1973"/>
      <c r="H6" s="2027"/>
    </row>
    <row r="7" spans="1:9" ht="18" x14ac:dyDescent="0.25">
      <c r="A7" s="1942" t="s">
        <v>1148</v>
      </c>
      <c r="B7" s="1973"/>
      <c r="C7" s="1973"/>
      <c r="D7" s="1973"/>
      <c r="E7" s="1973"/>
      <c r="F7" s="1973"/>
      <c r="G7" s="1973"/>
      <c r="H7" s="2027"/>
    </row>
    <row r="8" spans="1:9" ht="16.5" thickBot="1" x14ac:dyDescent="0.3">
      <c r="A8" s="1941" t="s">
        <v>1149</v>
      </c>
      <c r="H8" s="1966" t="s">
        <v>173</v>
      </c>
    </row>
    <row r="9" spans="1:9" s="1735" customFormat="1" ht="25.5" thickTop="1" thickBot="1" x14ac:dyDescent="0.25">
      <c r="A9" s="1943" t="s">
        <v>174</v>
      </c>
      <c r="B9" s="1944" t="s">
        <v>800</v>
      </c>
      <c r="C9" s="1944" t="s">
        <v>397</v>
      </c>
      <c r="D9" s="1945" t="s">
        <v>176</v>
      </c>
      <c r="E9" s="1976" t="s">
        <v>669</v>
      </c>
      <c r="F9" s="1976" t="s">
        <v>670</v>
      </c>
      <c r="G9" s="1977" t="s">
        <v>923</v>
      </c>
      <c r="H9" s="1978" t="s">
        <v>924</v>
      </c>
    </row>
    <row r="10" spans="1:9" s="1735" customFormat="1" ht="13.5" thickTop="1" thickBot="1" x14ac:dyDescent="0.25">
      <c r="A10" s="1740">
        <v>1</v>
      </c>
      <c r="B10" s="1739">
        <v>2</v>
      </c>
      <c r="C10" s="1739">
        <v>3</v>
      </c>
      <c r="D10" s="1739">
        <v>4</v>
      </c>
      <c r="E10" s="1738">
        <v>5</v>
      </c>
      <c r="F10" s="1738">
        <v>6</v>
      </c>
      <c r="G10" s="2028">
        <v>7</v>
      </c>
      <c r="H10" s="2054" t="s">
        <v>61</v>
      </c>
    </row>
    <row r="11" spans="1:9" ht="15.75" thickTop="1" x14ac:dyDescent="0.2">
      <c r="A11" s="2049">
        <v>3122</v>
      </c>
      <c r="B11" s="2056">
        <v>6121</v>
      </c>
      <c r="C11" s="2059">
        <v>53100870</v>
      </c>
      <c r="D11" s="1979" t="s">
        <v>640</v>
      </c>
      <c r="E11" s="1975">
        <v>0</v>
      </c>
      <c r="F11" s="1975">
        <v>4</v>
      </c>
      <c r="G11" s="1975">
        <v>2</v>
      </c>
      <c r="H11" s="1958">
        <f>G11/F11*100</f>
        <v>50</v>
      </c>
    </row>
    <row r="12" spans="1:9" ht="15" x14ac:dyDescent="0.2">
      <c r="A12" s="2049">
        <v>3122</v>
      </c>
      <c r="B12" s="2056">
        <v>6121</v>
      </c>
      <c r="C12" s="2059">
        <v>53100872</v>
      </c>
      <c r="D12" s="1979" t="s">
        <v>640</v>
      </c>
      <c r="E12" s="1989">
        <v>0</v>
      </c>
      <c r="F12" s="1989">
        <v>1</v>
      </c>
      <c r="G12" s="1989">
        <v>1</v>
      </c>
      <c r="H12" s="1961">
        <f>G12/F12*100</f>
        <v>100</v>
      </c>
    </row>
    <row r="13" spans="1:9" ht="15" x14ac:dyDescent="0.2">
      <c r="A13" s="2049">
        <v>3122</v>
      </c>
      <c r="B13" s="2056">
        <v>6121</v>
      </c>
      <c r="C13" s="2059">
        <v>53100874</v>
      </c>
      <c r="D13" s="1979" t="s">
        <v>640</v>
      </c>
      <c r="E13" s="1989">
        <v>0</v>
      </c>
      <c r="F13" s="1989">
        <v>1620</v>
      </c>
      <c r="G13" s="1989">
        <v>1613</v>
      </c>
      <c r="H13" s="1961">
        <f>G13/F13*100</f>
        <v>99.567901234567898</v>
      </c>
    </row>
    <row r="14" spans="1:9" ht="15.75" thickBot="1" x14ac:dyDescent="0.25">
      <c r="A14" s="2049">
        <v>3122</v>
      </c>
      <c r="B14" s="2056">
        <v>6121</v>
      </c>
      <c r="C14" s="2059">
        <v>53500871</v>
      </c>
      <c r="D14" s="1979" t="s">
        <v>640</v>
      </c>
      <c r="E14" s="1989">
        <v>0</v>
      </c>
      <c r="F14" s="1989">
        <v>15</v>
      </c>
      <c r="G14" s="1989">
        <v>15</v>
      </c>
      <c r="H14" s="1961">
        <f>G14/F14*100</f>
        <v>100</v>
      </c>
    </row>
    <row r="15" spans="1:9" s="1969" customFormat="1" ht="16.5" thickTop="1" thickBot="1" x14ac:dyDescent="0.3">
      <c r="A15" s="2750" t="s">
        <v>802</v>
      </c>
      <c r="B15" s="2751"/>
      <c r="C15" s="2751"/>
      <c r="D15" s="2751"/>
      <c r="E15" s="1957">
        <f>SUM(E11:E14)</f>
        <v>0</v>
      </c>
      <c r="F15" s="1957">
        <f>SUM(F11:F14)</f>
        <v>1640</v>
      </c>
      <c r="G15" s="1957">
        <f>SUM(G11:G14)</f>
        <v>1631</v>
      </c>
      <c r="H15" s="1962">
        <f>G15/F15*100</f>
        <v>99.451219512195124</v>
      </c>
      <c r="I15" s="2063"/>
    </row>
    <row r="16" spans="1:9" s="1969" customFormat="1" ht="15.75" thickTop="1" x14ac:dyDescent="0.25">
      <c r="A16" s="1963"/>
      <c r="B16" s="1963"/>
      <c r="C16" s="1963"/>
      <c r="D16" s="1963"/>
      <c r="E16" s="1964"/>
      <c r="F16" s="1964"/>
      <c r="G16" s="1964"/>
      <c r="H16" s="1995"/>
      <c r="I16" s="2063"/>
    </row>
    <row r="17" spans="1:9" ht="18" x14ac:dyDescent="0.25">
      <c r="A17" s="1942" t="s">
        <v>85</v>
      </c>
      <c r="B17" s="1973"/>
      <c r="C17" s="1973"/>
      <c r="D17" s="1973"/>
      <c r="E17" s="1973"/>
      <c r="F17" s="1973"/>
      <c r="G17" s="1973"/>
      <c r="H17" s="2027"/>
    </row>
    <row r="18" spans="1:9" ht="16.5" thickBot="1" x14ac:dyDescent="0.3">
      <c r="A18" s="1941" t="s">
        <v>86</v>
      </c>
      <c r="H18" s="1966" t="s">
        <v>173</v>
      </c>
    </row>
    <row r="19" spans="1:9" s="1735" customFormat="1" ht="25.5" thickTop="1" thickBot="1" x14ac:dyDescent="0.25">
      <c r="A19" s="1943" t="s">
        <v>174</v>
      </c>
      <c r="B19" s="1944" t="s">
        <v>800</v>
      </c>
      <c r="C19" s="1944" t="s">
        <v>397</v>
      </c>
      <c r="D19" s="1945" t="s">
        <v>176</v>
      </c>
      <c r="E19" s="1976" t="s">
        <v>669</v>
      </c>
      <c r="F19" s="1976" t="s">
        <v>670</v>
      </c>
      <c r="G19" s="1977" t="s">
        <v>923</v>
      </c>
      <c r="H19" s="1978" t="s">
        <v>924</v>
      </c>
    </row>
    <row r="20" spans="1:9" s="1735" customFormat="1" ht="13.5" thickTop="1" thickBot="1" x14ac:dyDescent="0.25">
      <c r="A20" s="1740">
        <v>1</v>
      </c>
      <c r="B20" s="1739">
        <v>2</v>
      </c>
      <c r="C20" s="1739">
        <v>3</v>
      </c>
      <c r="D20" s="1739">
        <v>4</v>
      </c>
      <c r="E20" s="1738">
        <v>5</v>
      </c>
      <c r="F20" s="1738">
        <v>6</v>
      </c>
      <c r="G20" s="2028">
        <v>7</v>
      </c>
      <c r="H20" s="2054" t="s">
        <v>61</v>
      </c>
    </row>
    <row r="21" spans="1:9" ht="15.75" thickTop="1" x14ac:dyDescent="0.2">
      <c r="A21" s="2049">
        <v>3122</v>
      </c>
      <c r="B21" s="2056">
        <v>6121</v>
      </c>
      <c r="C21" s="2059">
        <v>53100870</v>
      </c>
      <c r="D21" s="1979" t="s">
        <v>640</v>
      </c>
      <c r="E21" s="1975">
        <v>0</v>
      </c>
      <c r="F21" s="1975">
        <v>16</v>
      </c>
      <c r="G21" s="1975">
        <v>0</v>
      </c>
      <c r="H21" s="1961">
        <f>G21/F21*100</f>
        <v>0</v>
      </c>
    </row>
    <row r="22" spans="1:9" ht="15" hidden="1" x14ac:dyDescent="0.2">
      <c r="A22" s="2049">
        <v>3122</v>
      </c>
      <c r="B22" s="2056">
        <v>6121</v>
      </c>
      <c r="C22" s="2059">
        <v>53100872</v>
      </c>
      <c r="D22" s="1979" t="s">
        <v>640</v>
      </c>
      <c r="E22" s="1989">
        <v>0</v>
      </c>
      <c r="F22" s="1989"/>
      <c r="G22" s="1989"/>
      <c r="H22" s="1961" t="e">
        <f>G22/F22*100</f>
        <v>#DIV/0!</v>
      </c>
    </row>
    <row r="23" spans="1:9" ht="15.75" thickBot="1" x14ac:dyDescent="0.25">
      <c r="A23" s="2049">
        <v>3122</v>
      </c>
      <c r="B23" s="2056">
        <v>6121</v>
      </c>
      <c r="C23" s="2059">
        <v>53100874</v>
      </c>
      <c r="D23" s="1979" t="s">
        <v>640</v>
      </c>
      <c r="E23" s="1989">
        <v>0</v>
      </c>
      <c r="F23" s="1989">
        <v>14</v>
      </c>
      <c r="G23" s="1989">
        <v>9</v>
      </c>
      <c r="H23" s="1961">
        <f>G23/F23*100</f>
        <v>64.285714285714292</v>
      </c>
    </row>
    <row r="24" spans="1:9" ht="15.75" hidden="1" thickBot="1" x14ac:dyDescent="0.25">
      <c r="A24" s="2049">
        <v>3122</v>
      </c>
      <c r="B24" s="2056">
        <v>6121</v>
      </c>
      <c r="C24" s="2059">
        <v>53500871</v>
      </c>
      <c r="D24" s="1979" t="s">
        <v>640</v>
      </c>
      <c r="E24" s="1989">
        <v>0</v>
      </c>
      <c r="F24" s="1989"/>
      <c r="G24" s="1989"/>
      <c r="H24" s="1968">
        <v>0</v>
      </c>
    </row>
    <row r="25" spans="1:9" s="1969" customFormat="1" ht="16.5" thickTop="1" thickBot="1" x14ac:dyDescent="0.3">
      <c r="A25" s="2750" t="s">
        <v>802</v>
      </c>
      <c r="B25" s="2751"/>
      <c r="C25" s="2751"/>
      <c r="D25" s="2751"/>
      <c r="E25" s="1957">
        <f>SUM(E21:E24)</f>
        <v>0</v>
      </c>
      <c r="F25" s="1957">
        <f>SUM(F21:F24)</f>
        <v>30</v>
      </c>
      <c r="G25" s="1957">
        <f>SUM(G21:G24)</f>
        <v>9</v>
      </c>
      <c r="H25" s="1962">
        <f>G25/F25*100</f>
        <v>30</v>
      </c>
      <c r="I25" s="2063"/>
    </row>
    <row r="26" spans="1:9" s="1969" customFormat="1" ht="15.75" thickTop="1" x14ac:dyDescent="0.25">
      <c r="A26" s="1963"/>
      <c r="B26" s="1963"/>
      <c r="C26" s="1963"/>
      <c r="D26" s="1963"/>
      <c r="E26" s="1964"/>
      <c r="F26" s="1964"/>
      <c r="G26" s="1964"/>
      <c r="H26" s="1995"/>
      <c r="I26" s="2063"/>
    </row>
    <row r="27" spans="1:9" ht="18" x14ac:dyDescent="0.25">
      <c r="A27" s="1942" t="s">
        <v>1816</v>
      </c>
      <c r="B27" s="1973"/>
      <c r="C27" s="1973"/>
      <c r="D27" s="1973"/>
      <c r="E27" s="1973"/>
      <c r="F27" s="1973"/>
      <c r="G27" s="1973"/>
      <c r="H27" s="2027"/>
    </row>
    <row r="28" spans="1:9" ht="16.5" thickBot="1" x14ac:dyDescent="0.3">
      <c r="A28" s="1941" t="s">
        <v>1817</v>
      </c>
      <c r="H28" s="1966" t="s">
        <v>173</v>
      </c>
    </row>
    <row r="29" spans="1:9" s="1735" customFormat="1" ht="25.5" thickTop="1" thickBot="1" x14ac:dyDescent="0.25">
      <c r="A29" s="1943" t="s">
        <v>174</v>
      </c>
      <c r="B29" s="1944" t="s">
        <v>800</v>
      </c>
      <c r="C29" s="1944" t="s">
        <v>397</v>
      </c>
      <c r="D29" s="1945" t="s">
        <v>176</v>
      </c>
      <c r="E29" s="1976" t="s">
        <v>669</v>
      </c>
      <c r="F29" s="1976" t="s">
        <v>670</v>
      </c>
      <c r="G29" s="1977" t="s">
        <v>923</v>
      </c>
      <c r="H29" s="1978" t="s">
        <v>924</v>
      </c>
    </row>
    <row r="30" spans="1:9" s="1735" customFormat="1" ht="13.5" thickTop="1" thickBot="1" x14ac:dyDescent="0.25">
      <c r="A30" s="1740">
        <v>1</v>
      </c>
      <c r="B30" s="1739">
        <v>2</v>
      </c>
      <c r="C30" s="1739">
        <v>3</v>
      </c>
      <c r="D30" s="1739">
        <v>4</v>
      </c>
      <c r="E30" s="1738">
        <v>5</v>
      </c>
      <c r="F30" s="1738">
        <v>6</v>
      </c>
      <c r="G30" s="2028">
        <v>7</v>
      </c>
      <c r="H30" s="2054" t="s">
        <v>61</v>
      </c>
    </row>
    <row r="31" spans="1:9" ht="15.75" hidden="1" thickTop="1" x14ac:dyDescent="0.2">
      <c r="A31" s="2049">
        <v>3122</v>
      </c>
      <c r="B31" s="2056">
        <v>6121</v>
      </c>
      <c r="C31" s="2059">
        <v>53100870</v>
      </c>
      <c r="D31" s="1979" t="s">
        <v>640</v>
      </c>
      <c r="E31" s="1975">
        <v>0</v>
      </c>
      <c r="F31" s="1975">
        <v>0</v>
      </c>
      <c r="G31" s="1975">
        <v>0</v>
      </c>
      <c r="H31" s="1958" t="e">
        <f>G31/F31*100</f>
        <v>#DIV/0!</v>
      </c>
    </row>
    <row r="32" spans="1:9" ht="15.75" hidden="1" thickTop="1" x14ac:dyDescent="0.2">
      <c r="A32" s="2049">
        <v>3122</v>
      </c>
      <c r="B32" s="2056">
        <v>6121</v>
      </c>
      <c r="C32" s="2059">
        <v>53100872</v>
      </c>
      <c r="D32" s="1979" t="s">
        <v>640</v>
      </c>
      <c r="E32" s="1989">
        <v>0</v>
      </c>
      <c r="F32" s="1989"/>
      <c r="G32" s="1989"/>
      <c r="H32" s="1961" t="e">
        <f>G32/F32*100</f>
        <v>#DIV/0!</v>
      </c>
    </row>
    <row r="33" spans="1:9" ht="16.5" thickTop="1" thickBot="1" x14ac:dyDescent="0.25">
      <c r="A33" s="2049">
        <v>3121</v>
      </c>
      <c r="B33" s="2056">
        <v>6121</v>
      </c>
      <c r="C33" s="2059">
        <v>53100874</v>
      </c>
      <c r="D33" s="1979" t="s">
        <v>640</v>
      </c>
      <c r="E33" s="1989">
        <v>0</v>
      </c>
      <c r="F33" s="1989">
        <v>8</v>
      </c>
      <c r="G33" s="1989">
        <v>7</v>
      </c>
      <c r="H33" s="1961">
        <f>G33/F33*100</f>
        <v>87.5</v>
      </c>
    </row>
    <row r="34" spans="1:9" ht="15.75" hidden="1" thickBot="1" x14ac:dyDescent="0.25">
      <c r="A34" s="2049">
        <v>3122</v>
      </c>
      <c r="B34" s="2056">
        <v>6121</v>
      </c>
      <c r="C34" s="2059">
        <v>53500871</v>
      </c>
      <c r="D34" s="1979" t="s">
        <v>640</v>
      </c>
      <c r="E34" s="1989">
        <v>0</v>
      </c>
      <c r="F34" s="1989"/>
      <c r="G34" s="1989"/>
      <c r="H34" s="1968">
        <v>0</v>
      </c>
    </row>
    <row r="35" spans="1:9" s="1969" customFormat="1" ht="16.5" thickTop="1" thickBot="1" x14ac:dyDescent="0.3">
      <c r="A35" s="2750" t="s">
        <v>802</v>
      </c>
      <c r="B35" s="2751"/>
      <c r="C35" s="2751"/>
      <c r="D35" s="2751"/>
      <c r="E35" s="1957">
        <f>SUM(E31:E34)</f>
        <v>0</v>
      </c>
      <c r="F35" s="1957">
        <f>SUM(F31:F34)</f>
        <v>8</v>
      </c>
      <c r="G35" s="1957">
        <f>SUM(G31:G34)</f>
        <v>7</v>
      </c>
      <c r="H35" s="1962">
        <f>G35/F35*100</f>
        <v>87.5</v>
      </c>
      <c r="I35" s="2063"/>
    </row>
    <row r="36" spans="1:9" s="1969" customFormat="1" ht="15.75" thickTop="1" x14ac:dyDescent="0.25">
      <c r="A36" s="1963"/>
      <c r="B36" s="1963"/>
      <c r="C36" s="1963"/>
      <c r="D36" s="1963"/>
      <c r="E36" s="1964"/>
      <c r="F36" s="1964"/>
      <c r="G36" s="1964"/>
      <c r="H36" s="1995"/>
      <c r="I36" s="2063"/>
    </row>
    <row r="37" spans="1:9" ht="18" x14ac:dyDescent="0.25">
      <c r="A37" s="1942" t="s">
        <v>96</v>
      </c>
      <c r="B37" s="1973"/>
      <c r="C37" s="1973"/>
      <c r="D37" s="1973"/>
      <c r="E37" s="1973"/>
      <c r="F37" s="1973"/>
      <c r="G37" s="1973"/>
      <c r="H37" s="2027"/>
    </row>
    <row r="38" spans="1:9" ht="16.5" thickBot="1" x14ac:dyDescent="0.3">
      <c r="A38" s="1941" t="s">
        <v>97</v>
      </c>
      <c r="H38" s="1966" t="s">
        <v>173</v>
      </c>
    </row>
    <row r="39" spans="1:9" s="1735" customFormat="1" ht="25.5" thickTop="1" thickBot="1" x14ac:dyDescent="0.25">
      <c r="A39" s="1943" t="s">
        <v>174</v>
      </c>
      <c r="B39" s="1944" t="s">
        <v>800</v>
      </c>
      <c r="C39" s="1944" t="s">
        <v>397</v>
      </c>
      <c r="D39" s="1945" t="s">
        <v>176</v>
      </c>
      <c r="E39" s="1976" t="s">
        <v>669</v>
      </c>
      <c r="F39" s="1976" t="s">
        <v>670</v>
      </c>
      <c r="G39" s="1977" t="s">
        <v>923</v>
      </c>
      <c r="H39" s="1978" t="s">
        <v>924</v>
      </c>
    </row>
    <row r="40" spans="1:9" s="1735" customFormat="1" ht="13.5" thickTop="1" thickBot="1" x14ac:dyDescent="0.25">
      <c r="A40" s="1740">
        <v>1</v>
      </c>
      <c r="B40" s="1739">
        <v>2</v>
      </c>
      <c r="C40" s="1739">
        <v>3</v>
      </c>
      <c r="D40" s="1739">
        <v>4</v>
      </c>
      <c r="E40" s="1738">
        <v>5</v>
      </c>
      <c r="F40" s="1738">
        <v>6</v>
      </c>
      <c r="G40" s="2028">
        <v>7</v>
      </c>
      <c r="H40" s="2054" t="s">
        <v>61</v>
      </c>
    </row>
    <row r="41" spans="1:9" ht="15.75" thickTop="1" x14ac:dyDescent="0.2">
      <c r="A41" s="2049">
        <v>3122</v>
      </c>
      <c r="B41" s="2056">
        <v>6121</v>
      </c>
      <c r="C41" s="2059">
        <v>53100870</v>
      </c>
      <c r="D41" s="1979" t="s">
        <v>640</v>
      </c>
      <c r="E41" s="1975">
        <v>0</v>
      </c>
      <c r="F41" s="1975">
        <v>10</v>
      </c>
      <c r="G41" s="1975">
        <v>0</v>
      </c>
      <c r="H41" s="1961">
        <f>G41/F41*100</f>
        <v>0</v>
      </c>
    </row>
    <row r="42" spans="1:9" ht="15" hidden="1" x14ac:dyDescent="0.2">
      <c r="A42" s="2049">
        <v>3122</v>
      </c>
      <c r="B42" s="2056">
        <v>6121</v>
      </c>
      <c r="C42" s="2059">
        <v>53100872</v>
      </c>
      <c r="D42" s="1979" t="s">
        <v>640</v>
      </c>
      <c r="E42" s="1989">
        <v>0</v>
      </c>
      <c r="F42" s="1989"/>
      <c r="G42" s="1989"/>
      <c r="H42" s="1961" t="e">
        <f>G42/F42*100</f>
        <v>#DIV/0!</v>
      </c>
    </row>
    <row r="43" spans="1:9" ht="15.75" thickBot="1" x14ac:dyDescent="0.25">
      <c r="A43" s="2049">
        <v>3122</v>
      </c>
      <c r="B43" s="2056">
        <v>6121</v>
      </c>
      <c r="C43" s="2059">
        <v>53100874</v>
      </c>
      <c r="D43" s="1979" t="s">
        <v>640</v>
      </c>
      <c r="E43" s="1989">
        <v>0</v>
      </c>
      <c r="F43" s="1989">
        <v>40</v>
      </c>
      <c r="G43" s="1989">
        <v>9</v>
      </c>
      <c r="H43" s="1961">
        <f>G43/F43*100</f>
        <v>22.5</v>
      </c>
    </row>
    <row r="44" spans="1:9" ht="15.75" hidden="1" thickBot="1" x14ac:dyDescent="0.25">
      <c r="A44" s="2049">
        <v>3122</v>
      </c>
      <c r="B44" s="2056">
        <v>6121</v>
      </c>
      <c r="C44" s="2059">
        <v>53500871</v>
      </c>
      <c r="D44" s="1979" t="s">
        <v>640</v>
      </c>
      <c r="E44" s="1989">
        <v>0</v>
      </c>
      <c r="F44" s="1989"/>
      <c r="G44" s="1989"/>
      <c r="H44" s="1968">
        <v>0</v>
      </c>
    </row>
    <row r="45" spans="1:9" s="1969" customFormat="1" ht="16.5" thickTop="1" thickBot="1" x14ac:dyDescent="0.3">
      <c r="A45" s="2750" t="s">
        <v>802</v>
      </c>
      <c r="B45" s="2751"/>
      <c r="C45" s="2751"/>
      <c r="D45" s="2751"/>
      <c r="E45" s="1957">
        <f>SUM(E41:E44)</f>
        <v>0</v>
      </c>
      <c r="F45" s="1957">
        <f>SUM(F41:F44)</f>
        <v>50</v>
      </c>
      <c r="G45" s="1957">
        <f>SUM(G41:G44)</f>
        <v>9</v>
      </c>
      <c r="H45" s="1962">
        <f>G45/F45*100</f>
        <v>18</v>
      </c>
      <c r="I45" s="2063"/>
    </row>
    <row r="46" spans="1:9" s="1969" customFormat="1" ht="15.75" thickTop="1" x14ac:dyDescent="0.25">
      <c r="A46" s="1963"/>
      <c r="B46" s="1963"/>
      <c r="C46" s="1963"/>
      <c r="D46" s="1963"/>
      <c r="E46" s="1964"/>
      <c r="F46" s="1964"/>
      <c r="G46" s="1964"/>
      <c r="H46" s="1995"/>
      <c r="I46" s="2063"/>
    </row>
    <row r="47" spans="1:9" ht="18" x14ac:dyDescent="0.25">
      <c r="A47" s="1942" t="s">
        <v>98</v>
      </c>
      <c r="B47" s="1973"/>
      <c r="C47" s="1973"/>
      <c r="D47" s="1973"/>
      <c r="E47" s="1973"/>
      <c r="F47" s="1973"/>
      <c r="G47" s="1973"/>
      <c r="H47" s="2027"/>
    </row>
    <row r="48" spans="1:9" ht="16.5" thickBot="1" x14ac:dyDescent="0.3">
      <c r="A48" s="1941" t="s">
        <v>99</v>
      </c>
      <c r="H48" s="1966" t="s">
        <v>173</v>
      </c>
    </row>
    <row r="49" spans="1:9" s="1735" customFormat="1" ht="25.5" thickTop="1" thickBot="1" x14ac:dyDescent="0.25">
      <c r="A49" s="1943" t="s">
        <v>174</v>
      </c>
      <c r="B49" s="1944" t="s">
        <v>800</v>
      </c>
      <c r="C49" s="1944" t="s">
        <v>397</v>
      </c>
      <c r="D49" s="1945" t="s">
        <v>176</v>
      </c>
      <c r="E49" s="1976" t="s">
        <v>669</v>
      </c>
      <c r="F49" s="1976" t="s">
        <v>670</v>
      </c>
      <c r="G49" s="1977" t="s">
        <v>923</v>
      </c>
      <c r="H49" s="1978" t="s">
        <v>924</v>
      </c>
    </row>
    <row r="50" spans="1:9" s="1735" customFormat="1" ht="13.5" thickTop="1" thickBot="1" x14ac:dyDescent="0.25">
      <c r="A50" s="1740">
        <v>1</v>
      </c>
      <c r="B50" s="1739">
        <v>2</v>
      </c>
      <c r="C50" s="1739">
        <v>3</v>
      </c>
      <c r="D50" s="1739">
        <v>4</v>
      </c>
      <c r="E50" s="1738">
        <v>5</v>
      </c>
      <c r="F50" s="1738">
        <v>6</v>
      </c>
      <c r="G50" s="2028">
        <v>7</v>
      </c>
      <c r="H50" s="2054" t="s">
        <v>61</v>
      </c>
    </row>
    <row r="51" spans="1:9" ht="15.75" thickTop="1" x14ac:dyDescent="0.2">
      <c r="A51" s="2049">
        <v>3122</v>
      </c>
      <c r="B51" s="2056">
        <v>6121</v>
      </c>
      <c r="C51" s="2059">
        <v>53100870</v>
      </c>
      <c r="D51" s="1979" t="s">
        <v>640</v>
      </c>
      <c r="E51" s="1975">
        <v>0</v>
      </c>
      <c r="F51" s="1975">
        <v>1</v>
      </c>
      <c r="G51" s="1975">
        <v>1</v>
      </c>
      <c r="H51" s="1958">
        <f>G51/F51*100</f>
        <v>100</v>
      </c>
    </row>
    <row r="52" spans="1:9" ht="15" x14ac:dyDescent="0.2">
      <c r="A52" s="2049">
        <v>3122</v>
      </c>
      <c r="B52" s="2056">
        <v>6121</v>
      </c>
      <c r="C52" s="2059">
        <v>53100872</v>
      </c>
      <c r="D52" s="1979" t="s">
        <v>640</v>
      </c>
      <c r="E52" s="1989">
        <v>0</v>
      </c>
      <c r="F52" s="1989">
        <v>1</v>
      </c>
      <c r="G52" s="1989">
        <v>1</v>
      </c>
      <c r="H52" s="1961">
        <f>G52/F52*100</f>
        <v>100</v>
      </c>
    </row>
    <row r="53" spans="1:9" ht="15" x14ac:dyDescent="0.2">
      <c r="A53" s="2049">
        <v>3122</v>
      </c>
      <c r="B53" s="2056">
        <v>6121</v>
      </c>
      <c r="C53" s="2059">
        <v>53100874</v>
      </c>
      <c r="D53" s="1979" t="s">
        <v>640</v>
      </c>
      <c r="E53" s="1989">
        <v>0</v>
      </c>
      <c r="F53" s="1989">
        <v>27</v>
      </c>
      <c r="G53" s="1989">
        <v>10</v>
      </c>
      <c r="H53" s="1961">
        <f>G53/F53*100</f>
        <v>37.037037037037038</v>
      </c>
    </row>
    <row r="54" spans="1:9" ht="15.75" thickBot="1" x14ac:dyDescent="0.25">
      <c r="A54" s="2049">
        <v>3122</v>
      </c>
      <c r="B54" s="2056">
        <v>6121</v>
      </c>
      <c r="C54" s="2059">
        <v>53500871</v>
      </c>
      <c r="D54" s="1979" t="s">
        <v>640</v>
      </c>
      <c r="E54" s="1989">
        <v>0</v>
      </c>
      <c r="F54" s="1989">
        <v>12</v>
      </c>
      <c r="G54" s="1989">
        <v>12</v>
      </c>
      <c r="H54" s="1961">
        <f>G54/F54*100</f>
        <v>100</v>
      </c>
    </row>
    <row r="55" spans="1:9" s="1969" customFormat="1" ht="16.5" thickTop="1" thickBot="1" x14ac:dyDescent="0.3">
      <c r="A55" s="2750" t="s">
        <v>802</v>
      </c>
      <c r="B55" s="2751"/>
      <c r="C55" s="2751"/>
      <c r="D55" s="2751"/>
      <c r="E55" s="1957">
        <f>SUM(E51:E54)</f>
        <v>0</v>
      </c>
      <c r="F55" s="1957">
        <f>SUM(F51:F54)</f>
        <v>41</v>
      </c>
      <c r="G55" s="1957">
        <f>SUM(G51:G54)</f>
        <v>24</v>
      </c>
      <c r="H55" s="1962">
        <f>G55/F55*100</f>
        <v>58.536585365853654</v>
      </c>
      <c r="I55" s="2063"/>
    </row>
    <row r="56" spans="1:9" s="1969" customFormat="1" ht="15.75" thickTop="1" x14ac:dyDescent="0.25">
      <c r="A56" s="1963"/>
      <c r="B56" s="1963"/>
      <c r="C56" s="1963"/>
      <c r="D56" s="1963"/>
      <c r="E56" s="1964"/>
      <c r="F56" s="1964"/>
      <c r="G56" s="1964"/>
      <c r="H56" s="1995"/>
      <c r="I56" s="2063"/>
    </row>
    <row r="57" spans="1:9" ht="18" x14ac:dyDescent="0.25">
      <c r="A57" s="1942" t="s">
        <v>1873</v>
      </c>
      <c r="B57" s="1973"/>
      <c r="C57" s="1973"/>
      <c r="D57" s="1973"/>
      <c r="E57" s="1973"/>
      <c r="F57" s="1973"/>
      <c r="G57" s="1973"/>
      <c r="H57" s="2027"/>
    </row>
    <row r="58" spans="1:9" ht="16.5" thickBot="1" x14ac:dyDescent="0.3">
      <c r="A58" s="1941" t="s">
        <v>101</v>
      </c>
      <c r="H58" s="1966" t="s">
        <v>173</v>
      </c>
    </row>
    <row r="59" spans="1:9" s="1735" customFormat="1" ht="25.5" thickTop="1" thickBot="1" x14ac:dyDescent="0.25">
      <c r="A59" s="1943" t="s">
        <v>174</v>
      </c>
      <c r="B59" s="1944" t="s">
        <v>800</v>
      </c>
      <c r="C59" s="1944" t="s">
        <v>397</v>
      </c>
      <c r="D59" s="1945" t="s">
        <v>176</v>
      </c>
      <c r="E59" s="1976" t="s">
        <v>669</v>
      </c>
      <c r="F59" s="1976" t="s">
        <v>670</v>
      </c>
      <c r="G59" s="1977" t="s">
        <v>923</v>
      </c>
      <c r="H59" s="1978" t="s">
        <v>924</v>
      </c>
    </row>
    <row r="60" spans="1:9" s="1735" customFormat="1" ht="13.5" thickTop="1" thickBot="1" x14ac:dyDescent="0.25">
      <c r="A60" s="1740">
        <v>1</v>
      </c>
      <c r="B60" s="1739">
        <v>2</v>
      </c>
      <c r="C60" s="1739">
        <v>3</v>
      </c>
      <c r="D60" s="1739">
        <v>4</v>
      </c>
      <c r="E60" s="1738">
        <v>5</v>
      </c>
      <c r="F60" s="1738">
        <v>6</v>
      </c>
      <c r="G60" s="2028">
        <v>7</v>
      </c>
      <c r="H60" s="2054" t="s">
        <v>61</v>
      </c>
    </row>
    <row r="61" spans="1:9" ht="15.75" thickTop="1" x14ac:dyDescent="0.2">
      <c r="A61" s="2049">
        <v>3121</v>
      </c>
      <c r="B61" s="2056">
        <v>6121</v>
      </c>
      <c r="C61" s="2059">
        <v>53100870</v>
      </c>
      <c r="D61" s="1979" t="s">
        <v>640</v>
      </c>
      <c r="E61" s="1975">
        <v>0</v>
      </c>
      <c r="F61" s="1975">
        <v>1</v>
      </c>
      <c r="G61" s="1975">
        <v>1</v>
      </c>
      <c r="H61" s="1958">
        <f>G61/F61*100</f>
        <v>100</v>
      </c>
    </row>
    <row r="62" spans="1:9" ht="15" x14ac:dyDescent="0.2">
      <c r="A62" s="2049">
        <v>3121</v>
      </c>
      <c r="B62" s="2056">
        <v>6121</v>
      </c>
      <c r="C62" s="2059">
        <v>53100872</v>
      </c>
      <c r="D62" s="1979" t="s">
        <v>640</v>
      </c>
      <c r="E62" s="1989">
        <v>0</v>
      </c>
      <c r="F62" s="1989">
        <v>1</v>
      </c>
      <c r="G62" s="1989">
        <v>1</v>
      </c>
      <c r="H62" s="1961">
        <f>G62/F62*100</f>
        <v>100</v>
      </c>
    </row>
    <row r="63" spans="1:9" ht="15" x14ac:dyDescent="0.2">
      <c r="A63" s="2049">
        <v>3121</v>
      </c>
      <c r="B63" s="2056">
        <v>6121</v>
      </c>
      <c r="C63" s="2059">
        <v>53100874</v>
      </c>
      <c r="D63" s="1979" t="s">
        <v>640</v>
      </c>
      <c r="E63" s="1989">
        <v>0</v>
      </c>
      <c r="F63" s="1989">
        <v>1733</v>
      </c>
      <c r="G63" s="1989">
        <v>1729</v>
      </c>
      <c r="H63" s="1961">
        <f>G63/F63*100</f>
        <v>99.769186381996533</v>
      </c>
    </row>
    <row r="64" spans="1:9" ht="15.75" thickBot="1" x14ac:dyDescent="0.25">
      <c r="A64" s="2049">
        <v>3121</v>
      </c>
      <c r="B64" s="2056">
        <v>6121</v>
      </c>
      <c r="C64" s="2059">
        <v>53500871</v>
      </c>
      <c r="D64" s="1979" t="s">
        <v>640</v>
      </c>
      <c r="E64" s="1989">
        <v>0</v>
      </c>
      <c r="F64" s="1989">
        <v>12</v>
      </c>
      <c r="G64" s="1989">
        <v>12</v>
      </c>
      <c r="H64" s="1961">
        <f>G64/F64*100</f>
        <v>100</v>
      </c>
    </row>
    <row r="65" spans="1:9" s="1969" customFormat="1" ht="16.5" thickTop="1" thickBot="1" x14ac:dyDescent="0.3">
      <c r="A65" s="2750" t="s">
        <v>802</v>
      </c>
      <c r="B65" s="2751"/>
      <c r="C65" s="2751"/>
      <c r="D65" s="2751"/>
      <c r="E65" s="1957">
        <f>SUM(E61:E64)</f>
        <v>0</v>
      </c>
      <c r="F65" s="1957">
        <f>SUM(F61:F64)</f>
        <v>1747</v>
      </c>
      <c r="G65" s="1957">
        <f>SUM(G61:G64)</f>
        <v>1743</v>
      </c>
      <c r="H65" s="1962">
        <f>G65/F65*100</f>
        <v>99.771036061820269</v>
      </c>
      <c r="I65" s="2063"/>
    </row>
    <row r="66" spans="1:9" ht="13.5" thickTop="1" x14ac:dyDescent="0.2"/>
    <row r="67" spans="1:9" ht="18" x14ac:dyDescent="0.25">
      <c r="A67" s="1942" t="s">
        <v>102</v>
      </c>
      <c r="B67" s="1973"/>
      <c r="C67" s="1973"/>
      <c r="D67" s="1973"/>
      <c r="E67" s="1973"/>
      <c r="F67" s="1973"/>
      <c r="G67" s="1973"/>
      <c r="H67" s="2027"/>
    </row>
    <row r="68" spans="1:9" ht="16.5" thickBot="1" x14ac:dyDescent="0.3">
      <c r="A68" s="1941" t="s">
        <v>103</v>
      </c>
      <c r="H68" s="1966" t="s">
        <v>173</v>
      </c>
    </row>
    <row r="69" spans="1:9" s="1735" customFormat="1" ht="25.5" thickTop="1" thickBot="1" x14ac:dyDescent="0.25">
      <c r="A69" s="1943" t="s">
        <v>174</v>
      </c>
      <c r="B69" s="1944" t="s">
        <v>800</v>
      </c>
      <c r="C69" s="1944" t="s">
        <v>397</v>
      </c>
      <c r="D69" s="1945" t="s">
        <v>176</v>
      </c>
      <c r="E69" s="1976" t="s">
        <v>669</v>
      </c>
      <c r="F69" s="1976" t="s">
        <v>670</v>
      </c>
      <c r="G69" s="1977" t="s">
        <v>923</v>
      </c>
      <c r="H69" s="1978" t="s">
        <v>924</v>
      </c>
    </row>
    <row r="70" spans="1:9" s="1735" customFormat="1" ht="13.5" thickTop="1" thickBot="1" x14ac:dyDescent="0.25">
      <c r="A70" s="1740">
        <v>1</v>
      </c>
      <c r="B70" s="1739">
        <v>2</v>
      </c>
      <c r="C70" s="1739">
        <v>3</v>
      </c>
      <c r="D70" s="1739">
        <v>4</v>
      </c>
      <c r="E70" s="1738">
        <v>5</v>
      </c>
      <c r="F70" s="1738">
        <v>6</v>
      </c>
      <c r="G70" s="2028">
        <v>7</v>
      </c>
      <c r="H70" s="2054" t="s">
        <v>61</v>
      </c>
    </row>
    <row r="71" spans="1:9" ht="15.75" hidden="1" thickTop="1" x14ac:dyDescent="0.2">
      <c r="A71" s="2049">
        <v>3122</v>
      </c>
      <c r="B71" s="2056">
        <v>6121</v>
      </c>
      <c r="C71" s="2059">
        <v>53100870</v>
      </c>
      <c r="D71" s="1979" t="s">
        <v>640</v>
      </c>
      <c r="E71" s="1975">
        <v>0</v>
      </c>
      <c r="F71" s="1975">
        <v>0</v>
      </c>
      <c r="G71" s="1975">
        <v>0</v>
      </c>
      <c r="H71" s="1958" t="e">
        <f>G71/F71*100</f>
        <v>#DIV/0!</v>
      </c>
    </row>
    <row r="72" spans="1:9" ht="15.75" hidden="1" thickTop="1" x14ac:dyDescent="0.2">
      <c r="A72" s="2049">
        <v>3122</v>
      </c>
      <c r="B72" s="2056">
        <v>6121</v>
      </c>
      <c r="C72" s="2059">
        <v>53100872</v>
      </c>
      <c r="D72" s="1979" t="s">
        <v>640</v>
      </c>
      <c r="E72" s="1989">
        <v>0</v>
      </c>
      <c r="F72" s="1989"/>
      <c r="G72" s="1989"/>
      <c r="H72" s="1961" t="e">
        <f>G72/F72*100</f>
        <v>#DIV/0!</v>
      </c>
    </row>
    <row r="73" spans="1:9" ht="16.5" thickTop="1" thickBot="1" x14ac:dyDescent="0.25">
      <c r="A73" s="2049">
        <v>3122</v>
      </c>
      <c r="B73" s="2056">
        <v>6121</v>
      </c>
      <c r="C73" s="2059">
        <v>53100874</v>
      </c>
      <c r="D73" s="1979" t="s">
        <v>640</v>
      </c>
      <c r="E73" s="1989">
        <v>0</v>
      </c>
      <c r="F73" s="1989">
        <v>380</v>
      </c>
      <c r="G73" s="1989">
        <v>359</v>
      </c>
      <c r="H73" s="1961">
        <f>G73/F73*100</f>
        <v>94.473684210526315</v>
      </c>
    </row>
    <row r="74" spans="1:9" ht="15.75" hidden="1" thickBot="1" x14ac:dyDescent="0.25">
      <c r="A74" s="2049">
        <v>3122</v>
      </c>
      <c r="B74" s="2056">
        <v>6121</v>
      </c>
      <c r="C74" s="2059">
        <v>53500871</v>
      </c>
      <c r="D74" s="1979" t="s">
        <v>640</v>
      </c>
      <c r="E74" s="1989">
        <v>0</v>
      </c>
      <c r="F74" s="1989"/>
      <c r="G74" s="1989"/>
      <c r="H74" s="1968">
        <v>0</v>
      </c>
    </row>
    <row r="75" spans="1:9" s="1969" customFormat="1" ht="16.5" thickTop="1" thickBot="1" x14ac:dyDescent="0.3">
      <c r="A75" s="2750" t="s">
        <v>802</v>
      </c>
      <c r="B75" s="2751"/>
      <c r="C75" s="2751"/>
      <c r="D75" s="2751"/>
      <c r="E75" s="1957">
        <f>SUM(E71:E74)</f>
        <v>0</v>
      </c>
      <c r="F75" s="1957">
        <f>SUM(F71:F74)</f>
        <v>380</v>
      </c>
      <c r="G75" s="1957">
        <f>SUM(G71:G74)</f>
        <v>359</v>
      </c>
      <c r="H75" s="1962">
        <f>G75/F75*100</f>
        <v>94.473684210526315</v>
      </c>
      <c r="I75" s="2063"/>
    </row>
    <row r="76" spans="1:9" s="1969" customFormat="1" ht="15.75" thickTop="1" x14ac:dyDescent="0.25">
      <c r="A76" s="1963"/>
      <c r="B76" s="1963"/>
      <c r="C76" s="1963"/>
      <c r="D76" s="1963"/>
      <c r="E76" s="1964"/>
      <c r="F76" s="1964"/>
      <c r="G76" s="1964"/>
      <c r="H76" s="1995"/>
      <c r="I76" s="2063"/>
    </row>
    <row r="77" spans="1:9" ht="18" x14ac:dyDescent="0.25">
      <c r="A77" s="1942" t="s">
        <v>1734</v>
      </c>
      <c r="B77" s="1973"/>
      <c r="C77" s="1973"/>
      <c r="D77" s="1973"/>
      <c r="E77" s="1973"/>
      <c r="F77" s="1973"/>
      <c r="G77" s="1973"/>
      <c r="H77" s="2027"/>
    </row>
    <row r="78" spans="1:9" ht="16.5" thickBot="1" x14ac:dyDescent="0.3">
      <c r="A78" s="1941" t="s">
        <v>104</v>
      </c>
      <c r="H78" s="1966" t="s">
        <v>173</v>
      </c>
    </row>
    <row r="79" spans="1:9" s="1735" customFormat="1" ht="25.5" thickTop="1" thickBot="1" x14ac:dyDescent="0.25">
      <c r="A79" s="1943" t="s">
        <v>174</v>
      </c>
      <c r="B79" s="1944" t="s">
        <v>800</v>
      </c>
      <c r="C79" s="1944" t="s">
        <v>397</v>
      </c>
      <c r="D79" s="1945" t="s">
        <v>176</v>
      </c>
      <c r="E79" s="1976" t="s">
        <v>669</v>
      </c>
      <c r="F79" s="1976" t="s">
        <v>670</v>
      </c>
      <c r="G79" s="1977" t="s">
        <v>923</v>
      </c>
      <c r="H79" s="1978" t="s">
        <v>924</v>
      </c>
    </row>
    <row r="80" spans="1:9" s="1735" customFormat="1" ht="13.5" thickTop="1" thickBot="1" x14ac:dyDescent="0.25">
      <c r="A80" s="1740">
        <v>1</v>
      </c>
      <c r="B80" s="1739">
        <v>2</v>
      </c>
      <c r="C80" s="1739">
        <v>3</v>
      </c>
      <c r="D80" s="1739">
        <v>4</v>
      </c>
      <c r="E80" s="1738">
        <v>5</v>
      </c>
      <c r="F80" s="1738">
        <v>6</v>
      </c>
      <c r="G80" s="2028">
        <v>7</v>
      </c>
      <c r="H80" s="2054" t="s">
        <v>61</v>
      </c>
    </row>
    <row r="81" spans="1:9" ht="15.75" hidden="1" thickTop="1" x14ac:dyDescent="0.2">
      <c r="A81" s="2049">
        <v>3122</v>
      </c>
      <c r="B81" s="2056">
        <v>6121</v>
      </c>
      <c r="C81" s="2059">
        <v>53100870</v>
      </c>
      <c r="D81" s="1979" t="s">
        <v>640</v>
      </c>
      <c r="E81" s="1975">
        <v>0</v>
      </c>
      <c r="F81" s="1975">
        <v>0</v>
      </c>
      <c r="G81" s="1975">
        <v>0</v>
      </c>
      <c r="H81" s="1958" t="e">
        <f>G81/F81*100</f>
        <v>#DIV/0!</v>
      </c>
    </row>
    <row r="82" spans="1:9" ht="15.75" hidden="1" thickTop="1" x14ac:dyDescent="0.2">
      <c r="A82" s="2049">
        <v>3122</v>
      </c>
      <c r="B82" s="2056">
        <v>6121</v>
      </c>
      <c r="C82" s="2059">
        <v>53100872</v>
      </c>
      <c r="D82" s="1979" t="s">
        <v>640</v>
      </c>
      <c r="E82" s="1989">
        <v>0</v>
      </c>
      <c r="F82" s="1989"/>
      <c r="G82" s="1989"/>
      <c r="H82" s="1961" t="e">
        <f>G82/F82*100</f>
        <v>#DIV/0!</v>
      </c>
    </row>
    <row r="83" spans="1:9" ht="16.5" thickTop="1" thickBot="1" x14ac:dyDescent="0.25">
      <c r="A83" s="2049">
        <v>3122</v>
      </c>
      <c r="B83" s="2056">
        <v>6121</v>
      </c>
      <c r="C83" s="2059">
        <v>53100874</v>
      </c>
      <c r="D83" s="1979" t="s">
        <v>640</v>
      </c>
      <c r="E83" s="1989">
        <v>0</v>
      </c>
      <c r="F83" s="1989">
        <v>930</v>
      </c>
      <c r="G83" s="1989">
        <v>912</v>
      </c>
      <c r="H83" s="1961">
        <f>G83/F83*100</f>
        <v>98.064516129032256</v>
      </c>
    </row>
    <row r="84" spans="1:9" ht="15.75" hidden="1" thickBot="1" x14ac:dyDescent="0.25">
      <c r="A84" s="2049">
        <v>3122</v>
      </c>
      <c r="B84" s="2056">
        <v>6121</v>
      </c>
      <c r="C84" s="2059">
        <v>53500871</v>
      </c>
      <c r="D84" s="1979" t="s">
        <v>640</v>
      </c>
      <c r="E84" s="1989">
        <v>0</v>
      </c>
      <c r="F84" s="1989"/>
      <c r="G84" s="1989"/>
      <c r="H84" s="1968">
        <v>0</v>
      </c>
    </row>
    <row r="85" spans="1:9" s="1969" customFormat="1" ht="16.5" thickTop="1" thickBot="1" x14ac:dyDescent="0.3">
      <c r="A85" s="2750" t="s">
        <v>802</v>
      </c>
      <c r="B85" s="2751"/>
      <c r="C85" s="2751"/>
      <c r="D85" s="2751"/>
      <c r="E85" s="1957">
        <f>SUM(E81:E84)</f>
        <v>0</v>
      </c>
      <c r="F85" s="1957">
        <f>SUM(F81:F84)</f>
        <v>930</v>
      </c>
      <c r="G85" s="1957">
        <f>SUM(G81:G84)</f>
        <v>912</v>
      </c>
      <c r="H85" s="1962">
        <f>G85/F85*100</f>
        <v>98.064516129032256</v>
      </c>
      <c r="I85" s="2063"/>
    </row>
    <row r="86" spans="1:9" s="1969" customFormat="1" ht="15.75" thickTop="1" x14ac:dyDescent="0.25">
      <c r="A86" s="1963"/>
      <c r="B86" s="1963"/>
      <c r="C86" s="1963"/>
      <c r="D86" s="1963"/>
      <c r="E86" s="1964"/>
      <c r="F86" s="1964"/>
      <c r="G86" s="1964"/>
      <c r="H86" s="1995"/>
      <c r="I86" s="2063"/>
    </row>
    <row r="87" spans="1:9" ht="18" x14ac:dyDescent="0.25">
      <c r="A87" s="1942" t="s">
        <v>105</v>
      </c>
      <c r="B87" s="1973"/>
      <c r="C87" s="1973"/>
      <c r="D87" s="1973"/>
      <c r="E87" s="1973"/>
      <c r="F87" s="1973"/>
      <c r="G87" s="1973"/>
      <c r="H87" s="2027"/>
    </row>
    <row r="88" spans="1:9" ht="16.5" thickBot="1" x14ac:dyDescent="0.3">
      <c r="A88" s="1941" t="s">
        <v>106</v>
      </c>
      <c r="H88" s="1966" t="s">
        <v>173</v>
      </c>
    </row>
    <row r="89" spans="1:9" s="1735" customFormat="1" ht="25.5" thickTop="1" thickBot="1" x14ac:dyDescent="0.25">
      <c r="A89" s="1943" t="s">
        <v>174</v>
      </c>
      <c r="B89" s="1944" t="s">
        <v>800</v>
      </c>
      <c r="C89" s="1944" t="s">
        <v>397</v>
      </c>
      <c r="D89" s="1945" t="s">
        <v>176</v>
      </c>
      <c r="E89" s="1976" t="s">
        <v>669</v>
      </c>
      <c r="F89" s="1976" t="s">
        <v>670</v>
      </c>
      <c r="G89" s="1977" t="s">
        <v>923</v>
      </c>
      <c r="H89" s="1978" t="s">
        <v>924</v>
      </c>
    </row>
    <row r="90" spans="1:9" s="1735" customFormat="1" ht="13.5" thickTop="1" thickBot="1" x14ac:dyDescent="0.25">
      <c r="A90" s="1740">
        <v>1</v>
      </c>
      <c r="B90" s="1739">
        <v>2</v>
      </c>
      <c r="C90" s="1739">
        <v>3</v>
      </c>
      <c r="D90" s="1739">
        <v>4</v>
      </c>
      <c r="E90" s="1738">
        <v>5</v>
      </c>
      <c r="F90" s="1738">
        <v>6</v>
      </c>
      <c r="G90" s="2028">
        <v>7</v>
      </c>
      <c r="H90" s="2054" t="s">
        <v>61</v>
      </c>
    </row>
    <row r="91" spans="1:9" ht="15.75" hidden="1" thickTop="1" x14ac:dyDescent="0.2">
      <c r="A91" s="2049">
        <v>3122</v>
      </c>
      <c r="B91" s="2056">
        <v>6121</v>
      </c>
      <c r="C91" s="2059">
        <v>53100870</v>
      </c>
      <c r="D91" s="1979" t="s">
        <v>640</v>
      </c>
      <c r="E91" s="1975">
        <v>0</v>
      </c>
      <c r="F91" s="1975">
        <v>0</v>
      </c>
      <c r="G91" s="1975">
        <v>0</v>
      </c>
      <c r="H91" s="1958" t="e">
        <f>G91/F91*100</f>
        <v>#DIV/0!</v>
      </c>
    </row>
    <row r="92" spans="1:9" ht="15.75" hidden="1" thickTop="1" x14ac:dyDescent="0.2">
      <c r="A92" s="2049">
        <v>3122</v>
      </c>
      <c r="B92" s="2056">
        <v>6121</v>
      </c>
      <c r="C92" s="2059">
        <v>53100872</v>
      </c>
      <c r="D92" s="1979" t="s">
        <v>640</v>
      </c>
      <c r="E92" s="1989">
        <v>0</v>
      </c>
      <c r="F92" s="1989"/>
      <c r="G92" s="1989"/>
      <c r="H92" s="1961" t="e">
        <f>G92/F92*100</f>
        <v>#DIV/0!</v>
      </c>
    </row>
    <row r="93" spans="1:9" ht="16.5" thickTop="1" thickBot="1" x14ac:dyDescent="0.25">
      <c r="A93" s="2049">
        <v>3122</v>
      </c>
      <c r="B93" s="2056">
        <v>6121</v>
      </c>
      <c r="C93" s="2059">
        <v>53100874</v>
      </c>
      <c r="D93" s="1979" t="s">
        <v>640</v>
      </c>
      <c r="E93" s="1989">
        <v>0</v>
      </c>
      <c r="F93" s="1989">
        <v>15</v>
      </c>
      <c r="G93" s="1989">
        <v>5</v>
      </c>
      <c r="H93" s="1961">
        <f>G93/F93*100</f>
        <v>33.333333333333329</v>
      </c>
    </row>
    <row r="94" spans="1:9" ht="15.75" hidden="1" thickBot="1" x14ac:dyDescent="0.25">
      <c r="A94" s="2049">
        <v>3122</v>
      </c>
      <c r="B94" s="2056">
        <v>6121</v>
      </c>
      <c r="C94" s="2059">
        <v>53500871</v>
      </c>
      <c r="D94" s="1979" t="s">
        <v>640</v>
      </c>
      <c r="E94" s="1989">
        <v>0</v>
      </c>
      <c r="F94" s="1989"/>
      <c r="G94" s="1989"/>
      <c r="H94" s="1968">
        <v>0</v>
      </c>
    </row>
    <row r="95" spans="1:9" s="1969" customFormat="1" ht="16.5" thickTop="1" thickBot="1" x14ac:dyDescent="0.3">
      <c r="A95" s="2750" t="s">
        <v>802</v>
      </c>
      <c r="B95" s="2751"/>
      <c r="C95" s="2751"/>
      <c r="D95" s="2751"/>
      <c r="E95" s="1957">
        <f>SUM(E91:E94)</f>
        <v>0</v>
      </c>
      <c r="F95" s="1957">
        <f>SUM(F91:F94)</f>
        <v>15</v>
      </c>
      <c r="G95" s="1957">
        <f>SUM(G91:G94)</f>
        <v>5</v>
      </c>
      <c r="H95" s="1962">
        <f>G95/F95*100</f>
        <v>33.333333333333329</v>
      </c>
      <c r="I95" s="2063"/>
    </row>
    <row r="96" spans="1:9" s="1969" customFormat="1" ht="15.75" thickTop="1" x14ac:dyDescent="0.25">
      <c r="A96" s="1963"/>
      <c r="B96" s="1963"/>
      <c r="C96" s="1963"/>
      <c r="D96" s="1963"/>
      <c r="E96" s="1964"/>
      <c r="F96" s="1964"/>
      <c r="G96" s="1964"/>
      <c r="H96" s="1995"/>
      <c r="I96" s="2063"/>
    </row>
    <row r="97" spans="1:9" ht="18" x14ac:dyDescent="0.25">
      <c r="A97" s="1942" t="s">
        <v>107</v>
      </c>
      <c r="B97" s="1973"/>
      <c r="C97" s="1973"/>
      <c r="D97" s="1973"/>
      <c r="E97" s="1973"/>
      <c r="F97" s="1973"/>
      <c r="G97" s="1973"/>
      <c r="H97" s="2027"/>
    </row>
    <row r="98" spans="1:9" ht="16.5" thickBot="1" x14ac:dyDescent="0.3">
      <c r="A98" s="1941" t="s">
        <v>108</v>
      </c>
      <c r="H98" s="1966" t="s">
        <v>173</v>
      </c>
    </row>
    <row r="99" spans="1:9" s="1735" customFormat="1" ht="25.5" thickTop="1" thickBot="1" x14ac:dyDescent="0.25">
      <c r="A99" s="1943" t="s">
        <v>174</v>
      </c>
      <c r="B99" s="1944" t="s">
        <v>800</v>
      </c>
      <c r="C99" s="1944" t="s">
        <v>397</v>
      </c>
      <c r="D99" s="1945" t="s">
        <v>176</v>
      </c>
      <c r="E99" s="1976" t="s">
        <v>669</v>
      </c>
      <c r="F99" s="1976" t="s">
        <v>670</v>
      </c>
      <c r="G99" s="1977" t="s">
        <v>923</v>
      </c>
      <c r="H99" s="1978" t="s">
        <v>924</v>
      </c>
    </row>
    <row r="100" spans="1:9" s="1735" customFormat="1" ht="13.5" thickTop="1" thickBot="1" x14ac:dyDescent="0.25">
      <c r="A100" s="1740">
        <v>1</v>
      </c>
      <c r="B100" s="1739">
        <v>2</v>
      </c>
      <c r="C100" s="1739">
        <v>3</v>
      </c>
      <c r="D100" s="1739">
        <v>4</v>
      </c>
      <c r="E100" s="1738">
        <v>5</v>
      </c>
      <c r="F100" s="1738">
        <v>6</v>
      </c>
      <c r="G100" s="2028">
        <v>7</v>
      </c>
      <c r="H100" s="2054" t="s">
        <v>61</v>
      </c>
    </row>
    <row r="101" spans="1:9" ht="15.75" hidden="1" thickTop="1" x14ac:dyDescent="0.2">
      <c r="A101" s="2049">
        <v>3122</v>
      </c>
      <c r="B101" s="2056">
        <v>6121</v>
      </c>
      <c r="C101" s="2059">
        <v>53100870</v>
      </c>
      <c r="D101" s="1979" t="s">
        <v>640</v>
      </c>
      <c r="E101" s="1975">
        <v>0</v>
      </c>
      <c r="F101" s="1975">
        <v>0</v>
      </c>
      <c r="G101" s="1975">
        <v>0</v>
      </c>
      <c r="H101" s="1958" t="e">
        <f>G101/F101*100</f>
        <v>#DIV/0!</v>
      </c>
    </row>
    <row r="102" spans="1:9" ht="15.75" hidden="1" thickTop="1" x14ac:dyDescent="0.2">
      <c r="A102" s="2049">
        <v>3122</v>
      </c>
      <c r="B102" s="2056">
        <v>6121</v>
      </c>
      <c r="C102" s="2059">
        <v>53100872</v>
      </c>
      <c r="D102" s="1979" t="s">
        <v>640</v>
      </c>
      <c r="E102" s="1989">
        <v>0</v>
      </c>
      <c r="F102" s="1989"/>
      <c r="G102" s="1989"/>
      <c r="H102" s="1961" t="e">
        <f>G102/F102*100</f>
        <v>#DIV/0!</v>
      </c>
    </row>
    <row r="103" spans="1:9" ht="16.5" thickTop="1" thickBot="1" x14ac:dyDescent="0.25">
      <c r="A103" s="2049">
        <v>3122</v>
      </c>
      <c r="B103" s="2056">
        <v>6121</v>
      </c>
      <c r="C103" s="2059">
        <v>53100874</v>
      </c>
      <c r="D103" s="1979" t="s">
        <v>640</v>
      </c>
      <c r="E103" s="1989">
        <v>0</v>
      </c>
      <c r="F103" s="1989">
        <v>15</v>
      </c>
      <c r="G103" s="1989">
        <v>5</v>
      </c>
      <c r="H103" s="1961">
        <f>G103/F103*100</f>
        <v>33.333333333333329</v>
      </c>
    </row>
    <row r="104" spans="1:9" ht="15.75" hidden="1" thickBot="1" x14ac:dyDescent="0.25">
      <c r="A104" s="2049">
        <v>3122</v>
      </c>
      <c r="B104" s="2056">
        <v>6121</v>
      </c>
      <c r="C104" s="2059">
        <v>53500871</v>
      </c>
      <c r="D104" s="1979" t="s">
        <v>640</v>
      </c>
      <c r="E104" s="1989">
        <v>0</v>
      </c>
      <c r="F104" s="1989"/>
      <c r="G104" s="1989"/>
      <c r="H104" s="1968">
        <v>0</v>
      </c>
    </row>
    <row r="105" spans="1:9" s="1969" customFormat="1" ht="16.5" thickTop="1" thickBot="1" x14ac:dyDescent="0.3">
      <c r="A105" s="2750" t="s">
        <v>802</v>
      </c>
      <c r="B105" s="2751"/>
      <c r="C105" s="2751"/>
      <c r="D105" s="2751"/>
      <c r="E105" s="1957">
        <f>SUM(E101:E104)</f>
        <v>0</v>
      </c>
      <c r="F105" s="1957">
        <f>SUM(F101:F104)</f>
        <v>15</v>
      </c>
      <c r="G105" s="1957">
        <f>SUM(G101:G104)</f>
        <v>5</v>
      </c>
      <c r="H105" s="1962">
        <f>G105/F105*100</f>
        <v>33.333333333333329</v>
      </c>
      <c r="I105" s="2063"/>
    </row>
    <row r="106" spans="1:9" s="1969" customFormat="1" ht="15.75" thickTop="1" x14ac:dyDescent="0.25">
      <c r="A106" s="1963"/>
      <c r="B106" s="1963"/>
      <c r="C106" s="1963"/>
      <c r="D106" s="1963"/>
      <c r="E106" s="1964"/>
      <c r="F106" s="1964"/>
      <c r="G106" s="1964"/>
      <c r="H106" s="1995"/>
      <c r="I106" s="2063"/>
    </row>
    <row r="107" spans="1:9" ht="18" x14ac:dyDescent="0.25">
      <c r="A107" s="1942" t="s">
        <v>109</v>
      </c>
      <c r="B107" s="1973"/>
      <c r="C107" s="1973"/>
      <c r="D107" s="1973"/>
      <c r="E107" s="1973"/>
      <c r="F107" s="1973"/>
      <c r="G107" s="1973"/>
      <c r="H107" s="2027"/>
    </row>
    <row r="108" spans="1:9" ht="16.5" thickBot="1" x14ac:dyDescent="0.3">
      <c r="A108" s="1941" t="s">
        <v>110</v>
      </c>
      <c r="H108" s="1966" t="s">
        <v>173</v>
      </c>
    </row>
    <row r="109" spans="1:9" s="1735" customFormat="1" ht="25.5" thickTop="1" thickBot="1" x14ac:dyDescent="0.25">
      <c r="A109" s="1943" t="s">
        <v>174</v>
      </c>
      <c r="B109" s="1944" t="s">
        <v>800</v>
      </c>
      <c r="C109" s="1944" t="s">
        <v>397</v>
      </c>
      <c r="D109" s="1945" t="s">
        <v>176</v>
      </c>
      <c r="E109" s="1976" t="s">
        <v>669</v>
      </c>
      <c r="F109" s="1976" t="s">
        <v>670</v>
      </c>
      <c r="G109" s="1977" t="s">
        <v>923</v>
      </c>
      <c r="H109" s="1978" t="s">
        <v>924</v>
      </c>
    </row>
    <row r="110" spans="1:9" s="1735" customFormat="1" ht="13.5" thickTop="1" thickBot="1" x14ac:dyDescent="0.25">
      <c r="A110" s="1740">
        <v>1</v>
      </c>
      <c r="B110" s="1739">
        <v>2</v>
      </c>
      <c r="C110" s="1739">
        <v>3</v>
      </c>
      <c r="D110" s="1739">
        <v>4</v>
      </c>
      <c r="E110" s="1738">
        <v>5</v>
      </c>
      <c r="F110" s="1738">
        <v>6</v>
      </c>
      <c r="G110" s="2028">
        <v>7</v>
      </c>
      <c r="H110" s="2054" t="s">
        <v>61</v>
      </c>
    </row>
    <row r="111" spans="1:9" ht="15.75" thickTop="1" x14ac:dyDescent="0.2">
      <c r="A111" s="2049">
        <v>3122</v>
      </c>
      <c r="B111" s="2056">
        <v>6121</v>
      </c>
      <c r="C111" s="2059">
        <v>53100870</v>
      </c>
      <c r="D111" s="1979" t="s">
        <v>640</v>
      </c>
      <c r="E111" s="1975">
        <v>0</v>
      </c>
      <c r="F111" s="1975">
        <v>10</v>
      </c>
      <c r="G111" s="1975">
        <v>0</v>
      </c>
      <c r="H111" s="1961">
        <f>G111/F111*100</f>
        <v>0</v>
      </c>
    </row>
    <row r="112" spans="1:9" ht="15" hidden="1" x14ac:dyDescent="0.2">
      <c r="A112" s="2049">
        <v>3122</v>
      </c>
      <c r="B112" s="2056">
        <v>6121</v>
      </c>
      <c r="C112" s="2059">
        <v>53100872</v>
      </c>
      <c r="D112" s="1979" t="s">
        <v>640</v>
      </c>
      <c r="E112" s="1989">
        <v>0</v>
      </c>
      <c r="F112" s="1989"/>
      <c r="G112" s="1989"/>
      <c r="H112" s="1961" t="e">
        <f>G112/F112*100</f>
        <v>#DIV/0!</v>
      </c>
    </row>
    <row r="113" spans="1:9" ht="15.75" thickBot="1" x14ac:dyDescent="0.25">
      <c r="A113" s="2049">
        <v>3122</v>
      </c>
      <c r="B113" s="2056">
        <v>6121</v>
      </c>
      <c r="C113" s="2059">
        <v>53100874</v>
      </c>
      <c r="D113" s="1979" t="s">
        <v>640</v>
      </c>
      <c r="E113" s="1989">
        <v>0</v>
      </c>
      <c r="F113" s="1989">
        <v>40</v>
      </c>
      <c r="G113" s="1989">
        <v>9</v>
      </c>
      <c r="H113" s="1961">
        <f>G113/F113*100</f>
        <v>22.5</v>
      </c>
    </row>
    <row r="114" spans="1:9" ht="15.75" hidden="1" thickBot="1" x14ac:dyDescent="0.25">
      <c r="A114" s="2049">
        <v>3122</v>
      </c>
      <c r="B114" s="2056">
        <v>6121</v>
      </c>
      <c r="C114" s="2059">
        <v>53500871</v>
      </c>
      <c r="D114" s="1979" t="s">
        <v>640</v>
      </c>
      <c r="E114" s="1989">
        <v>0</v>
      </c>
      <c r="F114" s="1989"/>
      <c r="G114" s="1989"/>
      <c r="H114" s="1968">
        <v>0</v>
      </c>
    </row>
    <row r="115" spans="1:9" s="1969" customFormat="1" ht="16.5" thickTop="1" thickBot="1" x14ac:dyDescent="0.3">
      <c r="A115" s="2750" t="s">
        <v>802</v>
      </c>
      <c r="B115" s="2751"/>
      <c r="C115" s="2751"/>
      <c r="D115" s="2751"/>
      <c r="E115" s="1957">
        <f>SUM(E111:E114)</f>
        <v>0</v>
      </c>
      <c r="F115" s="1957">
        <f>SUM(F111:F114)</f>
        <v>50</v>
      </c>
      <c r="G115" s="1957">
        <f>SUM(G111:G114)</f>
        <v>9</v>
      </c>
      <c r="H115" s="1962">
        <f>G115/F115*100</f>
        <v>18</v>
      </c>
      <c r="I115" s="2063"/>
    </row>
    <row r="116" spans="1:9" s="1969" customFormat="1" ht="15.75" thickTop="1" x14ac:dyDescent="0.25">
      <c r="A116" s="1963"/>
      <c r="B116" s="1963"/>
      <c r="C116" s="1963"/>
      <c r="D116" s="1963"/>
      <c r="E116" s="1964"/>
      <c r="F116" s="1964"/>
      <c r="G116" s="1964"/>
      <c r="H116" s="1995"/>
      <c r="I116" s="2063"/>
    </row>
    <row r="117" spans="1:9" ht="18" x14ac:dyDescent="0.25">
      <c r="A117" s="1942" t="s">
        <v>1340</v>
      </c>
      <c r="B117" s="1973"/>
      <c r="C117" s="1973"/>
      <c r="D117" s="1973"/>
      <c r="E117" s="1973"/>
      <c r="F117" s="1973"/>
      <c r="G117" s="1973"/>
      <c r="H117" s="2027"/>
    </row>
    <row r="118" spans="1:9" ht="16.5" thickBot="1" x14ac:dyDescent="0.3">
      <c r="A118" s="1941" t="s">
        <v>1341</v>
      </c>
      <c r="H118" s="1966" t="s">
        <v>173</v>
      </c>
    </row>
    <row r="119" spans="1:9" s="1735" customFormat="1" ht="25.5" thickTop="1" thickBot="1" x14ac:dyDescent="0.25">
      <c r="A119" s="1943" t="s">
        <v>174</v>
      </c>
      <c r="B119" s="1944" t="s">
        <v>800</v>
      </c>
      <c r="C119" s="1944" t="s">
        <v>397</v>
      </c>
      <c r="D119" s="1945" t="s">
        <v>176</v>
      </c>
      <c r="E119" s="1976" t="s">
        <v>669</v>
      </c>
      <c r="F119" s="1976" t="s">
        <v>670</v>
      </c>
      <c r="G119" s="1977" t="s">
        <v>923</v>
      </c>
      <c r="H119" s="1978" t="s">
        <v>924</v>
      </c>
    </row>
    <row r="120" spans="1:9" s="1735" customFormat="1" ht="13.5" thickTop="1" thickBot="1" x14ac:dyDescent="0.25">
      <c r="A120" s="1740">
        <v>1</v>
      </c>
      <c r="B120" s="1739">
        <v>2</v>
      </c>
      <c r="C120" s="1739">
        <v>3</v>
      </c>
      <c r="D120" s="1739">
        <v>4</v>
      </c>
      <c r="E120" s="1738">
        <v>5</v>
      </c>
      <c r="F120" s="1738">
        <v>6</v>
      </c>
      <c r="G120" s="2028">
        <v>7</v>
      </c>
      <c r="H120" s="2054" t="s">
        <v>61</v>
      </c>
    </row>
    <row r="121" spans="1:9" ht="15.75" thickTop="1" x14ac:dyDescent="0.2">
      <c r="A121" s="2049">
        <v>3122</v>
      </c>
      <c r="B121" s="2056">
        <v>6121</v>
      </c>
      <c r="C121" s="2059">
        <v>53100870</v>
      </c>
      <c r="D121" s="1979" t="s">
        <v>640</v>
      </c>
      <c r="E121" s="1975">
        <v>0</v>
      </c>
      <c r="F121" s="1975">
        <v>7</v>
      </c>
      <c r="G121" s="1975">
        <v>0</v>
      </c>
      <c r="H121" s="1961">
        <f>G121/F121*100</f>
        <v>0</v>
      </c>
    </row>
    <row r="122" spans="1:9" ht="15" hidden="1" x14ac:dyDescent="0.2">
      <c r="A122" s="2049">
        <v>3122</v>
      </c>
      <c r="B122" s="2056">
        <v>6121</v>
      </c>
      <c r="C122" s="2059">
        <v>53100872</v>
      </c>
      <c r="D122" s="1979" t="s">
        <v>640</v>
      </c>
      <c r="E122" s="1989">
        <v>0</v>
      </c>
      <c r="F122" s="1989"/>
      <c r="G122" s="1989"/>
      <c r="H122" s="1961" t="e">
        <f>G122/F122*100</f>
        <v>#DIV/0!</v>
      </c>
    </row>
    <row r="123" spans="1:9" ht="15.75" thickBot="1" x14ac:dyDescent="0.25">
      <c r="A123" s="2049">
        <v>3122</v>
      </c>
      <c r="B123" s="2056">
        <v>6121</v>
      </c>
      <c r="C123" s="2059">
        <v>53100874</v>
      </c>
      <c r="D123" s="1979" t="s">
        <v>640</v>
      </c>
      <c r="E123" s="1989">
        <v>0</v>
      </c>
      <c r="F123" s="1989">
        <v>28</v>
      </c>
      <c r="G123" s="1989">
        <v>3</v>
      </c>
      <c r="H123" s="1961">
        <f>G123/F123*100</f>
        <v>10.714285714285714</v>
      </c>
    </row>
    <row r="124" spans="1:9" ht="15.75" hidden="1" thickBot="1" x14ac:dyDescent="0.25">
      <c r="A124" s="2049">
        <v>3122</v>
      </c>
      <c r="B124" s="2056">
        <v>6121</v>
      </c>
      <c r="C124" s="2059">
        <v>53500871</v>
      </c>
      <c r="D124" s="1979" t="s">
        <v>640</v>
      </c>
      <c r="E124" s="1989">
        <v>0</v>
      </c>
      <c r="F124" s="1989"/>
      <c r="G124" s="1989"/>
      <c r="H124" s="1968">
        <v>0</v>
      </c>
    </row>
    <row r="125" spans="1:9" s="1969" customFormat="1" ht="16.5" thickTop="1" thickBot="1" x14ac:dyDescent="0.3">
      <c r="A125" s="2750" t="s">
        <v>802</v>
      </c>
      <c r="B125" s="2751"/>
      <c r="C125" s="2751"/>
      <c r="D125" s="2751"/>
      <c r="E125" s="1957">
        <f>SUM(E121:E124)</f>
        <v>0</v>
      </c>
      <c r="F125" s="1957">
        <f>SUM(F121:F124)</f>
        <v>35</v>
      </c>
      <c r="G125" s="1957">
        <f>SUM(G121:G124)</f>
        <v>3</v>
      </c>
      <c r="H125" s="1962">
        <f>G125/F125*100</f>
        <v>8.5714285714285712</v>
      </c>
      <c r="I125" s="2063"/>
    </row>
    <row r="126" spans="1:9" s="1969" customFormat="1" ht="15.75" thickTop="1" x14ac:dyDescent="0.25">
      <c r="A126" s="1963"/>
      <c r="B126" s="1963"/>
      <c r="C126" s="1963"/>
      <c r="D126" s="1963"/>
      <c r="E126" s="1964"/>
      <c r="F126" s="1964"/>
      <c r="G126" s="1964"/>
      <c r="H126" s="1995"/>
      <c r="I126" s="2063"/>
    </row>
    <row r="127" spans="1:9" ht="18" x14ac:dyDescent="0.25">
      <c r="A127" s="1942" t="s">
        <v>1342</v>
      </c>
      <c r="B127" s="1973"/>
      <c r="C127" s="1973"/>
      <c r="D127" s="1973"/>
      <c r="E127" s="1973"/>
      <c r="F127" s="1973"/>
      <c r="G127" s="1973"/>
      <c r="H127" s="2027"/>
    </row>
    <row r="128" spans="1:9" ht="16.5" thickBot="1" x14ac:dyDescent="0.3">
      <c r="A128" s="1941" t="s">
        <v>1343</v>
      </c>
      <c r="H128" s="1966" t="s">
        <v>173</v>
      </c>
    </row>
    <row r="129" spans="1:9" s="1735" customFormat="1" ht="25.5" thickTop="1" thickBot="1" x14ac:dyDescent="0.25">
      <c r="A129" s="1943" t="s">
        <v>174</v>
      </c>
      <c r="B129" s="1944" t="s">
        <v>800</v>
      </c>
      <c r="C129" s="1944" t="s">
        <v>397</v>
      </c>
      <c r="D129" s="1945" t="s">
        <v>176</v>
      </c>
      <c r="E129" s="1976" t="s">
        <v>669</v>
      </c>
      <c r="F129" s="1976" t="s">
        <v>670</v>
      </c>
      <c r="G129" s="1977" t="s">
        <v>923</v>
      </c>
      <c r="H129" s="1978" t="s">
        <v>924</v>
      </c>
    </row>
    <row r="130" spans="1:9" s="1735" customFormat="1" ht="13.5" thickTop="1" thickBot="1" x14ac:dyDescent="0.25">
      <c r="A130" s="1740">
        <v>1</v>
      </c>
      <c r="B130" s="1739">
        <v>2</v>
      </c>
      <c r="C130" s="1739">
        <v>3</v>
      </c>
      <c r="D130" s="1739">
        <v>4</v>
      </c>
      <c r="E130" s="1738">
        <v>5</v>
      </c>
      <c r="F130" s="1738">
        <v>6</v>
      </c>
      <c r="G130" s="2028">
        <v>7</v>
      </c>
      <c r="H130" s="2054" t="s">
        <v>61</v>
      </c>
    </row>
    <row r="131" spans="1:9" ht="15.75" thickTop="1" x14ac:dyDescent="0.2">
      <c r="A131" s="2049">
        <v>3122</v>
      </c>
      <c r="B131" s="2056">
        <v>6121</v>
      </c>
      <c r="C131" s="2059">
        <v>53100870</v>
      </c>
      <c r="D131" s="1979" t="s">
        <v>640</v>
      </c>
      <c r="E131" s="1975">
        <v>0</v>
      </c>
      <c r="F131" s="1975">
        <v>7</v>
      </c>
      <c r="G131" s="1975">
        <v>0</v>
      </c>
      <c r="H131" s="1961">
        <f>G131/F131*100</f>
        <v>0</v>
      </c>
    </row>
    <row r="132" spans="1:9" ht="15" hidden="1" x14ac:dyDescent="0.2">
      <c r="A132" s="2049">
        <v>3122</v>
      </c>
      <c r="B132" s="2056">
        <v>6121</v>
      </c>
      <c r="C132" s="2059">
        <v>53100872</v>
      </c>
      <c r="D132" s="1979" t="s">
        <v>640</v>
      </c>
      <c r="E132" s="1989">
        <v>0</v>
      </c>
      <c r="F132" s="1989"/>
      <c r="G132" s="1989"/>
      <c r="H132" s="1961" t="e">
        <f>G132/F132*100</f>
        <v>#DIV/0!</v>
      </c>
    </row>
    <row r="133" spans="1:9" ht="15.75" thickBot="1" x14ac:dyDescent="0.25">
      <c r="A133" s="2049">
        <v>3122</v>
      </c>
      <c r="B133" s="2056">
        <v>6121</v>
      </c>
      <c r="C133" s="2059">
        <v>53100874</v>
      </c>
      <c r="D133" s="1979" t="s">
        <v>640</v>
      </c>
      <c r="E133" s="1989">
        <v>0</v>
      </c>
      <c r="F133" s="1989">
        <v>28</v>
      </c>
      <c r="G133" s="1989">
        <v>3</v>
      </c>
      <c r="H133" s="1961">
        <f>G133/F133*100</f>
        <v>10.714285714285714</v>
      </c>
    </row>
    <row r="134" spans="1:9" ht="15.75" hidden="1" thickBot="1" x14ac:dyDescent="0.25">
      <c r="A134" s="2049">
        <v>3122</v>
      </c>
      <c r="B134" s="2056">
        <v>6121</v>
      </c>
      <c r="C134" s="2059">
        <v>53500871</v>
      </c>
      <c r="D134" s="1979" t="s">
        <v>640</v>
      </c>
      <c r="E134" s="1989">
        <v>0</v>
      </c>
      <c r="F134" s="1989"/>
      <c r="G134" s="1989"/>
      <c r="H134" s="1968">
        <v>0</v>
      </c>
    </row>
    <row r="135" spans="1:9" s="1969" customFormat="1" ht="16.5" thickTop="1" thickBot="1" x14ac:dyDescent="0.3">
      <c r="A135" s="2750" t="s">
        <v>802</v>
      </c>
      <c r="B135" s="2751"/>
      <c r="C135" s="2751"/>
      <c r="D135" s="2751"/>
      <c r="E135" s="1957">
        <f>SUM(E131:E134)</f>
        <v>0</v>
      </c>
      <c r="F135" s="1957">
        <f>SUM(F131:F134)</f>
        <v>35</v>
      </c>
      <c r="G135" s="1957">
        <f>SUM(G131:G134)</f>
        <v>3</v>
      </c>
      <c r="H135" s="1962">
        <f>G135/F135*100</f>
        <v>8.5714285714285712</v>
      </c>
      <c r="I135" s="2063"/>
    </row>
    <row r="136" spans="1:9" s="1969" customFormat="1" ht="15.75" thickTop="1" x14ac:dyDescent="0.25">
      <c r="A136" s="1963"/>
      <c r="B136" s="1963"/>
      <c r="C136" s="1963"/>
      <c r="D136" s="1963"/>
      <c r="E136" s="1964"/>
      <c r="F136" s="1964"/>
      <c r="G136" s="1964"/>
      <c r="H136" s="1995"/>
      <c r="I136" s="2063"/>
    </row>
    <row r="137" spans="1:9" ht="18" x14ac:dyDescent="0.25">
      <c r="A137" s="1942" t="s">
        <v>1344</v>
      </c>
      <c r="B137" s="1973"/>
      <c r="C137" s="1973"/>
      <c r="D137" s="1973"/>
      <c r="E137" s="1973"/>
      <c r="F137" s="1973"/>
      <c r="G137" s="1973"/>
      <c r="H137" s="2027"/>
    </row>
    <row r="138" spans="1:9" ht="16.5" thickBot="1" x14ac:dyDescent="0.3">
      <c r="A138" s="1941" t="s">
        <v>1345</v>
      </c>
      <c r="H138" s="1966" t="s">
        <v>173</v>
      </c>
    </row>
    <row r="139" spans="1:9" s="1735" customFormat="1" ht="25.5" thickTop="1" thickBot="1" x14ac:dyDescent="0.25">
      <c r="A139" s="1943" t="s">
        <v>174</v>
      </c>
      <c r="B139" s="1944" t="s">
        <v>800</v>
      </c>
      <c r="C139" s="1944" t="s">
        <v>397</v>
      </c>
      <c r="D139" s="1945" t="s">
        <v>176</v>
      </c>
      <c r="E139" s="1976" t="s">
        <v>669</v>
      </c>
      <c r="F139" s="1976" t="s">
        <v>670</v>
      </c>
      <c r="G139" s="1977" t="s">
        <v>923</v>
      </c>
      <c r="H139" s="1978" t="s">
        <v>924</v>
      </c>
    </row>
    <row r="140" spans="1:9" s="1735" customFormat="1" ht="13.5" thickTop="1" thickBot="1" x14ac:dyDescent="0.25">
      <c r="A140" s="1740">
        <v>1</v>
      </c>
      <c r="B140" s="1739">
        <v>2</v>
      </c>
      <c r="C140" s="1739">
        <v>3</v>
      </c>
      <c r="D140" s="1739">
        <v>4</v>
      </c>
      <c r="E140" s="1738">
        <v>5</v>
      </c>
      <c r="F140" s="1738">
        <v>6</v>
      </c>
      <c r="G140" s="2028">
        <v>7</v>
      </c>
      <c r="H140" s="2054" t="s">
        <v>61</v>
      </c>
    </row>
    <row r="141" spans="1:9" ht="15.75" thickTop="1" x14ac:dyDescent="0.2">
      <c r="A141" s="2049">
        <v>3121</v>
      </c>
      <c r="B141" s="2056">
        <v>6121</v>
      </c>
      <c r="C141" s="2059">
        <v>53100870</v>
      </c>
      <c r="D141" s="1979" t="s">
        <v>640</v>
      </c>
      <c r="E141" s="1975">
        <v>0</v>
      </c>
      <c r="F141" s="1975">
        <v>57</v>
      </c>
      <c r="G141" s="1975">
        <v>57</v>
      </c>
      <c r="H141" s="1958">
        <f>G141/F141*100</f>
        <v>100</v>
      </c>
    </row>
    <row r="142" spans="1:9" ht="15" x14ac:dyDescent="0.2">
      <c r="A142" s="2049">
        <v>3121</v>
      </c>
      <c r="B142" s="2056">
        <v>6121</v>
      </c>
      <c r="C142" s="2059">
        <v>53100874</v>
      </c>
      <c r="D142" s="1979" t="s">
        <v>640</v>
      </c>
      <c r="E142" s="1989">
        <v>0</v>
      </c>
      <c r="F142" s="1989">
        <v>529</v>
      </c>
      <c r="G142" s="1989">
        <v>529</v>
      </c>
      <c r="H142" s="1961">
        <f>G142/F142*100</f>
        <v>100</v>
      </c>
    </row>
    <row r="143" spans="1:9" ht="15" x14ac:dyDescent="0.2">
      <c r="A143" s="2049">
        <v>3121</v>
      </c>
      <c r="B143" s="2056">
        <v>6121</v>
      </c>
      <c r="C143" s="2059">
        <v>53190877</v>
      </c>
      <c r="D143" s="1979" t="s">
        <v>640</v>
      </c>
      <c r="E143" s="1989">
        <v>0</v>
      </c>
      <c r="F143" s="1989">
        <v>29</v>
      </c>
      <c r="G143" s="1989">
        <v>29</v>
      </c>
      <c r="H143" s="1961">
        <f>G143/F143*100</f>
        <v>100</v>
      </c>
    </row>
    <row r="144" spans="1:9" ht="15.75" thickBot="1" x14ac:dyDescent="0.25">
      <c r="A144" s="2049">
        <v>3121</v>
      </c>
      <c r="B144" s="2056">
        <v>6121</v>
      </c>
      <c r="C144" s="2059">
        <v>53515835</v>
      </c>
      <c r="D144" s="1979" t="s">
        <v>640</v>
      </c>
      <c r="E144" s="1989">
        <v>0</v>
      </c>
      <c r="F144" s="1989">
        <v>486</v>
      </c>
      <c r="G144" s="1989">
        <v>486</v>
      </c>
      <c r="H144" s="1961">
        <f>G144/F144*100</f>
        <v>100</v>
      </c>
    </row>
    <row r="145" spans="1:9" s="1969" customFormat="1" ht="16.5" thickTop="1" thickBot="1" x14ac:dyDescent="0.3">
      <c r="A145" s="2750" t="s">
        <v>802</v>
      </c>
      <c r="B145" s="2751"/>
      <c r="C145" s="2751"/>
      <c r="D145" s="2751"/>
      <c r="E145" s="1957">
        <f>SUM(E141:E144)</f>
        <v>0</v>
      </c>
      <c r="F145" s="1957">
        <f>SUM(F141:F144)</f>
        <v>1101</v>
      </c>
      <c r="G145" s="1957">
        <f>SUM(G141:G144)</f>
        <v>1101</v>
      </c>
      <c r="H145" s="1962">
        <f>G145/F145*100</f>
        <v>100</v>
      </c>
      <c r="I145" s="2063"/>
    </row>
    <row r="146" spans="1:9" s="1969" customFormat="1" ht="15.75" thickTop="1" x14ac:dyDescent="0.25">
      <c r="A146" s="1963"/>
      <c r="B146" s="1963"/>
      <c r="C146" s="1963"/>
      <c r="D146" s="1963"/>
      <c r="E146" s="1964"/>
      <c r="F146" s="1964"/>
      <c r="G146" s="1964"/>
      <c r="H146" s="1995"/>
      <c r="I146" s="2063"/>
    </row>
    <row r="147" spans="1:9" ht="18" x14ac:dyDescent="0.25">
      <c r="A147" s="1942" t="s">
        <v>1346</v>
      </c>
      <c r="B147" s="1973"/>
      <c r="C147" s="1973"/>
      <c r="D147" s="1973"/>
      <c r="E147" s="1973"/>
      <c r="F147" s="1973"/>
      <c r="G147" s="1973"/>
      <c r="H147" s="2027"/>
    </row>
    <row r="148" spans="1:9" ht="16.5" thickBot="1" x14ac:dyDescent="0.3">
      <c r="A148" s="1941" t="s">
        <v>1347</v>
      </c>
      <c r="H148" s="1966" t="s">
        <v>173</v>
      </c>
    </row>
    <row r="149" spans="1:9" s="1735" customFormat="1" ht="25.5" thickTop="1" thickBot="1" x14ac:dyDescent="0.25">
      <c r="A149" s="1943" t="s">
        <v>174</v>
      </c>
      <c r="B149" s="1944" t="s">
        <v>800</v>
      </c>
      <c r="C149" s="1944" t="s">
        <v>397</v>
      </c>
      <c r="D149" s="1945" t="s">
        <v>176</v>
      </c>
      <c r="E149" s="1976" t="s">
        <v>669</v>
      </c>
      <c r="F149" s="1976" t="s">
        <v>670</v>
      </c>
      <c r="G149" s="1977" t="s">
        <v>923</v>
      </c>
      <c r="H149" s="1978" t="s">
        <v>924</v>
      </c>
    </row>
    <row r="150" spans="1:9" s="1735" customFormat="1" ht="13.5" thickTop="1" thickBot="1" x14ac:dyDescent="0.25">
      <c r="A150" s="1740">
        <v>1</v>
      </c>
      <c r="B150" s="1739">
        <v>2</v>
      </c>
      <c r="C150" s="1739">
        <v>3</v>
      </c>
      <c r="D150" s="1739">
        <v>4</v>
      </c>
      <c r="E150" s="1738">
        <v>5</v>
      </c>
      <c r="F150" s="1738">
        <v>6</v>
      </c>
      <c r="G150" s="2028">
        <v>7</v>
      </c>
      <c r="H150" s="2054" t="s">
        <v>61</v>
      </c>
    </row>
    <row r="151" spans="1:9" ht="15.75" thickTop="1" x14ac:dyDescent="0.2">
      <c r="A151" s="2049">
        <v>3122</v>
      </c>
      <c r="B151" s="2056">
        <v>6121</v>
      </c>
      <c r="C151" s="2059">
        <v>53100870</v>
      </c>
      <c r="D151" s="1979" t="s">
        <v>640</v>
      </c>
      <c r="E151" s="1975">
        <v>0</v>
      </c>
      <c r="F151" s="1975">
        <v>2</v>
      </c>
      <c r="G151" s="1975">
        <v>0</v>
      </c>
      <c r="H151" s="1961">
        <f>G151/F151*100</f>
        <v>0</v>
      </c>
    </row>
    <row r="152" spans="1:9" ht="15" hidden="1" x14ac:dyDescent="0.2">
      <c r="A152" s="2049">
        <v>3122</v>
      </c>
      <c r="B152" s="2056">
        <v>6121</v>
      </c>
      <c r="C152" s="2059">
        <v>53100872</v>
      </c>
      <c r="D152" s="1979" t="s">
        <v>640</v>
      </c>
      <c r="E152" s="1989">
        <v>0</v>
      </c>
      <c r="F152" s="1989"/>
      <c r="G152" s="1989"/>
      <c r="H152" s="1961" t="e">
        <f>G152/F152*100</f>
        <v>#DIV/0!</v>
      </c>
    </row>
    <row r="153" spans="1:9" ht="15.75" thickBot="1" x14ac:dyDescent="0.25">
      <c r="A153" s="2049">
        <v>3122</v>
      </c>
      <c r="B153" s="2056">
        <v>6121</v>
      </c>
      <c r="C153" s="2059">
        <v>53100874</v>
      </c>
      <c r="D153" s="1979" t="s">
        <v>640</v>
      </c>
      <c r="E153" s="1989">
        <v>0</v>
      </c>
      <c r="F153" s="1989">
        <v>851</v>
      </c>
      <c r="G153" s="1989">
        <v>851</v>
      </c>
      <c r="H153" s="1961">
        <f>G153/F153*100</f>
        <v>100</v>
      </c>
    </row>
    <row r="154" spans="1:9" ht="15.75" hidden="1" thickBot="1" x14ac:dyDescent="0.25">
      <c r="A154" s="2049">
        <v>3122</v>
      </c>
      <c r="B154" s="2056">
        <v>6121</v>
      </c>
      <c r="C154" s="2059">
        <v>53500871</v>
      </c>
      <c r="D154" s="1979" t="s">
        <v>640</v>
      </c>
      <c r="E154" s="1989">
        <v>0</v>
      </c>
      <c r="F154" s="1989"/>
      <c r="G154" s="1989"/>
      <c r="H154" s="1968">
        <v>0</v>
      </c>
    </row>
    <row r="155" spans="1:9" s="1969" customFormat="1" ht="16.5" thickTop="1" thickBot="1" x14ac:dyDescent="0.3">
      <c r="A155" s="2750" t="s">
        <v>802</v>
      </c>
      <c r="B155" s="2751"/>
      <c r="C155" s="2751"/>
      <c r="D155" s="2751"/>
      <c r="E155" s="1957">
        <f>SUM(E151:E154)</f>
        <v>0</v>
      </c>
      <c r="F155" s="1957">
        <f>SUM(F151:F154)</f>
        <v>853</v>
      </c>
      <c r="G155" s="1957">
        <f>SUM(G151:G154)</f>
        <v>851</v>
      </c>
      <c r="H155" s="1962">
        <f>G155/F155*100</f>
        <v>99.76553341148886</v>
      </c>
      <c r="I155" s="2063"/>
    </row>
    <row r="156" spans="1:9" s="1969" customFormat="1" ht="15.75" thickTop="1" x14ac:dyDescent="0.25">
      <c r="A156" s="1963"/>
      <c r="B156" s="1963"/>
      <c r="C156" s="1963"/>
      <c r="D156" s="1963"/>
      <c r="E156" s="1964"/>
      <c r="F156" s="1964"/>
      <c r="G156" s="1964"/>
      <c r="H156" s="1995"/>
      <c r="I156" s="2063"/>
    </row>
    <row r="157" spans="1:9" ht="18" x14ac:dyDescent="0.25">
      <c r="A157" s="1942" t="s">
        <v>1350</v>
      </c>
      <c r="B157" s="1973"/>
      <c r="C157" s="1973"/>
      <c r="D157" s="1973"/>
      <c r="E157" s="1973"/>
      <c r="F157" s="1973"/>
      <c r="G157" s="1973"/>
      <c r="H157" s="2027"/>
    </row>
    <row r="158" spans="1:9" ht="16.5" thickBot="1" x14ac:dyDescent="0.3">
      <c r="A158" s="1941" t="s">
        <v>1351</v>
      </c>
      <c r="H158" s="1966" t="s">
        <v>173</v>
      </c>
    </row>
    <row r="159" spans="1:9" s="1735" customFormat="1" ht="25.5" thickTop="1" thickBot="1" x14ac:dyDescent="0.25">
      <c r="A159" s="1943" t="s">
        <v>174</v>
      </c>
      <c r="B159" s="1944" t="s">
        <v>800</v>
      </c>
      <c r="C159" s="1944" t="s">
        <v>397</v>
      </c>
      <c r="D159" s="1945" t="s">
        <v>176</v>
      </c>
      <c r="E159" s="1976" t="s">
        <v>669</v>
      </c>
      <c r="F159" s="1976" t="s">
        <v>670</v>
      </c>
      <c r="G159" s="1977" t="s">
        <v>923</v>
      </c>
      <c r="H159" s="1978" t="s">
        <v>924</v>
      </c>
    </row>
    <row r="160" spans="1:9" s="1735" customFormat="1" ht="13.5" thickTop="1" thickBot="1" x14ac:dyDescent="0.25">
      <c r="A160" s="1740">
        <v>1</v>
      </c>
      <c r="B160" s="1739">
        <v>2</v>
      </c>
      <c r="C160" s="1739">
        <v>3</v>
      </c>
      <c r="D160" s="1739">
        <v>4</v>
      </c>
      <c r="E160" s="1738">
        <v>5</v>
      </c>
      <c r="F160" s="1738">
        <v>6</v>
      </c>
      <c r="G160" s="2028">
        <v>7</v>
      </c>
      <c r="H160" s="2054" t="s">
        <v>61</v>
      </c>
    </row>
    <row r="161" spans="1:9" ht="15.75" hidden="1" thickTop="1" x14ac:dyDescent="0.2">
      <c r="A161" s="2049">
        <v>3122</v>
      </c>
      <c r="B161" s="2056">
        <v>6121</v>
      </c>
      <c r="C161" s="2059">
        <v>53100870</v>
      </c>
      <c r="D161" s="1979" t="s">
        <v>640</v>
      </c>
      <c r="E161" s="1975">
        <v>0</v>
      </c>
      <c r="F161" s="1975">
        <v>0</v>
      </c>
      <c r="G161" s="1975">
        <v>0</v>
      </c>
      <c r="H161" s="1958" t="e">
        <f>G161/F161*100</f>
        <v>#DIV/0!</v>
      </c>
    </row>
    <row r="162" spans="1:9" ht="15.75" hidden="1" thickTop="1" x14ac:dyDescent="0.2">
      <c r="A162" s="2049">
        <v>3122</v>
      </c>
      <c r="B162" s="2056">
        <v>6121</v>
      </c>
      <c r="C162" s="2059">
        <v>53100872</v>
      </c>
      <c r="D162" s="1979" t="s">
        <v>640</v>
      </c>
      <c r="E162" s="1989">
        <v>0</v>
      </c>
      <c r="F162" s="1989"/>
      <c r="G162" s="1989"/>
      <c r="H162" s="1961" t="e">
        <f>G162/F162*100</f>
        <v>#DIV/0!</v>
      </c>
    </row>
    <row r="163" spans="1:9" ht="16.5" thickTop="1" thickBot="1" x14ac:dyDescent="0.25">
      <c r="A163" s="2049">
        <v>3122</v>
      </c>
      <c r="B163" s="2056">
        <v>6121</v>
      </c>
      <c r="C163" s="2059">
        <v>53100874</v>
      </c>
      <c r="D163" s="1979" t="s">
        <v>640</v>
      </c>
      <c r="E163" s="1989">
        <v>0</v>
      </c>
      <c r="F163" s="1989">
        <v>818</v>
      </c>
      <c r="G163" s="1989">
        <v>818</v>
      </c>
      <c r="H163" s="1961">
        <f>G163/F163*100</f>
        <v>100</v>
      </c>
    </row>
    <row r="164" spans="1:9" ht="15.75" hidden="1" thickBot="1" x14ac:dyDescent="0.25">
      <c r="A164" s="2049">
        <v>3122</v>
      </c>
      <c r="B164" s="2056">
        <v>6121</v>
      </c>
      <c r="C164" s="2059">
        <v>53500871</v>
      </c>
      <c r="D164" s="1979" t="s">
        <v>640</v>
      </c>
      <c r="E164" s="1989">
        <v>0</v>
      </c>
      <c r="F164" s="1989"/>
      <c r="G164" s="1989"/>
      <c r="H164" s="1968">
        <v>0</v>
      </c>
    </row>
    <row r="165" spans="1:9" s="1969" customFormat="1" ht="16.5" thickTop="1" thickBot="1" x14ac:dyDescent="0.3">
      <c r="A165" s="2750" t="s">
        <v>802</v>
      </c>
      <c r="B165" s="2751"/>
      <c r="C165" s="2751"/>
      <c r="D165" s="2751"/>
      <c r="E165" s="1957">
        <f>SUM(E161:E164)</f>
        <v>0</v>
      </c>
      <c r="F165" s="1957">
        <f>SUM(F161:F164)</f>
        <v>818</v>
      </c>
      <c r="G165" s="1957">
        <f>SUM(G161:G164)</f>
        <v>818</v>
      </c>
      <c r="H165" s="1962">
        <f>G165/F165*100</f>
        <v>100</v>
      </c>
      <c r="I165" s="2063"/>
    </row>
    <row r="166" spans="1:9" s="1969" customFormat="1" ht="15.75" thickTop="1" x14ac:dyDescent="0.25">
      <c r="A166" s="1963"/>
      <c r="B166" s="1963"/>
      <c r="C166" s="1963"/>
      <c r="D166" s="1963"/>
      <c r="E166" s="1964"/>
      <c r="F166" s="1964"/>
      <c r="G166" s="1964"/>
      <c r="H166" s="1995"/>
      <c r="I166" s="2063"/>
    </row>
    <row r="167" spans="1:9" ht="18" x14ac:dyDescent="0.25">
      <c r="A167" s="1942" t="s">
        <v>1613</v>
      </c>
      <c r="B167" s="1973"/>
      <c r="C167" s="1973"/>
      <c r="D167" s="1973"/>
      <c r="E167" s="1973"/>
      <c r="F167" s="1973"/>
      <c r="G167" s="1973"/>
      <c r="H167" s="2027"/>
    </row>
    <row r="168" spans="1:9" ht="16.5" thickBot="1" x14ac:dyDescent="0.3">
      <c r="A168" s="1941" t="s">
        <v>1614</v>
      </c>
      <c r="H168" s="1966" t="s">
        <v>173</v>
      </c>
    </row>
    <row r="169" spans="1:9" s="1735" customFormat="1" ht="25.5" thickTop="1" thickBot="1" x14ac:dyDescent="0.25">
      <c r="A169" s="1943" t="s">
        <v>174</v>
      </c>
      <c r="B169" s="1944" t="s">
        <v>800</v>
      </c>
      <c r="C169" s="1944" t="s">
        <v>397</v>
      </c>
      <c r="D169" s="1945" t="s">
        <v>176</v>
      </c>
      <c r="E169" s="1976" t="s">
        <v>669</v>
      </c>
      <c r="F169" s="1976" t="s">
        <v>670</v>
      </c>
      <c r="G169" s="1977" t="s">
        <v>923</v>
      </c>
      <c r="H169" s="1978" t="s">
        <v>924</v>
      </c>
    </row>
    <row r="170" spans="1:9" s="1735" customFormat="1" ht="13.5" thickTop="1" thickBot="1" x14ac:dyDescent="0.25">
      <c r="A170" s="1740">
        <v>1</v>
      </c>
      <c r="B170" s="1739">
        <v>2</v>
      </c>
      <c r="C170" s="1739">
        <v>3</v>
      </c>
      <c r="D170" s="1739">
        <v>4</v>
      </c>
      <c r="E170" s="1738">
        <v>5</v>
      </c>
      <c r="F170" s="1738">
        <v>6</v>
      </c>
      <c r="G170" s="2028">
        <v>7</v>
      </c>
      <c r="H170" s="2054" t="s">
        <v>61</v>
      </c>
    </row>
    <row r="171" spans="1:9" ht="15.75" thickTop="1" x14ac:dyDescent="0.2">
      <c r="A171" s="2049">
        <v>3122</v>
      </c>
      <c r="B171" s="2056">
        <v>6121</v>
      </c>
      <c r="C171" s="2059">
        <v>53100870</v>
      </c>
      <c r="D171" s="1979" t="s">
        <v>640</v>
      </c>
      <c r="E171" s="1975">
        <v>0</v>
      </c>
      <c r="F171" s="1975">
        <v>27</v>
      </c>
      <c r="G171" s="1975">
        <v>0</v>
      </c>
      <c r="H171" s="1958">
        <f>G171/F171*100</f>
        <v>0</v>
      </c>
    </row>
    <row r="172" spans="1:9" ht="15" x14ac:dyDescent="0.2">
      <c r="A172" s="2049">
        <v>3122</v>
      </c>
      <c r="B172" s="2056">
        <v>6121</v>
      </c>
      <c r="C172" s="2059">
        <v>53100872</v>
      </c>
      <c r="D172" s="1979" t="s">
        <v>640</v>
      </c>
      <c r="E172" s="1989">
        <v>0</v>
      </c>
      <c r="F172" s="1989">
        <v>0</v>
      </c>
      <c r="G172" s="1989">
        <v>0</v>
      </c>
      <c r="H172" s="1961">
        <v>0</v>
      </c>
    </row>
    <row r="173" spans="1:9" ht="15" x14ac:dyDescent="0.2">
      <c r="A173" s="2049">
        <v>3122</v>
      </c>
      <c r="B173" s="2056">
        <v>6121</v>
      </c>
      <c r="C173" s="2059">
        <v>53100874</v>
      </c>
      <c r="D173" s="1979" t="s">
        <v>640</v>
      </c>
      <c r="E173" s="1989">
        <v>0</v>
      </c>
      <c r="F173" s="1989">
        <v>660</v>
      </c>
      <c r="G173" s="1989">
        <v>567</v>
      </c>
      <c r="H173" s="1961">
        <f>G173/F173*100</f>
        <v>85.909090909090907</v>
      </c>
    </row>
    <row r="174" spans="1:9" ht="15.75" thickBot="1" x14ac:dyDescent="0.25">
      <c r="A174" s="2049">
        <v>3122</v>
      </c>
      <c r="B174" s="2056">
        <v>6121</v>
      </c>
      <c r="C174" s="2059">
        <v>53500871</v>
      </c>
      <c r="D174" s="1979" t="s">
        <v>640</v>
      </c>
      <c r="E174" s="1989">
        <v>0</v>
      </c>
      <c r="F174" s="1989">
        <v>3</v>
      </c>
      <c r="G174" s="1989">
        <v>3</v>
      </c>
      <c r="H174" s="1961">
        <f>G174/F174*100</f>
        <v>100</v>
      </c>
    </row>
    <row r="175" spans="1:9" s="1969" customFormat="1" ht="16.5" thickTop="1" thickBot="1" x14ac:dyDescent="0.3">
      <c r="A175" s="2750" t="s">
        <v>802</v>
      </c>
      <c r="B175" s="2751"/>
      <c r="C175" s="2751"/>
      <c r="D175" s="2751"/>
      <c r="E175" s="1957">
        <f>SUM(E171:E174)</f>
        <v>0</v>
      </c>
      <c r="F175" s="1957">
        <f>SUM(F171:F174)</f>
        <v>690</v>
      </c>
      <c r="G175" s="1957">
        <f>SUM(G171:G174)</f>
        <v>570</v>
      </c>
      <c r="H175" s="1962">
        <f>G175/F175*100</f>
        <v>82.608695652173907</v>
      </c>
      <c r="I175" s="2063"/>
    </row>
    <row r="176" spans="1:9" s="1969" customFormat="1" ht="15.75" thickTop="1" x14ac:dyDescent="0.25">
      <c r="A176" s="1963"/>
      <c r="B176" s="1963"/>
      <c r="C176" s="1963"/>
      <c r="D176" s="1963"/>
      <c r="E176" s="1964"/>
      <c r="F176" s="1964"/>
      <c r="G176" s="1964"/>
      <c r="H176" s="1995"/>
      <c r="I176" s="2063"/>
    </row>
    <row r="177" spans="1:9" ht="18" x14ac:dyDescent="0.25">
      <c r="A177" s="1942" t="s">
        <v>1818</v>
      </c>
      <c r="B177" s="1973"/>
      <c r="C177" s="1973"/>
      <c r="D177" s="1973"/>
      <c r="E177" s="1973"/>
      <c r="F177" s="1973"/>
      <c r="G177" s="1973"/>
      <c r="H177" s="2027"/>
    </row>
    <row r="178" spans="1:9" ht="16.5" thickBot="1" x14ac:dyDescent="0.3">
      <c r="A178" s="1941" t="s">
        <v>1819</v>
      </c>
      <c r="H178" s="1966" t="s">
        <v>173</v>
      </c>
    </row>
    <row r="179" spans="1:9" s="1735" customFormat="1" ht="25.5" thickTop="1" thickBot="1" x14ac:dyDescent="0.25">
      <c r="A179" s="1943" t="s">
        <v>174</v>
      </c>
      <c r="B179" s="1944" t="s">
        <v>800</v>
      </c>
      <c r="C179" s="1944" t="s">
        <v>397</v>
      </c>
      <c r="D179" s="1945" t="s">
        <v>176</v>
      </c>
      <c r="E179" s="1976" t="s">
        <v>669</v>
      </c>
      <c r="F179" s="1976" t="s">
        <v>670</v>
      </c>
      <c r="G179" s="1977" t="s">
        <v>923</v>
      </c>
      <c r="H179" s="1978" t="s">
        <v>924</v>
      </c>
    </row>
    <row r="180" spans="1:9" s="1735" customFormat="1" ht="13.5" thickTop="1" thickBot="1" x14ac:dyDescent="0.25">
      <c r="A180" s="1740">
        <v>1</v>
      </c>
      <c r="B180" s="1739">
        <v>2</v>
      </c>
      <c r="C180" s="1739">
        <v>3</v>
      </c>
      <c r="D180" s="1739">
        <v>4</v>
      </c>
      <c r="E180" s="1738">
        <v>5</v>
      </c>
      <c r="F180" s="1738">
        <v>6</v>
      </c>
      <c r="G180" s="2028">
        <v>7</v>
      </c>
      <c r="H180" s="2054" t="s">
        <v>61</v>
      </c>
    </row>
    <row r="181" spans="1:9" ht="15.75" thickTop="1" x14ac:dyDescent="0.2">
      <c r="A181" s="2049">
        <v>3122</v>
      </c>
      <c r="B181" s="2056">
        <v>6121</v>
      </c>
      <c r="C181" s="2059">
        <v>53100870</v>
      </c>
      <c r="D181" s="1979" t="s">
        <v>640</v>
      </c>
      <c r="E181" s="1975">
        <v>0</v>
      </c>
      <c r="F181" s="1975">
        <v>216</v>
      </c>
      <c r="G181" s="1975">
        <v>209</v>
      </c>
      <c r="H181" s="1958">
        <f>G181/F181*100</f>
        <v>96.759259259259252</v>
      </c>
    </row>
    <row r="182" spans="1:9" ht="15" x14ac:dyDescent="0.2">
      <c r="A182" s="2049">
        <v>3122</v>
      </c>
      <c r="B182" s="2056">
        <v>6121</v>
      </c>
      <c r="C182" s="2059">
        <v>53100874</v>
      </c>
      <c r="D182" s="1979" t="s">
        <v>640</v>
      </c>
      <c r="E182" s="1989">
        <v>0</v>
      </c>
      <c r="F182" s="1989">
        <v>14</v>
      </c>
      <c r="G182" s="1989">
        <v>14</v>
      </c>
      <c r="H182" s="1961">
        <f>G182/F182*100</f>
        <v>100</v>
      </c>
    </row>
    <row r="183" spans="1:9" ht="15" x14ac:dyDescent="0.2">
      <c r="A183" s="2049">
        <v>3122</v>
      </c>
      <c r="B183" s="2056">
        <v>6121</v>
      </c>
      <c r="C183" s="2059">
        <v>53190877</v>
      </c>
      <c r="D183" s="1979" t="s">
        <v>640</v>
      </c>
      <c r="E183" s="1989">
        <v>0</v>
      </c>
      <c r="F183" s="1989">
        <v>104</v>
      </c>
      <c r="G183" s="1989">
        <v>104</v>
      </c>
      <c r="H183" s="1961">
        <f>G183/F183*100</f>
        <v>100</v>
      </c>
    </row>
    <row r="184" spans="1:9" ht="15.75" thickBot="1" x14ac:dyDescent="0.25">
      <c r="A184" s="2049">
        <v>3122</v>
      </c>
      <c r="B184" s="2056">
        <v>6121</v>
      </c>
      <c r="C184" s="2059">
        <v>53515835</v>
      </c>
      <c r="D184" s="1979" t="s">
        <v>640</v>
      </c>
      <c r="E184" s="1989">
        <v>0</v>
      </c>
      <c r="F184" s="1989">
        <v>1773</v>
      </c>
      <c r="G184" s="1989">
        <v>1773</v>
      </c>
      <c r="H184" s="1961">
        <f>G184/F184*100</f>
        <v>100</v>
      </c>
    </row>
    <row r="185" spans="1:9" s="1969" customFormat="1" ht="16.5" thickTop="1" thickBot="1" x14ac:dyDescent="0.3">
      <c r="A185" s="2750" t="s">
        <v>802</v>
      </c>
      <c r="B185" s="2751"/>
      <c r="C185" s="2751"/>
      <c r="D185" s="2751"/>
      <c r="E185" s="1957">
        <f>SUM(E181:E184)</f>
        <v>0</v>
      </c>
      <c r="F185" s="1957">
        <f>SUM(F181:F184)</f>
        <v>2107</v>
      </c>
      <c r="G185" s="1957">
        <f>SUM(G181:G184)</f>
        <v>2100</v>
      </c>
      <c r="H185" s="1962">
        <f>G185/F185*100</f>
        <v>99.667774086378742</v>
      </c>
      <c r="I185" s="2063"/>
    </row>
    <row r="186" spans="1:9" s="1969" customFormat="1" ht="15.75" thickTop="1" x14ac:dyDescent="0.25">
      <c r="A186" s="1963"/>
      <c r="B186" s="1963"/>
      <c r="C186" s="1963"/>
      <c r="D186" s="1963"/>
      <c r="E186" s="1964"/>
      <c r="F186" s="1964"/>
      <c r="G186" s="1964"/>
      <c r="H186" s="1995"/>
      <c r="I186" s="2063"/>
    </row>
    <row r="187" spans="1:9" ht="18" x14ac:dyDescent="0.25">
      <c r="A187" s="1942" t="s">
        <v>1820</v>
      </c>
      <c r="B187" s="1973"/>
      <c r="C187" s="1973"/>
      <c r="D187" s="1973"/>
      <c r="E187" s="1973"/>
      <c r="F187" s="1973"/>
      <c r="G187" s="1973"/>
      <c r="H187" s="2027"/>
    </row>
    <row r="188" spans="1:9" ht="16.5" thickBot="1" x14ac:dyDescent="0.3">
      <c r="A188" s="1941" t="s">
        <v>1821</v>
      </c>
      <c r="H188" s="1966" t="s">
        <v>173</v>
      </c>
    </row>
    <row r="189" spans="1:9" s="1735" customFormat="1" ht="25.5" thickTop="1" thickBot="1" x14ac:dyDescent="0.25">
      <c r="A189" s="1943" t="s">
        <v>174</v>
      </c>
      <c r="B189" s="1944" t="s">
        <v>800</v>
      </c>
      <c r="C189" s="1944" t="s">
        <v>397</v>
      </c>
      <c r="D189" s="1945" t="s">
        <v>176</v>
      </c>
      <c r="E189" s="1976" t="s">
        <v>669</v>
      </c>
      <c r="F189" s="1976" t="s">
        <v>670</v>
      </c>
      <c r="G189" s="1977" t="s">
        <v>923</v>
      </c>
      <c r="H189" s="1978" t="s">
        <v>924</v>
      </c>
    </row>
    <row r="190" spans="1:9" s="1735" customFormat="1" ht="13.5" thickTop="1" thickBot="1" x14ac:dyDescent="0.25">
      <c r="A190" s="1740">
        <v>1</v>
      </c>
      <c r="B190" s="1739">
        <v>2</v>
      </c>
      <c r="C190" s="1739">
        <v>3</v>
      </c>
      <c r="D190" s="1739">
        <v>4</v>
      </c>
      <c r="E190" s="1738">
        <v>5</v>
      </c>
      <c r="F190" s="1738">
        <v>6</v>
      </c>
      <c r="G190" s="2028">
        <v>7</v>
      </c>
      <c r="H190" s="2054" t="s">
        <v>61</v>
      </c>
    </row>
    <row r="191" spans="1:9" ht="15.75" hidden="1" thickTop="1" x14ac:dyDescent="0.2">
      <c r="A191" s="2049">
        <v>3122</v>
      </c>
      <c r="B191" s="2056">
        <v>6121</v>
      </c>
      <c r="C191" s="2059">
        <v>53100870</v>
      </c>
      <c r="D191" s="1979" t="s">
        <v>640</v>
      </c>
      <c r="E191" s="1975">
        <v>0</v>
      </c>
      <c r="F191" s="1975">
        <v>0</v>
      </c>
      <c r="G191" s="1975">
        <v>0</v>
      </c>
      <c r="H191" s="1958" t="e">
        <f>G191/F191*100</f>
        <v>#DIV/0!</v>
      </c>
    </row>
    <row r="192" spans="1:9" ht="15.75" hidden="1" thickTop="1" x14ac:dyDescent="0.2">
      <c r="A192" s="2049">
        <v>3122</v>
      </c>
      <c r="B192" s="2056">
        <v>6121</v>
      </c>
      <c r="C192" s="2059">
        <v>53100872</v>
      </c>
      <c r="D192" s="1979" t="s">
        <v>640</v>
      </c>
      <c r="E192" s="1989">
        <v>0</v>
      </c>
      <c r="F192" s="1989"/>
      <c r="G192" s="1989"/>
      <c r="H192" s="1961" t="e">
        <f>G192/F192*100</f>
        <v>#DIV/0!</v>
      </c>
    </row>
    <row r="193" spans="1:9" ht="16.5" thickTop="1" thickBot="1" x14ac:dyDescent="0.25">
      <c r="A193" s="2049">
        <v>3121</v>
      </c>
      <c r="B193" s="2056">
        <v>6121</v>
      </c>
      <c r="C193" s="2059">
        <v>53100874</v>
      </c>
      <c r="D193" s="1979" t="s">
        <v>640</v>
      </c>
      <c r="E193" s="1989">
        <v>0</v>
      </c>
      <c r="F193" s="1989">
        <v>54</v>
      </c>
      <c r="G193" s="1989">
        <v>0</v>
      </c>
      <c r="H193" s="1961">
        <f>G193/F193*100</f>
        <v>0</v>
      </c>
    </row>
    <row r="194" spans="1:9" ht="15.75" hidden="1" thickBot="1" x14ac:dyDescent="0.25">
      <c r="A194" s="2049">
        <v>3122</v>
      </c>
      <c r="B194" s="2056">
        <v>6121</v>
      </c>
      <c r="C194" s="2059">
        <v>53500871</v>
      </c>
      <c r="D194" s="1979" t="s">
        <v>640</v>
      </c>
      <c r="E194" s="1989">
        <v>0</v>
      </c>
      <c r="F194" s="1989"/>
      <c r="G194" s="1989"/>
      <c r="H194" s="1968">
        <v>0</v>
      </c>
    </row>
    <row r="195" spans="1:9" s="1969" customFormat="1" ht="16.5" thickTop="1" thickBot="1" x14ac:dyDescent="0.3">
      <c r="A195" s="2750" t="s">
        <v>802</v>
      </c>
      <c r="B195" s="2751"/>
      <c r="C195" s="2751"/>
      <c r="D195" s="2751"/>
      <c r="E195" s="1957">
        <f>SUM(E191:E194)</f>
        <v>0</v>
      </c>
      <c r="F195" s="1957">
        <f>SUM(F191:F194)</f>
        <v>54</v>
      </c>
      <c r="G195" s="1957">
        <f>SUM(G191:G194)</f>
        <v>0</v>
      </c>
      <c r="H195" s="1962">
        <f>G195/F195*100</f>
        <v>0</v>
      </c>
      <c r="I195" s="2063"/>
    </row>
    <row r="196" spans="1:9" s="1969" customFormat="1" ht="15.75" thickTop="1" x14ac:dyDescent="0.25">
      <c r="A196" s="1963"/>
      <c r="B196" s="1963"/>
      <c r="C196" s="1963"/>
      <c r="D196" s="1963"/>
      <c r="E196" s="1964"/>
      <c r="F196" s="1964"/>
      <c r="G196" s="1964"/>
      <c r="H196" s="1995"/>
      <c r="I196" s="2063"/>
    </row>
    <row r="197" spans="1:9" ht="18" x14ac:dyDescent="0.25">
      <c r="A197" s="1942" t="s">
        <v>533</v>
      </c>
      <c r="B197" s="1973"/>
      <c r="C197" s="1973"/>
      <c r="D197" s="1973"/>
      <c r="E197" s="1973"/>
      <c r="F197" s="1973"/>
      <c r="G197" s="1973"/>
      <c r="H197" s="2027"/>
    </row>
    <row r="198" spans="1:9" ht="16.5" thickBot="1" x14ac:dyDescent="0.3">
      <c r="A198" s="1941" t="s">
        <v>534</v>
      </c>
      <c r="H198" s="1966" t="s">
        <v>173</v>
      </c>
    </row>
    <row r="199" spans="1:9" s="1735" customFormat="1" ht="25.5" thickTop="1" thickBot="1" x14ac:dyDescent="0.25">
      <c r="A199" s="1943" t="s">
        <v>174</v>
      </c>
      <c r="B199" s="1944" t="s">
        <v>800</v>
      </c>
      <c r="C199" s="1944" t="s">
        <v>397</v>
      </c>
      <c r="D199" s="1945" t="s">
        <v>176</v>
      </c>
      <c r="E199" s="1976" t="s">
        <v>669</v>
      </c>
      <c r="F199" s="1976" t="s">
        <v>670</v>
      </c>
      <c r="G199" s="1977" t="s">
        <v>923</v>
      </c>
      <c r="H199" s="1978" t="s">
        <v>924</v>
      </c>
    </row>
    <row r="200" spans="1:9" s="1735" customFormat="1" ht="13.5" thickTop="1" thickBot="1" x14ac:dyDescent="0.25">
      <c r="A200" s="1740">
        <v>1</v>
      </c>
      <c r="B200" s="1739">
        <v>2</v>
      </c>
      <c r="C200" s="1739">
        <v>3</v>
      </c>
      <c r="D200" s="1739">
        <v>4</v>
      </c>
      <c r="E200" s="1738">
        <v>5</v>
      </c>
      <c r="F200" s="1738">
        <v>6</v>
      </c>
      <c r="G200" s="2028">
        <v>7</v>
      </c>
      <c r="H200" s="2054" t="s">
        <v>61</v>
      </c>
    </row>
    <row r="201" spans="1:9" ht="15.75" thickTop="1" x14ac:dyDescent="0.2">
      <c r="A201" s="2049">
        <v>4357</v>
      </c>
      <c r="B201" s="2056">
        <v>6121</v>
      </c>
      <c r="C201" s="2059">
        <v>53100870</v>
      </c>
      <c r="D201" s="1979" t="s">
        <v>640</v>
      </c>
      <c r="E201" s="1975">
        <v>0</v>
      </c>
      <c r="F201" s="1975">
        <v>65</v>
      </c>
      <c r="G201" s="1975">
        <v>0</v>
      </c>
      <c r="H201" s="1961">
        <f>G201/F201*100</f>
        <v>0</v>
      </c>
    </row>
    <row r="202" spans="1:9" ht="15" hidden="1" x14ac:dyDescent="0.2">
      <c r="A202" s="2049">
        <v>3122</v>
      </c>
      <c r="B202" s="2056">
        <v>6121</v>
      </c>
      <c r="C202" s="2059">
        <v>53100872</v>
      </c>
      <c r="D202" s="1979" t="s">
        <v>640</v>
      </c>
      <c r="E202" s="1989">
        <v>0</v>
      </c>
      <c r="F202" s="1989"/>
      <c r="G202" s="1989"/>
      <c r="H202" s="1961" t="e">
        <f>G202/F202*100</f>
        <v>#DIV/0!</v>
      </c>
    </row>
    <row r="203" spans="1:9" ht="15.75" thickBot="1" x14ac:dyDescent="0.25">
      <c r="A203" s="2049">
        <v>4357</v>
      </c>
      <c r="B203" s="2056">
        <v>6121</v>
      </c>
      <c r="C203" s="2059">
        <v>53100874</v>
      </c>
      <c r="D203" s="1979" t="s">
        <v>640</v>
      </c>
      <c r="E203" s="1989">
        <v>0</v>
      </c>
      <c r="F203" s="1989">
        <v>2560</v>
      </c>
      <c r="G203" s="1989">
        <v>2288</v>
      </c>
      <c r="H203" s="1961">
        <f>G203/F203*100</f>
        <v>89.375</v>
      </c>
    </row>
    <row r="204" spans="1:9" ht="15.75" hidden="1" thickBot="1" x14ac:dyDescent="0.25">
      <c r="A204" s="2049">
        <v>3122</v>
      </c>
      <c r="B204" s="2056">
        <v>6121</v>
      </c>
      <c r="C204" s="2059">
        <v>53500871</v>
      </c>
      <c r="D204" s="1979" t="s">
        <v>640</v>
      </c>
      <c r="E204" s="1989">
        <v>0</v>
      </c>
      <c r="F204" s="1989"/>
      <c r="G204" s="1989"/>
      <c r="H204" s="1968">
        <v>0</v>
      </c>
    </row>
    <row r="205" spans="1:9" s="1969" customFormat="1" ht="16.5" thickTop="1" thickBot="1" x14ac:dyDescent="0.3">
      <c r="A205" s="2750" t="s">
        <v>802</v>
      </c>
      <c r="B205" s="2751"/>
      <c r="C205" s="2751"/>
      <c r="D205" s="2751"/>
      <c r="E205" s="1957">
        <f>SUM(E201:E204)</f>
        <v>0</v>
      </c>
      <c r="F205" s="1957">
        <f>SUM(F201:F204)</f>
        <v>2625</v>
      </c>
      <c r="G205" s="1957">
        <f>SUM(G201:G204)</f>
        <v>2288</v>
      </c>
      <c r="H205" s="1962">
        <f>G205/F205*100</f>
        <v>87.161904761904765</v>
      </c>
      <c r="I205" s="2063"/>
    </row>
    <row r="206" spans="1:9" s="1969" customFormat="1" ht="15.75" thickTop="1" x14ac:dyDescent="0.25">
      <c r="A206" s="1963"/>
      <c r="B206" s="1963"/>
      <c r="C206" s="1963"/>
      <c r="D206" s="1963"/>
      <c r="E206" s="1964"/>
      <c r="F206" s="1964"/>
      <c r="G206" s="1964"/>
      <c r="H206" s="1995"/>
      <c r="I206" s="2063"/>
    </row>
    <row r="207" spans="1:9" ht="18" x14ac:dyDescent="0.25">
      <c r="A207" s="1942" t="s">
        <v>535</v>
      </c>
      <c r="B207" s="1973"/>
      <c r="C207" s="1973"/>
      <c r="D207" s="1973"/>
      <c r="E207" s="1973"/>
      <c r="F207" s="1973"/>
      <c r="G207" s="1973"/>
      <c r="H207" s="2027"/>
    </row>
    <row r="208" spans="1:9" ht="16.5" thickBot="1" x14ac:dyDescent="0.3">
      <c r="A208" s="1941" t="s">
        <v>536</v>
      </c>
      <c r="H208" s="1966" t="s">
        <v>173</v>
      </c>
    </row>
    <row r="209" spans="1:9" s="1735" customFormat="1" ht="25.5" thickTop="1" thickBot="1" x14ac:dyDescent="0.25">
      <c r="A209" s="1943" t="s">
        <v>174</v>
      </c>
      <c r="B209" s="1944" t="s">
        <v>800</v>
      </c>
      <c r="C209" s="1944" t="s">
        <v>397</v>
      </c>
      <c r="D209" s="1945" t="s">
        <v>176</v>
      </c>
      <c r="E209" s="1976" t="s">
        <v>669</v>
      </c>
      <c r="F209" s="1976" t="s">
        <v>670</v>
      </c>
      <c r="G209" s="1977" t="s">
        <v>923</v>
      </c>
      <c r="H209" s="1978" t="s">
        <v>924</v>
      </c>
    </row>
    <row r="210" spans="1:9" s="1735" customFormat="1" ht="13.5" thickTop="1" thickBot="1" x14ac:dyDescent="0.25">
      <c r="A210" s="1740">
        <v>1</v>
      </c>
      <c r="B210" s="1739">
        <v>2</v>
      </c>
      <c r="C210" s="1739">
        <v>3</v>
      </c>
      <c r="D210" s="1739">
        <v>4</v>
      </c>
      <c r="E210" s="1738">
        <v>5</v>
      </c>
      <c r="F210" s="1738">
        <v>6</v>
      </c>
      <c r="G210" s="2028">
        <v>7</v>
      </c>
      <c r="H210" s="2054" t="s">
        <v>61</v>
      </c>
    </row>
    <row r="211" spans="1:9" ht="15.75" thickTop="1" x14ac:dyDescent="0.2">
      <c r="A211" s="2049">
        <v>4357</v>
      </c>
      <c r="B211" s="2056">
        <v>6121</v>
      </c>
      <c r="C211" s="2059">
        <v>53100870</v>
      </c>
      <c r="D211" s="1979" t="s">
        <v>640</v>
      </c>
      <c r="E211" s="1975">
        <v>0</v>
      </c>
      <c r="F211" s="1975">
        <v>0</v>
      </c>
      <c r="G211" s="1975">
        <v>0</v>
      </c>
      <c r="H211" s="1958">
        <v>0</v>
      </c>
    </row>
    <row r="212" spans="1:9" ht="15" x14ac:dyDescent="0.2">
      <c r="A212" s="2049">
        <v>4357</v>
      </c>
      <c r="B212" s="2056">
        <v>6121</v>
      </c>
      <c r="C212" s="2059">
        <v>53100872</v>
      </c>
      <c r="D212" s="1979" t="s">
        <v>640</v>
      </c>
      <c r="E212" s="1989">
        <v>0</v>
      </c>
      <c r="F212" s="1989">
        <v>0</v>
      </c>
      <c r="G212" s="1989">
        <v>0</v>
      </c>
      <c r="H212" s="1961">
        <v>0</v>
      </c>
    </row>
    <row r="213" spans="1:9" ht="15" x14ac:dyDescent="0.2">
      <c r="A213" s="2049">
        <v>4357</v>
      </c>
      <c r="B213" s="2056">
        <v>6121</v>
      </c>
      <c r="C213" s="2059">
        <v>53100874</v>
      </c>
      <c r="D213" s="1979" t="s">
        <v>640</v>
      </c>
      <c r="E213" s="1989">
        <v>0</v>
      </c>
      <c r="F213" s="1989">
        <v>483</v>
      </c>
      <c r="G213" s="1989">
        <v>483</v>
      </c>
      <c r="H213" s="1961">
        <f>G213/F213*100</f>
        <v>100</v>
      </c>
    </row>
    <row r="214" spans="1:9" ht="15.75" thickBot="1" x14ac:dyDescent="0.25">
      <c r="A214" s="2049">
        <v>4357</v>
      </c>
      <c r="B214" s="2056">
        <v>6121</v>
      </c>
      <c r="C214" s="2059">
        <v>53500871</v>
      </c>
      <c r="D214" s="1979" t="s">
        <v>640</v>
      </c>
      <c r="E214" s="1989">
        <v>0</v>
      </c>
      <c r="F214" s="1989">
        <v>4</v>
      </c>
      <c r="G214" s="1989">
        <v>4</v>
      </c>
      <c r="H214" s="1961">
        <f>G214/F214*100</f>
        <v>100</v>
      </c>
    </row>
    <row r="215" spans="1:9" s="1969" customFormat="1" ht="16.5" thickTop="1" thickBot="1" x14ac:dyDescent="0.3">
      <c r="A215" s="2750" t="s">
        <v>802</v>
      </c>
      <c r="B215" s="2751"/>
      <c r="C215" s="2751"/>
      <c r="D215" s="2751"/>
      <c r="E215" s="1957">
        <f>SUM(E211:E214)</f>
        <v>0</v>
      </c>
      <c r="F215" s="1957">
        <f>SUM(F211:F214)</f>
        <v>487</v>
      </c>
      <c r="G215" s="1957">
        <f>SUM(G211:G214)</f>
        <v>487</v>
      </c>
      <c r="H215" s="1962">
        <f>G215/F215*100</f>
        <v>100</v>
      </c>
      <c r="I215" s="2063"/>
    </row>
    <row r="216" spans="1:9" s="1969" customFormat="1" ht="15.75" thickTop="1" x14ac:dyDescent="0.25">
      <c r="A216" s="1963"/>
      <c r="B216" s="1963"/>
      <c r="C216" s="1963"/>
      <c r="D216" s="1963"/>
      <c r="E216" s="1964"/>
      <c r="F216" s="1964"/>
      <c r="G216" s="1964"/>
      <c r="H216" s="1995"/>
      <c r="I216" s="2063"/>
    </row>
    <row r="217" spans="1:9" ht="18" x14ac:dyDescent="0.25">
      <c r="A217" s="1942" t="s">
        <v>537</v>
      </c>
      <c r="B217" s="1973"/>
      <c r="C217" s="1973"/>
      <c r="D217" s="1973"/>
      <c r="E217" s="1973"/>
      <c r="F217" s="1973"/>
      <c r="G217" s="1973"/>
      <c r="H217" s="2027"/>
    </row>
    <row r="218" spans="1:9" ht="16.5" thickBot="1" x14ac:dyDescent="0.3">
      <c r="A218" s="1941" t="s">
        <v>538</v>
      </c>
      <c r="H218" s="1966" t="s">
        <v>173</v>
      </c>
    </row>
    <row r="219" spans="1:9" s="1735" customFormat="1" ht="25.5" thickTop="1" thickBot="1" x14ac:dyDescent="0.25">
      <c r="A219" s="1943" t="s">
        <v>174</v>
      </c>
      <c r="B219" s="1944" t="s">
        <v>800</v>
      </c>
      <c r="C219" s="1944" t="s">
        <v>397</v>
      </c>
      <c r="D219" s="1945" t="s">
        <v>176</v>
      </c>
      <c r="E219" s="1976" t="s">
        <v>669</v>
      </c>
      <c r="F219" s="1976" t="s">
        <v>670</v>
      </c>
      <c r="G219" s="1977" t="s">
        <v>923</v>
      </c>
      <c r="H219" s="1978" t="s">
        <v>924</v>
      </c>
    </row>
    <row r="220" spans="1:9" s="1735" customFormat="1" ht="13.5" thickTop="1" thickBot="1" x14ac:dyDescent="0.25">
      <c r="A220" s="1740">
        <v>1</v>
      </c>
      <c r="B220" s="1739">
        <v>2</v>
      </c>
      <c r="C220" s="1739">
        <v>3</v>
      </c>
      <c r="D220" s="1739">
        <v>4</v>
      </c>
      <c r="E220" s="1738">
        <v>5</v>
      </c>
      <c r="F220" s="1738">
        <v>6</v>
      </c>
      <c r="G220" s="2028">
        <v>7</v>
      </c>
      <c r="H220" s="2054" t="s">
        <v>61</v>
      </c>
    </row>
    <row r="221" spans="1:9" ht="15.75" thickTop="1" x14ac:dyDescent="0.2">
      <c r="A221" s="2049">
        <v>4357</v>
      </c>
      <c r="B221" s="2056">
        <v>6121</v>
      </c>
      <c r="C221" s="2059">
        <v>53100870</v>
      </c>
      <c r="D221" s="1979" t="s">
        <v>640</v>
      </c>
      <c r="E221" s="1975">
        <v>0</v>
      </c>
      <c r="F221" s="1975">
        <v>93</v>
      </c>
      <c r="G221" s="1975">
        <v>50</v>
      </c>
      <c r="H221" s="1958">
        <f t="shared" ref="H221:H227" si="0">G221/F221*100</f>
        <v>53.763440860215049</v>
      </c>
    </row>
    <row r="222" spans="1:9" ht="15" x14ac:dyDescent="0.2">
      <c r="A222" s="2049">
        <v>4357</v>
      </c>
      <c r="B222" s="2056">
        <v>6121</v>
      </c>
      <c r="C222" s="2059">
        <v>53100872</v>
      </c>
      <c r="D222" s="1979" t="s">
        <v>640</v>
      </c>
      <c r="E222" s="1989">
        <v>0</v>
      </c>
      <c r="F222" s="1989">
        <v>53</v>
      </c>
      <c r="G222" s="1989">
        <v>0</v>
      </c>
      <c r="H222" s="1961">
        <f t="shared" si="0"/>
        <v>0</v>
      </c>
    </row>
    <row r="223" spans="1:9" ht="15" x14ac:dyDescent="0.2">
      <c r="A223" s="2049">
        <v>4357</v>
      </c>
      <c r="B223" s="2056">
        <v>6121</v>
      </c>
      <c r="C223" s="2059">
        <v>53100874</v>
      </c>
      <c r="D223" s="1979" t="s">
        <v>640</v>
      </c>
      <c r="E223" s="1989">
        <v>0</v>
      </c>
      <c r="F223" s="1989">
        <v>788</v>
      </c>
      <c r="G223" s="1989">
        <v>788</v>
      </c>
      <c r="H223" s="1961">
        <f t="shared" si="0"/>
        <v>100</v>
      </c>
    </row>
    <row r="224" spans="1:9" ht="15" x14ac:dyDescent="0.2">
      <c r="A224" s="2049">
        <v>4357</v>
      </c>
      <c r="B224" s="2056">
        <v>6121</v>
      </c>
      <c r="C224" s="2059">
        <v>53190877</v>
      </c>
      <c r="D224" s="1979" t="s">
        <v>640</v>
      </c>
      <c r="E224" s="1989">
        <v>0</v>
      </c>
      <c r="F224" s="1989">
        <v>25</v>
      </c>
      <c r="G224" s="1989">
        <v>25</v>
      </c>
      <c r="H224" s="1961">
        <f t="shared" si="0"/>
        <v>100</v>
      </c>
    </row>
    <row r="225" spans="1:9" ht="15" x14ac:dyDescent="0.2">
      <c r="A225" s="2049">
        <v>4357</v>
      </c>
      <c r="B225" s="2056">
        <v>6121</v>
      </c>
      <c r="C225" s="2059">
        <v>53500871</v>
      </c>
      <c r="D225" s="1979" t="s">
        <v>640</v>
      </c>
      <c r="E225" s="1989">
        <v>0</v>
      </c>
      <c r="F225" s="1989">
        <v>807</v>
      </c>
      <c r="G225" s="1989">
        <v>7</v>
      </c>
      <c r="H225" s="1961">
        <f t="shared" si="0"/>
        <v>0.86741016109045854</v>
      </c>
    </row>
    <row r="226" spans="1:9" ht="15.75" thickBot="1" x14ac:dyDescent="0.25">
      <c r="A226" s="2049">
        <v>4357</v>
      </c>
      <c r="B226" s="2056">
        <v>6121</v>
      </c>
      <c r="C226" s="2059">
        <v>53515835</v>
      </c>
      <c r="D226" s="1979" t="s">
        <v>640</v>
      </c>
      <c r="E226" s="1989">
        <v>0</v>
      </c>
      <c r="F226" s="1989">
        <v>419</v>
      </c>
      <c r="G226" s="1989">
        <v>419</v>
      </c>
      <c r="H226" s="1961">
        <f t="shared" si="0"/>
        <v>100</v>
      </c>
    </row>
    <row r="227" spans="1:9" s="1969" customFormat="1" ht="16.5" thickTop="1" thickBot="1" x14ac:dyDescent="0.3">
      <c r="A227" s="2750" t="s">
        <v>802</v>
      </c>
      <c r="B227" s="2751"/>
      <c r="C227" s="2751"/>
      <c r="D227" s="2751"/>
      <c r="E227" s="1957">
        <f>SUM(E221:E225)</f>
        <v>0</v>
      </c>
      <c r="F227" s="1957">
        <f>SUM(F221:F226)</f>
        <v>2185</v>
      </c>
      <c r="G227" s="1957">
        <f>SUM(G221:G226)</f>
        <v>1289</v>
      </c>
      <c r="H227" s="1962">
        <f t="shared" si="0"/>
        <v>58.993135011441645</v>
      </c>
      <c r="I227" s="2063"/>
    </row>
    <row r="228" spans="1:9" s="1969" customFormat="1" ht="15.75" thickTop="1" x14ac:dyDescent="0.25">
      <c r="A228" s="1963"/>
      <c r="B228" s="1963"/>
      <c r="C228" s="1963"/>
      <c r="D228" s="1963"/>
      <c r="E228" s="1964"/>
      <c r="F228" s="1964"/>
      <c r="G228" s="1964"/>
      <c r="H228" s="1995"/>
      <c r="I228" s="2063"/>
    </row>
    <row r="229" spans="1:9" ht="18" x14ac:dyDescent="0.25">
      <c r="A229" s="1942" t="s">
        <v>539</v>
      </c>
      <c r="B229" s="1973"/>
      <c r="C229" s="1973"/>
      <c r="D229" s="1973"/>
      <c r="E229" s="1973"/>
      <c r="F229" s="1973"/>
      <c r="G229" s="1973"/>
      <c r="H229" s="2027"/>
    </row>
    <row r="230" spans="1:9" ht="16.5" thickBot="1" x14ac:dyDescent="0.3">
      <c r="A230" s="1941" t="s">
        <v>540</v>
      </c>
      <c r="H230" s="1966" t="s">
        <v>173</v>
      </c>
    </row>
    <row r="231" spans="1:9" s="1735" customFormat="1" ht="25.5" thickTop="1" thickBot="1" x14ac:dyDescent="0.25">
      <c r="A231" s="1943" t="s">
        <v>174</v>
      </c>
      <c r="B231" s="1944" t="s">
        <v>800</v>
      </c>
      <c r="C231" s="1944" t="s">
        <v>397</v>
      </c>
      <c r="D231" s="1945" t="s">
        <v>176</v>
      </c>
      <c r="E231" s="1976" t="s">
        <v>669</v>
      </c>
      <c r="F231" s="1976" t="s">
        <v>670</v>
      </c>
      <c r="G231" s="1977" t="s">
        <v>923</v>
      </c>
      <c r="H231" s="1978" t="s">
        <v>924</v>
      </c>
    </row>
    <row r="232" spans="1:9" s="1735" customFormat="1" ht="13.5" thickTop="1" thickBot="1" x14ac:dyDescent="0.25">
      <c r="A232" s="1740">
        <v>1</v>
      </c>
      <c r="B232" s="1739">
        <v>2</v>
      </c>
      <c r="C232" s="1739">
        <v>3</v>
      </c>
      <c r="D232" s="1739">
        <v>4</v>
      </c>
      <c r="E232" s="1738">
        <v>5</v>
      </c>
      <c r="F232" s="1738">
        <v>6</v>
      </c>
      <c r="G232" s="2028">
        <v>7</v>
      </c>
      <c r="H232" s="2054" t="s">
        <v>61</v>
      </c>
    </row>
    <row r="233" spans="1:9" ht="15.75" hidden="1" thickTop="1" x14ac:dyDescent="0.2">
      <c r="A233" s="2049">
        <v>3122</v>
      </c>
      <c r="B233" s="2056">
        <v>6121</v>
      </c>
      <c r="C233" s="2059">
        <v>53100870</v>
      </c>
      <c r="D233" s="1979" t="s">
        <v>640</v>
      </c>
      <c r="E233" s="1975">
        <v>0</v>
      </c>
      <c r="F233" s="1975">
        <v>0</v>
      </c>
      <c r="G233" s="1975">
        <v>0</v>
      </c>
      <c r="H233" s="1958" t="e">
        <f>G233/F233*100</f>
        <v>#DIV/0!</v>
      </c>
    </row>
    <row r="234" spans="1:9" ht="15.75" hidden="1" thickTop="1" x14ac:dyDescent="0.2">
      <c r="A234" s="2049">
        <v>3122</v>
      </c>
      <c r="B234" s="2056">
        <v>6121</v>
      </c>
      <c r="C234" s="2059">
        <v>53100872</v>
      </c>
      <c r="D234" s="1979" t="s">
        <v>640</v>
      </c>
      <c r="E234" s="1989">
        <v>0</v>
      </c>
      <c r="F234" s="1989"/>
      <c r="G234" s="1989"/>
      <c r="H234" s="1961" t="e">
        <f>G234/F234*100</f>
        <v>#DIV/0!</v>
      </c>
    </row>
    <row r="235" spans="1:9" ht="16.5" thickTop="1" thickBot="1" x14ac:dyDescent="0.25">
      <c r="A235" s="2049">
        <v>4357</v>
      </c>
      <c r="B235" s="2056">
        <v>6121</v>
      </c>
      <c r="C235" s="2059">
        <v>53100874</v>
      </c>
      <c r="D235" s="1979" t="s">
        <v>640</v>
      </c>
      <c r="E235" s="1989">
        <v>0</v>
      </c>
      <c r="F235" s="1989">
        <v>14</v>
      </c>
      <c r="G235" s="1989">
        <v>7</v>
      </c>
      <c r="H235" s="1961">
        <f>G235/F235*100</f>
        <v>50</v>
      </c>
    </row>
    <row r="236" spans="1:9" ht="15.75" hidden="1" thickBot="1" x14ac:dyDescent="0.25">
      <c r="A236" s="2049">
        <v>3122</v>
      </c>
      <c r="B236" s="2056">
        <v>6121</v>
      </c>
      <c r="C236" s="2059">
        <v>53500871</v>
      </c>
      <c r="D236" s="1979" t="s">
        <v>640</v>
      </c>
      <c r="E236" s="1989">
        <v>0</v>
      </c>
      <c r="F236" s="1989"/>
      <c r="G236" s="1989"/>
      <c r="H236" s="1968">
        <v>0</v>
      </c>
    </row>
    <row r="237" spans="1:9" s="1969" customFormat="1" ht="16.5" thickTop="1" thickBot="1" x14ac:dyDescent="0.3">
      <c r="A237" s="2750" t="s">
        <v>802</v>
      </c>
      <c r="B237" s="2751"/>
      <c r="C237" s="2751"/>
      <c r="D237" s="2751"/>
      <c r="E237" s="1957">
        <f>SUM(E233:E236)</f>
        <v>0</v>
      </c>
      <c r="F237" s="1957">
        <f>SUM(F233:F236)</f>
        <v>14</v>
      </c>
      <c r="G237" s="1957">
        <f>SUM(G233:G236)</f>
        <v>7</v>
      </c>
      <c r="H237" s="1962">
        <f>G237/F237*100</f>
        <v>50</v>
      </c>
      <c r="I237" s="2063"/>
    </row>
    <row r="238" spans="1:9" s="1969" customFormat="1" ht="15.75" thickTop="1" x14ac:dyDescent="0.25">
      <c r="A238" s="1963"/>
      <c r="B238" s="1963"/>
      <c r="C238" s="1963"/>
      <c r="D238" s="1963"/>
      <c r="E238" s="1964"/>
      <c r="F238" s="1964"/>
      <c r="G238" s="1964"/>
      <c r="H238" s="1995"/>
      <c r="I238" s="2063"/>
    </row>
    <row r="239" spans="1:9" ht="18" x14ac:dyDescent="0.25">
      <c r="A239" s="1942" t="s">
        <v>1631</v>
      </c>
      <c r="B239" s="1973"/>
      <c r="C239" s="1973"/>
      <c r="D239" s="1973"/>
      <c r="E239" s="1973"/>
      <c r="F239" s="1973"/>
      <c r="G239" s="1973"/>
      <c r="H239" s="2027"/>
    </row>
    <row r="240" spans="1:9" ht="16.5" thickBot="1" x14ac:dyDescent="0.3">
      <c r="A240" s="1941" t="s">
        <v>1632</v>
      </c>
      <c r="H240" s="1966" t="s">
        <v>173</v>
      </c>
    </row>
    <row r="241" spans="1:9" s="1735" customFormat="1" ht="25.5" thickTop="1" thickBot="1" x14ac:dyDescent="0.25">
      <c r="A241" s="1943" t="s">
        <v>174</v>
      </c>
      <c r="B241" s="1944" t="s">
        <v>800</v>
      </c>
      <c r="C241" s="1944" t="s">
        <v>397</v>
      </c>
      <c r="D241" s="1945" t="s">
        <v>176</v>
      </c>
      <c r="E241" s="1976" t="s">
        <v>669</v>
      </c>
      <c r="F241" s="1976" t="s">
        <v>670</v>
      </c>
      <c r="G241" s="1977" t="s">
        <v>923</v>
      </c>
      <c r="H241" s="1978" t="s">
        <v>924</v>
      </c>
    </row>
    <row r="242" spans="1:9" s="1735" customFormat="1" ht="13.5" thickTop="1" thickBot="1" x14ac:dyDescent="0.25">
      <c r="A242" s="1740">
        <v>1</v>
      </c>
      <c r="B242" s="1739">
        <v>2</v>
      </c>
      <c r="C242" s="1739">
        <v>3</v>
      </c>
      <c r="D242" s="1739">
        <v>4</v>
      </c>
      <c r="E242" s="1738">
        <v>5</v>
      </c>
      <c r="F242" s="1738">
        <v>6</v>
      </c>
      <c r="G242" s="2028">
        <v>7</v>
      </c>
      <c r="H242" s="2054" t="s">
        <v>61</v>
      </c>
    </row>
    <row r="243" spans="1:9" ht="15.75" thickTop="1" x14ac:dyDescent="0.2">
      <c r="A243" s="2049">
        <v>4357</v>
      </c>
      <c r="B243" s="2056">
        <v>6121</v>
      </c>
      <c r="C243" s="2059">
        <v>53100870</v>
      </c>
      <c r="D243" s="1979" t="s">
        <v>640</v>
      </c>
      <c r="E243" s="1975">
        <v>0</v>
      </c>
      <c r="F243" s="1975">
        <v>70</v>
      </c>
      <c r="G243" s="1975">
        <v>0</v>
      </c>
      <c r="H243" s="1961">
        <f>G243/F243*100</f>
        <v>0</v>
      </c>
    </row>
    <row r="244" spans="1:9" ht="15" hidden="1" x14ac:dyDescent="0.2">
      <c r="A244" s="2049">
        <v>3122</v>
      </c>
      <c r="B244" s="2056">
        <v>6121</v>
      </c>
      <c r="C244" s="2059">
        <v>53100872</v>
      </c>
      <c r="D244" s="1979" t="s">
        <v>640</v>
      </c>
      <c r="E244" s="1989">
        <v>0</v>
      </c>
      <c r="F244" s="1989"/>
      <c r="G244" s="1989"/>
      <c r="H244" s="1961" t="e">
        <f>G244/F244*100</f>
        <v>#DIV/0!</v>
      </c>
    </row>
    <row r="245" spans="1:9" ht="15.75" thickBot="1" x14ac:dyDescent="0.25">
      <c r="A245" s="2049">
        <v>4357</v>
      </c>
      <c r="B245" s="2056">
        <v>6121</v>
      </c>
      <c r="C245" s="2059">
        <v>53100874</v>
      </c>
      <c r="D245" s="1979" t="s">
        <v>640</v>
      </c>
      <c r="E245" s="1989">
        <v>0</v>
      </c>
      <c r="F245" s="1989">
        <v>2859</v>
      </c>
      <c r="G245" s="1989">
        <v>2859</v>
      </c>
      <c r="H245" s="1961">
        <f>G245/F245*100</f>
        <v>100</v>
      </c>
    </row>
    <row r="246" spans="1:9" ht="15.75" hidden="1" thickBot="1" x14ac:dyDescent="0.25">
      <c r="A246" s="2049">
        <v>3122</v>
      </c>
      <c r="B246" s="2056">
        <v>6121</v>
      </c>
      <c r="C246" s="2059">
        <v>53500871</v>
      </c>
      <c r="D246" s="1979" t="s">
        <v>640</v>
      </c>
      <c r="E246" s="1989">
        <v>0</v>
      </c>
      <c r="F246" s="1989"/>
      <c r="G246" s="1989"/>
      <c r="H246" s="1968">
        <v>0</v>
      </c>
    </row>
    <row r="247" spans="1:9" s="1969" customFormat="1" ht="16.5" thickTop="1" thickBot="1" x14ac:dyDescent="0.3">
      <c r="A247" s="2750" t="s">
        <v>802</v>
      </c>
      <c r="B247" s="2751"/>
      <c r="C247" s="2751"/>
      <c r="D247" s="2751"/>
      <c r="E247" s="1957">
        <f>SUM(E243:E246)</f>
        <v>0</v>
      </c>
      <c r="F247" s="1957">
        <f>SUM(F243:F246)</f>
        <v>2929</v>
      </c>
      <c r="G247" s="1957">
        <f>SUM(G243:G246)</f>
        <v>2859</v>
      </c>
      <c r="H247" s="1962">
        <f>G247/F247*100</f>
        <v>97.610105838170028</v>
      </c>
      <c r="I247" s="2063"/>
    </row>
    <row r="248" spans="1:9" s="1969" customFormat="1" ht="15.75" thickTop="1" x14ac:dyDescent="0.25">
      <c r="A248" s="1963"/>
      <c r="B248" s="1963"/>
      <c r="C248" s="1963"/>
      <c r="D248" s="1963"/>
      <c r="E248" s="1964"/>
      <c r="F248" s="1964"/>
      <c r="G248" s="1964"/>
      <c r="H248" s="1995"/>
      <c r="I248" s="2063"/>
    </row>
    <row r="249" spans="1:9" ht="18" x14ac:dyDescent="0.25">
      <c r="A249" s="1942" t="s">
        <v>1443</v>
      </c>
      <c r="B249" s="1973"/>
      <c r="C249" s="1973"/>
      <c r="D249" s="1973"/>
      <c r="E249" s="1973"/>
      <c r="F249" s="1973"/>
      <c r="G249" s="1973"/>
      <c r="H249" s="2027"/>
    </row>
    <row r="250" spans="1:9" ht="16.5" thickBot="1" x14ac:dyDescent="0.3">
      <c r="A250" s="1941" t="s">
        <v>1442</v>
      </c>
      <c r="H250" s="1966" t="s">
        <v>173</v>
      </c>
    </row>
    <row r="251" spans="1:9" s="1735" customFormat="1" ht="25.5" thickTop="1" thickBot="1" x14ac:dyDescent="0.25">
      <c r="A251" s="1943" t="s">
        <v>174</v>
      </c>
      <c r="B251" s="1944" t="s">
        <v>800</v>
      </c>
      <c r="C251" s="1944" t="s">
        <v>397</v>
      </c>
      <c r="D251" s="1945" t="s">
        <v>176</v>
      </c>
      <c r="E251" s="1976" t="s">
        <v>669</v>
      </c>
      <c r="F251" s="1976" t="s">
        <v>670</v>
      </c>
      <c r="G251" s="1977" t="s">
        <v>923</v>
      </c>
      <c r="H251" s="1978" t="s">
        <v>924</v>
      </c>
    </row>
    <row r="252" spans="1:9" s="1735" customFormat="1" ht="13.5" thickTop="1" thickBot="1" x14ac:dyDescent="0.25">
      <c r="A252" s="1740">
        <v>1</v>
      </c>
      <c r="B252" s="1739">
        <v>2</v>
      </c>
      <c r="C252" s="1739">
        <v>3</v>
      </c>
      <c r="D252" s="1739">
        <v>4</v>
      </c>
      <c r="E252" s="1738">
        <v>5</v>
      </c>
      <c r="F252" s="1738">
        <v>6</v>
      </c>
      <c r="G252" s="2028">
        <v>7</v>
      </c>
      <c r="H252" s="2054" t="s">
        <v>61</v>
      </c>
    </row>
    <row r="253" spans="1:9" ht="15.75" thickTop="1" x14ac:dyDescent="0.2">
      <c r="A253" s="2049">
        <v>3522</v>
      </c>
      <c r="B253" s="2056">
        <v>6121</v>
      </c>
      <c r="C253" s="2059">
        <v>36</v>
      </c>
      <c r="D253" s="1979" t="s">
        <v>640</v>
      </c>
      <c r="E253" s="1975">
        <v>100</v>
      </c>
      <c r="F253" s="1975">
        <v>100</v>
      </c>
      <c r="G253" s="1975">
        <v>0</v>
      </c>
      <c r="H253" s="1961">
        <f>G253/F253*100</f>
        <v>0</v>
      </c>
    </row>
    <row r="254" spans="1:9" ht="15" hidden="1" x14ac:dyDescent="0.2">
      <c r="A254" s="2049">
        <v>3122</v>
      </c>
      <c r="B254" s="2056">
        <v>6121</v>
      </c>
      <c r="C254" s="2059">
        <v>53100872</v>
      </c>
      <c r="D254" s="1979" t="s">
        <v>640</v>
      </c>
      <c r="E254" s="1989">
        <v>0</v>
      </c>
      <c r="F254" s="1989"/>
      <c r="G254" s="1989"/>
      <c r="H254" s="1961" t="e">
        <f>G254/F254*100</f>
        <v>#DIV/0!</v>
      </c>
    </row>
    <row r="255" spans="1:9" ht="15.75" thickBot="1" x14ac:dyDescent="0.25">
      <c r="A255" s="2049">
        <v>3522</v>
      </c>
      <c r="B255" s="2056">
        <v>6121</v>
      </c>
      <c r="C255" s="2059">
        <v>53100874</v>
      </c>
      <c r="D255" s="1979" t="s">
        <v>640</v>
      </c>
      <c r="E255" s="1989">
        <v>0</v>
      </c>
      <c r="F255" s="1989">
        <v>227</v>
      </c>
      <c r="G255" s="1989">
        <v>221</v>
      </c>
      <c r="H255" s="1961">
        <f>G255/F255*100</f>
        <v>97.356828193832598</v>
      </c>
    </row>
    <row r="256" spans="1:9" ht="15.75" hidden="1" thickBot="1" x14ac:dyDescent="0.25">
      <c r="A256" s="2049">
        <v>3122</v>
      </c>
      <c r="B256" s="2056">
        <v>6121</v>
      </c>
      <c r="C256" s="2059">
        <v>53500871</v>
      </c>
      <c r="D256" s="1979" t="s">
        <v>640</v>
      </c>
      <c r="E256" s="1989">
        <v>0</v>
      </c>
      <c r="F256" s="1989"/>
      <c r="G256" s="1989"/>
      <c r="H256" s="1968">
        <v>0</v>
      </c>
    </row>
    <row r="257" spans="1:9" s="1969" customFormat="1" ht="16.5" thickTop="1" thickBot="1" x14ac:dyDescent="0.3">
      <c r="A257" s="2750" t="s">
        <v>802</v>
      </c>
      <c r="B257" s="2751"/>
      <c r="C257" s="2751"/>
      <c r="D257" s="2751"/>
      <c r="E257" s="1957">
        <f>SUM(E253:E256)</f>
        <v>100</v>
      </c>
      <c r="F257" s="1957">
        <f>SUM(F253:F256)</f>
        <v>327</v>
      </c>
      <c r="G257" s="1957">
        <f>SUM(G253:G256)</f>
        <v>221</v>
      </c>
      <c r="H257" s="1962">
        <f>G257/F257*100</f>
        <v>67.584097859327215</v>
      </c>
      <c r="I257" s="2063"/>
    </row>
    <row r="258" spans="1:9" s="1969" customFormat="1" ht="15.75" thickTop="1" x14ac:dyDescent="0.25">
      <c r="A258" s="1963"/>
      <c r="B258" s="1963"/>
      <c r="C258" s="1963"/>
      <c r="D258" s="1963"/>
      <c r="E258" s="1964"/>
      <c r="F258" s="1964"/>
      <c r="G258" s="1964"/>
      <c r="H258" s="1995"/>
      <c r="I258" s="2063"/>
    </row>
    <row r="259" spans="1:9" ht="18" x14ac:dyDescent="0.25">
      <c r="A259" s="1942" t="s">
        <v>1441</v>
      </c>
      <c r="B259" s="1973"/>
      <c r="C259" s="1973"/>
      <c r="D259" s="1973"/>
      <c r="E259" s="1973"/>
      <c r="F259" s="1973"/>
      <c r="G259" s="1973"/>
      <c r="H259" s="2027"/>
    </row>
    <row r="260" spans="1:9" ht="16.5" thickBot="1" x14ac:dyDescent="0.3">
      <c r="A260" s="1941" t="s">
        <v>1440</v>
      </c>
      <c r="H260" s="1966" t="s">
        <v>173</v>
      </c>
    </row>
    <row r="261" spans="1:9" s="1735" customFormat="1" ht="25.5" thickTop="1" thickBot="1" x14ac:dyDescent="0.25">
      <c r="A261" s="1943" t="s">
        <v>174</v>
      </c>
      <c r="B261" s="1944" t="s">
        <v>800</v>
      </c>
      <c r="C261" s="1944" t="s">
        <v>397</v>
      </c>
      <c r="D261" s="1945" t="s">
        <v>176</v>
      </c>
      <c r="E261" s="1976" t="s">
        <v>669</v>
      </c>
      <c r="F261" s="1976" t="s">
        <v>670</v>
      </c>
      <c r="G261" s="1977" t="s">
        <v>923</v>
      </c>
      <c r="H261" s="1978" t="s">
        <v>924</v>
      </c>
    </row>
    <row r="262" spans="1:9" s="1735" customFormat="1" ht="13.5" thickTop="1" thickBot="1" x14ac:dyDescent="0.25">
      <c r="A262" s="1740">
        <v>1</v>
      </c>
      <c r="B262" s="1739">
        <v>2</v>
      </c>
      <c r="C262" s="1739">
        <v>3</v>
      </c>
      <c r="D262" s="1739">
        <v>4</v>
      </c>
      <c r="E262" s="1738">
        <v>5</v>
      </c>
      <c r="F262" s="1738">
        <v>6</v>
      </c>
      <c r="G262" s="2028">
        <v>7</v>
      </c>
      <c r="H262" s="2054" t="s">
        <v>61</v>
      </c>
    </row>
    <row r="263" spans="1:9" ht="16.5" thickTop="1" thickBot="1" x14ac:dyDescent="0.25">
      <c r="A263" s="2049">
        <v>3522</v>
      </c>
      <c r="B263" s="2056">
        <v>6121</v>
      </c>
      <c r="C263" s="2059">
        <v>36</v>
      </c>
      <c r="D263" s="1979" t="s">
        <v>640</v>
      </c>
      <c r="E263" s="1975">
        <v>100</v>
      </c>
      <c r="F263" s="1975">
        <v>100</v>
      </c>
      <c r="G263" s="1975">
        <v>0</v>
      </c>
      <c r="H263" s="1961">
        <f>G263/F263*100</f>
        <v>0</v>
      </c>
    </row>
    <row r="264" spans="1:9" ht="15.75" hidden="1" thickBot="1" x14ac:dyDescent="0.25">
      <c r="A264" s="2049">
        <v>3122</v>
      </c>
      <c r="B264" s="2056">
        <v>6121</v>
      </c>
      <c r="C264" s="2059">
        <v>53100872</v>
      </c>
      <c r="D264" s="1979" t="s">
        <v>640</v>
      </c>
      <c r="E264" s="1989">
        <v>0</v>
      </c>
      <c r="F264" s="1989"/>
      <c r="G264" s="1989"/>
      <c r="H264" s="1961" t="e">
        <f>G264/F264*100</f>
        <v>#DIV/0!</v>
      </c>
    </row>
    <row r="265" spans="1:9" ht="15.75" hidden="1" thickBot="1" x14ac:dyDescent="0.25">
      <c r="A265" s="2049">
        <v>3522</v>
      </c>
      <c r="B265" s="2056">
        <v>6121</v>
      </c>
      <c r="C265" s="2059">
        <v>53100874</v>
      </c>
      <c r="D265" s="1979" t="s">
        <v>640</v>
      </c>
      <c r="E265" s="1989">
        <v>0</v>
      </c>
      <c r="F265" s="1989">
        <v>0</v>
      </c>
      <c r="G265" s="1989">
        <v>0</v>
      </c>
      <c r="H265" s="1961" t="e">
        <f>G265/F265*100</f>
        <v>#DIV/0!</v>
      </c>
    </row>
    <row r="266" spans="1:9" ht="15.75" hidden="1" thickBot="1" x14ac:dyDescent="0.25">
      <c r="A266" s="2049">
        <v>3122</v>
      </c>
      <c r="B266" s="2056">
        <v>6121</v>
      </c>
      <c r="C266" s="2059">
        <v>53500871</v>
      </c>
      <c r="D266" s="1979" t="s">
        <v>640</v>
      </c>
      <c r="E266" s="1989">
        <v>0</v>
      </c>
      <c r="F266" s="1989"/>
      <c r="G266" s="1989"/>
      <c r="H266" s="1968">
        <v>0</v>
      </c>
    </row>
    <row r="267" spans="1:9" s="1969" customFormat="1" ht="16.5" thickTop="1" thickBot="1" x14ac:dyDescent="0.3">
      <c r="A267" s="2750" t="s">
        <v>802</v>
      </c>
      <c r="B267" s="2751"/>
      <c r="C267" s="2751"/>
      <c r="D267" s="2751"/>
      <c r="E267" s="1957">
        <f>SUM(E263:E266)</f>
        <v>100</v>
      </c>
      <c r="F267" s="1957">
        <f>SUM(F263:F266)</f>
        <v>100</v>
      </c>
      <c r="G267" s="1957">
        <f>SUM(G263:G266)</f>
        <v>0</v>
      </c>
      <c r="H267" s="1962">
        <f>G267/F267*100</f>
        <v>0</v>
      </c>
      <c r="I267" s="2063"/>
    </row>
    <row r="268" spans="1:9" s="1969" customFormat="1" ht="15.75" thickTop="1" x14ac:dyDescent="0.25">
      <c r="A268" s="1963"/>
      <c r="B268" s="1963"/>
      <c r="C268" s="1963"/>
      <c r="D268" s="1963"/>
      <c r="E268" s="1964"/>
      <c r="F268" s="1964"/>
      <c r="G268" s="1964"/>
      <c r="H268" s="1995"/>
      <c r="I268" s="2063"/>
    </row>
    <row r="269" spans="1:9" ht="18" x14ac:dyDescent="0.25">
      <c r="A269" s="1942" t="s">
        <v>1439</v>
      </c>
      <c r="B269" s="1973"/>
      <c r="C269" s="1973"/>
      <c r="D269" s="1973"/>
      <c r="E269" s="1973"/>
      <c r="F269" s="1973"/>
      <c r="G269" s="1973"/>
      <c r="H269" s="2027"/>
    </row>
    <row r="270" spans="1:9" ht="16.5" thickBot="1" x14ac:dyDescent="0.3">
      <c r="A270" s="1941" t="s">
        <v>1438</v>
      </c>
      <c r="H270" s="1966" t="s">
        <v>173</v>
      </c>
    </row>
    <row r="271" spans="1:9" s="1735" customFormat="1" ht="25.5" thickTop="1" thickBot="1" x14ac:dyDescent="0.25">
      <c r="A271" s="1943" t="s">
        <v>174</v>
      </c>
      <c r="B271" s="1944" t="s">
        <v>800</v>
      </c>
      <c r="C271" s="1944" t="s">
        <v>397</v>
      </c>
      <c r="D271" s="1945" t="s">
        <v>176</v>
      </c>
      <c r="E271" s="1976" t="s">
        <v>669</v>
      </c>
      <c r="F271" s="1976" t="s">
        <v>670</v>
      </c>
      <c r="G271" s="1977" t="s">
        <v>923</v>
      </c>
      <c r="H271" s="1978" t="s">
        <v>924</v>
      </c>
    </row>
    <row r="272" spans="1:9" s="1735" customFormat="1" ht="13.5" thickTop="1" thickBot="1" x14ac:dyDescent="0.25">
      <c r="A272" s="1740">
        <v>1</v>
      </c>
      <c r="B272" s="1739">
        <v>2</v>
      </c>
      <c r="C272" s="1739">
        <v>3</v>
      </c>
      <c r="D272" s="1739">
        <v>4</v>
      </c>
      <c r="E272" s="1738">
        <v>5</v>
      </c>
      <c r="F272" s="1738">
        <v>6</v>
      </c>
      <c r="G272" s="2028">
        <v>7</v>
      </c>
      <c r="H272" s="2054" t="s">
        <v>61</v>
      </c>
    </row>
    <row r="273" spans="1:12" ht="15.75" thickTop="1" x14ac:dyDescent="0.2">
      <c r="A273" s="2049">
        <v>3522</v>
      </c>
      <c r="B273" s="2056">
        <v>6121</v>
      </c>
      <c r="C273" s="2059">
        <v>36</v>
      </c>
      <c r="D273" s="1979" t="s">
        <v>640</v>
      </c>
      <c r="E273" s="1975">
        <v>100</v>
      </c>
      <c r="F273" s="1975">
        <v>100</v>
      </c>
      <c r="G273" s="1975">
        <v>0</v>
      </c>
      <c r="H273" s="1961">
        <f>G273/F273*100</f>
        <v>0</v>
      </c>
    </row>
    <row r="274" spans="1:12" ht="15" x14ac:dyDescent="0.2">
      <c r="A274" s="2049">
        <v>3522</v>
      </c>
      <c r="B274" s="2056">
        <v>6121</v>
      </c>
      <c r="C274" s="2059">
        <v>53100870</v>
      </c>
      <c r="D274" s="1979" t="s">
        <v>640</v>
      </c>
      <c r="E274" s="1989">
        <v>0</v>
      </c>
      <c r="F274" s="1989">
        <v>100</v>
      </c>
      <c r="G274" s="1989">
        <v>0</v>
      </c>
      <c r="H274" s="1961">
        <f>G274/F274*100</f>
        <v>0</v>
      </c>
    </row>
    <row r="275" spans="1:12" ht="15.75" thickBot="1" x14ac:dyDescent="0.25">
      <c r="A275" s="2049">
        <v>3522</v>
      </c>
      <c r="B275" s="2056">
        <v>6121</v>
      </c>
      <c r="C275" s="2059">
        <v>53100874</v>
      </c>
      <c r="D275" s="1979" t="s">
        <v>640</v>
      </c>
      <c r="E275" s="1989">
        <v>0</v>
      </c>
      <c r="F275" s="1989">
        <v>667</v>
      </c>
      <c r="G275" s="1989">
        <v>667</v>
      </c>
      <c r="H275" s="1961">
        <f>G275/F275*100</f>
        <v>100</v>
      </c>
    </row>
    <row r="276" spans="1:12" ht="15.75" hidden="1" thickBot="1" x14ac:dyDescent="0.25">
      <c r="A276" s="2049">
        <v>3122</v>
      </c>
      <c r="B276" s="2056">
        <v>6121</v>
      </c>
      <c r="C276" s="2059">
        <v>53500871</v>
      </c>
      <c r="D276" s="1979" t="s">
        <v>640</v>
      </c>
      <c r="E276" s="1989">
        <v>0</v>
      </c>
      <c r="F276" s="1989"/>
      <c r="G276" s="1989"/>
      <c r="H276" s="1968">
        <v>0</v>
      </c>
    </row>
    <row r="277" spans="1:12" s="1969" customFormat="1" ht="16.5" thickTop="1" thickBot="1" x14ac:dyDescent="0.3">
      <c r="A277" s="2750" t="s">
        <v>802</v>
      </c>
      <c r="B277" s="2751"/>
      <c r="C277" s="2751"/>
      <c r="D277" s="2751"/>
      <c r="E277" s="1957">
        <f>SUM(E273:E276)</f>
        <v>100</v>
      </c>
      <c r="F277" s="1957">
        <f>SUM(F273:F276)</f>
        <v>867</v>
      </c>
      <c r="G277" s="1957">
        <f>SUM(G273:G276)</f>
        <v>667</v>
      </c>
      <c r="H277" s="1962">
        <f>G277/F277*100</f>
        <v>76.931949250288355</v>
      </c>
      <c r="I277" s="2063"/>
    </row>
    <row r="278" spans="1:12" ht="13.5" thickTop="1" x14ac:dyDescent="0.2">
      <c r="I278" s="1970"/>
    </row>
    <row r="279" spans="1:12" ht="15.75" thickBot="1" x14ac:dyDescent="0.3">
      <c r="A279" s="1942" t="s">
        <v>263</v>
      </c>
      <c r="D279" s="1936"/>
      <c r="E279" s="1937"/>
      <c r="H279" s="2043" t="s">
        <v>173</v>
      </c>
      <c r="I279" s="2042"/>
    </row>
    <row r="280" spans="1:12" ht="25.5" thickTop="1" thickBot="1" x14ac:dyDescent="0.25">
      <c r="A280" s="1943" t="s">
        <v>174</v>
      </c>
      <c r="B280" s="1944" t="s">
        <v>800</v>
      </c>
      <c r="C280" s="1944" t="s">
        <v>397</v>
      </c>
      <c r="D280" s="1945" t="s">
        <v>176</v>
      </c>
      <c r="E280" s="1976" t="s">
        <v>669</v>
      </c>
      <c r="F280" s="1976" t="s">
        <v>670</v>
      </c>
      <c r="G280" s="1977" t="s">
        <v>923</v>
      </c>
      <c r="H280" s="1978" t="s">
        <v>924</v>
      </c>
    </row>
    <row r="281" spans="1:12" ht="14.25" thickTop="1" thickBot="1" x14ac:dyDescent="0.25">
      <c r="A281" s="1740">
        <v>1</v>
      </c>
      <c r="B281" s="1739">
        <v>2</v>
      </c>
      <c r="C281" s="1739">
        <v>3</v>
      </c>
      <c r="D281" s="1739">
        <v>5</v>
      </c>
      <c r="E281" s="1738">
        <v>6</v>
      </c>
      <c r="F281" s="1738">
        <v>7</v>
      </c>
      <c r="G281" s="2028">
        <v>8</v>
      </c>
      <c r="H281" s="1951" t="s">
        <v>801</v>
      </c>
    </row>
    <row r="282" spans="1:12" s="1973" customFormat="1" ht="16.5" thickTop="1" thickBot="1" x14ac:dyDescent="0.3">
      <c r="A282" s="2041">
        <v>6330</v>
      </c>
      <c r="B282" s="1953">
        <v>5345</v>
      </c>
      <c r="C282" s="2040"/>
      <c r="D282" s="2037" t="s">
        <v>806</v>
      </c>
      <c r="E282" s="1975">
        <v>0</v>
      </c>
      <c r="F282" s="1975">
        <v>0</v>
      </c>
      <c r="G282" s="2039">
        <v>4056</v>
      </c>
      <c r="H282" s="1958">
        <v>0</v>
      </c>
    </row>
    <row r="283" spans="1:12" s="1973" customFormat="1" ht="15.75" hidden="1" thickBot="1" x14ac:dyDescent="0.3">
      <c r="A283" s="1952">
        <v>6409</v>
      </c>
      <c r="B283" s="1953">
        <v>5909</v>
      </c>
      <c r="C283" s="2038"/>
      <c r="D283" s="2037" t="s">
        <v>820</v>
      </c>
      <c r="E283" s="1989">
        <v>0</v>
      </c>
      <c r="F283" s="1989">
        <v>0</v>
      </c>
      <c r="G283" s="2036">
        <v>0</v>
      </c>
      <c r="H283" s="1961">
        <v>0</v>
      </c>
    </row>
    <row r="284" spans="1:12" ht="16.5" thickTop="1" thickBot="1" x14ac:dyDescent="0.3">
      <c r="A284" s="1980" t="s">
        <v>802</v>
      </c>
      <c r="B284" s="1981"/>
      <c r="C284" s="1981"/>
      <c r="D284" s="1982"/>
      <c r="E284" s="1957">
        <f>SUM(E282:E283)</f>
        <v>0</v>
      </c>
      <c r="F284" s="1957">
        <f>SUM(F282:F283)</f>
        <v>0</v>
      </c>
      <c r="G284" s="1957">
        <f>SUM(G282:G283)</f>
        <v>4056</v>
      </c>
      <c r="H284" s="1962">
        <v>0</v>
      </c>
    </row>
    <row r="285" spans="1:12" ht="87" customHeight="1" thickTop="1" x14ac:dyDescent="0.2"/>
    <row r="286" spans="1:12" hidden="1" x14ac:dyDescent="0.2"/>
    <row r="287" spans="1:12" hidden="1" x14ac:dyDescent="0.2"/>
    <row r="288" spans="1:12" ht="16.5" x14ac:dyDescent="0.25">
      <c r="A288" s="2011" t="s">
        <v>487</v>
      </c>
      <c r="B288" s="2012"/>
      <c r="C288" s="2013"/>
      <c r="D288" s="2014"/>
      <c r="E288" s="2015">
        <f>SUM(E289:E291)</f>
        <v>300</v>
      </c>
      <c r="F288" s="2015">
        <f>F289+F290+F291+F292</f>
        <v>20133</v>
      </c>
      <c r="G288" s="2015">
        <f>G289+G290+G291+G292</f>
        <v>22033</v>
      </c>
      <c r="H288" s="2035">
        <f>G288/F288*100</f>
        <v>109.43724233844931</v>
      </c>
      <c r="J288" s="2017">
        <f>J289+J290+J291</f>
        <v>300000</v>
      </c>
      <c r="K288" s="2017">
        <f>K289+K290+K291</f>
        <v>20133247.309999999</v>
      </c>
      <c r="L288" s="2017">
        <f>L289+L290+L291</f>
        <v>22032545.620000001</v>
      </c>
    </row>
    <row r="289" spans="1:12" ht="15" x14ac:dyDescent="0.2">
      <c r="A289" s="1696" t="s">
        <v>277</v>
      </c>
      <c r="B289" s="1699"/>
      <c r="C289" s="1694"/>
      <c r="D289" s="2018"/>
      <c r="E289" s="1697">
        <f>E11+E12</f>
        <v>0</v>
      </c>
      <c r="F289" s="1697">
        <v>0</v>
      </c>
      <c r="G289" s="1697">
        <v>0</v>
      </c>
      <c r="H289" s="2034">
        <v>0</v>
      </c>
      <c r="J289" s="2019">
        <v>0</v>
      </c>
      <c r="K289" s="2019">
        <v>0</v>
      </c>
      <c r="L289" s="2019">
        <v>0</v>
      </c>
    </row>
    <row r="290" spans="1:12" ht="15.75" x14ac:dyDescent="0.25">
      <c r="A290" s="1696" t="s">
        <v>278</v>
      </c>
      <c r="B290" s="1695"/>
      <c r="C290" s="1694"/>
      <c r="D290" s="2020"/>
      <c r="E290" s="1697">
        <f>E11+E12+E13+E14+E21+E23+E33+E41+E43+E51+E52+E53+E54+E73+E83+E93+E103+E111+E113+E121+E123+E131+E133+E141+E142+E143+E144+E151+E153+E163+E171+E172+E173+E174+E181+E182+E183+E184+E193+E201+E203+E211+E212+E213+E214+E221+E222+E223+E224+E225+E226+E235+E243+E245+E253+E255+E263+E273+E274+E275+E61+E62+E63+E64</f>
        <v>300</v>
      </c>
      <c r="F290" s="1697">
        <f>F11+F12+F13+F14+F21+F23+F33+F41+F43+F51+F52+F53+F54+F73+F83+F93+F103+F111+F113+F121+F123+F131+F133+F141+F142+F143+F144+F151+F153+F163+F171+F172+F173+F174+F181+F182+F183+F184+F193+F201+F203+F211+F212+F213+F214+F221+F222+F223+F224+F225+F226+F235+F243+F245+F253+F255+F263+F273+F274+F275+F61+F62+F63+F64</f>
        <v>20133</v>
      </c>
      <c r="G290" s="1697">
        <f>G11+G12+G13+G14+G21+G23+G33+G41+G43+G51+G52+G53+G54+G73+G83+G93+G103+G111+G113+G121+G123+G131+G133+G141+G142+G143+G144+G151+G153+G163+G171+G172+G173+G174+G181+G182+G183+G184+G193+G201+G203+G211+G212+G213+G214+G221+G222+G223+G224+G225+G226+G235+G243+G245+G253+G255+G263+G273+G274+G275+G61+G62+G63+G64</f>
        <v>17977</v>
      </c>
      <c r="H290" s="2035">
        <f>G290/F290*100</f>
        <v>89.291213430685929</v>
      </c>
      <c r="J290" s="2019">
        <v>300000</v>
      </c>
      <c r="K290" s="2019">
        <v>20133247.309999999</v>
      </c>
      <c r="L290" s="2019">
        <v>17976557.760000002</v>
      </c>
    </row>
    <row r="291" spans="1:12" ht="15" x14ac:dyDescent="0.2">
      <c r="A291" s="1696" t="s">
        <v>488</v>
      </c>
      <c r="B291" s="1695"/>
      <c r="C291" s="1694"/>
      <c r="D291" s="2020"/>
      <c r="E291" s="1697">
        <f>E282</f>
        <v>0</v>
      </c>
      <c r="F291" s="1697">
        <f>F282</f>
        <v>0</v>
      </c>
      <c r="G291" s="1697">
        <f>G282</f>
        <v>4056</v>
      </c>
      <c r="H291" s="2034">
        <v>0</v>
      </c>
      <c r="J291" s="2019">
        <v>0</v>
      </c>
      <c r="K291" s="2019">
        <v>0</v>
      </c>
      <c r="L291" s="2019">
        <v>4055987.86</v>
      </c>
    </row>
    <row r="292" spans="1:12" ht="9.75" customHeight="1" x14ac:dyDescent="0.2">
      <c r="A292" s="1696"/>
      <c r="B292" s="1695"/>
      <c r="C292" s="1694"/>
      <c r="D292" s="2020"/>
      <c r="E292" s="1697"/>
      <c r="F292" s="1697"/>
      <c r="G292" s="1697"/>
      <c r="H292" s="1693"/>
    </row>
    <row r="293" spans="1:12" ht="48.75" customHeight="1" thickBot="1" x14ac:dyDescent="0.4">
      <c r="A293" s="2746" t="s">
        <v>962</v>
      </c>
      <c r="B293" s="2747"/>
      <c r="C293" s="2747"/>
      <c r="D293" s="2747"/>
      <c r="E293" s="1687">
        <f>SUM(E288)</f>
        <v>300</v>
      </c>
      <c r="F293" s="1687">
        <f>SUM(F288)</f>
        <v>20133</v>
      </c>
      <c r="G293" s="1687">
        <f>SUM(G288)</f>
        <v>22033</v>
      </c>
      <c r="H293" s="1686">
        <f>(G293/F293)*100</f>
        <v>109.43724233844931</v>
      </c>
    </row>
    <row r="294" spans="1:12" ht="13.5" thickTop="1" x14ac:dyDescent="0.2"/>
    <row r="415" spans="1:5" ht="13.5" thickBot="1" x14ac:dyDescent="0.25">
      <c r="A415" s="1984"/>
      <c r="B415" s="1984"/>
      <c r="C415" s="1984"/>
      <c r="D415" s="2064"/>
      <c r="E415" s="2065"/>
    </row>
    <row r="416" spans="1:5" ht="13.5" thickTop="1" x14ac:dyDescent="0.2">
      <c r="A416" s="2009"/>
      <c r="B416" s="2009"/>
      <c r="C416" s="2009"/>
      <c r="D416" s="1998"/>
      <c r="E416" s="2066"/>
    </row>
    <row r="417" spans="4:4" x14ac:dyDescent="0.2">
      <c r="D417" s="1937" t="e">
        <f>#REF!+#REF!</f>
        <v>#REF!</v>
      </c>
    </row>
  </sheetData>
  <mergeCells count="28">
    <mergeCell ref="A65:D65"/>
    <mergeCell ref="A15:D15"/>
    <mergeCell ref="A25:D25"/>
    <mergeCell ref="A35:D35"/>
    <mergeCell ref="A45:D45"/>
    <mergeCell ref="A55:D55"/>
    <mergeCell ref="A185:D185"/>
    <mergeCell ref="A75:D75"/>
    <mergeCell ref="A85:D85"/>
    <mergeCell ref="A95:D95"/>
    <mergeCell ref="A105:D105"/>
    <mergeCell ref="A115:D115"/>
    <mergeCell ref="A125:D125"/>
    <mergeCell ref="A135:D135"/>
    <mergeCell ref="A145:D145"/>
    <mergeCell ref="A155:D155"/>
    <mergeCell ref="A165:D165"/>
    <mergeCell ref="A175:D175"/>
    <mergeCell ref="A257:D257"/>
    <mergeCell ref="A267:D267"/>
    <mergeCell ref="A277:D277"/>
    <mergeCell ref="A293:D293"/>
    <mergeCell ref="A195:D195"/>
    <mergeCell ref="A205:D205"/>
    <mergeCell ref="A215:D215"/>
    <mergeCell ref="A227:D227"/>
    <mergeCell ref="A237:D237"/>
    <mergeCell ref="A247:D247"/>
  </mergeCells>
  <pageMargins left="0.78740157480314965" right="0.98425196850393704" top="0.98425196850393704" bottom="0.98425196850393704" header="0.51181102362204722" footer="0.51181102362204722"/>
  <pageSetup paperSize="9" scale="64" firstPageNumber="130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4" manualBreakCount="4">
    <brk id="75" max="7" man="1"/>
    <brk id="155" max="7" man="1"/>
    <brk id="227" max="7" man="1"/>
    <brk id="294" max="7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537"/>
  <sheetViews>
    <sheetView showGridLines="0" view="pageBreakPreview" zoomScaleNormal="100" zoomScaleSheetLayoutView="100" workbookViewId="0">
      <selection activeCell="D218" sqref="D218"/>
    </sheetView>
  </sheetViews>
  <sheetFormatPr defaultRowHeight="12.75" x14ac:dyDescent="0.2"/>
  <cols>
    <col min="1" max="1" width="5.28515625" style="1936" customWidth="1"/>
    <col min="2" max="2" width="6.7109375" style="1936" customWidth="1"/>
    <col min="3" max="3" width="8.85546875" style="1936" customWidth="1"/>
    <col min="4" max="4" width="47.85546875" style="1937" customWidth="1"/>
    <col min="5" max="5" width="12.85546875" style="1970" customWidth="1"/>
    <col min="6" max="6" width="15.5703125" style="1970" customWidth="1"/>
    <col min="7" max="7" width="15.85546875" style="1970" customWidth="1"/>
    <col min="8" max="8" width="9.7109375" style="1937" customWidth="1"/>
    <col min="9" max="9" width="14.28515625" style="1937" bestFit="1" customWidth="1"/>
    <col min="10" max="10" width="11.42578125" style="1937" bestFit="1" customWidth="1"/>
    <col min="11" max="11" width="17.28515625" style="1937" bestFit="1" customWidth="1"/>
    <col min="12" max="12" width="16" style="1937" bestFit="1" customWidth="1"/>
    <col min="13" max="256" width="9.140625" style="1937"/>
    <col min="257" max="257" width="4.7109375" style="1937" customWidth="1"/>
    <col min="258" max="258" width="6.7109375" style="1937" customWidth="1"/>
    <col min="259" max="259" width="8.85546875" style="1937" customWidth="1"/>
    <col min="260" max="260" width="47.85546875" style="1937" customWidth="1"/>
    <col min="261" max="261" width="12.85546875" style="1937" customWidth="1"/>
    <col min="262" max="262" width="15.5703125" style="1937" customWidth="1"/>
    <col min="263" max="263" width="15.85546875" style="1937" customWidth="1"/>
    <col min="264" max="264" width="6.42578125" style="1937" customWidth="1"/>
    <col min="265" max="265" width="14.28515625" style="1937" bestFit="1" customWidth="1"/>
    <col min="266" max="266" width="11.42578125" style="1937" bestFit="1" customWidth="1"/>
    <col min="267" max="267" width="17.28515625" style="1937" bestFit="1" customWidth="1"/>
    <col min="268" max="268" width="16" style="1937" bestFit="1" customWidth="1"/>
    <col min="269" max="512" width="9.140625" style="1937"/>
    <col min="513" max="513" width="4.7109375" style="1937" customWidth="1"/>
    <col min="514" max="514" width="6.7109375" style="1937" customWidth="1"/>
    <col min="515" max="515" width="8.85546875" style="1937" customWidth="1"/>
    <col min="516" max="516" width="47.85546875" style="1937" customWidth="1"/>
    <col min="517" max="517" width="12.85546875" style="1937" customWidth="1"/>
    <col min="518" max="518" width="15.5703125" style="1937" customWidth="1"/>
    <col min="519" max="519" width="15.85546875" style="1937" customWidth="1"/>
    <col min="520" max="520" width="6.42578125" style="1937" customWidth="1"/>
    <col min="521" max="521" width="14.28515625" style="1937" bestFit="1" customWidth="1"/>
    <col min="522" max="522" width="11.42578125" style="1937" bestFit="1" customWidth="1"/>
    <col min="523" max="523" width="17.28515625" style="1937" bestFit="1" customWidth="1"/>
    <col min="524" max="524" width="16" style="1937" bestFit="1" customWidth="1"/>
    <col min="525" max="768" width="9.140625" style="1937"/>
    <col min="769" max="769" width="4.7109375" style="1937" customWidth="1"/>
    <col min="770" max="770" width="6.7109375" style="1937" customWidth="1"/>
    <col min="771" max="771" width="8.85546875" style="1937" customWidth="1"/>
    <col min="772" max="772" width="47.85546875" style="1937" customWidth="1"/>
    <col min="773" max="773" width="12.85546875" style="1937" customWidth="1"/>
    <col min="774" max="774" width="15.5703125" style="1937" customWidth="1"/>
    <col min="775" max="775" width="15.85546875" style="1937" customWidth="1"/>
    <col min="776" max="776" width="6.42578125" style="1937" customWidth="1"/>
    <col min="777" max="777" width="14.28515625" style="1937" bestFit="1" customWidth="1"/>
    <col min="778" max="778" width="11.42578125" style="1937" bestFit="1" customWidth="1"/>
    <col min="779" max="779" width="17.28515625" style="1937" bestFit="1" customWidth="1"/>
    <col min="780" max="780" width="16" style="1937" bestFit="1" customWidth="1"/>
    <col min="781" max="1024" width="9.140625" style="1937"/>
    <col min="1025" max="1025" width="4.7109375" style="1937" customWidth="1"/>
    <col min="1026" max="1026" width="6.7109375" style="1937" customWidth="1"/>
    <col min="1027" max="1027" width="8.85546875" style="1937" customWidth="1"/>
    <col min="1028" max="1028" width="47.85546875" style="1937" customWidth="1"/>
    <col min="1029" max="1029" width="12.85546875" style="1937" customWidth="1"/>
    <col min="1030" max="1030" width="15.5703125" style="1937" customWidth="1"/>
    <col min="1031" max="1031" width="15.85546875" style="1937" customWidth="1"/>
    <col min="1032" max="1032" width="6.42578125" style="1937" customWidth="1"/>
    <col min="1033" max="1033" width="14.28515625" style="1937" bestFit="1" customWidth="1"/>
    <col min="1034" max="1034" width="11.42578125" style="1937" bestFit="1" customWidth="1"/>
    <col min="1035" max="1035" width="17.28515625" style="1937" bestFit="1" customWidth="1"/>
    <col min="1036" max="1036" width="16" style="1937" bestFit="1" customWidth="1"/>
    <col min="1037" max="1280" width="9.140625" style="1937"/>
    <col min="1281" max="1281" width="4.7109375" style="1937" customWidth="1"/>
    <col min="1282" max="1282" width="6.7109375" style="1937" customWidth="1"/>
    <col min="1283" max="1283" width="8.85546875" style="1937" customWidth="1"/>
    <col min="1284" max="1284" width="47.85546875" style="1937" customWidth="1"/>
    <col min="1285" max="1285" width="12.85546875" style="1937" customWidth="1"/>
    <col min="1286" max="1286" width="15.5703125" style="1937" customWidth="1"/>
    <col min="1287" max="1287" width="15.85546875" style="1937" customWidth="1"/>
    <col min="1288" max="1288" width="6.42578125" style="1937" customWidth="1"/>
    <col min="1289" max="1289" width="14.28515625" style="1937" bestFit="1" customWidth="1"/>
    <col min="1290" max="1290" width="11.42578125" style="1937" bestFit="1" customWidth="1"/>
    <col min="1291" max="1291" width="17.28515625" style="1937" bestFit="1" customWidth="1"/>
    <col min="1292" max="1292" width="16" style="1937" bestFit="1" customWidth="1"/>
    <col min="1293" max="1536" width="9.140625" style="1937"/>
    <col min="1537" max="1537" width="4.7109375" style="1937" customWidth="1"/>
    <col min="1538" max="1538" width="6.7109375" style="1937" customWidth="1"/>
    <col min="1539" max="1539" width="8.85546875" style="1937" customWidth="1"/>
    <col min="1540" max="1540" width="47.85546875" style="1937" customWidth="1"/>
    <col min="1541" max="1541" width="12.85546875" style="1937" customWidth="1"/>
    <col min="1542" max="1542" width="15.5703125" style="1937" customWidth="1"/>
    <col min="1543" max="1543" width="15.85546875" style="1937" customWidth="1"/>
    <col min="1544" max="1544" width="6.42578125" style="1937" customWidth="1"/>
    <col min="1545" max="1545" width="14.28515625" style="1937" bestFit="1" customWidth="1"/>
    <col min="1546" max="1546" width="11.42578125" style="1937" bestFit="1" customWidth="1"/>
    <col min="1547" max="1547" width="17.28515625" style="1937" bestFit="1" customWidth="1"/>
    <col min="1548" max="1548" width="16" style="1937" bestFit="1" customWidth="1"/>
    <col min="1549" max="1792" width="9.140625" style="1937"/>
    <col min="1793" max="1793" width="4.7109375" style="1937" customWidth="1"/>
    <col min="1794" max="1794" width="6.7109375" style="1937" customWidth="1"/>
    <col min="1795" max="1795" width="8.85546875" style="1937" customWidth="1"/>
    <col min="1796" max="1796" width="47.85546875" style="1937" customWidth="1"/>
    <col min="1797" max="1797" width="12.85546875" style="1937" customWidth="1"/>
    <col min="1798" max="1798" width="15.5703125" style="1937" customWidth="1"/>
    <col min="1799" max="1799" width="15.85546875" style="1937" customWidth="1"/>
    <col min="1800" max="1800" width="6.42578125" style="1937" customWidth="1"/>
    <col min="1801" max="1801" width="14.28515625" style="1937" bestFit="1" customWidth="1"/>
    <col min="1802" max="1802" width="11.42578125" style="1937" bestFit="1" customWidth="1"/>
    <col min="1803" max="1803" width="17.28515625" style="1937" bestFit="1" customWidth="1"/>
    <col min="1804" max="1804" width="16" style="1937" bestFit="1" customWidth="1"/>
    <col min="1805" max="2048" width="9.140625" style="1937"/>
    <col min="2049" max="2049" width="4.7109375" style="1937" customWidth="1"/>
    <col min="2050" max="2050" width="6.7109375" style="1937" customWidth="1"/>
    <col min="2051" max="2051" width="8.85546875" style="1937" customWidth="1"/>
    <col min="2052" max="2052" width="47.85546875" style="1937" customWidth="1"/>
    <col min="2053" max="2053" width="12.85546875" style="1937" customWidth="1"/>
    <col min="2054" max="2054" width="15.5703125" style="1937" customWidth="1"/>
    <col min="2055" max="2055" width="15.85546875" style="1937" customWidth="1"/>
    <col min="2056" max="2056" width="6.42578125" style="1937" customWidth="1"/>
    <col min="2057" max="2057" width="14.28515625" style="1937" bestFit="1" customWidth="1"/>
    <col min="2058" max="2058" width="11.42578125" style="1937" bestFit="1" customWidth="1"/>
    <col min="2059" max="2059" width="17.28515625" style="1937" bestFit="1" customWidth="1"/>
    <col min="2060" max="2060" width="16" style="1937" bestFit="1" customWidth="1"/>
    <col min="2061" max="2304" width="9.140625" style="1937"/>
    <col min="2305" max="2305" width="4.7109375" style="1937" customWidth="1"/>
    <col min="2306" max="2306" width="6.7109375" style="1937" customWidth="1"/>
    <col min="2307" max="2307" width="8.85546875" style="1937" customWidth="1"/>
    <col min="2308" max="2308" width="47.85546875" style="1937" customWidth="1"/>
    <col min="2309" max="2309" width="12.85546875" style="1937" customWidth="1"/>
    <col min="2310" max="2310" width="15.5703125" style="1937" customWidth="1"/>
    <col min="2311" max="2311" width="15.85546875" style="1937" customWidth="1"/>
    <col min="2312" max="2312" width="6.42578125" style="1937" customWidth="1"/>
    <col min="2313" max="2313" width="14.28515625" style="1937" bestFit="1" customWidth="1"/>
    <col min="2314" max="2314" width="11.42578125" style="1937" bestFit="1" customWidth="1"/>
    <col min="2315" max="2315" width="17.28515625" style="1937" bestFit="1" customWidth="1"/>
    <col min="2316" max="2316" width="16" style="1937" bestFit="1" customWidth="1"/>
    <col min="2317" max="2560" width="9.140625" style="1937"/>
    <col min="2561" max="2561" width="4.7109375" style="1937" customWidth="1"/>
    <col min="2562" max="2562" width="6.7109375" style="1937" customWidth="1"/>
    <col min="2563" max="2563" width="8.85546875" style="1937" customWidth="1"/>
    <col min="2564" max="2564" width="47.85546875" style="1937" customWidth="1"/>
    <col min="2565" max="2565" width="12.85546875" style="1937" customWidth="1"/>
    <col min="2566" max="2566" width="15.5703125" style="1937" customWidth="1"/>
    <col min="2567" max="2567" width="15.85546875" style="1937" customWidth="1"/>
    <col min="2568" max="2568" width="6.42578125" style="1937" customWidth="1"/>
    <col min="2569" max="2569" width="14.28515625" style="1937" bestFit="1" customWidth="1"/>
    <col min="2570" max="2570" width="11.42578125" style="1937" bestFit="1" customWidth="1"/>
    <col min="2571" max="2571" width="17.28515625" style="1937" bestFit="1" customWidth="1"/>
    <col min="2572" max="2572" width="16" style="1937" bestFit="1" customWidth="1"/>
    <col min="2573" max="2816" width="9.140625" style="1937"/>
    <col min="2817" max="2817" width="4.7109375" style="1937" customWidth="1"/>
    <col min="2818" max="2818" width="6.7109375" style="1937" customWidth="1"/>
    <col min="2819" max="2819" width="8.85546875" style="1937" customWidth="1"/>
    <col min="2820" max="2820" width="47.85546875" style="1937" customWidth="1"/>
    <col min="2821" max="2821" width="12.85546875" style="1937" customWidth="1"/>
    <col min="2822" max="2822" width="15.5703125" style="1937" customWidth="1"/>
    <col min="2823" max="2823" width="15.85546875" style="1937" customWidth="1"/>
    <col min="2824" max="2824" width="6.42578125" style="1937" customWidth="1"/>
    <col min="2825" max="2825" width="14.28515625" style="1937" bestFit="1" customWidth="1"/>
    <col min="2826" max="2826" width="11.42578125" style="1937" bestFit="1" customWidth="1"/>
    <col min="2827" max="2827" width="17.28515625" style="1937" bestFit="1" customWidth="1"/>
    <col min="2828" max="2828" width="16" style="1937" bestFit="1" customWidth="1"/>
    <col min="2829" max="3072" width="9.140625" style="1937"/>
    <col min="3073" max="3073" width="4.7109375" style="1937" customWidth="1"/>
    <col min="3074" max="3074" width="6.7109375" style="1937" customWidth="1"/>
    <col min="3075" max="3075" width="8.85546875" style="1937" customWidth="1"/>
    <col min="3076" max="3076" width="47.85546875" style="1937" customWidth="1"/>
    <col min="3077" max="3077" width="12.85546875" style="1937" customWidth="1"/>
    <col min="3078" max="3078" width="15.5703125" style="1937" customWidth="1"/>
    <col min="3079" max="3079" width="15.85546875" style="1937" customWidth="1"/>
    <col min="3080" max="3080" width="6.42578125" style="1937" customWidth="1"/>
    <col min="3081" max="3081" width="14.28515625" style="1937" bestFit="1" customWidth="1"/>
    <col min="3082" max="3082" width="11.42578125" style="1937" bestFit="1" customWidth="1"/>
    <col min="3083" max="3083" width="17.28515625" style="1937" bestFit="1" customWidth="1"/>
    <col min="3084" max="3084" width="16" style="1937" bestFit="1" customWidth="1"/>
    <col min="3085" max="3328" width="9.140625" style="1937"/>
    <col min="3329" max="3329" width="4.7109375" style="1937" customWidth="1"/>
    <col min="3330" max="3330" width="6.7109375" style="1937" customWidth="1"/>
    <col min="3331" max="3331" width="8.85546875" style="1937" customWidth="1"/>
    <col min="3332" max="3332" width="47.85546875" style="1937" customWidth="1"/>
    <col min="3333" max="3333" width="12.85546875" style="1937" customWidth="1"/>
    <col min="3334" max="3334" width="15.5703125" style="1937" customWidth="1"/>
    <col min="3335" max="3335" width="15.85546875" style="1937" customWidth="1"/>
    <col min="3336" max="3336" width="6.42578125" style="1937" customWidth="1"/>
    <col min="3337" max="3337" width="14.28515625" style="1937" bestFit="1" customWidth="1"/>
    <col min="3338" max="3338" width="11.42578125" style="1937" bestFit="1" customWidth="1"/>
    <col min="3339" max="3339" width="17.28515625" style="1937" bestFit="1" customWidth="1"/>
    <col min="3340" max="3340" width="16" style="1937" bestFit="1" customWidth="1"/>
    <col min="3341" max="3584" width="9.140625" style="1937"/>
    <col min="3585" max="3585" width="4.7109375" style="1937" customWidth="1"/>
    <col min="3586" max="3586" width="6.7109375" style="1937" customWidth="1"/>
    <col min="3587" max="3587" width="8.85546875" style="1937" customWidth="1"/>
    <col min="3588" max="3588" width="47.85546875" style="1937" customWidth="1"/>
    <col min="3589" max="3589" width="12.85546875" style="1937" customWidth="1"/>
    <col min="3590" max="3590" width="15.5703125" style="1937" customWidth="1"/>
    <col min="3591" max="3591" width="15.85546875" style="1937" customWidth="1"/>
    <col min="3592" max="3592" width="6.42578125" style="1937" customWidth="1"/>
    <col min="3593" max="3593" width="14.28515625" style="1937" bestFit="1" customWidth="1"/>
    <col min="3594" max="3594" width="11.42578125" style="1937" bestFit="1" customWidth="1"/>
    <col min="3595" max="3595" width="17.28515625" style="1937" bestFit="1" customWidth="1"/>
    <col min="3596" max="3596" width="16" style="1937" bestFit="1" customWidth="1"/>
    <col min="3597" max="3840" width="9.140625" style="1937"/>
    <col min="3841" max="3841" width="4.7109375" style="1937" customWidth="1"/>
    <col min="3842" max="3842" width="6.7109375" style="1937" customWidth="1"/>
    <col min="3843" max="3843" width="8.85546875" style="1937" customWidth="1"/>
    <col min="3844" max="3844" width="47.85546875" style="1937" customWidth="1"/>
    <col min="3845" max="3845" width="12.85546875" style="1937" customWidth="1"/>
    <col min="3846" max="3846" width="15.5703125" style="1937" customWidth="1"/>
    <col min="3847" max="3847" width="15.85546875" style="1937" customWidth="1"/>
    <col min="3848" max="3848" width="6.42578125" style="1937" customWidth="1"/>
    <col min="3849" max="3849" width="14.28515625" style="1937" bestFit="1" customWidth="1"/>
    <col min="3850" max="3850" width="11.42578125" style="1937" bestFit="1" customWidth="1"/>
    <col min="3851" max="3851" width="17.28515625" style="1937" bestFit="1" customWidth="1"/>
    <col min="3852" max="3852" width="16" style="1937" bestFit="1" customWidth="1"/>
    <col min="3853" max="4096" width="9.140625" style="1937"/>
    <col min="4097" max="4097" width="4.7109375" style="1937" customWidth="1"/>
    <col min="4098" max="4098" width="6.7109375" style="1937" customWidth="1"/>
    <col min="4099" max="4099" width="8.85546875" style="1937" customWidth="1"/>
    <col min="4100" max="4100" width="47.85546875" style="1937" customWidth="1"/>
    <col min="4101" max="4101" width="12.85546875" style="1937" customWidth="1"/>
    <col min="4102" max="4102" width="15.5703125" style="1937" customWidth="1"/>
    <col min="4103" max="4103" width="15.85546875" style="1937" customWidth="1"/>
    <col min="4104" max="4104" width="6.42578125" style="1937" customWidth="1"/>
    <col min="4105" max="4105" width="14.28515625" style="1937" bestFit="1" customWidth="1"/>
    <col min="4106" max="4106" width="11.42578125" style="1937" bestFit="1" customWidth="1"/>
    <col min="4107" max="4107" width="17.28515625" style="1937" bestFit="1" customWidth="1"/>
    <col min="4108" max="4108" width="16" style="1937" bestFit="1" customWidth="1"/>
    <col min="4109" max="4352" width="9.140625" style="1937"/>
    <col min="4353" max="4353" width="4.7109375" style="1937" customWidth="1"/>
    <col min="4354" max="4354" width="6.7109375" style="1937" customWidth="1"/>
    <col min="4355" max="4355" width="8.85546875" style="1937" customWidth="1"/>
    <col min="4356" max="4356" width="47.85546875" style="1937" customWidth="1"/>
    <col min="4357" max="4357" width="12.85546875" style="1937" customWidth="1"/>
    <col min="4358" max="4358" width="15.5703125" style="1937" customWidth="1"/>
    <col min="4359" max="4359" width="15.85546875" style="1937" customWidth="1"/>
    <col min="4360" max="4360" width="6.42578125" style="1937" customWidth="1"/>
    <col min="4361" max="4361" width="14.28515625" style="1937" bestFit="1" customWidth="1"/>
    <col min="4362" max="4362" width="11.42578125" style="1937" bestFit="1" customWidth="1"/>
    <col min="4363" max="4363" width="17.28515625" style="1937" bestFit="1" customWidth="1"/>
    <col min="4364" max="4364" width="16" style="1937" bestFit="1" customWidth="1"/>
    <col min="4365" max="4608" width="9.140625" style="1937"/>
    <col min="4609" max="4609" width="4.7109375" style="1937" customWidth="1"/>
    <col min="4610" max="4610" width="6.7109375" style="1937" customWidth="1"/>
    <col min="4611" max="4611" width="8.85546875" style="1937" customWidth="1"/>
    <col min="4612" max="4612" width="47.85546875" style="1937" customWidth="1"/>
    <col min="4613" max="4613" width="12.85546875" style="1937" customWidth="1"/>
    <col min="4614" max="4614" width="15.5703125" style="1937" customWidth="1"/>
    <col min="4615" max="4615" width="15.85546875" style="1937" customWidth="1"/>
    <col min="4616" max="4616" width="6.42578125" style="1937" customWidth="1"/>
    <col min="4617" max="4617" width="14.28515625" style="1937" bestFit="1" customWidth="1"/>
    <col min="4618" max="4618" width="11.42578125" style="1937" bestFit="1" customWidth="1"/>
    <col min="4619" max="4619" width="17.28515625" style="1937" bestFit="1" customWidth="1"/>
    <col min="4620" max="4620" width="16" style="1937" bestFit="1" customWidth="1"/>
    <col min="4621" max="4864" width="9.140625" style="1937"/>
    <col min="4865" max="4865" width="4.7109375" style="1937" customWidth="1"/>
    <col min="4866" max="4866" width="6.7109375" style="1937" customWidth="1"/>
    <col min="4867" max="4867" width="8.85546875" style="1937" customWidth="1"/>
    <col min="4868" max="4868" width="47.85546875" style="1937" customWidth="1"/>
    <col min="4869" max="4869" width="12.85546875" style="1937" customWidth="1"/>
    <col min="4870" max="4870" width="15.5703125" style="1937" customWidth="1"/>
    <col min="4871" max="4871" width="15.85546875" style="1937" customWidth="1"/>
    <col min="4872" max="4872" width="6.42578125" style="1937" customWidth="1"/>
    <col min="4873" max="4873" width="14.28515625" style="1937" bestFit="1" customWidth="1"/>
    <col min="4874" max="4874" width="11.42578125" style="1937" bestFit="1" customWidth="1"/>
    <col min="4875" max="4875" width="17.28515625" style="1937" bestFit="1" customWidth="1"/>
    <col min="4876" max="4876" width="16" style="1937" bestFit="1" customWidth="1"/>
    <col min="4877" max="5120" width="9.140625" style="1937"/>
    <col min="5121" max="5121" width="4.7109375" style="1937" customWidth="1"/>
    <col min="5122" max="5122" width="6.7109375" style="1937" customWidth="1"/>
    <col min="5123" max="5123" width="8.85546875" style="1937" customWidth="1"/>
    <col min="5124" max="5124" width="47.85546875" style="1937" customWidth="1"/>
    <col min="5125" max="5125" width="12.85546875" style="1937" customWidth="1"/>
    <col min="5126" max="5126" width="15.5703125" style="1937" customWidth="1"/>
    <col min="5127" max="5127" width="15.85546875" style="1937" customWidth="1"/>
    <col min="5128" max="5128" width="6.42578125" style="1937" customWidth="1"/>
    <col min="5129" max="5129" width="14.28515625" style="1937" bestFit="1" customWidth="1"/>
    <col min="5130" max="5130" width="11.42578125" style="1937" bestFit="1" customWidth="1"/>
    <col min="5131" max="5131" width="17.28515625" style="1937" bestFit="1" customWidth="1"/>
    <col min="5132" max="5132" width="16" style="1937" bestFit="1" customWidth="1"/>
    <col min="5133" max="5376" width="9.140625" style="1937"/>
    <col min="5377" max="5377" width="4.7109375" style="1937" customWidth="1"/>
    <col min="5378" max="5378" width="6.7109375" style="1937" customWidth="1"/>
    <col min="5379" max="5379" width="8.85546875" style="1937" customWidth="1"/>
    <col min="5380" max="5380" width="47.85546875" style="1937" customWidth="1"/>
    <col min="5381" max="5381" width="12.85546875" style="1937" customWidth="1"/>
    <col min="5382" max="5382" width="15.5703125" style="1937" customWidth="1"/>
    <col min="5383" max="5383" width="15.85546875" style="1937" customWidth="1"/>
    <col min="5384" max="5384" width="6.42578125" style="1937" customWidth="1"/>
    <col min="5385" max="5385" width="14.28515625" style="1937" bestFit="1" customWidth="1"/>
    <col min="5386" max="5386" width="11.42578125" style="1937" bestFit="1" customWidth="1"/>
    <col min="5387" max="5387" width="17.28515625" style="1937" bestFit="1" customWidth="1"/>
    <col min="5388" max="5388" width="16" style="1937" bestFit="1" customWidth="1"/>
    <col min="5389" max="5632" width="9.140625" style="1937"/>
    <col min="5633" max="5633" width="4.7109375" style="1937" customWidth="1"/>
    <col min="5634" max="5634" width="6.7109375" style="1937" customWidth="1"/>
    <col min="5635" max="5635" width="8.85546875" style="1937" customWidth="1"/>
    <col min="5636" max="5636" width="47.85546875" style="1937" customWidth="1"/>
    <col min="5637" max="5637" width="12.85546875" style="1937" customWidth="1"/>
    <col min="5638" max="5638" width="15.5703125" style="1937" customWidth="1"/>
    <col min="5639" max="5639" width="15.85546875" style="1937" customWidth="1"/>
    <col min="5640" max="5640" width="6.42578125" style="1937" customWidth="1"/>
    <col min="5641" max="5641" width="14.28515625" style="1937" bestFit="1" customWidth="1"/>
    <col min="5642" max="5642" width="11.42578125" style="1937" bestFit="1" customWidth="1"/>
    <col min="5643" max="5643" width="17.28515625" style="1937" bestFit="1" customWidth="1"/>
    <col min="5644" max="5644" width="16" style="1937" bestFit="1" customWidth="1"/>
    <col min="5645" max="5888" width="9.140625" style="1937"/>
    <col min="5889" max="5889" width="4.7109375" style="1937" customWidth="1"/>
    <col min="5890" max="5890" width="6.7109375" style="1937" customWidth="1"/>
    <col min="5891" max="5891" width="8.85546875" style="1937" customWidth="1"/>
    <col min="5892" max="5892" width="47.85546875" style="1937" customWidth="1"/>
    <col min="5893" max="5893" width="12.85546875" style="1937" customWidth="1"/>
    <col min="5894" max="5894" width="15.5703125" style="1937" customWidth="1"/>
    <col min="5895" max="5895" width="15.85546875" style="1937" customWidth="1"/>
    <col min="5896" max="5896" width="6.42578125" style="1937" customWidth="1"/>
    <col min="5897" max="5897" width="14.28515625" style="1937" bestFit="1" customWidth="1"/>
    <col min="5898" max="5898" width="11.42578125" style="1937" bestFit="1" customWidth="1"/>
    <col min="5899" max="5899" width="17.28515625" style="1937" bestFit="1" customWidth="1"/>
    <col min="5900" max="5900" width="16" style="1937" bestFit="1" customWidth="1"/>
    <col min="5901" max="6144" width="9.140625" style="1937"/>
    <col min="6145" max="6145" width="4.7109375" style="1937" customWidth="1"/>
    <col min="6146" max="6146" width="6.7109375" style="1937" customWidth="1"/>
    <col min="6147" max="6147" width="8.85546875" style="1937" customWidth="1"/>
    <col min="6148" max="6148" width="47.85546875" style="1937" customWidth="1"/>
    <col min="6149" max="6149" width="12.85546875" style="1937" customWidth="1"/>
    <col min="6150" max="6150" width="15.5703125" style="1937" customWidth="1"/>
    <col min="6151" max="6151" width="15.85546875" style="1937" customWidth="1"/>
    <col min="6152" max="6152" width="6.42578125" style="1937" customWidth="1"/>
    <col min="6153" max="6153" width="14.28515625" style="1937" bestFit="1" customWidth="1"/>
    <col min="6154" max="6154" width="11.42578125" style="1937" bestFit="1" customWidth="1"/>
    <col min="6155" max="6155" width="17.28515625" style="1937" bestFit="1" customWidth="1"/>
    <col min="6156" max="6156" width="16" style="1937" bestFit="1" customWidth="1"/>
    <col min="6157" max="6400" width="9.140625" style="1937"/>
    <col min="6401" max="6401" width="4.7109375" style="1937" customWidth="1"/>
    <col min="6402" max="6402" width="6.7109375" style="1937" customWidth="1"/>
    <col min="6403" max="6403" width="8.85546875" style="1937" customWidth="1"/>
    <col min="6404" max="6404" width="47.85546875" style="1937" customWidth="1"/>
    <col min="6405" max="6405" width="12.85546875" style="1937" customWidth="1"/>
    <col min="6406" max="6406" width="15.5703125" style="1937" customWidth="1"/>
    <col min="6407" max="6407" width="15.85546875" style="1937" customWidth="1"/>
    <col min="6408" max="6408" width="6.42578125" style="1937" customWidth="1"/>
    <col min="6409" max="6409" width="14.28515625" style="1937" bestFit="1" customWidth="1"/>
    <col min="6410" max="6410" width="11.42578125" style="1937" bestFit="1" customWidth="1"/>
    <col min="6411" max="6411" width="17.28515625" style="1937" bestFit="1" customWidth="1"/>
    <col min="6412" max="6412" width="16" style="1937" bestFit="1" customWidth="1"/>
    <col min="6413" max="6656" width="9.140625" style="1937"/>
    <col min="6657" max="6657" width="4.7109375" style="1937" customWidth="1"/>
    <col min="6658" max="6658" width="6.7109375" style="1937" customWidth="1"/>
    <col min="6659" max="6659" width="8.85546875" style="1937" customWidth="1"/>
    <col min="6660" max="6660" width="47.85546875" style="1937" customWidth="1"/>
    <col min="6661" max="6661" width="12.85546875" style="1937" customWidth="1"/>
    <col min="6662" max="6662" width="15.5703125" style="1937" customWidth="1"/>
    <col min="6663" max="6663" width="15.85546875" style="1937" customWidth="1"/>
    <col min="6664" max="6664" width="6.42578125" style="1937" customWidth="1"/>
    <col min="6665" max="6665" width="14.28515625" style="1937" bestFit="1" customWidth="1"/>
    <col min="6666" max="6666" width="11.42578125" style="1937" bestFit="1" customWidth="1"/>
    <col min="6667" max="6667" width="17.28515625" style="1937" bestFit="1" customWidth="1"/>
    <col min="6668" max="6668" width="16" style="1937" bestFit="1" customWidth="1"/>
    <col min="6669" max="6912" width="9.140625" style="1937"/>
    <col min="6913" max="6913" width="4.7109375" style="1937" customWidth="1"/>
    <col min="6914" max="6914" width="6.7109375" style="1937" customWidth="1"/>
    <col min="6915" max="6915" width="8.85546875" style="1937" customWidth="1"/>
    <col min="6916" max="6916" width="47.85546875" style="1937" customWidth="1"/>
    <col min="6917" max="6917" width="12.85546875" style="1937" customWidth="1"/>
    <col min="6918" max="6918" width="15.5703125" style="1937" customWidth="1"/>
    <col min="6919" max="6919" width="15.85546875" style="1937" customWidth="1"/>
    <col min="6920" max="6920" width="6.42578125" style="1937" customWidth="1"/>
    <col min="6921" max="6921" width="14.28515625" style="1937" bestFit="1" customWidth="1"/>
    <col min="6922" max="6922" width="11.42578125" style="1937" bestFit="1" customWidth="1"/>
    <col min="6923" max="6923" width="17.28515625" style="1937" bestFit="1" customWidth="1"/>
    <col min="6924" max="6924" width="16" style="1937" bestFit="1" customWidth="1"/>
    <col min="6925" max="7168" width="9.140625" style="1937"/>
    <col min="7169" max="7169" width="4.7109375" style="1937" customWidth="1"/>
    <col min="7170" max="7170" width="6.7109375" style="1937" customWidth="1"/>
    <col min="7171" max="7171" width="8.85546875" style="1937" customWidth="1"/>
    <col min="7172" max="7172" width="47.85546875" style="1937" customWidth="1"/>
    <col min="7173" max="7173" width="12.85546875" style="1937" customWidth="1"/>
    <col min="7174" max="7174" width="15.5703125" style="1937" customWidth="1"/>
    <col min="7175" max="7175" width="15.85546875" style="1937" customWidth="1"/>
    <col min="7176" max="7176" width="6.42578125" style="1937" customWidth="1"/>
    <col min="7177" max="7177" width="14.28515625" style="1937" bestFit="1" customWidth="1"/>
    <col min="7178" max="7178" width="11.42578125" style="1937" bestFit="1" customWidth="1"/>
    <col min="7179" max="7179" width="17.28515625" style="1937" bestFit="1" customWidth="1"/>
    <col min="7180" max="7180" width="16" style="1937" bestFit="1" customWidth="1"/>
    <col min="7181" max="7424" width="9.140625" style="1937"/>
    <col min="7425" max="7425" width="4.7109375" style="1937" customWidth="1"/>
    <col min="7426" max="7426" width="6.7109375" style="1937" customWidth="1"/>
    <col min="7427" max="7427" width="8.85546875" style="1937" customWidth="1"/>
    <col min="7428" max="7428" width="47.85546875" style="1937" customWidth="1"/>
    <col min="7429" max="7429" width="12.85546875" style="1937" customWidth="1"/>
    <col min="7430" max="7430" width="15.5703125" style="1937" customWidth="1"/>
    <col min="7431" max="7431" width="15.85546875" style="1937" customWidth="1"/>
    <col min="7432" max="7432" width="6.42578125" style="1937" customWidth="1"/>
    <col min="7433" max="7433" width="14.28515625" style="1937" bestFit="1" customWidth="1"/>
    <col min="7434" max="7434" width="11.42578125" style="1937" bestFit="1" customWidth="1"/>
    <col min="7435" max="7435" width="17.28515625" style="1937" bestFit="1" customWidth="1"/>
    <col min="7436" max="7436" width="16" style="1937" bestFit="1" customWidth="1"/>
    <col min="7437" max="7680" width="9.140625" style="1937"/>
    <col min="7681" max="7681" width="4.7109375" style="1937" customWidth="1"/>
    <col min="7682" max="7682" width="6.7109375" style="1937" customWidth="1"/>
    <col min="7683" max="7683" width="8.85546875" style="1937" customWidth="1"/>
    <col min="7684" max="7684" width="47.85546875" style="1937" customWidth="1"/>
    <col min="7685" max="7685" width="12.85546875" style="1937" customWidth="1"/>
    <col min="7686" max="7686" width="15.5703125" style="1937" customWidth="1"/>
    <col min="7687" max="7687" width="15.85546875" style="1937" customWidth="1"/>
    <col min="7688" max="7688" width="6.42578125" style="1937" customWidth="1"/>
    <col min="7689" max="7689" width="14.28515625" style="1937" bestFit="1" customWidth="1"/>
    <col min="7690" max="7690" width="11.42578125" style="1937" bestFit="1" customWidth="1"/>
    <col min="7691" max="7691" width="17.28515625" style="1937" bestFit="1" customWidth="1"/>
    <col min="7692" max="7692" width="16" style="1937" bestFit="1" customWidth="1"/>
    <col min="7693" max="7936" width="9.140625" style="1937"/>
    <col min="7937" max="7937" width="4.7109375" style="1937" customWidth="1"/>
    <col min="7938" max="7938" width="6.7109375" style="1937" customWidth="1"/>
    <col min="7939" max="7939" width="8.85546875" style="1937" customWidth="1"/>
    <col min="7940" max="7940" width="47.85546875" style="1937" customWidth="1"/>
    <col min="7941" max="7941" width="12.85546875" style="1937" customWidth="1"/>
    <col min="7942" max="7942" width="15.5703125" style="1937" customWidth="1"/>
    <col min="7943" max="7943" width="15.85546875" style="1937" customWidth="1"/>
    <col min="7944" max="7944" width="6.42578125" style="1937" customWidth="1"/>
    <col min="7945" max="7945" width="14.28515625" style="1937" bestFit="1" customWidth="1"/>
    <col min="7946" max="7946" width="11.42578125" style="1937" bestFit="1" customWidth="1"/>
    <col min="7947" max="7947" width="17.28515625" style="1937" bestFit="1" customWidth="1"/>
    <col min="7948" max="7948" width="16" style="1937" bestFit="1" customWidth="1"/>
    <col min="7949" max="8192" width="9.140625" style="1937"/>
    <col min="8193" max="8193" width="4.7109375" style="1937" customWidth="1"/>
    <col min="8194" max="8194" width="6.7109375" style="1937" customWidth="1"/>
    <col min="8195" max="8195" width="8.85546875" style="1937" customWidth="1"/>
    <col min="8196" max="8196" width="47.85546875" style="1937" customWidth="1"/>
    <col min="8197" max="8197" width="12.85546875" style="1937" customWidth="1"/>
    <col min="8198" max="8198" width="15.5703125" style="1937" customWidth="1"/>
    <col min="8199" max="8199" width="15.85546875" style="1937" customWidth="1"/>
    <col min="8200" max="8200" width="6.42578125" style="1937" customWidth="1"/>
    <col min="8201" max="8201" width="14.28515625" style="1937" bestFit="1" customWidth="1"/>
    <col min="8202" max="8202" width="11.42578125" style="1937" bestFit="1" customWidth="1"/>
    <col min="8203" max="8203" width="17.28515625" style="1937" bestFit="1" customWidth="1"/>
    <col min="8204" max="8204" width="16" style="1937" bestFit="1" customWidth="1"/>
    <col min="8205" max="8448" width="9.140625" style="1937"/>
    <col min="8449" max="8449" width="4.7109375" style="1937" customWidth="1"/>
    <col min="8450" max="8450" width="6.7109375" style="1937" customWidth="1"/>
    <col min="8451" max="8451" width="8.85546875" style="1937" customWidth="1"/>
    <col min="8452" max="8452" width="47.85546875" style="1937" customWidth="1"/>
    <col min="8453" max="8453" width="12.85546875" style="1937" customWidth="1"/>
    <col min="8454" max="8454" width="15.5703125" style="1937" customWidth="1"/>
    <col min="8455" max="8455" width="15.85546875" style="1937" customWidth="1"/>
    <col min="8456" max="8456" width="6.42578125" style="1937" customWidth="1"/>
    <col min="8457" max="8457" width="14.28515625" style="1937" bestFit="1" customWidth="1"/>
    <col min="8458" max="8458" width="11.42578125" style="1937" bestFit="1" customWidth="1"/>
    <col min="8459" max="8459" width="17.28515625" style="1937" bestFit="1" customWidth="1"/>
    <col min="8460" max="8460" width="16" style="1937" bestFit="1" customWidth="1"/>
    <col min="8461" max="8704" width="9.140625" style="1937"/>
    <col min="8705" max="8705" width="4.7109375" style="1937" customWidth="1"/>
    <col min="8706" max="8706" width="6.7109375" style="1937" customWidth="1"/>
    <col min="8707" max="8707" width="8.85546875" style="1937" customWidth="1"/>
    <col min="8708" max="8708" width="47.85546875" style="1937" customWidth="1"/>
    <col min="8709" max="8709" width="12.85546875" style="1937" customWidth="1"/>
    <col min="8710" max="8710" width="15.5703125" style="1937" customWidth="1"/>
    <col min="8711" max="8711" width="15.85546875" style="1937" customWidth="1"/>
    <col min="8712" max="8712" width="6.42578125" style="1937" customWidth="1"/>
    <col min="8713" max="8713" width="14.28515625" style="1937" bestFit="1" customWidth="1"/>
    <col min="8714" max="8714" width="11.42578125" style="1937" bestFit="1" customWidth="1"/>
    <col min="8715" max="8715" width="17.28515625" style="1937" bestFit="1" customWidth="1"/>
    <col min="8716" max="8716" width="16" style="1937" bestFit="1" customWidth="1"/>
    <col min="8717" max="8960" width="9.140625" style="1937"/>
    <col min="8961" max="8961" width="4.7109375" style="1937" customWidth="1"/>
    <col min="8962" max="8962" width="6.7109375" style="1937" customWidth="1"/>
    <col min="8963" max="8963" width="8.85546875" style="1937" customWidth="1"/>
    <col min="8964" max="8964" width="47.85546875" style="1937" customWidth="1"/>
    <col min="8965" max="8965" width="12.85546875" style="1937" customWidth="1"/>
    <col min="8966" max="8966" width="15.5703125" style="1937" customWidth="1"/>
    <col min="8967" max="8967" width="15.85546875" style="1937" customWidth="1"/>
    <col min="8968" max="8968" width="6.42578125" style="1937" customWidth="1"/>
    <col min="8969" max="8969" width="14.28515625" style="1937" bestFit="1" customWidth="1"/>
    <col min="8970" max="8970" width="11.42578125" style="1937" bestFit="1" customWidth="1"/>
    <col min="8971" max="8971" width="17.28515625" style="1937" bestFit="1" customWidth="1"/>
    <col min="8972" max="8972" width="16" style="1937" bestFit="1" customWidth="1"/>
    <col min="8973" max="9216" width="9.140625" style="1937"/>
    <col min="9217" max="9217" width="4.7109375" style="1937" customWidth="1"/>
    <col min="9218" max="9218" width="6.7109375" style="1937" customWidth="1"/>
    <col min="9219" max="9219" width="8.85546875" style="1937" customWidth="1"/>
    <col min="9220" max="9220" width="47.85546875" style="1937" customWidth="1"/>
    <col min="9221" max="9221" width="12.85546875" style="1937" customWidth="1"/>
    <col min="9222" max="9222" width="15.5703125" style="1937" customWidth="1"/>
    <col min="9223" max="9223" width="15.85546875" style="1937" customWidth="1"/>
    <col min="9224" max="9224" width="6.42578125" style="1937" customWidth="1"/>
    <col min="9225" max="9225" width="14.28515625" style="1937" bestFit="1" customWidth="1"/>
    <col min="9226" max="9226" width="11.42578125" style="1937" bestFit="1" customWidth="1"/>
    <col min="9227" max="9227" width="17.28515625" style="1937" bestFit="1" customWidth="1"/>
    <col min="9228" max="9228" width="16" style="1937" bestFit="1" customWidth="1"/>
    <col min="9229" max="9472" width="9.140625" style="1937"/>
    <col min="9473" max="9473" width="4.7109375" style="1937" customWidth="1"/>
    <col min="9474" max="9474" width="6.7109375" style="1937" customWidth="1"/>
    <col min="9475" max="9475" width="8.85546875" style="1937" customWidth="1"/>
    <col min="9476" max="9476" width="47.85546875" style="1937" customWidth="1"/>
    <col min="9477" max="9477" width="12.85546875" style="1937" customWidth="1"/>
    <col min="9478" max="9478" width="15.5703125" style="1937" customWidth="1"/>
    <col min="9479" max="9479" width="15.85546875" style="1937" customWidth="1"/>
    <col min="9480" max="9480" width="6.42578125" style="1937" customWidth="1"/>
    <col min="9481" max="9481" width="14.28515625" style="1937" bestFit="1" customWidth="1"/>
    <col min="9482" max="9482" width="11.42578125" style="1937" bestFit="1" customWidth="1"/>
    <col min="9483" max="9483" width="17.28515625" style="1937" bestFit="1" customWidth="1"/>
    <col min="9484" max="9484" width="16" style="1937" bestFit="1" customWidth="1"/>
    <col min="9485" max="9728" width="9.140625" style="1937"/>
    <col min="9729" max="9729" width="4.7109375" style="1937" customWidth="1"/>
    <col min="9730" max="9730" width="6.7109375" style="1937" customWidth="1"/>
    <col min="9731" max="9731" width="8.85546875" style="1937" customWidth="1"/>
    <col min="9732" max="9732" width="47.85546875" style="1937" customWidth="1"/>
    <col min="9733" max="9733" width="12.85546875" style="1937" customWidth="1"/>
    <col min="9734" max="9734" width="15.5703125" style="1937" customWidth="1"/>
    <col min="9735" max="9735" width="15.85546875" style="1937" customWidth="1"/>
    <col min="9736" max="9736" width="6.42578125" style="1937" customWidth="1"/>
    <col min="9737" max="9737" width="14.28515625" style="1937" bestFit="1" customWidth="1"/>
    <col min="9738" max="9738" width="11.42578125" style="1937" bestFit="1" customWidth="1"/>
    <col min="9739" max="9739" width="17.28515625" style="1937" bestFit="1" customWidth="1"/>
    <col min="9740" max="9740" width="16" style="1937" bestFit="1" customWidth="1"/>
    <col min="9741" max="9984" width="9.140625" style="1937"/>
    <col min="9985" max="9985" width="4.7109375" style="1937" customWidth="1"/>
    <col min="9986" max="9986" width="6.7109375" style="1937" customWidth="1"/>
    <col min="9987" max="9987" width="8.85546875" style="1937" customWidth="1"/>
    <col min="9988" max="9988" width="47.85546875" style="1937" customWidth="1"/>
    <col min="9989" max="9989" width="12.85546875" style="1937" customWidth="1"/>
    <col min="9990" max="9990" width="15.5703125" style="1937" customWidth="1"/>
    <col min="9991" max="9991" width="15.85546875" style="1937" customWidth="1"/>
    <col min="9992" max="9992" width="6.42578125" style="1937" customWidth="1"/>
    <col min="9993" max="9993" width="14.28515625" style="1937" bestFit="1" customWidth="1"/>
    <col min="9994" max="9994" width="11.42578125" style="1937" bestFit="1" customWidth="1"/>
    <col min="9995" max="9995" width="17.28515625" style="1937" bestFit="1" customWidth="1"/>
    <col min="9996" max="9996" width="16" style="1937" bestFit="1" customWidth="1"/>
    <col min="9997" max="10240" width="9.140625" style="1937"/>
    <col min="10241" max="10241" width="4.7109375" style="1937" customWidth="1"/>
    <col min="10242" max="10242" width="6.7109375" style="1937" customWidth="1"/>
    <col min="10243" max="10243" width="8.85546875" style="1937" customWidth="1"/>
    <col min="10244" max="10244" width="47.85546875" style="1937" customWidth="1"/>
    <col min="10245" max="10245" width="12.85546875" style="1937" customWidth="1"/>
    <col min="10246" max="10246" width="15.5703125" style="1937" customWidth="1"/>
    <col min="10247" max="10247" width="15.85546875" style="1937" customWidth="1"/>
    <col min="10248" max="10248" width="6.42578125" style="1937" customWidth="1"/>
    <col min="10249" max="10249" width="14.28515625" style="1937" bestFit="1" customWidth="1"/>
    <col min="10250" max="10250" width="11.42578125" style="1937" bestFit="1" customWidth="1"/>
    <col min="10251" max="10251" width="17.28515625" style="1937" bestFit="1" customWidth="1"/>
    <col min="10252" max="10252" width="16" style="1937" bestFit="1" customWidth="1"/>
    <col min="10253" max="10496" width="9.140625" style="1937"/>
    <col min="10497" max="10497" width="4.7109375" style="1937" customWidth="1"/>
    <col min="10498" max="10498" width="6.7109375" style="1937" customWidth="1"/>
    <col min="10499" max="10499" width="8.85546875" style="1937" customWidth="1"/>
    <col min="10500" max="10500" width="47.85546875" style="1937" customWidth="1"/>
    <col min="10501" max="10501" width="12.85546875" style="1937" customWidth="1"/>
    <col min="10502" max="10502" width="15.5703125" style="1937" customWidth="1"/>
    <col min="10503" max="10503" width="15.85546875" style="1937" customWidth="1"/>
    <col min="10504" max="10504" width="6.42578125" style="1937" customWidth="1"/>
    <col min="10505" max="10505" width="14.28515625" style="1937" bestFit="1" customWidth="1"/>
    <col min="10506" max="10506" width="11.42578125" style="1937" bestFit="1" customWidth="1"/>
    <col min="10507" max="10507" width="17.28515625" style="1937" bestFit="1" customWidth="1"/>
    <col min="10508" max="10508" width="16" style="1937" bestFit="1" customWidth="1"/>
    <col min="10509" max="10752" width="9.140625" style="1937"/>
    <col min="10753" max="10753" width="4.7109375" style="1937" customWidth="1"/>
    <col min="10754" max="10754" width="6.7109375" style="1937" customWidth="1"/>
    <col min="10755" max="10755" width="8.85546875" style="1937" customWidth="1"/>
    <col min="10756" max="10756" width="47.85546875" style="1937" customWidth="1"/>
    <col min="10757" max="10757" width="12.85546875" style="1937" customWidth="1"/>
    <col min="10758" max="10758" width="15.5703125" style="1937" customWidth="1"/>
    <col min="10759" max="10759" width="15.85546875" style="1937" customWidth="1"/>
    <col min="10760" max="10760" width="6.42578125" style="1937" customWidth="1"/>
    <col min="10761" max="10761" width="14.28515625" style="1937" bestFit="1" customWidth="1"/>
    <col min="10762" max="10762" width="11.42578125" style="1937" bestFit="1" customWidth="1"/>
    <col min="10763" max="10763" width="17.28515625" style="1937" bestFit="1" customWidth="1"/>
    <col min="10764" max="10764" width="16" style="1937" bestFit="1" customWidth="1"/>
    <col min="10765" max="11008" width="9.140625" style="1937"/>
    <col min="11009" max="11009" width="4.7109375" style="1937" customWidth="1"/>
    <col min="11010" max="11010" width="6.7109375" style="1937" customWidth="1"/>
    <col min="11011" max="11011" width="8.85546875" style="1937" customWidth="1"/>
    <col min="11012" max="11012" width="47.85546875" style="1937" customWidth="1"/>
    <col min="11013" max="11013" width="12.85546875" style="1937" customWidth="1"/>
    <col min="11014" max="11014" width="15.5703125" style="1937" customWidth="1"/>
    <col min="11015" max="11015" width="15.85546875" style="1937" customWidth="1"/>
    <col min="11016" max="11016" width="6.42578125" style="1937" customWidth="1"/>
    <col min="11017" max="11017" width="14.28515625" style="1937" bestFit="1" customWidth="1"/>
    <col min="11018" max="11018" width="11.42578125" style="1937" bestFit="1" customWidth="1"/>
    <col min="11019" max="11019" width="17.28515625" style="1937" bestFit="1" customWidth="1"/>
    <col min="11020" max="11020" width="16" style="1937" bestFit="1" customWidth="1"/>
    <col min="11021" max="11264" width="9.140625" style="1937"/>
    <col min="11265" max="11265" width="4.7109375" style="1937" customWidth="1"/>
    <col min="11266" max="11266" width="6.7109375" style="1937" customWidth="1"/>
    <col min="11267" max="11267" width="8.85546875" style="1937" customWidth="1"/>
    <col min="11268" max="11268" width="47.85546875" style="1937" customWidth="1"/>
    <col min="11269" max="11269" width="12.85546875" style="1937" customWidth="1"/>
    <col min="11270" max="11270" width="15.5703125" style="1937" customWidth="1"/>
    <col min="11271" max="11271" width="15.85546875" style="1937" customWidth="1"/>
    <col min="11272" max="11272" width="6.42578125" style="1937" customWidth="1"/>
    <col min="11273" max="11273" width="14.28515625" style="1937" bestFit="1" customWidth="1"/>
    <col min="11274" max="11274" width="11.42578125" style="1937" bestFit="1" customWidth="1"/>
    <col min="11275" max="11275" width="17.28515625" style="1937" bestFit="1" customWidth="1"/>
    <col min="11276" max="11276" width="16" style="1937" bestFit="1" customWidth="1"/>
    <col min="11277" max="11520" width="9.140625" style="1937"/>
    <col min="11521" max="11521" width="4.7109375" style="1937" customWidth="1"/>
    <col min="11522" max="11522" width="6.7109375" style="1937" customWidth="1"/>
    <col min="11523" max="11523" width="8.85546875" style="1937" customWidth="1"/>
    <col min="11524" max="11524" width="47.85546875" style="1937" customWidth="1"/>
    <col min="11525" max="11525" width="12.85546875" style="1937" customWidth="1"/>
    <col min="11526" max="11526" width="15.5703125" style="1937" customWidth="1"/>
    <col min="11527" max="11527" width="15.85546875" style="1937" customWidth="1"/>
    <col min="11528" max="11528" width="6.42578125" style="1937" customWidth="1"/>
    <col min="11529" max="11529" width="14.28515625" style="1937" bestFit="1" customWidth="1"/>
    <col min="11530" max="11530" width="11.42578125" style="1937" bestFit="1" customWidth="1"/>
    <col min="11531" max="11531" width="17.28515625" style="1937" bestFit="1" customWidth="1"/>
    <col min="11532" max="11532" width="16" style="1937" bestFit="1" customWidth="1"/>
    <col min="11533" max="11776" width="9.140625" style="1937"/>
    <col min="11777" max="11777" width="4.7109375" style="1937" customWidth="1"/>
    <col min="11778" max="11778" width="6.7109375" style="1937" customWidth="1"/>
    <col min="11779" max="11779" width="8.85546875" style="1937" customWidth="1"/>
    <col min="11780" max="11780" width="47.85546875" style="1937" customWidth="1"/>
    <col min="11781" max="11781" width="12.85546875" style="1937" customWidth="1"/>
    <col min="11782" max="11782" width="15.5703125" style="1937" customWidth="1"/>
    <col min="11783" max="11783" width="15.85546875" style="1937" customWidth="1"/>
    <col min="11784" max="11784" width="6.42578125" style="1937" customWidth="1"/>
    <col min="11785" max="11785" width="14.28515625" style="1937" bestFit="1" customWidth="1"/>
    <col min="11786" max="11786" width="11.42578125" style="1937" bestFit="1" customWidth="1"/>
    <col min="11787" max="11787" width="17.28515625" style="1937" bestFit="1" customWidth="1"/>
    <col min="11788" max="11788" width="16" style="1937" bestFit="1" customWidth="1"/>
    <col min="11789" max="12032" width="9.140625" style="1937"/>
    <col min="12033" max="12033" width="4.7109375" style="1937" customWidth="1"/>
    <col min="12034" max="12034" width="6.7109375" style="1937" customWidth="1"/>
    <col min="12035" max="12035" width="8.85546875" style="1937" customWidth="1"/>
    <col min="12036" max="12036" width="47.85546875" style="1937" customWidth="1"/>
    <col min="12037" max="12037" width="12.85546875" style="1937" customWidth="1"/>
    <col min="12038" max="12038" width="15.5703125" style="1937" customWidth="1"/>
    <col min="12039" max="12039" width="15.85546875" style="1937" customWidth="1"/>
    <col min="12040" max="12040" width="6.42578125" style="1937" customWidth="1"/>
    <col min="12041" max="12041" width="14.28515625" style="1937" bestFit="1" customWidth="1"/>
    <col min="12042" max="12042" width="11.42578125" style="1937" bestFit="1" customWidth="1"/>
    <col min="12043" max="12043" width="17.28515625" style="1937" bestFit="1" customWidth="1"/>
    <col min="12044" max="12044" width="16" style="1937" bestFit="1" customWidth="1"/>
    <col min="12045" max="12288" width="9.140625" style="1937"/>
    <col min="12289" max="12289" width="4.7109375" style="1937" customWidth="1"/>
    <col min="12290" max="12290" width="6.7109375" style="1937" customWidth="1"/>
    <col min="12291" max="12291" width="8.85546875" style="1937" customWidth="1"/>
    <col min="12292" max="12292" width="47.85546875" style="1937" customWidth="1"/>
    <col min="12293" max="12293" width="12.85546875" style="1937" customWidth="1"/>
    <col min="12294" max="12294" width="15.5703125" style="1937" customWidth="1"/>
    <col min="12295" max="12295" width="15.85546875" style="1937" customWidth="1"/>
    <col min="12296" max="12296" width="6.42578125" style="1937" customWidth="1"/>
    <col min="12297" max="12297" width="14.28515625" style="1937" bestFit="1" customWidth="1"/>
    <col min="12298" max="12298" width="11.42578125" style="1937" bestFit="1" customWidth="1"/>
    <col min="12299" max="12299" width="17.28515625" style="1937" bestFit="1" customWidth="1"/>
    <col min="12300" max="12300" width="16" style="1937" bestFit="1" customWidth="1"/>
    <col min="12301" max="12544" width="9.140625" style="1937"/>
    <col min="12545" max="12545" width="4.7109375" style="1937" customWidth="1"/>
    <col min="12546" max="12546" width="6.7109375" style="1937" customWidth="1"/>
    <col min="12547" max="12547" width="8.85546875" style="1937" customWidth="1"/>
    <col min="12548" max="12548" width="47.85546875" style="1937" customWidth="1"/>
    <col min="12549" max="12549" width="12.85546875" style="1937" customWidth="1"/>
    <col min="12550" max="12550" width="15.5703125" style="1937" customWidth="1"/>
    <col min="12551" max="12551" width="15.85546875" style="1937" customWidth="1"/>
    <col min="12552" max="12552" width="6.42578125" style="1937" customWidth="1"/>
    <col min="12553" max="12553" width="14.28515625" style="1937" bestFit="1" customWidth="1"/>
    <col min="12554" max="12554" width="11.42578125" style="1937" bestFit="1" customWidth="1"/>
    <col min="12555" max="12555" width="17.28515625" style="1937" bestFit="1" customWidth="1"/>
    <col min="12556" max="12556" width="16" style="1937" bestFit="1" customWidth="1"/>
    <col min="12557" max="12800" width="9.140625" style="1937"/>
    <col min="12801" max="12801" width="4.7109375" style="1937" customWidth="1"/>
    <col min="12802" max="12802" width="6.7109375" style="1937" customWidth="1"/>
    <col min="12803" max="12803" width="8.85546875" style="1937" customWidth="1"/>
    <col min="12804" max="12804" width="47.85546875" style="1937" customWidth="1"/>
    <col min="12805" max="12805" width="12.85546875" style="1937" customWidth="1"/>
    <col min="12806" max="12806" width="15.5703125" style="1937" customWidth="1"/>
    <col min="12807" max="12807" width="15.85546875" style="1937" customWidth="1"/>
    <col min="12808" max="12808" width="6.42578125" style="1937" customWidth="1"/>
    <col min="12809" max="12809" width="14.28515625" style="1937" bestFit="1" customWidth="1"/>
    <col min="12810" max="12810" width="11.42578125" style="1937" bestFit="1" customWidth="1"/>
    <col min="12811" max="12811" width="17.28515625" style="1937" bestFit="1" customWidth="1"/>
    <col min="12812" max="12812" width="16" style="1937" bestFit="1" customWidth="1"/>
    <col min="12813" max="13056" width="9.140625" style="1937"/>
    <col min="13057" max="13057" width="4.7109375" style="1937" customWidth="1"/>
    <col min="13058" max="13058" width="6.7109375" style="1937" customWidth="1"/>
    <col min="13059" max="13059" width="8.85546875" style="1937" customWidth="1"/>
    <col min="13060" max="13060" width="47.85546875" style="1937" customWidth="1"/>
    <col min="13061" max="13061" width="12.85546875" style="1937" customWidth="1"/>
    <col min="13062" max="13062" width="15.5703125" style="1937" customWidth="1"/>
    <col min="13063" max="13063" width="15.85546875" style="1937" customWidth="1"/>
    <col min="13064" max="13064" width="6.42578125" style="1937" customWidth="1"/>
    <col min="13065" max="13065" width="14.28515625" style="1937" bestFit="1" customWidth="1"/>
    <col min="13066" max="13066" width="11.42578125" style="1937" bestFit="1" customWidth="1"/>
    <col min="13067" max="13067" width="17.28515625" style="1937" bestFit="1" customWidth="1"/>
    <col min="13068" max="13068" width="16" style="1937" bestFit="1" customWidth="1"/>
    <col min="13069" max="13312" width="9.140625" style="1937"/>
    <col min="13313" max="13313" width="4.7109375" style="1937" customWidth="1"/>
    <col min="13314" max="13314" width="6.7109375" style="1937" customWidth="1"/>
    <col min="13315" max="13315" width="8.85546875" style="1937" customWidth="1"/>
    <col min="13316" max="13316" width="47.85546875" style="1937" customWidth="1"/>
    <col min="13317" max="13317" width="12.85546875" style="1937" customWidth="1"/>
    <col min="13318" max="13318" width="15.5703125" style="1937" customWidth="1"/>
    <col min="13319" max="13319" width="15.85546875" style="1937" customWidth="1"/>
    <col min="13320" max="13320" width="6.42578125" style="1937" customWidth="1"/>
    <col min="13321" max="13321" width="14.28515625" style="1937" bestFit="1" customWidth="1"/>
    <col min="13322" max="13322" width="11.42578125" style="1937" bestFit="1" customWidth="1"/>
    <col min="13323" max="13323" width="17.28515625" style="1937" bestFit="1" customWidth="1"/>
    <col min="13324" max="13324" width="16" style="1937" bestFit="1" customWidth="1"/>
    <col min="13325" max="13568" width="9.140625" style="1937"/>
    <col min="13569" max="13569" width="4.7109375" style="1937" customWidth="1"/>
    <col min="13570" max="13570" width="6.7109375" style="1937" customWidth="1"/>
    <col min="13571" max="13571" width="8.85546875" style="1937" customWidth="1"/>
    <col min="13572" max="13572" width="47.85546875" style="1937" customWidth="1"/>
    <col min="13573" max="13573" width="12.85546875" style="1937" customWidth="1"/>
    <col min="13574" max="13574" width="15.5703125" style="1937" customWidth="1"/>
    <col min="13575" max="13575" width="15.85546875" style="1937" customWidth="1"/>
    <col min="13576" max="13576" width="6.42578125" style="1937" customWidth="1"/>
    <col min="13577" max="13577" width="14.28515625" style="1937" bestFit="1" customWidth="1"/>
    <col min="13578" max="13578" width="11.42578125" style="1937" bestFit="1" customWidth="1"/>
    <col min="13579" max="13579" width="17.28515625" style="1937" bestFit="1" customWidth="1"/>
    <col min="13580" max="13580" width="16" style="1937" bestFit="1" customWidth="1"/>
    <col min="13581" max="13824" width="9.140625" style="1937"/>
    <col min="13825" max="13825" width="4.7109375" style="1937" customWidth="1"/>
    <col min="13826" max="13826" width="6.7109375" style="1937" customWidth="1"/>
    <col min="13827" max="13827" width="8.85546875" style="1937" customWidth="1"/>
    <col min="13828" max="13828" width="47.85546875" style="1937" customWidth="1"/>
    <col min="13829" max="13829" width="12.85546875" style="1937" customWidth="1"/>
    <col min="13830" max="13830" width="15.5703125" style="1937" customWidth="1"/>
    <col min="13831" max="13831" width="15.85546875" style="1937" customWidth="1"/>
    <col min="13832" max="13832" width="6.42578125" style="1937" customWidth="1"/>
    <col min="13833" max="13833" width="14.28515625" style="1937" bestFit="1" customWidth="1"/>
    <col min="13834" max="13834" width="11.42578125" style="1937" bestFit="1" customWidth="1"/>
    <col min="13835" max="13835" width="17.28515625" style="1937" bestFit="1" customWidth="1"/>
    <col min="13836" max="13836" width="16" style="1937" bestFit="1" customWidth="1"/>
    <col min="13837" max="14080" width="9.140625" style="1937"/>
    <col min="14081" max="14081" width="4.7109375" style="1937" customWidth="1"/>
    <col min="14082" max="14082" width="6.7109375" style="1937" customWidth="1"/>
    <col min="14083" max="14083" width="8.85546875" style="1937" customWidth="1"/>
    <col min="14084" max="14084" width="47.85546875" style="1937" customWidth="1"/>
    <col min="14085" max="14085" width="12.85546875" style="1937" customWidth="1"/>
    <col min="14086" max="14086" width="15.5703125" style="1937" customWidth="1"/>
    <col min="14087" max="14087" width="15.85546875" style="1937" customWidth="1"/>
    <col min="14088" max="14088" width="6.42578125" style="1937" customWidth="1"/>
    <col min="14089" max="14089" width="14.28515625" style="1937" bestFit="1" customWidth="1"/>
    <col min="14090" max="14090" width="11.42578125" style="1937" bestFit="1" customWidth="1"/>
    <col min="14091" max="14091" width="17.28515625" style="1937" bestFit="1" customWidth="1"/>
    <col min="14092" max="14092" width="16" style="1937" bestFit="1" customWidth="1"/>
    <col min="14093" max="14336" width="9.140625" style="1937"/>
    <col min="14337" max="14337" width="4.7109375" style="1937" customWidth="1"/>
    <col min="14338" max="14338" width="6.7109375" style="1937" customWidth="1"/>
    <col min="14339" max="14339" width="8.85546875" style="1937" customWidth="1"/>
    <col min="14340" max="14340" width="47.85546875" style="1937" customWidth="1"/>
    <col min="14341" max="14341" width="12.85546875" style="1937" customWidth="1"/>
    <col min="14342" max="14342" width="15.5703125" style="1937" customWidth="1"/>
    <col min="14343" max="14343" width="15.85546875" style="1937" customWidth="1"/>
    <col min="14344" max="14344" width="6.42578125" style="1937" customWidth="1"/>
    <col min="14345" max="14345" width="14.28515625" style="1937" bestFit="1" customWidth="1"/>
    <col min="14346" max="14346" width="11.42578125" style="1937" bestFit="1" customWidth="1"/>
    <col min="14347" max="14347" width="17.28515625" style="1937" bestFit="1" customWidth="1"/>
    <col min="14348" max="14348" width="16" style="1937" bestFit="1" customWidth="1"/>
    <col min="14349" max="14592" width="9.140625" style="1937"/>
    <col min="14593" max="14593" width="4.7109375" style="1937" customWidth="1"/>
    <col min="14594" max="14594" width="6.7109375" style="1937" customWidth="1"/>
    <col min="14595" max="14595" width="8.85546875" style="1937" customWidth="1"/>
    <col min="14596" max="14596" width="47.85546875" style="1937" customWidth="1"/>
    <col min="14597" max="14597" width="12.85546875" style="1937" customWidth="1"/>
    <col min="14598" max="14598" width="15.5703125" style="1937" customWidth="1"/>
    <col min="14599" max="14599" width="15.85546875" style="1937" customWidth="1"/>
    <col min="14600" max="14600" width="6.42578125" style="1937" customWidth="1"/>
    <col min="14601" max="14601" width="14.28515625" style="1937" bestFit="1" customWidth="1"/>
    <col min="14602" max="14602" width="11.42578125" style="1937" bestFit="1" customWidth="1"/>
    <col min="14603" max="14603" width="17.28515625" style="1937" bestFit="1" customWidth="1"/>
    <col min="14604" max="14604" width="16" style="1937" bestFit="1" customWidth="1"/>
    <col min="14605" max="14848" width="9.140625" style="1937"/>
    <col min="14849" max="14849" width="4.7109375" style="1937" customWidth="1"/>
    <col min="14850" max="14850" width="6.7109375" style="1937" customWidth="1"/>
    <col min="14851" max="14851" width="8.85546875" style="1937" customWidth="1"/>
    <col min="14852" max="14852" width="47.85546875" style="1937" customWidth="1"/>
    <col min="14853" max="14853" width="12.85546875" style="1937" customWidth="1"/>
    <col min="14854" max="14854" width="15.5703125" style="1937" customWidth="1"/>
    <col min="14855" max="14855" width="15.85546875" style="1937" customWidth="1"/>
    <col min="14856" max="14856" width="6.42578125" style="1937" customWidth="1"/>
    <col min="14857" max="14857" width="14.28515625" style="1937" bestFit="1" customWidth="1"/>
    <col min="14858" max="14858" width="11.42578125" style="1937" bestFit="1" customWidth="1"/>
    <col min="14859" max="14859" width="17.28515625" style="1937" bestFit="1" customWidth="1"/>
    <col min="14860" max="14860" width="16" style="1937" bestFit="1" customWidth="1"/>
    <col min="14861" max="15104" width="9.140625" style="1937"/>
    <col min="15105" max="15105" width="4.7109375" style="1937" customWidth="1"/>
    <col min="15106" max="15106" width="6.7109375" style="1937" customWidth="1"/>
    <col min="15107" max="15107" width="8.85546875" style="1937" customWidth="1"/>
    <col min="15108" max="15108" width="47.85546875" style="1937" customWidth="1"/>
    <col min="15109" max="15109" width="12.85546875" style="1937" customWidth="1"/>
    <col min="15110" max="15110" width="15.5703125" style="1937" customWidth="1"/>
    <col min="15111" max="15111" width="15.85546875" style="1937" customWidth="1"/>
    <col min="15112" max="15112" width="6.42578125" style="1937" customWidth="1"/>
    <col min="15113" max="15113" width="14.28515625" style="1937" bestFit="1" customWidth="1"/>
    <col min="15114" max="15114" width="11.42578125" style="1937" bestFit="1" customWidth="1"/>
    <col min="15115" max="15115" width="17.28515625" style="1937" bestFit="1" customWidth="1"/>
    <col min="15116" max="15116" width="16" style="1937" bestFit="1" customWidth="1"/>
    <col min="15117" max="15360" width="9.140625" style="1937"/>
    <col min="15361" max="15361" width="4.7109375" style="1937" customWidth="1"/>
    <col min="15362" max="15362" width="6.7109375" style="1937" customWidth="1"/>
    <col min="15363" max="15363" width="8.85546875" style="1937" customWidth="1"/>
    <col min="15364" max="15364" width="47.85546875" style="1937" customWidth="1"/>
    <col min="15365" max="15365" width="12.85546875" style="1937" customWidth="1"/>
    <col min="15366" max="15366" width="15.5703125" style="1937" customWidth="1"/>
    <col min="15367" max="15367" width="15.85546875" style="1937" customWidth="1"/>
    <col min="15368" max="15368" width="6.42578125" style="1937" customWidth="1"/>
    <col min="15369" max="15369" width="14.28515625" style="1937" bestFit="1" customWidth="1"/>
    <col min="15370" max="15370" width="11.42578125" style="1937" bestFit="1" customWidth="1"/>
    <col min="15371" max="15371" width="17.28515625" style="1937" bestFit="1" customWidth="1"/>
    <col min="15372" max="15372" width="16" style="1937" bestFit="1" customWidth="1"/>
    <col min="15373" max="15616" width="9.140625" style="1937"/>
    <col min="15617" max="15617" width="4.7109375" style="1937" customWidth="1"/>
    <col min="15618" max="15618" width="6.7109375" style="1937" customWidth="1"/>
    <col min="15619" max="15619" width="8.85546875" style="1937" customWidth="1"/>
    <col min="15620" max="15620" width="47.85546875" style="1937" customWidth="1"/>
    <col min="15621" max="15621" width="12.85546875" style="1937" customWidth="1"/>
    <col min="15622" max="15622" width="15.5703125" style="1937" customWidth="1"/>
    <col min="15623" max="15623" width="15.85546875" style="1937" customWidth="1"/>
    <col min="15624" max="15624" width="6.42578125" style="1937" customWidth="1"/>
    <col min="15625" max="15625" width="14.28515625" style="1937" bestFit="1" customWidth="1"/>
    <col min="15626" max="15626" width="11.42578125" style="1937" bestFit="1" customWidth="1"/>
    <col min="15627" max="15627" width="17.28515625" style="1937" bestFit="1" customWidth="1"/>
    <col min="15628" max="15628" width="16" style="1937" bestFit="1" customWidth="1"/>
    <col min="15629" max="15872" width="9.140625" style="1937"/>
    <col min="15873" max="15873" width="4.7109375" style="1937" customWidth="1"/>
    <col min="15874" max="15874" width="6.7109375" style="1937" customWidth="1"/>
    <col min="15875" max="15875" width="8.85546875" style="1937" customWidth="1"/>
    <col min="15876" max="15876" width="47.85546875" style="1937" customWidth="1"/>
    <col min="15877" max="15877" width="12.85546875" style="1937" customWidth="1"/>
    <col min="15878" max="15878" width="15.5703125" style="1937" customWidth="1"/>
    <col min="15879" max="15879" width="15.85546875" style="1937" customWidth="1"/>
    <col min="15880" max="15880" width="6.42578125" style="1937" customWidth="1"/>
    <col min="15881" max="15881" width="14.28515625" style="1937" bestFit="1" customWidth="1"/>
    <col min="15882" max="15882" width="11.42578125" style="1937" bestFit="1" customWidth="1"/>
    <col min="15883" max="15883" width="17.28515625" style="1937" bestFit="1" customWidth="1"/>
    <col min="15884" max="15884" width="16" style="1937" bestFit="1" customWidth="1"/>
    <col min="15885" max="16128" width="9.140625" style="1937"/>
    <col min="16129" max="16129" width="4.7109375" style="1937" customWidth="1"/>
    <col min="16130" max="16130" width="6.7109375" style="1937" customWidth="1"/>
    <col min="16131" max="16131" width="8.85546875" style="1937" customWidth="1"/>
    <col min="16132" max="16132" width="47.85546875" style="1937" customWidth="1"/>
    <col min="16133" max="16133" width="12.85546875" style="1937" customWidth="1"/>
    <col min="16134" max="16134" width="15.5703125" style="1937" customWidth="1"/>
    <col min="16135" max="16135" width="15.85546875" style="1937" customWidth="1"/>
    <col min="16136" max="16136" width="6.42578125" style="1937" customWidth="1"/>
    <col min="16137" max="16137" width="14.28515625" style="1937" bestFit="1" customWidth="1"/>
    <col min="16138" max="16138" width="11.42578125" style="1937" bestFit="1" customWidth="1"/>
    <col min="16139" max="16139" width="17.28515625" style="1937" bestFit="1" customWidth="1"/>
    <col min="16140" max="16140" width="16" style="1937" bestFit="1" customWidth="1"/>
    <col min="16141" max="16384" width="9.140625" style="1937"/>
  </cols>
  <sheetData>
    <row r="1" spans="1:8" ht="19.5" customHeight="1" thickBot="1" x14ac:dyDescent="0.3">
      <c r="A1" s="1820" t="s">
        <v>446</v>
      </c>
      <c r="B1" s="1819"/>
      <c r="C1" s="1932"/>
      <c r="D1" s="1817"/>
      <c r="E1" s="1816"/>
      <c r="F1" s="1817"/>
      <c r="G1" s="2053"/>
      <c r="H1" s="1820"/>
    </row>
    <row r="2" spans="1:8" ht="18" x14ac:dyDescent="0.25">
      <c r="A2" s="1941"/>
      <c r="B2" s="1973"/>
      <c r="C2" s="1973"/>
      <c r="D2" s="1973"/>
      <c r="E2" s="1973"/>
      <c r="F2" s="1973"/>
      <c r="G2" s="1973"/>
      <c r="H2" s="2027" t="s">
        <v>447</v>
      </c>
    </row>
    <row r="3" spans="1:8" ht="18" x14ac:dyDescent="0.25">
      <c r="A3" s="1815" t="s">
        <v>387</v>
      </c>
      <c r="B3" s="1973"/>
      <c r="C3" s="1935" t="s">
        <v>363</v>
      </c>
      <c r="D3" s="1973"/>
      <c r="E3" s="1973"/>
      <c r="F3" s="1973"/>
      <c r="G3" s="1973"/>
      <c r="H3" s="2027"/>
    </row>
    <row r="4" spans="1:8" ht="18" x14ac:dyDescent="0.25">
      <c r="A4" s="1941"/>
      <c r="B4" s="1973"/>
      <c r="C4" s="1935" t="s">
        <v>364</v>
      </c>
      <c r="D4" s="1973"/>
      <c r="E4" s="1973"/>
      <c r="F4" s="1973"/>
      <c r="G4" s="1973"/>
      <c r="H4" s="2027"/>
    </row>
    <row r="5" spans="1:8" ht="18" x14ac:dyDescent="0.25">
      <c r="A5" s="1940" t="s">
        <v>448</v>
      </c>
      <c r="B5" s="1973"/>
      <c r="C5" s="1973"/>
      <c r="D5" s="1973"/>
      <c r="E5" s="1973"/>
      <c r="F5" s="1973"/>
      <c r="G5" s="1973"/>
      <c r="H5" s="2027"/>
    </row>
    <row r="7" spans="1:8" ht="15.75" thickBot="1" x14ac:dyDescent="0.3">
      <c r="A7" s="1942" t="s">
        <v>263</v>
      </c>
      <c r="H7" s="2043" t="s">
        <v>173</v>
      </c>
    </row>
    <row r="8" spans="1:8" s="1735" customFormat="1" ht="25.5" thickTop="1" thickBot="1" x14ac:dyDescent="0.25">
      <c r="A8" s="1943" t="s">
        <v>174</v>
      </c>
      <c r="B8" s="1944" t="s">
        <v>800</v>
      </c>
      <c r="C8" s="1944" t="s">
        <v>397</v>
      </c>
      <c r="D8" s="1945" t="s">
        <v>176</v>
      </c>
      <c r="E8" s="1976" t="s">
        <v>669</v>
      </c>
      <c r="F8" s="1976" t="s">
        <v>670</v>
      </c>
      <c r="G8" s="1977" t="s">
        <v>923</v>
      </c>
      <c r="H8" s="1978" t="s">
        <v>924</v>
      </c>
    </row>
    <row r="9" spans="1:8" s="1735" customFormat="1" ht="13.5" thickTop="1" thickBot="1" x14ac:dyDescent="0.25">
      <c r="A9" s="1740">
        <v>1</v>
      </c>
      <c r="B9" s="1739">
        <v>2</v>
      </c>
      <c r="C9" s="1739">
        <v>3</v>
      </c>
      <c r="D9" s="1739">
        <v>4</v>
      </c>
      <c r="E9" s="1738">
        <v>5</v>
      </c>
      <c r="F9" s="1738">
        <v>6</v>
      </c>
      <c r="G9" s="2028">
        <v>7</v>
      </c>
      <c r="H9" s="2054" t="s">
        <v>61</v>
      </c>
    </row>
    <row r="10" spans="1:8" s="1990" customFormat="1" ht="45.75" hidden="1" customHeight="1" thickTop="1" x14ac:dyDescent="0.2">
      <c r="A10" s="1987">
        <v>3299</v>
      </c>
      <c r="B10" s="1988">
        <v>5213</v>
      </c>
      <c r="C10" s="1988">
        <v>32133006</v>
      </c>
      <c r="D10" s="2006" t="s">
        <v>1323</v>
      </c>
      <c r="E10" s="1975">
        <v>0</v>
      </c>
      <c r="F10" s="1975"/>
      <c r="G10" s="1975"/>
      <c r="H10" s="1958" t="e">
        <f t="shared" ref="H10:H27" si="0">G10/F10*100</f>
        <v>#DIV/0!</v>
      </c>
    </row>
    <row r="11" spans="1:8" s="1990" customFormat="1" ht="45.75" hidden="1" thickTop="1" x14ac:dyDescent="0.2">
      <c r="A11" s="2049">
        <v>3299</v>
      </c>
      <c r="B11" s="2056">
        <v>5213</v>
      </c>
      <c r="C11" s="2056">
        <v>32533006</v>
      </c>
      <c r="D11" s="1979" t="s">
        <v>1323</v>
      </c>
      <c r="E11" s="1989">
        <v>0</v>
      </c>
      <c r="F11" s="1989"/>
      <c r="G11" s="1989"/>
      <c r="H11" s="1961" t="e">
        <f t="shared" si="0"/>
        <v>#DIV/0!</v>
      </c>
    </row>
    <row r="12" spans="1:8" s="1990" customFormat="1" ht="30" hidden="1" customHeight="1" x14ac:dyDescent="0.2">
      <c r="A12" s="2049">
        <v>3299</v>
      </c>
      <c r="B12" s="2056">
        <v>5221</v>
      </c>
      <c r="C12" s="2056">
        <v>32133006</v>
      </c>
      <c r="D12" s="1979" t="s">
        <v>1380</v>
      </c>
      <c r="E12" s="1989">
        <v>0</v>
      </c>
      <c r="F12" s="1989"/>
      <c r="G12" s="1989"/>
      <c r="H12" s="1961" t="e">
        <f t="shared" si="0"/>
        <v>#DIV/0!</v>
      </c>
    </row>
    <row r="13" spans="1:8" s="1990" customFormat="1" ht="30.75" hidden="1" thickTop="1" x14ac:dyDescent="0.2">
      <c r="A13" s="2049">
        <v>3299</v>
      </c>
      <c r="B13" s="2056">
        <v>5221</v>
      </c>
      <c r="C13" s="2056">
        <v>32533006</v>
      </c>
      <c r="D13" s="1979" t="s">
        <v>1380</v>
      </c>
      <c r="E13" s="1989">
        <v>0</v>
      </c>
      <c r="F13" s="1989"/>
      <c r="G13" s="1989"/>
      <c r="H13" s="1961" t="e">
        <f t="shared" si="0"/>
        <v>#DIV/0!</v>
      </c>
    </row>
    <row r="14" spans="1:8" s="1990" customFormat="1" ht="30.75" thickTop="1" x14ac:dyDescent="0.2">
      <c r="A14" s="2049">
        <v>3299</v>
      </c>
      <c r="B14" s="2056">
        <v>5223</v>
      </c>
      <c r="C14" s="2056">
        <v>32133006</v>
      </c>
      <c r="D14" s="1979" t="s">
        <v>869</v>
      </c>
      <c r="E14" s="1989">
        <v>0</v>
      </c>
      <c r="F14" s="1989">
        <v>121</v>
      </c>
      <c r="G14" s="1989">
        <v>121</v>
      </c>
      <c r="H14" s="1961">
        <f t="shared" si="0"/>
        <v>100</v>
      </c>
    </row>
    <row r="15" spans="1:8" s="1990" customFormat="1" ht="30" x14ac:dyDescent="0.2">
      <c r="A15" s="2049">
        <v>3299</v>
      </c>
      <c r="B15" s="2056">
        <v>5223</v>
      </c>
      <c r="C15" s="2056">
        <v>32533006</v>
      </c>
      <c r="D15" s="1979" t="s">
        <v>869</v>
      </c>
      <c r="E15" s="1989">
        <v>0</v>
      </c>
      <c r="F15" s="1989">
        <v>684</v>
      </c>
      <c r="G15" s="1989">
        <v>684</v>
      </c>
      <c r="H15" s="1961">
        <f t="shared" si="0"/>
        <v>100</v>
      </c>
    </row>
    <row r="16" spans="1:8" ht="15" customHeight="1" x14ac:dyDescent="0.2">
      <c r="A16" s="2049">
        <v>3299</v>
      </c>
      <c r="B16" s="2056">
        <v>5332</v>
      </c>
      <c r="C16" s="2059">
        <v>32133006</v>
      </c>
      <c r="D16" s="1979" t="s">
        <v>656</v>
      </c>
      <c r="E16" s="1989">
        <v>0</v>
      </c>
      <c r="F16" s="1989">
        <v>55</v>
      </c>
      <c r="G16" s="1989">
        <v>55</v>
      </c>
      <c r="H16" s="1961">
        <f t="shared" si="0"/>
        <v>100</v>
      </c>
    </row>
    <row r="17" spans="1:10" ht="15" x14ac:dyDescent="0.2">
      <c r="A17" s="2049">
        <v>3299</v>
      </c>
      <c r="B17" s="2056">
        <v>5332</v>
      </c>
      <c r="C17" s="2059">
        <v>32533006</v>
      </c>
      <c r="D17" s="1979" t="s">
        <v>656</v>
      </c>
      <c r="E17" s="1989">
        <v>0</v>
      </c>
      <c r="F17" s="1989">
        <v>309</v>
      </c>
      <c r="G17" s="1989">
        <v>309</v>
      </c>
      <c r="H17" s="1961">
        <f t="shared" si="0"/>
        <v>100</v>
      </c>
    </row>
    <row r="18" spans="1:10" ht="15" x14ac:dyDescent="0.2">
      <c r="A18" s="2049">
        <v>3299</v>
      </c>
      <c r="B18" s="2056">
        <v>5901</v>
      </c>
      <c r="C18" s="2059">
        <v>32133006</v>
      </c>
      <c r="D18" s="1979" t="s">
        <v>639</v>
      </c>
      <c r="E18" s="1989">
        <v>0</v>
      </c>
      <c r="F18" s="1989">
        <v>1222</v>
      </c>
      <c r="G18" s="1989">
        <v>0</v>
      </c>
      <c r="H18" s="1961">
        <f t="shared" si="0"/>
        <v>0</v>
      </c>
    </row>
    <row r="19" spans="1:10" ht="15" x14ac:dyDescent="0.2">
      <c r="A19" s="2049">
        <v>3299</v>
      </c>
      <c r="B19" s="2056">
        <v>5901</v>
      </c>
      <c r="C19" s="2059">
        <v>32533006</v>
      </c>
      <c r="D19" s="1979" t="s">
        <v>639</v>
      </c>
      <c r="E19" s="1989">
        <v>0</v>
      </c>
      <c r="F19" s="1989">
        <v>6925</v>
      </c>
      <c r="G19" s="1989">
        <v>0</v>
      </c>
      <c r="H19" s="1961">
        <f t="shared" si="0"/>
        <v>0</v>
      </c>
    </row>
    <row r="20" spans="1:10" ht="15" x14ac:dyDescent="0.2">
      <c r="A20" s="2049">
        <v>3299</v>
      </c>
      <c r="B20" s="2056">
        <v>5909</v>
      </c>
      <c r="C20" s="2059">
        <v>0</v>
      </c>
      <c r="D20" s="1979" t="s">
        <v>689</v>
      </c>
      <c r="E20" s="1989">
        <v>0</v>
      </c>
      <c r="F20" s="1989">
        <v>23</v>
      </c>
      <c r="G20" s="1989">
        <v>23</v>
      </c>
      <c r="H20" s="1961">
        <f t="shared" si="0"/>
        <v>100</v>
      </c>
    </row>
    <row r="21" spans="1:10" ht="45" hidden="1" x14ac:dyDescent="0.2">
      <c r="A21" s="2049">
        <v>3299</v>
      </c>
      <c r="B21" s="2056">
        <v>6313</v>
      </c>
      <c r="C21" s="2059">
        <v>32533006</v>
      </c>
      <c r="D21" s="1979" t="s">
        <v>583</v>
      </c>
      <c r="E21" s="1989">
        <v>0</v>
      </c>
      <c r="F21" s="1989"/>
      <c r="G21" s="1989"/>
      <c r="H21" s="1961" t="e">
        <f t="shared" si="0"/>
        <v>#DIV/0!</v>
      </c>
    </row>
    <row r="22" spans="1:10" ht="30" hidden="1" x14ac:dyDescent="0.2">
      <c r="A22" s="2049">
        <v>3299</v>
      </c>
      <c r="B22" s="2056">
        <v>6323</v>
      </c>
      <c r="C22" s="2059">
        <v>32133006</v>
      </c>
      <c r="D22" s="1979" t="s">
        <v>584</v>
      </c>
      <c r="E22" s="1989">
        <v>0</v>
      </c>
      <c r="F22" s="1989"/>
      <c r="G22" s="1989"/>
      <c r="H22" s="1961" t="e">
        <f t="shared" si="0"/>
        <v>#DIV/0!</v>
      </c>
    </row>
    <row r="23" spans="1:10" ht="30" hidden="1" x14ac:dyDescent="0.2">
      <c r="A23" s="2049">
        <v>3299</v>
      </c>
      <c r="B23" s="2056">
        <v>6323</v>
      </c>
      <c r="C23" s="2059">
        <v>32533006</v>
      </c>
      <c r="D23" s="1979" t="s">
        <v>584</v>
      </c>
      <c r="E23" s="1989">
        <v>0</v>
      </c>
      <c r="F23" s="1989"/>
      <c r="G23" s="1989"/>
      <c r="H23" s="1961" t="e">
        <f t="shared" si="0"/>
        <v>#DIV/0!</v>
      </c>
    </row>
    <row r="24" spans="1:10" ht="15" x14ac:dyDescent="0.2">
      <c r="A24" s="2049">
        <v>3636</v>
      </c>
      <c r="B24" s="2056">
        <v>6901</v>
      </c>
      <c r="C24" s="2059">
        <v>32133006</v>
      </c>
      <c r="D24" s="1979" t="s">
        <v>449</v>
      </c>
      <c r="E24" s="1989">
        <v>0</v>
      </c>
      <c r="F24" s="1989">
        <v>760</v>
      </c>
      <c r="G24" s="1989">
        <v>0</v>
      </c>
      <c r="H24" s="1961">
        <f t="shared" si="0"/>
        <v>0</v>
      </c>
    </row>
    <row r="25" spans="1:10" ht="15" x14ac:dyDescent="0.2">
      <c r="A25" s="2049">
        <v>3636</v>
      </c>
      <c r="B25" s="2056">
        <v>6901</v>
      </c>
      <c r="C25" s="2059">
        <v>32533006</v>
      </c>
      <c r="D25" s="1979" t="s">
        <v>449</v>
      </c>
      <c r="E25" s="1989">
        <v>0</v>
      </c>
      <c r="F25" s="1989">
        <v>4309</v>
      </c>
      <c r="G25" s="1989">
        <v>0</v>
      </c>
      <c r="H25" s="1961">
        <f t="shared" si="0"/>
        <v>0</v>
      </c>
      <c r="J25" s="2067"/>
    </row>
    <row r="26" spans="1:10" ht="15.75" thickBot="1" x14ac:dyDescent="0.25">
      <c r="A26" s="2049">
        <v>6402</v>
      </c>
      <c r="B26" s="2056">
        <v>5363</v>
      </c>
      <c r="C26" s="2059">
        <v>19</v>
      </c>
      <c r="D26" s="1979" t="s">
        <v>585</v>
      </c>
      <c r="E26" s="1989">
        <v>0</v>
      </c>
      <c r="F26" s="1989">
        <v>59</v>
      </c>
      <c r="G26" s="1989">
        <v>15</v>
      </c>
      <c r="H26" s="1968">
        <f t="shared" si="0"/>
        <v>25.423728813559322</v>
      </c>
      <c r="J26" s="2067"/>
    </row>
    <row r="27" spans="1:10" s="1969" customFormat="1" ht="16.5" thickTop="1" thickBot="1" x14ac:dyDescent="0.3">
      <c r="A27" s="2750" t="s">
        <v>802</v>
      </c>
      <c r="B27" s="2751"/>
      <c r="C27" s="2751"/>
      <c r="D27" s="2751"/>
      <c r="E27" s="1957">
        <f>SUM(E10:E25)</f>
        <v>0</v>
      </c>
      <c r="F27" s="1957">
        <f>SUM(F10:F26)</f>
        <v>14467</v>
      </c>
      <c r="G27" s="1957">
        <f>SUM(G10:G26)</f>
        <v>1207</v>
      </c>
      <c r="H27" s="1968">
        <f t="shared" si="0"/>
        <v>8.3431257344300818</v>
      </c>
      <c r="I27" s="2063"/>
    </row>
    <row r="28" spans="1:10" ht="13.5" thickTop="1" x14ac:dyDescent="0.2">
      <c r="I28" s="1970"/>
    </row>
    <row r="29" spans="1:10" x14ac:dyDescent="0.2">
      <c r="I29" s="1970"/>
    </row>
    <row r="30" spans="1:10" ht="15" x14ac:dyDescent="0.25">
      <c r="A30" s="1942" t="s">
        <v>1367</v>
      </c>
      <c r="D30" s="1936"/>
      <c r="E30" s="1937"/>
      <c r="H30" s="1970"/>
      <c r="I30" s="1970"/>
    </row>
    <row r="31" spans="1:10" ht="15.75" thickBot="1" x14ac:dyDescent="0.3">
      <c r="A31" s="1942" t="s">
        <v>1454</v>
      </c>
      <c r="D31" s="1936"/>
      <c r="E31" s="1937"/>
      <c r="H31" s="2043" t="s">
        <v>173</v>
      </c>
      <c r="I31" s="1970"/>
    </row>
    <row r="32" spans="1:10" ht="25.5" thickTop="1" thickBot="1" x14ac:dyDescent="0.25">
      <c r="A32" s="1943" t="s">
        <v>174</v>
      </c>
      <c r="B32" s="1944" t="s">
        <v>800</v>
      </c>
      <c r="C32" s="1944" t="s">
        <v>397</v>
      </c>
      <c r="D32" s="1945" t="s">
        <v>176</v>
      </c>
      <c r="E32" s="1976" t="s">
        <v>669</v>
      </c>
      <c r="F32" s="1976" t="s">
        <v>670</v>
      </c>
      <c r="G32" s="1977" t="s">
        <v>923</v>
      </c>
      <c r="H32" s="1978" t="s">
        <v>924</v>
      </c>
      <c r="I32" s="1970"/>
    </row>
    <row r="33" spans="1:9" ht="14.25" thickTop="1" thickBot="1" x14ac:dyDescent="0.25">
      <c r="A33" s="1740">
        <v>1</v>
      </c>
      <c r="B33" s="1739">
        <v>2</v>
      </c>
      <c r="C33" s="1739">
        <v>3</v>
      </c>
      <c r="D33" s="1739">
        <v>5</v>
      </c>
      <c r="E33" s="1738">
        <v>6</v>
      </c>
      <c r="F33" s="1738">
        <v>7</v>
      </c>
      <c r="G33" s="2028">
        <v>8</v>
      </c>
      <c r="H33" s="1951" t="s">
        <v>801</v>
      </c>
      <c r="I33" s="1970"/>
    </row>
    <row r="34" spans="1:9" ht="30.75" thickTop="1" x14ac:dyDescent="0.2">
      <c r="A34" s="2049">
        <v>3299</v>
      </c>
      <c r="B34" s="2056">
        <v>5336</v>
      </c>
      <c r="C34" s="2056">
        <v>32133006</v>
      </c>
      <c r="D34" s="1979" t="s">
        <v>1325</v>
      </c>
      <c r="E34" s="1975">
        <v>0</v>
      </c>
      <c r="F34" s="1975">
        <v>54</v>
      </c>
      <c r="G34" s="2039">
        <v>54</v>
      </c>
      <c r="H34" s="1958">
        <f>G34/F34*100</f>
        <v>100</v>
      </c>
      <c r="I34" s="1970"/>
    </row>
    <row r="35" spans="1:9" ht="30.75" thickBot="1" x14ac:dyDescent="0.25">
      <c r="A35" s="2049">
        <v>3299</v>
      </c>
      <c r="B35" s="2056">
        <v>5336</v>
      </c>
      <c r="C35" s="2056">
        <v>32533006</v>
      </c>
      <c r="D35" s="1979" t="s">
        <v>1325</v>
      </c>
      <c r="E35" s="1989">
        <v>0</v>
      </c>
      <c r="F35" s="1989">
        <v>305</v>
      </c>
      <c r="G35" s="2036">
        <v>305</v>
      </c>
      <c r="H35" s="1961">
        <f>G35/F35*100</f>
        <v>100</v>
      </c>
      <c r="I35" s="1970"/>
    </row>
    <row r="36" spans="1:9" ht="30.75" hidden="1" thickBot="1" x14ac:dyDescent="0.25">
      <c r="A36" s="2049">
        <v>3299</v>
      </c>
      <c r="B36" s="2056">
        <v>6351</v>
      </c>
      <c r="C36" s="2056">
        <v>32133006</v>
      </c>
      <c r="D36" s="2068" t="s">
        <v>1339</v>
      </c>
      <c r="E36" s="1989">
        <v>0</v>
      </c>
      <c r="F36" s="1989">
        <v>0</v>
      </c>
      <c r="G36" s="2036">
        <v>0</v>
      </c>
      <c r="H36" s="1961" t="e">
        <f>G36/F36*100</f>
        <v>#DIV/0!</v>
      </c>
      <c r="I36" s="1970"/>
    </row>
    <row r="37" spans="1:9" ht="30.75" hidden="1" thickBot="1" x14ac:dyDescent="0.25">
      <c r="A37" s="2069">
        <v>3299</v>
      </c>
      <c r="B37" s="2070">
        <v>6351</v>
      </c>
      <c r="C37" s="2070">
        <v>32533006</v>
      </c>
      <c r="D37" s="2068" t="s">
        <v>1339</v>
      </c>
      <c r="E37" s="1989">
        <v>0</v>
      </c>
      <c r="F37" s="1989">
        <v>0</v>
      </c>
      <c r="G37" s="2036">
        <v>0</v>
      </c>
      <c r="H37" s="1961" t="e">
        <f>G37/F37*100</f>
        <v>#DIV/0!</v>
      </c>
      <c r="I37" s="1970"/>
    </row>
    <row r="38" spans="1:9" ht="16.5" thickTop="1" thickBot="1" x14ac:dyDescent="0.3">
      <c r="A38" s="1980" t="s">
        <v>802</v>
      </c>
      <c r="B38" s="1981"/>
      <c r="C38" s="1981"/>
      <c r="D38" s="1982"/>
      <c r="E38" s="1957">
        <f>SUM(E34:E35)</f>
        <v>0</v>
      </c>
      <c r="F38" s="1957">
        <f>SUM(F34:F37)</f>
        <v>359</v>
      </c>
      <c r="G38" s="1957">
        <f>SUM(G34:G37)</f>
        <v>359</v>
      </c>
      <c r="H38" s="1962">
        <f>G38/F38*100</f>
        <v>100</v>
      </c>
      <c r="I38" s="1970"/>
    </row>
    <row r="39" spans="1:9" ht="13.5" thickTop="1" x14ac:dyDescent="0.2">
      <c r="I39" s="1970"/>
    </row>
    <row r="40" spans="1:9" ht="15" x14ac:dyDescent="0.25">
      <c r="A40" s="1942" t="s">
        <v>1736</v>
      </c>
      <c r="D40" s="1936"/>
      <c r="E40" s="1937"/>
      <c r="H40" s="1970"/>
      <c r="I40" s="1970"/>
    </row>
    <row r="41" spans="1:9" ht="15.75" thickBot="1" x14ac:dyDescent="0.3">
      <c r="A41" s="1942" t="s">
        <v>1324</v>
      </c>
      <c r="D41" s="1936"/>
      <c r="E41" s="1937"/>
      <c r="H41" s="2043" t="s">
        <v>173</v>
      </c>
      <c r="I41" s="1970"/>
    </row>
    <row r="42" spans="1:9" ht="25.5" thickTop="1" thickBot="1" x14ac:dyDescent="0.25">
      <c r="A42" s="1943" t="s">
        <v>174</v>
      </c>
      <c r="B42" s="1944" t="s">
        <v>800</v>
      </c>
      <c r="C42" s="1944" t="s">
        <v>397</v>
      </c>
      <c r="D42" s="1945" t="s">
        <v>176</v>
      </c>
      <c r="E42" s="1976" t="s">
        <v>669</v>
      </c>
      <c r="F42" s="1976" t="s">
        <v>670</v>
      </c>
      <c r="G42" s="1977" t="s">
        <v>923</v>
      </c>
      <c r="H42" s="1978" t="s">
        <v>924</v>
      </c>
      <c r="I42" s="1970"/>
    </row>
    <row r="43" spans="1:9" ht="14.25" thickTop="1" thickBot="1" x14ac:dyDescent="0.25">
      <c r="A43" s="1740">
        <v>1</v>
      </c>
      <c r="B43" s="1739">
        <v>2</v>
      </c>
      <c r="C43" s="1739">
        <v>3</v>
      </c>
      <c r="D43" s="1739">
        <v>5</v>
      </c>
      <c r="E43" s="1738">
        <v>6</v>
      </c>
      <c r="F43" s="1738">
        <v>7</v>
      </c>
      <c r="G43" s="2028">
        <v>8</v>
      </c>
      <c r="H43" s="1951" t="s">
        <v>801</v>
      </c>
      <c r="I43" s="1970"/>
    </row>
    <row r="44" spans="1:9" ht="30.75" thickTop="1" x14ac:dyDescent="0.2">
      <c r="A44" s="2049">
        <v>3299</v>
      </c>
      <c r="B44" s="2056">
        <v>5336</v>
      </c>
      <c r="C44" s="2056">
        <v>32133006</v>
      </c>
      <c r="D44" s="1979" t="s">
        <v>1325</v>
      </c>
      <c r="E44" s="1975">
        <v>0</v>
      </c>
      <c r="F44" s="1975">
        <v>82</v>
      </c>
      <c r="G44" s="2039">
        <v>82</v>
      </c>
      <c r="H44" s="1958">
        <f>G44/F44*100</f>
        <v>100</v>
      </c>
      <c r="I44" s="1970"/>
    </row>
    <row r="45" spans="1:9" ht="30.75" thickBot="1" x14ac:dyDescent="0.25">
      <c r="A45" s="2049">
        <v>3299</v>
      </c>
      <c r="B45" s="2056">
        <v>5336</v>
      </c>
      <c r="C45" s="2056">
        <v>32533006</v>
      </c>
      <c r="D45" s="1979" t="s">
        <v>1325</v>
      </c>
      <c r="E45" s="1989">
        <v>0</v>
      </c>
      <c r="F45" s="1989">
        <v>463</v>
      </c>
      <c r="G45" s="2036">
        <v>463</v>
      </c>
      <c r="H45" s="1961">
        <f>G45/F45*100</f>
        <v>100</v>
      </c>
      <c r="I45" s="1970"/>
    </row>
    <row r="46" spans="1:9" ht="30.75" hidden="1" thickBot="1" x14ac:dyDescent="0.25">
      <c r="A46" s="2049">
        <v>3299</v>
      </c>
      <c r="B46" s="2056">
        <v>6351</v>
      </c>
      <c r="C46" s="2056">
        <v>32133006</v>
      </c>
      <c r="D46" s="2068" t="s">
        <v>1339</v>
      </c>
      <c r="E46" s="1989">
        <v>0</v>
      </c>
      <c r="F46" s="1989">
        <v>0</v>
      </c>
      <c r="G46" s="2036">
        <v>0</v>
      </c>
      <c r="H46" s="1961" t="e">
        <f>G46/F46*100</f>
        <v>#DIV/0!</v>
      </c>
      <c r="I46" s="1970"/>
    </row>
    <row r="47" spans="1:9" ht="30.75" hidden="1" thickBot="1" x14ac:dyDescent="0.25">
      <c r="A47" s="2069">
        <v>3299</v>
      </c>
      <c r="B47" s="2070">
        <v>6351</v>
      </c>
      <c r="C47" s="2070">
        <v>32533006</v>
      </c>
      <c r="D47" s="2068" t="s">
        <v>1339</v>
      </c>
      <c r="E47" s="1989">
        <v>0</v>
      </c>
      <c r="F47" s="1989">
        <v>0</v>
      </c>
      <c r="G47" s="2036">
        <v>0</v>
      </c>
      <c r="H47" s="1961" t="e">
        <f>G47/F47*100</f>
        <v>#DIV/0!</v>
      </c>
      <c r="I47" s="1970"/>
    </row>
    <row r="48" spans="1:9" ht="16.5" thickTop="1" thickBot="1" x14ac:dyDescent="0.3">
      <c r="A48" s="1980" t="s">
        <v>802</v>
      </c>
      <c r="B48" s="1981"/>
      <c r="C48" s="1981"/>
      <c r="D48" s="1982"/>
      <c r="E48" s="1957">
        <f>SUM(E44:E45)</f>
        <v>0</v>
      </c>
      <c r="F48" s="1957">
        <f>SUM(F44:F47)</f>
        <v>545</v>
      </c>
      <c r="G48" s="1957">
        <f>SUM(G44:G47)</f>
        <v>545</v>
      </c>
      <c r="H48" s="1962">
        <f>G48/F48*100</f>
        <v>100</v>
      </c>
      <c r="I48" s="1970"/>
    </row>
    <row r="49" spans="1:9" ht="13.5" thickTop="1" x14ac:dyDescent="0.2">
      <c r="I49" s="1970"/>
    </row>
    <row r="50" spans="1:9" ht="15" hidden="1" x14ac:dyDescent="0.25">
      <c r="A50" s="1942" t="s">
        <v>1326</v>
      </c>
      <c r="D50" s="1936"/>
      <c r="E50" s="1937"/>
      <c r="H50" s="1970"/>
      <c r="I50" s="1970"/>
    </row>
    <row r="51" spans="1:9" ht="15" hidden="1" x14ac:dyDescent="0.25">
      <c r="A51" s="1942" t="s">
        <v>1327</v>
      </c>
      <c r="D51" s="1936"/>
      <c r="E51" s="1937"/>
      <c r="H51" s="1970" t="s">
        <v>173</v>
      </c>
      <c r="I51" s="1970"/>
    </row>
    <row r="52" spans="1:9" ht="25.5" hidden="1" thickTop="1" thickBot="1" x14ac:dyDescent="0.25">
      <c r="A52" s="1943" t="s">
        <v>174</v>
      </c>
      <c r="B52" s="1944" t="s">
        <v>800</v>
      </c>
      <c r="C52" s="1944" t="s">
        <v>397</v>
      </c>
      <c r="D52" s="1945" t="s">
        <v>176</v>
      </c>
      <c r="E52" s="1976" t="s">
        <v>669</v>
      </c>
      <c r="F52" s="1976" t="s">
        <v>670</v>
      </c>
      <c r="G52" s="1977" t="s">
        <v>923</v>
      </c>
      <c r="H52" s="1978" t="s">
        <v>924</v>
      </c>
      <c r="I52" s="1970"/>
    </row>
    <row r="53" spans="1:9" ht="14.25" hidden="1" thickTop="1" thickBot="1" x14ac:dyDescent="0.25">
      <c r="A53" s="1740">
        <v>1</v>
      </c>
      <c r="B53" s="1739">
        <v>2</v>
      </c>
      <c r="C53" s="1739">
        <v>3</v>
      </c>
      <c r="D53" s="1739">
        <v>5</v>
      </c>
      <c r="E53" s="1738">
        <v>6</v>
      </c>
      <c r="F53" s="1738">
        <v>7</v>
      </c>
      <c r="G53" s="2028">
        <v>8</v>
      </c>
      <c r="H53" s="1951" t="s">
        <v>801</v>
      </c>
      <c r="I53" s="1970"/>
    </row>
    <row r="54" spans="1:9" ht="30.75" hidden="1" thickTop="1" x14ac:dyDescent="0.2">
      <c r="A54" s="2049">
        <v>3299</v>
      </c>
      <c r="B54" s="2056">
        <v>5336</v>
      </c>
      <c r="C54" s="2056">
        <v>32133006</v>
      </c>
      <c r="D54" s="1979" t="s">
        <v>1453</v>
      </c>
      <c r="E54" s="1975">
        <v>0</v>
      </c>
      <c r="F54" s="1975">
        <v>0</v>
      </c>
      <c r="G54" s="2039">
        <v>0</v>
      </c>
      <c r="H54" s="1958" t="e">
        <f>G54/F54*100</f>
        <v>#DIV/0!</v>
      </c>
      <c r="I54" s="1970"/>
    </row>
    <row r="55" spans="1:9" ht="30" hidden="1" x14ac:dyDescent="0.2">
      <c r="A55" s="2049">
        <v>3299</v>
      </c>
      <c r="B55" s="2056">
        <v>5336</v>
      </c>
      <c r="C55" s="2056">
        <v>32533006</v>
      </c>
      <c r="D55" s="1979" t="s">
        <v>1453</v>
      </c>
      <c r="E55" s="1989">
        <v>0</v>
      </c>
      <c r="F55" s="1989">
        <v>0</v>
      </c>
      <c r="G55" s="2036">
        <v>0</v>
      </c>
      <c r="H55" s="1961" t="e">
        <f>G55/F55*100</f>
        <v>#DIV/0!</v>
      </c>
      <c r="I55" s="1970"/>
    </row>
    <row r="56" spans="1:9" ht="16.5" hidden="1" thickTop="1" thickBot="1" x14ac:dyDescent="0.3">
      <c r="A56" s="1980" t="s">
        <v>802</v>
      </c>
      <c r="B56" s="1981"/>
      <c r="C56" s="1981"/>
      <c r="D56" s="1982"/>
      <c r="E56" s="1957">
        <f>SUM(E54:E55)</f>
        <v>0</v>
      </c>
      <c r="F56" s="1957">
        <f>SUM(F54:F55)</f>
        <v>0</v>
      </c>
      <c r="G56" s="1957">
        <f>SUM(G54:G55)</f>
        <v>0</v>
      </c>
      <c r="H56" s="1962" t="e">
        <f>G56/F56*100</f>
        <v>#DIV/0!</v>
      </c>
      <c r="I56" s="1970"/>
    </row>
    <row r="57" spans="1:9" ht="15" hidden="1" x14ac:dyDescent="0.25">
      <c r="A57" s="1994"/>
      <c r="B57" s="1994"/>
      <c r="C57" s="1994"/>
      <c r="D57" s="1994"/>
      <c r="E57" s="1964"/>
      <c r="F57" s="1964"/>
      <c r="G57" s="1964"/>
      <c r="H57" s="1995"/>
      <c r="I57" s="1970"/>
    </row>
    <row r="58" spans="1:9" ht="15" x14ac:dyDescent="0.25">
      <c r="A58" s="1942" t="s">
        <v>348</v>
      </c>
      <c r="D58" s="1936"/>
      <c r="E58" s="1937"/>
      <c r="H58" s="1970"/>
      <c r="I58" s="1970"/>
    </row>
    <row r="59" spans="1:9" ht="15.75" thickBot="1" x14ac:dyDescent="0.3">
      <c r="A59" s="1942" t="s">
        <v>586</v>
      </c>
      <c r="D59" s="1936"/>
      <c r="E59" s="1937"/>
      <c r="H59" s="2043" t="s">
        <v>173</v>
      </c>
      <c r="I59" s="1970"/>
    </row>
    <row r="60" spans="1:9" ht="25.5" thickTop="1" thickBot="1" x14ac:dyDescent="0.25">
      <c r="A60" s="1943" t="s">
        <v>174</v>
      </c>
      <c r="B60" s="1944" t="s">
        <v>800</v>
      </c>
      <c r="C60" s="1944" t="s">
        <v>397</v>
      </c>
      <c r="D60" s="1945" t="s">
        <v>176</v>
      </c>
      <c r="E60" s="1976" t="s">
        <v>669</v>
      </c>
      <c r="F60" s="1976" t="s">
        <v>670</v>
      </c>
      <c r="G60" s="1977" t="s">
        <v>923</v>
      </c>
      <c r="H60" s="1978" t="s">
        <v>924</v>
      </c>
      <c r="I60" s="1970"/>
    </row>
    <row r="61" spans="1:9" ht="14.25" thickTop="1" thickBot="1" x14ac:dyDescent="0.25">
      <c r="A61" s="1740">
        <v>1</v>
      </c>
      <c r="B61" s="1739">
        <v>2</v>
      </c>
      <c r="C61" s="1739">
        <v>3</v>
      </c>
      <c r="D61" s="1739">
        <v>5</v>
      </c>
      <c r="E61" s="1738">
        <v>6</v>
      </c>
      <c r="F61" s="1738">
        <v>7</v>
      </c>
      <c r="G61" s="2028">
        <v>8</v>
      </c>
      <c r="H61" s="1951" t="s">
        <v>801</v>
      </c>
      <c r="I61" s="1970"/>
    </row>
    <row r="62" spans="1:9" ht="30.75" thickTop="1" x14ac:dyDescent="0.2">
      <c r="A62" s="2049">
        <v>3299</v>
      </c>
      <c r="B62" s="2056">
        <v>5336</v>
      </c>
      <c r="C62" s="2056">
        <v>32133006</v>
      </c>
      <c r="D62" s="1979" t="s">
        <v>1325</v>
      </c>
      <c r="E62" s="1975">
        <v>0</v>
      </c>
      <c r="F62" s="1975">
        <v>13</v>
      </c>
      <c r="G62" s="2039">
        <v>13</v>
      </c>
      <c r="H62" s="1958">
        <f>G62/F62*100</f>
        <v>100</v>
      </c>
      <c r="I62" s="1970"/>
    </row>
    <row r="63" spans="1:9" ht="30.75" thickBot="1" x14ac:dyDescent="0.25">
      <c r="A63" s="2049">
        <v>3299</v>
      </c>
      <c r="B63" s="2056">
        <v>5336</v>
      </c>
      <c r="C63" s="2056">
        <v>32533006</v>
      </c>
      <c r="D63" s="1979" t="s">
        <v>1325</v>
      </c>
      <c r="E63" s="1989">
        <v>0</v>
      </c>
      <c r="F63" s="1989">
        <v>77</v>
      </c>
      <c r="G63" s="2036">
        <v>77</v>
      </c>
      <c r="H63" s="1961">
        <f>G63/F63*100</f>
        <v>100</v>
      </c>
      <c r="I63" s="1970"/>
    </row>
    <row r="64" spans="1:9" ht="30.75" hidden="1" thickBot="1" x14ac:dyDescent="0.25">
      <c r="A64" s="2049">
        <v>3299</v>
      </c>
      <c r="B64" s="2056">
        <v>6351</v>
      </c>
      <c r="C64" s="2056">
        <v>32133006</v>
      </c>
      <c r="D64" s="2068" t="s">
        <v>1339</v>
      </c>
      <c r="E64" s="1989">
        <v>0</v>
      </c>
      <c r="F64" s="1989">
        <v>0</v>
      </c>
      <c r="G64" s="2036">
        <v>0</v>
      </c>
      <c r="H64" s="1961" t="e">
        <f>G64/F64*100</f>
        <v>#DIV/0!</v>
      </c>
      <c r="I64" s="1970"/>
    </row>
    <row r="65" spans="1:9" ht="30.75" hidden="1" thickBot="1" x14ac:dyDescent="0.25">
      <c r="A65" s="2069">
        <v>3299</v>
      </c>
      <c r="B65" s="2070">
        <v>6351</v>
      </c>
      <c r="C65" s="2070">
        <v>32533006</v>
      </c>
      <c r="D65" s="2068" t="s">
        <v>1339</v>
      </c>
      <c r="E65" s="1989">
        <v>0</v>
      </c>
      <c r="F65" s="1989">
        <v>0</v>
      </c>
      <c r="G65" s="2036">
        <v>0</v>
      </c>
      <c r="H65" s="1961" t="e">
        <f>G65/F65*100</f>
        <v>#DIV/0!</v>
      </c>
      <c r="I65" s="1970"/>
    </row>
    <row r="66" spans="1:9" ht="16.5" thickTop="1" thickBot="1" x14ac:dyDescent="0.3">
      <c r="A66" s="1980" t="s">
        <v>802</v>
      </c>
      <c r="B66" s="1981"/>
      <c r="C66" s="1981"/>
      <c r="D66" s="1982"/>
      <c r="E66" s="1957">
        <f>SUM(E62:E63)</f>
        <v>0</v>
      </c>
      <c r="F66" s="1957">
        <f>SUM(F62:F65)</f>
        <v>90</v>
      </c>
      <c r="G66" s="1957">
        <f>SUM(G62:G65)</f>
        <v>90</v>
      </c>
      <c r="H66" s="1962">
        <f>G66/F66*100</f>
        <v>100</v>
      </c>
      <c r="I66" s="1970"/>
    </row>
    <row r="67" spans="1:9" ht="15.75" customHeight="1" thickTop="1" x14ac:dyDescent="0.2">
      <c r="I67" s="1970"/>
    </row>
    <row r="68" spans="1:9" ht="15" hidden="1" x14ac:dyDescent="0.25">
      <c r="A68" s="1942" t="s">
        <v>1666</v>
      </c>
      <c r="D68" s="1936"/>
      <c r="E68" s="1937"/>
      <c r="H68" s="1970"/>
      <c r="I68" s="1970"/>
    </row>
    <row r="69" spans="1:9" ht="15" hidden="1" x14ac:dyDescent="0.25">
      <c r="A69" s="1942" t="s">
        <v>1328</v>
      </c>
      <c r="D69" s="1936"/>
      <c r="E69" s="1937"/>
      <c r="H69" s="2043" t="s">
        <v>173</v>
      </c>
      <c r="I69" s="1970"/>
    </row>
    <row r="70" spans="1:9" ht="25.5" hidden="1" thickTop="1" thickBot="1" x14ac:dyDescent="0.25">
      <c r="A70" s="1943" t="s">
        <v>174</v>
      </c>
      <c r="B70" s="1944" t="s">
        <v>800</v>
      </c>
      <c r="C70" s="1944" t="s">
        <v>397</v>
      </c>
      <c r="D70" s="1945" t="s">
        <v>176</v>
      </c>
      <c r="E70" s="1976" t="s">
        <v>669</v>
      </c>
      <c r="F70" s="1976" t="s">
        <v>670</v>
      </c>
      <c r="G70" s="1977" t="s">
        <v>923</v>
      </c>
      <c r="H70" s="1978" t="s">
        <v>924</v>
      </c>
      <c r="I70" s="1970"/>
    </row>
    <row r="71" spans="1:9" ht="14.25" hidden="1" thickTop="1" thickBot="1" x14ac:dyDescent="0.25">
      <c r="A71" s="1740">
        <v>1</v>
      </c>
      <c r="B71" s="1739">
        <v>2</v>
      </c>
      <c r="C71" s="1739">
        <v>3</v>
      </c>
      <c r="D71" s="1739">
        <v>5</v>
      </c>
      <c r="E71" s="1738">
        <v>6</v>
      </c>
      <c r="F71" s="1738">
        <v>7</v>
      </c>
      <c r="G71" s="2028">
        <v>8</v>
      </c>
      <c r="H71" s="1951" t="s">
        <v>801</v>
      </c>
      <c r="I71" s="1970"/>
    </row>
    <row r="72" spans="1:9" ht="30.75" hidden="1" thickTop="1" x14ac:dyDescent="0.2">
      <c r="A72" s="2049">
        <v>3299</v>
      </c>
      <c r="B72" s="2056">
        <v>5336</v>
      </c>
      <c r="C72" s="2056">
        <v>32133006</v>
      </c>
      <c r="D72" s="1979" t="s">
        <v>1325</v>
      </c>
      <c r="E72" s="1975">
        <v>0</v>
      </c>
      <c r="F72" s="1975"/>
      <c r="G72" s="2039"/>
      <c r="H72" s="1958" t="e">
        <f>G72/F72*100</f>
        <v>#DIV/0!</v>
      </c>
      <c r="I72" s="1970"/>
    </row>
    <row r="73" spans="1:9" ht="30" hidden="1" x14ac:dyDescent="0.2">
      <c r="A73" s="2049">
        <v>3299</v>
      </c>
      <c r="B73" s="2056">
        <v>5336</v>
      </c>
      <c r="C73" s="2056">
        <v>32533006</v>
      </c>
      <c r="D73" s="1979" t="s">
        <v>1325</v>
      </c>
      <c r="E73" s="1989">
        <v>0</v>
      </c>
      <c r="F73" s="1989"/>
      <c r="G73" s="2036"/>
      <c r="H73" s="1961" t="e">
        <f>G73/F73*100</f>
        <v>#DIV/0!</v>
      </c>
      <c r="I73" s="1970"/>
    </row>
    <row r="74" spans="1:9" ht="16.5" hidden="1" thickTop="1" thickBot="1" x14ac:dyDescent="0.3">
      <c r="A74" s="1980" t="s">
        <v>802</v>
      </c>
      <c r="B74" s="1981"/>
      <c r="C74" s="1981"/>
      <c r="D74" s="1982"/>
      <c r="E74" s="1957">
        <f>SUM(E72:E73)</f>
        <v>0</v>
      </c>
      <c r="F74" s="1957">
        <f>SUM(F72:F73)</f>
        <v>0</v>
      </c>
      <c r="G74" s="1957">
        <f>SUM(G72:G73)</f>
        <v>0</v>
      </c>
      <c r="H74" s="1962" t="e">
        <f>G74/F74*100</f>
        <v>#DIV/0!</v>
      </c>
      <c r="I74" s="1970"/>
    </row>
    <row r="75" spans="1:9" hidden="1" x14ac:dyDescent="0.2">
      <c r="I75" s="1970"/>
    </row>
    <row r="76" spans="1:9" ht="15" hidden="1" x14ac:dyDescent="0.25">
      <c r="A76" s="1942" t="s">
        <v>1298</v>
      </c>
      <c r="D76" s="1936"/>
      <c r="E76" s="1937"/>
      <c r="H76" s="1970"/>
      <c r="I76" s="1970"/>
    </row>
    <row r="77" spans="1:9" ht="15" hidden="1" x14ac:dyDescent="0.25">
      <c r="A77" s="1942" t="s">
        <v>587</v>
      </c>
      <c r="D77" s="1936"/>
      <c r="E77" s="1937"/>
      <c r="H77" s="2043" t="s">
        <v>173</v>
      </c>
      <c r="I77" s="1970"/>
    </row>
    <row r="78" spans="1:9" ht="25.5" hidden="1" thickTop="1" thickBot="1" x14ac:dyDescent="0.25">
      <c r="A78" s="1943" t="s">
        <v>174</v>
      </c>
      <c r="B78" s="1944" t="s">
        <v>800</v>
      </c>
      <c r="C78" s="1944" t="s">
        <v>397</v>
      </c>
      <c r="D78" s="1945" t="s">
        <v>176</v>
      </c>
      <c r="E78" s="1976" t="s">
        <v>669</v>
      </c>
      <c r="F78" s="1976" t="s">
        <v>670</v>
      </c>
      <c r="G78" s="1977" t="s">
        <v>923</v>
      </c>
      <c r="H78" s="1978" t="s">
        <v>924</v>
      </c>
      <c r="I78" s="1970"/>
    </row>
    <row r="79" spans="1:9" ht="14.25" hidden="1" thickTop="1" thickBot="1" x14ac:dyDescent="0.25">
      <c r="A79" s="1740">
        <v>1</v>
      </c>
      <c r="B79" s="1739">
        <v>2</v>
      </c>
      <c r="C79" s="1739">
        <v>3</v>
      </c>
      <c r="D79" s="1739">
        <v>5</v>
      </c>
      <c r="E79" s="1738">
        <v>6</v>
      </c>
      <c r="F79" s="1738">
        <v>7</v>
      </c>
      <c r="G79" s="2028">
        <v>8</v>
      </c>
      <c r="H79" s="1951" t="s">
        <v>801</v>
      </c>
      <c r="I79" s="1970"/>
    </row>
    <row r="80" spans="1:9" ht="30.75" hidden="1" thickTop="1" x14ac:dyDescent="0.2">
      <c r="A80" s="2049">
        <v>3299</v>
      </c>
      <c r="B80" s="2056">
        <v>5336</v>
      </c>
      <c r="C80" s="2056">
        <v>32133006</v>
      </c>
      <c r="D80" s="1979" t="s">
        <v>1325</v>
      </c>
      <c r="E80" s="1975">
        <v>0</v>
      </c>
      <c r="F80" s="1975"/>
      <c r="G80" s="2039"/>
      <c r="H80" s="1958" t="e">
        <f>G80/F80*100</f>
        <v>#DIV/0!</v>
      </c>
      <c r="I80" s="1970"/>
    </row>
    <row r="81" spans="1:9" ht="30" hidden="1" x14ac:dyDescent="0.2">
      <c r="A81" s="2049">
        <v>3299</v>
      </c>
      <c r="B81" s="2056">
        <v>5336</v>
      </c>
      <c r="C81" s="2056">
        <v>32533006</v>
      </c>
      <c r="D81" s="1979" t="s">
        <v>1325</v>
      </c>
      <c r="E81" s="1989">
        <v>0</v>
      </c>
      <c r="F81" s="1989"/>
      <c r="G81" s="2036"/>
      <c r="H81" s="1961" t="e">
        <f>G81/F81*100</f>
        <v>#DIV/0!</v>
      </c>
      <c r="I81" s="1970"/>
    </row>
    <row r="82" spans="1:9" ht="30" hidden="1" x14ac:dyDescent="0.2">
      <c r="A82" s="2049">
        <v>3299</v>
      </c>
      <c r="B82" s="2056">
        <v>6351</v>
      </c>
      <c r="C82" s="2056">
        <v>32133006</v>
      </c>
      <c r="D82" s="2068" t="s">
        <v>1339</v>
      </c>
      <c r="E82" s="1989">
        <v>0</v>
      </c>
      <c r="F82" s="1989"/>
      <c r="G82" s="2036"/>
      <c r="H82" s="1961" t="e">
        <f>G82/F82*100</f>
        <v>#DIV/0!</v>
      </c>
      <c r="I82" s="1970"/>
    </row>
    <row r="83" spans="1:9" ht="30.75" hidden="1" thickBot="1" x14ac:dyDescent="0.25">
      <c r="A83" s="2069">
        <v>3299</v>
      </c>
      <c r="B83" s="2070">
        <v>6351</v>
      </c>
      <c r="C83" s="2070">
        <v>32533006</v>
      </c>
      <c r="D83" s="2068" t="s">
        <v>1339</v>
      </c>
      <c r="E83" s="1989">
        <v>0</v>
      </c>
      <c r="F83" s="1989"/>
      <c r="G83" s="2036"/>
      <c r="H83" s="1961" t="e">
        <f>G83/F83*100</f>
        <v>#DIV/0!</v>
      </c>
      <c r="I83" s="1970"/>
    </row>
    <row r="84" spans="1:9" ht="16.5" hidden="1" thickTop="1" thickBot="1" x14ac:dyDescent="0.3">
      <c r="A84" s="1980" t="s">
        <v>802</v>
      </c>
      <c r="B84" s="1981"/>
      <c r="C84" s="1981"/>
      <c r="D84" s="1982"/>
      <c r="E84" s="1957">
        <f>SUM(E80:E81)</f>
        <v>0</v>
      </c>
      <c r="F84" s="1957">
        <f>SUM(F80:F83)</f>
        <v>0</v>
      </c>
      <c r="G84" s="1957">
        <f>SUM(G80:G83)</f>
        <v>0</v>
      </c>
      <c r="H84" s="1962" t="e">
        <f>G84/F84*100</f>
        <v>#DIV/0!</v>
      </c>
      <c r="I84" s="1970"/>
    </row>
    <row r="85" spans="1:9" hidden="1" x14ac:dyDescent="0.2">
      <c r="I85" s="1970"/>
    </row>
    <row r="86" spans="1:9" ht="15" hidden="1" x14ac:dyDescent="0.25">
      <c r="A86" s="1942" t="s">
        <v>588</v>
      </c>
      <c r="D86" s="1936"/>
      <c r="E86" s="1937"/>
      <c r="H86" s="1970"/>
      <c r="I86" s="1970"/>
    </row>
    <row r="87" spans="1:9" ht="15" hidden="1" x14ac:dyDescent="0.25">
      <c r="A87" s="1942" t="s">
        <v>589</v>
      </c>
      <c r="D87" s="1936"/>
      <c r="E87" s="1937"/>
      <c r="H87" s="2043" t="s">
        <v>173</v>
      </c>
      <c r="I87" s="1970"/>
    </row>
    <row r="88" spans="1:9" ht="25.5" hidden="1" thickTop="1" thickBot="1" x14ac:dyDescent="0.25">
      <c r="A88" s="1943" t="s">
        <v>174</v>
      </c>
      <c r="B88" s="1944" t="s">
        <v>800</v>
      </c>
      <c r="C88" s="1944" t="s">
        <v>397</v>
      </c>
      <c r="D88" s="1945" t="s">
        <v>176</v>
      </c>
      <c r="E88" s="1976" t="s">
        <v>669</v>
      </c>
      <c r="F88" s="1976" t="s">
        <v>670</v>
      </c>
      <c r="G88" s="1977" t="s">
        <v>923</v>
      </c>
      <c r="H88" s="1978" t="s">
        <v>924</v>
      </c>
      <c r="I88" s="1970"/>
    </row>
    <row r="89" spans="1:9" ht="14.25" hidden="1" thickTop="1" thickBot="1" x14ac:dyDescent="0.25">
      <c r="A89" s="1740">
        <v>1</v>
      </c>
      <c r="B89" s="1739">
        <v>2</v>
      </c>
      <c r="C89" s="1739">
        <v>3</v>
      </c>
      <c r="D89" s="1739">
        <v>5</v>
      </c>
      <c r="E89" s="1738">
        <v>6</v>
      </c>
      <c r="F89" s="1738">
        <v>7</v>
      </c>
      <c r="G89" s="2028">
        <v>8</v>
      </c>
      <c r="H89" s="1951" t="s">
        <v>801</v>
      </c>
      <c r="I89" s="1970"/>
    </row>
    <row r="90" spans="1:9" ht="30.75" hidden="1" thickTop="1" x14ac:dyDescent="0.2">
      <c r="A90" s="2049">
        <v>3299</v>
      </c>
      <c r="B90" s="2056">
        <v>5336</v>
      </c>
      <c r="C90" s="2056">
        <v>32133006</v>
      </c>
      <c r="D90" s="1979" t="s">
        <v>1325</v>
      </c>
      <c r="E90" s="1975">
        <v>0</v>
      </c>
      <c r="F90" s="1975"/>
      <c r="G90" s="2039"/>
      <c r="H90" s="1958" t="e">
        <f>G90/F90*100</f>
        <v>#DIV/0!</v>
      </c>
      <c r="I90" s="1970"/>
    </row>
    <row r="91" spans="1:9" ht="30" hidden="1" x14ac:dyDescent="0.2">
      <c r="A91" s="2049">
        <v>3299</v>
      </c>
      <c r="B91" s="2056">
        <v>5336</v>
      </c>
      <c r="C91" s="2056">
        <v>32533006</v>
      </c>
      <c r="D91" s="1979" t="s">
        <v>1325</v>
      </c>
      <c r="E91" s="1989">
        <v>0</v>
      </c>
      <c r="F91" s="1989"/>
      <c r="G91" s="2036"/>
      <c r="H91" s="1961" t="e">
        <f>G91/F91*100</f>
        <v>#DIV/0!</v>
      </c>
      <c r="I91" s="1970"/>
    </row>
    <row r="92" spans="1:9" ht="16.5" hidden="1" thickTop="1" thickBot="1" x14ac:dyDescent="0.3">
      <c r="A92" s="1980" t="s">
        <v>802</v>
      </c>
      <c r="B92" s="1981"/>
      <c r="C92" s="1981"/>
      <c r="D92" s="1982"/>
      <c r="E92" s="1957">
        <f>SUM(E90:E91)</f>
        <v>0</v>
      </c>
      <c r="F92" s="1957">
        <f>SUM(F90:F91)</f>
        <v>0</v>
      </c>
      <c r="G92" s="1957">
        <f>SUM(G90:G91)</f>
        <v>0</v>
      </c>
      <c r="H92" s="1962" t="e">
        <f>G92/F92*100</f>
        <v>#DIV/0!</v>
      </c>
      <c r="I92" s="1970"/>
    </row>
    <row r="93" spans="1:9" hidden="1" x14ac:dyDescent="0.2">
      <c r="I93" s="1970"/>
    </row>
    <row r="94" spans="1:9" ht="15" hidden="1" x14ac:dyDescent="0.25">
      <c r="A94" s="1942" t="s">
        <v>1329</v>
      </c>
      <c r="D94" s="1936"/>
      <c r="E94" s="1937"/>
      <c r="H94" s="1970"/>
      <c r="I94" s="1970"/>
    </row>
    <row r="95" spans="1:9" ht="15" hidden="1" x14ac:dyDescent="0.25">
      <c r="A95" s="1942" t="s">
        <v>1330</v>
      </c>
      <c r="D95" s="1936"/>
      <c r="E95" s="1937"/>
      <c r="H95" s="1970" t="s">
        <v>173</v>
      </c>
      <c r="I95" s="1970"/>
    </row>
    <row r="96" spans="1:9" ht="25.5" hidden="1" thickTop="1" thickBot="1" x14ac:dyDescent="0.25">
      <c r="A96" s="1943" t="s">
        <v>174</v>
      </c>
      <c r="B96" s="1944" t="s">
        <v>800</v>
      </c>
      <c r="C96" s="1944" t="s">
        <v>397</v>
      </c>
      <c r="D96" s="1945" t="s">
        <v>176</v>
      </c>
      <c r="E96" s="1976" t="s">
        <v>669</v>
      </c>
      <c r="F96" s="1976" t="s">
        <v>670</v>
      </c>
      <c r="G96" s="1977" t="s">
        <v>923</v>
      </c>
      <c r="H96" s="1978" t="s">
        <v>924</v>
      </c>
      <c r="I96" s="1970"/>
    </row>
    <row r="97" spans="1:9" ht="14.25" hidden="1" thickTop="1" thickBot="1" x14ac:dyDescent="0.25">
      <c r="A97" s="1740">
        <v>1</v>
      </c>
      <c r="B97" s="1739">
        <v>2</v>
      </c>
      <c r="C97" s="1739">
        <v>3</v>
      </c>
      <c r="D97" s="1739">
        <v>5</v>
      </c>
      <c r="E97" s="1738">
        <v>6</v>
      </c>
      <c r="F97" s="1738">
        <v>7</v>
      </c>
      <c r="G97" s="2028">
        <v>8</v>
      </c>
      <c r="H97" s="1951" t="s">
        <v>801</v>
      </c>
      <c r="I97" s="1970"/>
    </row>
    <row r="98" spans="1:9" ht="30.75" hidden="1" thickTop="1" x14ac:dyDescent="0.2">
      <c r="A98" s="2049">
        <v>3299</v>
      </c>
      <c r="B98" s="2071">
        <v>5336</v>
      </c>
      <c r="C98" s="2056">
        <v>32133006</v>
      </c>
      <c r="D98" s="1979" t="s">
        <v>1453</v>
      </c>
      <c r="E98" s="1975">
        <v>0</v>
      </c>
      <c r="F98" s="1975">
        <v>0</v>
      </c>
      <c r="G98" s="2039">
        <v>0</v>
      </c>
      <c r="H98" s="1958" t="e">
        <f>G98/F98*100</f>
        <v>#DIV/0!</v>
      </c>
      <c r="I98" s="1970"/>
    </row>
    <row r="99" spans="1:9" ht="30" hidden="1" x14ac:dyDescent="0.2">
      <c r="A99" s="2049">
        <v>3299</v>
      </c>
      <c r="B99" s="2071">
        <v>5336</v>
      </c>
      <c r="C99" s="2056">
        <v>32533006</v>
      </c>
      <c r="D99" s="1979" t="s">
        <v>1453</v>
      </c>
      <c r="E99" s="1989">
        <v>0</v>
      </c>
      <c r="F99" s="1989">
        <v>0</v>
      </c>
      <c r="G99" s="2036">
        <v>0</v>
      </c>
      <c r="H99" s="1961" t="e">
        <f>G99/F99*100</f>
        <v>#DIV/0!</v>
      </c>
      <c r="I99" s="1970"/>
    </row>
    <row r="100" spans="1:9" ht="16.5" hidden="1" thickTop="1" thickBot="1" x14ac:dyDescent="0.3">
      <c r="A100" s="1980" t="s">
        <v>802</v>
      </c>
      <c r="B100" s="1981"/>
      <c r="C100" s="1981"/>
      <c r="D100" s="1982"/>
      <c r="E100" s="1957">
        <f>SUM(E98:E99)</f>
        <v>0</v>
      </c>
      <c r="F100" s="1957">
        <f>SUM(F98:F99)</f>
        <v>0</v>
      </c>
      <c r="G100" s="1957">
        <f>SUM(G98:G99)</f>
        <v>0</v>
      </c>
      <c r="H100" s="1962" t="e">
        <f>G100/F100*100</f>
        <v>#DIV/0!</v>
      </c>
      <c r="I100" s="1970"/>
    </row>
    <row r="101" spans="1:9" hidden="1" x14ac:dyDescent="0.2">
      <c r="I101" s="1970"/>
    </row>
    <row r="102" spans="1:9" ht="15" hidden="1" x14ac:dyDescent="0.25">
      <c r="A102" s="1942" t="s">
        <v>1331</v>
      </c>
      <c r="D102" s="1936"/>
      <c r="E102" s="1937"/>
      <c r="H102" s="1970"/>
      <c r="I102" s="1970"/>
    </row>
    <row r="103" spans="1:9" ht="15" hidden="1" x14ac:dyDescent="0.25">
      <c r="A103" s="1942" t="s">
        <v>1332</v>
      </c>
      <c r="D103" s="1936"/>
      <c r="E103" s="1937"/>
      <c r="H103" s="1970" t="s">
        <v>173</v>
      </c>
      <c r="I103" s="1970"/>
    </row>
    <row r="104" spans="1:9" ht="25.5" hidden="1" thickTop="1" thickBot="1" x14ac:dyDescent="0.25">
      <c r="A104" s="1943" t="s">
        <v>174</v>
      </c>
      <c r="B104" s="1944" t="s">
        <v>800</v>
      </c>
      <c r="C104" s="1944" t="s">
        <v>397</v>
      </c>
      <c r="D104" s="1945" t="s">
        <v>176</v>
      </c>
      <c r="E104" s="1976" t="s">
        <v>669</v>
      </c>
      <c r="F104" s="1976" t="s">
        <v>670</v>
      </c>
      <c r="G104" s="1977" t="s">
        <v>923</v>
      </c>
      <c r="H104" s="1978" t="s">
        <v>924</v>
      </c>
      <c r="I104" s="1970"/>
    </row>
    <row r="105" spans="1:9" ht="14.25" hidden="1" thickTop="1" thickBot="1" x14ac:dyDescent="0.25">
      <c r="A105" s="1740">
        <v>1</v>
      </c>
      <c r="B105" s="1739">
        <v>2</v>
      </c>
      <c r="C105" s="1739">
        <v>3</v>
      </c>
      <c r="D105" s="1739">
        <v>5</v>
      </c>
      <c r="E105" s="1738">
        <v>6</v>
      </c>
      <c r="F105" s="1738">
        <v>7</v>
      </c>
      <c r="G105" s="2028">
        <v>8</v>
      </c>
      <c r="H105" s="1951" t="s">
        <v>801</v>
      </c>
      <c r="I105" s="1970"/>
    </row>
    <row r="106" spans="1:9" ht="30.75" hidden="1" thickTop="1" x14ac:dyDescent="0.2">
      <c r="A106" s="2049">
        <v>3299</v>
      </c>
      <c r="B106" s="2071">
        <v>5336</v>
      </c>
      <c r="C106" s="2056">
        <v>32133006</v>
      </c>
      <c r="D106" s="1979" t="s">
        <v>1453</v>
      </c>
      <c r="E106" s="1975">
        <v>0</v>
      </c>
      <c r="F106" s="1975">
        <v>0</v>
      </c>
      <c r="G106" s="2039">
        <v>0</v>
      </c>
      <c r="H106" s="1958" t="e">
        <f>G106/F106*100</f>
        <v>#DIV/0!</v>
      </c>
      <c r="I106" s="1970"/>
    </row>
    <row r="107" spans="1:9" ht="30" hidden="1" x14ac:dyDescent="0.2">
      <c r="A107" s="2049">
        <v>3299</v>
      </c>
      <c r="B107" s="2071">
        <v>5336</v>
      </c>
      <c r="C107" s="2056">
        <v>32533006</v>
      </c>
      <c r="D107" s="1979" t="s">
        <v>1453</v>
      </c>
      <c r="E107" s="1989">
        <v>0</v>
      </c>
      <c r="F107" s="1989">
        <v>0</v>
      </c>
      <c r="G107" s="2036">
        <v>0</v>
      </c>
      <c r="H107" s="1961" t="e">
        <f>G107/F107*100</f>
        <v>#DIV/0!</v>
      </c>
      <c r="I107" s="1970"/>
    </row>
    <row r="108" spans="1:9" ht="16.5" hidden="1" thickTop="1" thickBot="1" x14ac:dyDescent="0.3">
      <c r="A108" s="1980" t="s">
        <v>802</v>
      </c>
      <c r="B108" s="1981"/>
      <c r="C108" s="1981"/>
      <c r="D108" s="1982"/>
      <c r="E108" s="1957">
        <f>SUM(E106:E107)</f>
        <v>0</v>
      </c>
      <c r="F108" s="1957">
        <f>SUM(F106:F107)</f>
        <v>0</v>
      </c>
      <c r="G108" s="1957">
        <f>SUM(G106:G107)</f>
        <v>0</v>
      </c>
      <c r="H108" s="1962" t="e">
        <f>G108/F108*100</f>
        <v>#DIV/0!</v>
      </c>
      <c r="I108" s="1970"/>
    </row>
    <row r="109" spans="1:9" hidden="1" x14ac:dyDescent="0.2">
      <c r="I109" s="1970"/>
    </row>
    <row r="110" spans="1:9" ht="15" hidden="1" x14ac:dyDescent="0.25">
      <c r="A110" s="1942" t="s">
        <v>1333</v>
      </c>
      <c r="D110" s="1936"/>
      <c r="E110" s="1937"/>
      <c r="H110" s="1970"/>
      <c r="I110" s="1970"/>
    </row>
    <row r="111" spans="1:9" ht="15" hidden="1" x14ac:dyDescent="0.25">
      <c r="A111" s="1942" t="s">
        <v>1334</v>
      </c>
      <c r="D111" s="1936"/>
      <c r="E111" s="1937"/>
      <c r="H111" s="1970" t="s">
        <v>173</v>
      </c>
      <c r="I111" s="1970"/>
    </row>
    <row r="112" spans="1:9" ht="25.5" hidden="1" thickTop="1" thickBot="1" x14ac:dyDescent="0.25">
      <c r="A112" s="1943" t="s">
        <v>174</v>
      </c>
      <c r="B112" s="1944" t="s">
        <v>800</v>
      </c>
      <c r="C112" s="1944" t="s">
        <v>397</v>
      </c>
      <c r="D112" s="1945" t="s">
        <v>176</v>
      </c>
      <c r="E112" s="1976" t="s">
        <v>669</v>
      </c>
      <c r="F112" s="1976" t="s">
        <v>670</v>
      </c>
      <c r="G112" s="1977" t="s">
        <v>923</v>
      </c>
      <c r="H112" s="1978" t="s">
        <v>924</v>
      </c>
      <c r="I112" s="1970"/>
    </row>
    <row r="113" spans="1:9" ht="14.25" hidden="1" thickTop="1" thickBot="1" x14ac:dyDescent="0.25">
      <c r="A113" s="1740">
        <v>1</v>
      </c>
      <c r="B113" s="1739">
        <v>2</v>
      </c>
      <c r="C113" s="1739">
        <v>3</v>
      </c>
      <c r="D113" s="1739">
        <v>5</v>
      </c>
      <c r="E113" s="1738">
        <v>6</v>
      </c>
      <c r="F113" s="1738">
        <v>7</v>
      </c>
      <c r="G113" s="2028">
        <v>8</v>
      </c>
      <c r="H113" s="1951" t="s">
        <v>801</v>
      </c>
      <c r="I113" s="1970"/>
    </row>
    <row r="114" spans="1:9" ht="30.75" hidden="1" thickTop="1" x14ac:dyDescent="0.2">
      <c r="A114" s="2049">
        <v>3299</v>
      </c>
      <c r="B114" s="2071">
        <v>5336</v>
      </c>
      <c r="C114" s="2056">
        <v>32133006</v>
      </c>
      <c r="D114" s="1979" t="s">
        <v>1453</v>
      </c>
      <c r="E114" s="1975">
        <v>0</v>
      </c>
      <c r="F114" s="1975">
        <v>0</v>
      </c>
      <c r="G114" s="2039">
        <v>0</v>
      </c>
      <c r="H114" s="1958" t="e">
        <f>G114/F114*100</f>
        <v>#DIV/0!</v>
      </c>
      <c r="I114" s="1970"/>
    </row>
    <row r="115" spans="1:9" ht="30" hidden="1" x14ac:dyDescent="0.2">
      <c r="A115" s="2049">
        <v>3299</v>
      </c>
      <c r="B115" s="2071">
        <v>5336</v>
      </c>
      <c r="C115" s="2056">
        <v>32533006</v>
      </c>
      <c r="D115" s="1979" t="s">
        <v>1453</v>
      </c>
      <c r="E115" s="1989">
        <v>0</v>
      </c>
      <c r="F115" s="1989">
        <v>0</v>
      </c>
      <c r="G115" s="2036">
        <v>0</v>
      </c>
      <c r="H115" s="1961" t="e">
        <f>G115/F115*100</f>
        <v>#DIV/0!</v>
      </c>
      <c r="I115" s="1970"/>
    </row>
    <row r="116" spans="1:9" ht="16.5" hidden="1" thickTop="1" thickBot="1" x14ac:dyDescent="0.3">
      <c r="A116" s="1980" t="s">
        <v>802</v>
      </c>
      <c r="B116" s="1981"/>
      <c r="C116" s="1981"/>
      <c r="D116" s="1982"/>
      <c r="E116" s="1957">
        <f>SUM(E114:E115)</f>
        <v>0</v>
      </c>
      <c r="F116" s="1957">
        <f>SUM(F114:F115)</f>
        <v>0</v>
      </c>
      <c r="G116" s="1957">
        <f>SUM(G114:G115)</f>
        <v>0</v>
      </c>
      <c r="H116" s="1962" t="e">
        <f>G116/F116*100</f>
        <v>#DIV/0!</v>
      </c>
      <c r="I116" s="1970"/>
    </row>
    <row r="117" spans="1:9" hidden="1" x14ac:dyDescent="0.2">
      <c r="I117" s="1970"/>
    </row>
    <row r="118" spans="1:9" ht="15" hidden="1" x14ac:dyDescent="0.25">
      <c r="A118" s="1942" t="s">
        <v>1335</v>
      </c>
      <c r="D118" s="1936"/>
      <c r="E118" s="1937"/>
      <c r="H118" s="1970"/>
      <c r="I118" s="1970"/>
    </row>
    <row r="119" spans="1:9" ht="15" hidden="1" x14ac:dyDescent="0.25">
      <c r="A119" s="1942" t="s">
        <v>1336</v>
      </c>
      <c r="D119" s="1936"/>
      <c r="E119" s="1937"/>
      <c r="H119" s="1970" t="s">
        <v>173</v>
      </c>
      <c r="I119" s="1970"/>
    </row>
    <row r="120" spans="1:9" ht="25.5" hidden="1" thickTop="1" thickBot="1" x14ac:dyDescent="0.25">
      <c r="A120" s="1943" t="s">
        <v>174</v>
      </c>
      <c r="B120" s="1944" t="s">
        <v>800</v>
      </c>
      <c r="C120" s="1944" t="s">
        <v>397</v>
      </c>
      <c r="D120" s="1945" t="s">
        <v>176</v>
      </c>
      <c r="E120" s="1976" t="s">
        <v>669</v>
      </c>
      <c r="F120" s="1976" t="s">
        <v>670</v>
      </c>
      <c r="G120" s="1977" t="s">
        <v>923</v>
      </c>
      <c r="H120" s="1978" t="s">
        <v>924</v>
      </c>
      <c r="I120" s="1970"/>
    </row>
    <row r="121" spans="1:9" ht="14.25" hidden="1" thickTop="1" thickBot="1" x14ac:dyDescent="0.25">
      <c r="A121" s="1740">
        <v>1</v>
      </c>
      <c r="B121" s="1739">
        <v>2</v>
      </c>
      <c r="C121" s="1739">
        <v>3</v>
      </c>
      <c r="D121" s="1739">
        <v>5</v>
      </c>
      <c r="E121" s="1738">
        <v>6</v>
      </c>
      <c r="F121" s="1738">
        <v>7</v>
      </c>
      <c r="G121" s="2028">
        <v>8</v>
      </c>
      <c r="H121" s="1951" t="s">
        <v>801</v>
      </c>
      <c r="I121" s="1970"/>
    </row>
    <row r="122" spans="1:9" ht="30.75" hidden="1" thickTop="1" x14ac:dyDescent="0.2">
      <c r="A122" s="2049">
        <v>3299</v>
      </c>
      <c r="B122" s="2071">
        <v>5336</v>
      </c>
      <c r="C122" s="2056">
        <v>32133006</v>
      </c>
      <c r="D122" s="1979" t="s">
        <v>1453</v>
      </c>
      <c r="E122" s="1975">
        <v>0</v>
      </c>
      <c r="F122" s="1975">
        <v>0</v>
      </c>
      <c r="G122" s="2039">
        <v>0</v>
      </c>
      <c r="H122" s="1958" t="e">
        <f>G122/F122*100</f>
        <v>#DIV/0!</v>
      </c>
      <c r="I122" s="1970"/>
    </row>
    <row r="123" spans="1:9" ht="30" hidden="1" x14ac:dyDescent="0.2">
      <c r="A123" s="2049">
        <v>3299</v>
      </c>
      <c r="B123" s="2071">
        <v>5336</v>
      </c>
      <c r="C123" s="2056">
        <v>32533006</v>
      </c>
      <c r="D123" s="1979" t="s">
        <v>1453</v>
      </c>
      <c r="E123" s="1989">
        <v>0</v>
      </c>
      <c r="F123" s="1989">
        <v>0</v>
      </c>
      <c r="G123" s="2036">
        <v>0</v>
      </c>
      <c r="H123" s="1961" t="e">
        <f>G123/F123*100</f>
        <v>#DIV/0!</v>
      </c>
      <c r="I123" s="1970"/>
    </row>
    <row r="124" spans="1:9" ht="16.5" hidden="1" thickTop="1" thickBot="1" x14ac:dyDescent="0.3">
      <c r="A124" s="1980" t="s">
        <v>802</v>
      </c>
      <c r="B124" s="1981"/>
      <c r="C124" s="1981"/>
      <c r="D124" s="1982"/>
      <c r="E124" s="1957">
        <f>SUM(E122:E123)</f>
        <v>0</v>
      </c>
      <c r="F124" s="1957">
        <f>SUM(F122:F123)</f>
        <v>0</v>
      </c>
      <c r="G124" s="1957">
        <f>SUM(G122:G123)</f>
        <v>0</v>
      </c>
      <c r="H124" s="1962" t="e">
        <f>G124/F124*100</f>
        <v>#DIV/0!</v>
      </c>
      <c r="I124" s="1970"/>
    </row>
    <row r="125" spans="1:9" hidden="1" x14ac:dyDescent="0.2">
      <c r="I125" s="1970"/>
    </row>
    <row r="126" spans="1:9" ht="15" hidden="1" x14ac:dyDescent="0.25">
      <c r="A126" s="1942" t="s">
        <v>1668</v>
      </c>
      <c r="D126" s="1936"/>
      <c r="E126" s="1937"/>
      <c r="H126" s="1970"/>
      <c r="I126" s="1970"/>
    </row>
    <row r="127" spans="1:9" ht="15" hidden="1" x14ac:dyDescent="0.25">
      <c r="A127" s="1942" t="s">
        <v>590</v>
      </c>
      <c r="D127" s="1936"/>
      <c r="E127" s="1937"/>
      <c r="H127" s="2043" t="s">
        <v>173</v>
      </c>
      <c r="I127" s="1970"/>
    </row>
    <row r="128" spans="1:9" ht="25.5" hidden="1" thickTop="1" thickBot="1" x14ac:dyDescent="0.25">
      <c r="A128" s="1943" t="s">
        <v>174</v>
      </c>
      <c r="B128" s="1944" t="s">
        <v>800</v>
      </c>
      <c r="C128" s="1944" t="s">
        <v>397</v>
      </c>
      <c r="D128" s="1945" t="s">
        <v>176</v>
      </c>
      <c r="E128" s="1976" t="s">
        <v>669</v>
      </c>
      <c r="F128" s="1976" t="s">
        <v>670</v>
      </c>
      <c r="G128" s="1977" t="s">
        <v>923</v>
      </c>
      <c r="H128" s="1978" t="s">
        <v>924</v>
      </c>
      <c r="I128" s="1970"/>
    </row>
    <row r="129" spans="1:9" ht="14.25" hidden="1" thickTop="1" thickBot="1" x14ac:dyDescent="0.25">
      <c r="A129" s="1740">
        <v>1</v>
      </c>
      <c r="B129" s="1739">
        <v>2</v>
      </c>
      <c r="C129" s="1739">
        <v>3</v>
      </c>
      <c r="D129" s="1739">
        <v>5</v>
      </c>
      <c r="E129" s="1738">
        <v>6</v>
      </c>
      <c r="F129" s="1738">
        <v>7</v>
      </c>
      <c r="G129" s="2028">
        <v>8</v>
      </c>
      <c r="H129" s="1951" t="s">
        <v>801</v>
      </c>
      <c r="I129" s="1970"/>
    </row>
    <row r="130" spans="1:9" ht="30.75" hidden="1" thickTop="1" x14ac:dyDescent="0.2">
      <c r="A130" s="2049">
        <v>3299</v>
      </c>
      <c r="B130" s="2071">
        <v>5336</v>
      </c>
      <c r="C130" s="2056">
        <v>32133006</v>
      </c>
      <c r="D130" s="1979" t="s">
        <v>1325</v>
      </c>
      <c r="E130" s="1975">
        <v>0</v>
      </c>
      <c r="F130" s="1975"/>
      <c r="G130" s="2039"/>
      <c r="H130" s="1958" t="e">
        <f>G130/F130*100</f>
        <v>#DIV/0!</v>
      </c>
      <c r="I130" s="1970"/>
    </row>
    <row r="131" spans="1:9" ht="30" hidden="1" x14ac:dyDescent="0.2">
      <c r="A131" s="2049">
        <v>3299</v>
      </c>
      <c r="B131" s="2071">
        <v>5336</v>
      </c>
      <c r="C131" s="2056">
        <v>32533006</v>
      </c>
      <c r="D131" s="1979" t="s">
        <v>1325</v>
      </c>
      <c r="E131" s="1989">
        <v>0</v>
      </c>
      <c r="F131" s="1989"/>
      <c r="G131" s="2036"/>
      <c r="H131" s="1961" t="e">
        <f>G131/F131*100</f>
        <v>#DIV/0!</v>
      </c>
      <c r="I131" s="1970"/>
    </row>
    <row r="132" spans="1:9" ht="30" hidden="1" x14ac:dyDescent="0.2">
      <c r="A132" s="2049">
        <v>3299</v>
      </c>
      <c r="B132" s="2056">
        <v>6351</v>
      </c>
      <c r="C132" s="2056">
        <v>32133006</v>
      </c>
      <c r="D132" s="2068" t="s">
        <v>1339</v>
      </c>
      <c r="E132" s="1989">
        <v>0</v>
      </c>
      <c r="F132" s="1989"/>
      <c r="G132" s="2036"/>
      <c r="H132" s="1961" t="e">
        <f>G132/F132*100</f>
        <v>#DIV/0!</v>
      </c>
      <c r="I132" s="1970"/>
    </row>
    <row r="133" spans="1:9" ht="30.75" hidden="1" thickBot="1" x14ac:dyDescent="0.25">
      <c r="A133" s="2069">
        <v>3299</v>
      </c>
      <c r="B133" s="2070">
        <v>6351</v>
      </c>
      <c r="C133" s="2070">
        <v>32533006</v>
      </c>
      <c r="D133" s="2068" t="s">
        <v>1339</v>
      </c>
      <c r="E133" s="1989">
        <v>0</v>
      </c>
      <c r="F133" s="1989"/>
      <c r="G133" s="2036"/>
      <c r="H133" s="1961" t="e">
        <f>G133/F133*100</f>
        <v>#DIV/0!</v>
      </c>
      <c r="I133" s="1970"/>
    </row>
    <row r="134" spans="1:9" ht="16.5" hidden="1" thickTop="1" thickBot="1" x14ac:dyDescent="0.3">
      <c r="A134" s="1980" t="s">
        <v>802</v>
      </c>
      <c r="B134" s="1981"/>
      <c r="C134" s="1981"/>
      <c r="D134" s="1982"/>
      <c r="E134" s="1957">
        <f>SUM(E130:E131)</f>
        <v>0</v>
      </c>
      <c r="F134" s="1957">
        <f>SUM(F130:F133)</f>
        <v>0</v>
      </c>
      <c r="G134" s="1957">
        <f>SUM(G130:G133)</f>
        <v>0</v>
      </c>
      <c r="H134" s="1962" t="e">
        <f>G134/F134*100</f>
        <v>#DIV/0!</v>
      </c>
      <c r="I134" s="1970"/>
    </row>
    <row r="135" spans="1:9" hidden="1" x14ac:dyDescent="0.2">
      <c r="I135" s="1970"/>
    </row>
    <row r="136" spans="1:9" ht="15" x14ac:dyDescent="0.25">
      <c r="A136" s="1942" t="s">
        <v>1737</v>
      </c>
      <c r="D136" s="1936"/>
      <c r="E136" s="1937"/>
      <c r="H136" s="1970"/>
      <c r="I136" s="1970"/>
    </row>
    <row r="137" spans="1:9" ht="15.75" thickBot="1" x14ac:dyDescent="0.3">
      <c r="A137" s="1942" t="s">
        <v>202</v>
      </c>
      <c r="D137" s="1936"/>
      <c r="E137" s="1937"/>
      <c r="H137" s="2043" t="s">
        <v>173</v>
      </c>
      <c r="I137" s="1970"/>
    </row>
    <row r="138" spans="1:9" ht="25.5" thickTop="1" thickBot="1" x14ac:dyDescent="0.25">
      <c r="A138" s="1943" t="s">
        <v>174</v>
      </c>
      <c r="B138" s="1944" t="s">
        <v>800</v>
      </c>
      <c r="C138" s="1944" t="s">
        <v>397</v>
      </c>
      <c r="D138" s="1945" t="s">
        <v>176</v>
      </c>
      <c r="E138" s="1976" t="s">
        <v>669</v>
      </c>
      <c r="F138" s="1976" t="s">
        <v>670</v>
      </c>
      <c r="G138" s="1977" t="s">
        <v>923</v>
      </c>
      <c r="H138" s="1978" t="s">
        <v>924</v>
      </c>
      <c r="I138" s="1970"/>
    </row>
    <row r="139" spans="1:9" ht="14.25" thickTop="1" thickBot="1" x14ac:dyDescent="0.25">
      <c r="A139" s="1740">
        <v>1</v>
      </c>
      <c r="B139" s="1739">
        <v>2</v>
      </c>
      <c r="C139" s="1739">
        <v>3</v>
      </c>
      <c r="D139" s="1739">
        <v>5</v>
      </c>
      <c r="E139" s="1738">
        <v>6</v>
      </c>
      <c r="F139" s="1738">
        <v>7</v>
      </c>
      <c r="G139" s="2028">
        <v>8</v>
      </c>
      <c r="H139" s="1951" t="s">
        <v>801</v>
      </c>
      <c r="I139" s="1970"/>
    </row>
    <row r="140" spans="1:9" ht="30.75" thickTop="1" x14ac:dyDescent="0.2">
      <c r="A140" s="2049">
        <v>3299</v>
      </c>
      <c r="B140" s="2071">
        <v>5336</v>
      </c>
      <c r="C140" s="2056">
        <v>32133006</v>
      </c>
      <c r="D140" s="1979" t="s">
        <v>1325</v>
      </c>
      <c r="E140" s="1975">
        <v>0</v>
      </c>
      <c r="F140" s="1975">
        <v>24</v>
      </c>
      <c r="G140" s="2039">
        <v>24</v>
      </c>
      <c r="H140" s="1958">
        <f>G140/F140*100</f>
        <v>100</v>
      </c>
      <c r="I140" s="1970"/>
    </row>
    <row r="141" spans="1:9" ht="30.75" thickBot="1" x14ac:dyDescent="0.25">
      <c r="A141" s="2049">
        <v>3299</v>
      </c>
      <c r="B141" s="2071">
        <v>5336</v>
      </c>
      <c r="C141" s="2056">
        <v>32533006</v>
      </c>
      <c r="D141" s="1979" t="s">
        <v>1325</v>
      </c>
      <c r="E141" s="1989">
        <v>0</v>
      </c>
      <c r="F141" s="1989">
        <v>138</v>
      </c>
      <c r="G141" s="2036">
        <v>138</v>
      </c>
      <c r="H141" s="1961">
        <f>G141/F141*100</f>
        <v>100</v>
      </c>
      <c r="I141" s="1970"/>
    </row>
    <row r="142" spans="1:9" ht="30.75" hidden="1" thickBot="1" x14ac:dyDescent="0.25">
      <c r="A142" s="2049">
        <v>3299</v>
      </c>
      <c r="B142" s="2056">
        <v>6351</v>
      </c>
      <c r="C142" s="2056">
        <v>32133006</v>
      </c>
      <c r="D142" s="2068" t="s">
        <v>1339</v>
      </c>
      <c r="E142" s="1989">
        <v>0</v>
      </c>
      <c r="F142" s="1989">
        <v>0</v>
      </c>
      <c r="G142" s="2036">
        <v>0</v>
      </c>
      <c r="H142" s="1961" t="e">
        <f>G142/F142*100</f>
        <v>#DIV/0!</v>
      </c>
      <c r="I142" s="1970"/>
    </row>
    <row r="143" spans="1:9" ht="30.75" hidden="1" thickBot="1" x14ac:dyDescent="0.25">
      <c r="A143" s="2069">
        <v>3299</v>
      </c>
      <c r="B143" s="2070">
        <v>6351</v>
      </c>
      <c r="C143" s="2070">
        <v>32533006</v>
      </c>
      <c r="D143" s="2068" t="s">
        <v>1339</v>
      </c>
      <c r="E143" s="1989">
        <v>0</v>
      </c>
      <c r="F143" s="1989">
        <v>0</v>
      </c>
      <c r="G143" s="2036">
        <v>0</v>
      </c>
      <c r="H143" s="1961" t="e">
        <f>G143/F143*100</f>
        <v>#DIV/0!</v>
      </c>
      <c r="I143" s="1970"/>
    </row>
    <row r="144" spans="1:9" ht="16.5" thickTop="1" thickBot="1" x14ac:dyDescent="0.3">
      <c r="A144" s="1980" t="s">
        <v>802</v>
      </c>
      <c r="B144" s="1981"/>
      <c r="C144" s="1981"/>
      <c r="D144" s="1982"/>
      <c r="E144" s="1957">
        <f>SUM(E140:E141)</f>
        <v>0</v>
      </c>
      <c r="F144" s="1957">
        <f>SUM(F140:F143)</f>
        <v>162</v>
      </c>
      <c r="G144" s="1957">
        <f>SUM(G140:G143)</f>
        <v>162</v>
      </c>
      <c r="H144" s="1962">
        <f>G144/F144*100</f>
        <v>100</v>
      </c>
      <c r="I144" s="1970"/>
    </row>
    <row r="145" spans="1:9" ht="13.5" hidden="1" thickTop="1" x14ac:dyDescent="0.2">
      <c r="I145" s="1970"/>
    </row>
    <row r="146" spans="1:9" ht="15.75" hidden="1" thickTop="1" x14ac:dyDescent="0.25">
      <c r="A146" s="1942" t="s">
        <v>52</v>
      </c>
      <c r="D146" s="1936"/>
      <c r="E146" s="1937"/>
      <c r="H146" s="1970"/>
      <c r="I146" s="1970"/>
    </row>
    <row r="147" spans="1:9" ht="15.75" hidden="1" thickTop="1" x14ac:dyDescent="0.25">
      <c r="A147" s="1942" t="s">
        <v>591</v>
      </c>
      <c r="D147" s="1936"/>
      <c r="E147" s="1937"/>
      <c r="H147" s="2043" t="s">
        <v>173</v>
      </c>
      <c r="I147" s="1970"/>
    </row>
    <row r="148" spans="1:9" ht="25.5" hidden="1" thickTop="1" thickBot="1" x14ac:dyDescent="0.25">
      <c r="A148" s="1943" t="s">
        <v>174</v>
      </c>
      <c r="B148" s="1944" t="s">
        <v>800</v>
      </c>
      <c r="C148" s="1944" t="s">
        <v>397</v>
      </c>
      <c r="D148" s="1945" t="s">
        <v>176</v>
      </c>
      <c r="E148" s="1976" t="s">
        <v>669</v>
      </c>
      <c r="F148" s="1976" t="s">
        <v>670</v>
      </c>
      <c r="G148" s="1977" t="s">
        <v>923</v>
      </c>
      <c r="H148" s="1978" t="s">
        <v>924</v>
      </c>
      <c r="I148" s="1970"/>
    </row>
    <row r="149" spans="1:9" ht="14.25" hidden="1" thickTop="1" thickBot="1" x14ac:dyDescent="0.25">
      <c r="A149" s="1740">
        <v>1</v>
      </c>
      <c r="B149" s="1739">
        <v>2</v>
      </c>
      <c r="C149" s="1739">
        <v>3</v>
      </c>
      <c r="D149" s="1739">
        <v>5</v>
      </c>
      <c r="E149" s="1738">
        <v>6</v>
      </c>
      <c r="F149" s="1738">
        <v>7</v>
      </c>
      <c r="G149" s="2028">
        <v>8</v>
      </c>
      <c r="H149" s="1951" t="s">
        <v>801</v>
      </c>
      <c r="I149" s="1970"/>
    </row>
    <row r="150" spans="1:9" ht="30.75" hidden="1" thickTop="1" x14ac:dyDescent="0.2">
      <c r="A150" s="2049">
        <v>3299</v>
      </c>
      <c r="B150" s="2071">
        <v>5336</v>
      </c>
      <c r="C150" s="2056">
        <v>32133006</v>
      </c>
      <c r="D150" s="1979" t="s">
        <v>1325</v>
      </c>
      <c r="E150" s="1975">
        <v>0</v>
      </c>
      <c r="F150" s="1975"/>
      <c r="G150" s="2039"/>
      <c r="H150" s="1958" t="e">
        <f>G150/F150*100</f>
        <v>#DIV/0!</v>
      </c>
      <c r="I150" s="1970"/>
    </row>
    <row r="151" spans="1:9" ht="30.75" hidden="1" thickTop="1" x14ac:dyDescent="0.2">
      <c r="A151" s="2049">
        <v>3299</v>
      </c>
      <c r="B151" s="2071">
        <v>5336</v>
      </c>
      <c r="C151" s="2056">
        <v>32533006</v>
      </c>
      <c r="D151" s="1979" t="s">
        <v>1325</v>
      </c>
      <c r="E151" s="1989">
        <v>0</v>
      </c>
      <c r="F151" s="1989"/>
      <c r="G151" s="2036"/>
      <c r="H151" s="1961" t="e">
        <f>G151/F151*100</f>
        <v>#DIV/0!</v>
      </c>
      <c r="I151" s="1970"/>
    </row>
    <row r="152" spans="1:9" ht="30.75" hidden="1" thickTop="1" x14ac:dyDescent="0.2">
      <c r="A152" s="2049">
        <v>3299</v>
      </c>
      <c r="B152" s="2056">
        <v>6351</v>
      </c>
      <c r="C152" s="2056">
        <v>32133006</v>
      </c>
      <c r="D152" s="2068" t="s">
        <v>1339</v>
      </c>
      <c r="E152" s="1989">
        <v>0</v>
      </c>
      <c r="F152" s="1989">
        <v>0</v>
      </c>
      <c r="G152" s="2036">
        <v>0</v>
      </c>
      <c r="H152" s="1961" t="e">
        <f>G152/F152*100</f>
        <v>#DIV/0!</v>
      </c>
      <c r="I152" s="1970"/>
    </row>
    <row r="153" spans="1:9" ht="31.5" hidden="1" thickTop="1" thickBot="1" x14ac:dyDescent="0.25">
      <c r="A153" s="2069">
        <v>3299</v>
      </c>
      <c r="B153" s="2070">
        <v>6351</v>
      </c>
      <c r="C153" s="2070">
        <v>32533006</v>
      </c>
      <c r="D153" s="2068" t="s">
        <v>1339</v>
      </c>
      <c r="E153" s="1989">
        <v>0</v>
      </c>
      <c r="F153" s="1989">
        <v>0</v>
      </c>
      <c r="G153" s="2036">
        <v>0</v>
      </c>
      <c r="H153" s="1961" t="e">
        <f>G153/F153*100</f>
        <v>#DIV/0!</v>
      </c>
      <c r="I153" s="1970"/>
    </row>
    <row r="154" spans="1:9" ht="16.5" hidden="1" thickTop="1" thickBot="1" x14ac:dyDescent="0.3">
      <c r="A154" s="1980" t="s">
        <v>802</v>
      </c>
      <c r="B154" s="1981"/>
      <c r="C154" s="1981"/>
      <c r="D154" s="1982"/>
      <c r="E154" s="1957">
        <f>SUM(E150:E151)</f>
        <v>0</v>
      </c>
      <c r="F154" s="1957">
        <f>SUM(F150:F153)</f>
        <v>0</v>
      </c>
      <c r="G154" s="1957">
        <f>SUM(G150:G153)</f>
        <v>0</v>
      </c>
      <c r="H154" s="1962" t="e">
        <f>G154/F154*100</f>
        <v>#DIV/0!</v>
      </c>
      <c r="I154" s="1970"/>
    </row>
    <row r="155" spans="1:9" ht="13.5" hidden="1" thickTop="1" x14ac:dyDescent="0.2">
      <c r="I155" s="1970"/>
    </row>
    <row r="156" spans="1:9" ht="15.75" hidden="1" thickTop="1" x14ac:dyDescent="0.25">
      <c r="A156" s="1942" t="s">
        <v>1738</v>
      </c>
      <c r="D156" s="1936"/>
      <c r="E156" s="1937"/>
      <c r="H156" s="1970"/>
      <c r="I156" s="1970"/>
    </row>
    <row r="157" spans="1:9" ht="15.75" hidden="1" thickTop="1" x14ac:dyDescent="0.25">
      <c r="A157" s="1942" t="s">
        <v>204</v>
      </c>
      <c r="D157" s="1936"/>
      <c r="E157" s="1937"/>
      <c r="H157" s="2043" t="s">
        <v>173</v>
      </c>
      <c r="I157" s="1970"/>
    </row>
    <row r="158" spans="1:9" ht="25.5" hidden="1" thickTop="1" thickBot="1" x14ac:dyDescent="0.25">
      <c r="A158" s="1943" t="s">
        <v>174</v>
      </c>
      <c r="B158" s="1944" t="s">
        <v>800</v>
      </c>
      <c r="C158" s="1944" t="s">
        <v>397</v>
      </c>
      <c r="D158" s="1945" t="s">
        <v>176</v>
      </c>
      <c r="E158" s="1976" t="s">
        <v>669</v>
      </c>
      <c r="F158" s="1976" t="s">
        <v>670</v>
      </c>
      <c r="G158" s="1977" t="s">
        <v>923</v>
      </c>
      <c r="H158" s="1978" t="s">
        <v>924</v>
      </c>
      <c r="I158" s="1970"/>
    </row>
    <row r="159" spans="1:9" ht="14.25" hidden="1" thickTop="1" thickBot="1" x14ac:dyDescent="0.25">
      <c r="A159" s="1740">
        <v>1</v>
      </c>
      <c r="B159" s="1739">
        <v>2</v>
      </c>
      <c r="C159" s="1739">
        <v>3</v>
      </c>
      <c r="D159" s="1739">
        <v>5</v>
      </c>
      <c r="E159" s="1738">
        <v>6</v>
      </c>
      <c r="F159" s="1738">
        <v>7</v>
      </c>
      <c r="G159" s="2028">
        <v>8</v>
      </c>
      <c r="H159" s="1951" t="s">
        <v>801</v>
      </c>
      <c r="I159" s="1970"/>
    </row>
    <row r="160" spans="1:9" ht="30.75" hidden="1" thickTop="1" x14ac:dyDescent="0.2">
      <c r="A160" s="2049">
        <v>3299</v>
      </c>
      <c r="B160" s="2071">
        <v>5336</v>
      </c>
      <c r="C160" s="2056">
        <v>32133006</v>
      </c>
      <c r="D160" s="1979" t="s">
        <v>1325</v>
      </c>
      <c r="E160" s="1975">
        <v>0</v>
      </c>
      <c r="F160" s="1975"/>
      <c r="G160" s="2039"/>
      <c r="H160" s="1958" t="e">
        <f>G160/F160*100</f>
        <v>#DIV/0!</v>
      </c>
      <c r="I160" s="1970"/>
    </row>
    <row r="161" spans="1:9" ht="30.75" hidden="1" thickTop="1" x14ac:dyDescent="0.2">
      <c r="A161" s="2049">
        <v>3299</v>
      </c>
      <c r="B161" s="2071">
        <v>5336</v>
      </c>
      <c r="C161" s="2056">
        <v>32533006</v>
      </c>
      <c r="D161" s="1979" t="s">
        <v>1325</v>
      </c>
      <c r="E161" s="1989">
        <v>0</v>
      </c>
      <c r="F161" s="1989"/>
      <c r="G161" s="2036"/>
      <c r="H161" s="1961" t="e">
        <f>G161/F161*100</f>
        <v>#DIV/0!</v>
      </c>
      <c r="I161" s="1970"/>
    </row>
    <row r="162" spans="1:9" ht="16.5" hidden="1" thickTop="1" thickBot="1" x14ac:dyDescent="0.3">
      <c r="A162" s="1980" t="s">
        <v>802</v>
      </c>
      <c r="B162" s="1981"/>
      <c r="C162" s="1981"/>
      <c r="D162" s="1982"/>
      <c r="E162" s="1957">
        <f>SUM(E160:E161)</f>
        <v>0</v>
      </c>
      <c r="F162" s="1957">
        <f>SUM(F160:F161)</f>
        <v>0</v>
      </c>
      <c r="G162" s="1957">
        <f>SUM(G160:G161)</f>
        <v>0</v>
      </c>
      <c r="H162" s="1962" t="e">
        <f>G162/F162*100</f>
        <v>#DIV/0!</v>
      </c>
      <c r="I162" s="1970"/>
    </row>
    <row r="163" spans="1:9" ht="13.5" hidden="1" thickTop="1" x14ac:dyDescent="0.2">
      <c r="I163" s="1970"/>
    </row>
    <row r="164" spans="1:9" ht="15.75" hidden="1" thickTop="1" x14ac:dyDescent="0.25">
      <c r="A164" s="1942" t="s">
        <v>592</v>
      </c>
      <c r="D164" s="1936"/>
      <c r="E164" s="1937"/>
      <c r="H164" s="1970"/>
      <c r="I164" s="1970"/>
    </row>
    <row r="165" spans="1:9" ht="15.75" hidden="1" thickTop="1" x14ac:dyDescent="0.25">
      <c r="A165" s="1942" t="s">
        <v>593</v>
      </c>
      <c r="D165" s="1936"/>
      <c r="E165" s="1937"/>
      <c r="H165" s="2043" t="s">
        <v>173</v>
      </c>
      <c r="I165" s="1970"/>
    </row>
    <row r="166" spans="1:9" ht="25.5" hidden="1" thickTop="1" thickBot="1" x14ac:dyDescent="0.25">
      <c r="A166" s="1943" t="s">
        <v>174</v>
      </c>
      <c r="B166" s="1944" t="s">
        <v>800</v>
      </c>
      <c r="C166" s="1944" t="s">
        <v>397</v>
      </c>
      <c r="D166" s="1945" t="s">
        <v>176</v>
      </c>
      <c r="E166" s="1976" t="s">
        <v>669</v>
      </c>
      <c r="F166" s="1976" t="s">
        <v>670</v>
      </c>
      <c r="G166" s="1977" t="s">
        <v>923</v>
      </c>
      <c r="H166" s="1978" t="s">
        <v>924</v>
      </c>
      <c r="I166" s="1970"/>
    </row>
    <row r="167" spans="1:9" ht="14.25" hidden="1" thickTop="1" thickBot="1" x14ac:dyDescent="0.25">
      <c r="A167" s="1740">
        <v>1</v>
      </c>
      <c r="B167" s="1739">
        <v>2</v>
      </c>
      <c r="C167" s="1739">
        <v>3</v>
      </c>
      <c r="D167" s="1739">
        <v>5</v>
      </c>
      <c r="E167" s="1738">
        <v>6</v>
      </c>
      <c r="F167" s="1738">
        <v>7</v>
      </c>
      <c r="G167" s="2028">
        <v>8</v>
      </c>
      <c r="H167" s="1951" t="s">
        <v>801</v>
      </c>
      <c r="I167" s="1970"/>
    </row>
    <row r="168" spans="1:9" ht="30.75" hidden="1" thickTop="1" x14ac:dyDescent="0.2">
      <c r="A168" s="2049">
        <v>3299</v>
      </c>
      <c r="B168" s="2071">
        <v>5336</v>
      </c>
      <c r="C168" s="2056">
        <v>32133006</v>
      </c>
      <c r="D168" s="1979" t="s">
        <v>1325</v>
      </c>
      <c r="E168" s="1975">
        <v>0</v>
      </c>
      <c r="F168" s="1975"/>
      <c r="G168" s="2039"/>
      <c r="H168" s="1958" t="e">
        <f>G168/F168*100</f>
        <v>#DIV/0!</v>
      </c>
      <c r="I168" s="1970"/>
    </row>
    <row r="169" spans="1:9" ht="30.75" hidden="1" thickTop="1" x14ac:dyDescent="0.2">
      <c r="A169" s="2049">
        <v>3299</v>
      </c>
      <c r="B169" s="2071">
        <v>5336</v>
      </c>
      <c r="C169" s="2056">
        <v>32533006</v>
      </c>
      <c r="D169" s="1979" t="s">
        <v>1325</v>
      </c>
      <c r="E169" s="1989">
        <v>0</v>
      </c>
      <c r="F169" s="1989"/>
      <c r="G169" s="2036"/>
      <c r="H169" s="1961" t="e">
        <f>G169/F169*100</f>
        <v>#DIV/0!</v>
      </c>
      <c r="I169" s="1970"/>
    </row>
    <row r="170" spans="1:9" ht="16.5" hidden="1" thickTop="1" thickBot="1" x14ac:dyDescent="0.3">
      <c r="A170" s="1980" t="s">
        <v>802</v>
      </c>
      <c r="B170" s="1981"/>
      <c r="C170" s="1981"/>
      <c r="D170" s="1982"/>
      <c r="E170" s="1957">
        <f>SUM(E168:E169)</f>
        <v>0</v>
      </c>
      <c r="F170" s="1957">
        <f>SUM(F168:F169)</f>
        <v>0</v>
      </c>
      <c r="G170" s="1957">
        <f>SUM(G168:G169)</f>
        <v>0</v>
      </c>
      <c r="H170" s="1962" t="e">
        <f>G170/F170*100</f>
        <v>#DIV/0!</v>
      </c>
      <c r="I170" s="1970"/>
    </row>
    <row r="171" spans="1:9" ht="13.5" hidden="1" thickTop="1" x14ac:dyDescent="0.2">
      <c r="I171" s="1970"/>
    </row>
    <row r="172" spans="1:9" ht="15.75" hidden="1" thickTop="1" x14ac:dyDescent="0.25">
      <c r="A172" s="1942" t="s">
        <v>1739</v>
      </c>
      <c r="D172" s="1936"/>
      <c r="E172" s="1937"/>
      <c r="H172" s="1970"/>
      <c r="I172" s="1970"/>
    </row>
    <row r="173" spans="1:9" ht="15.75" hidden="1" thickTop="1" x14ac:dyDescent="0.25">
      <c r="A173" s="1942" t="s">
        <v>594</v>
      </c>
      <c r="D173" s="1936"/>
      <c r="E173" s="1937"/>
      <c r="H173" s="2043" t="s">
        <v>173</v>
      </c>
      <c r="I173" s="1970"/>
    </row>
    <row r="174" spans="1:9" ht="25.5" hidden="1" thickTop="1" thickBot="1" x14ac:dyDescent="0.25">
      <c r="A174" s="1943" t="s">
        <v>174</v>
      </c>
      <c r="B174" s="1944" t="s">
        <v>800</v>
      </c>
      <c r="C174" s="1944" t="s">
        <v>397</v>
      </c>
      <c r="D174" s="1945" t="s">
        <v>176</v>
      </c>
      <c r="E174" s="1976" t="s">
        <v>669</v>
      </c>
      <c r="F174" s="1976" t="s">
        <v>670</v>
      </c>
      <c r="G174" s="1977" t="s">
        <v>923</v>
      </c>
      <c r="H174" s="1978" t="s">
        <v>924</v>
      </c>
      <c r="I174" s="1970"/>
    </row>
    <row r="175" spans="1:9" ht="14.25" hidden="1" thickTop="1" thickBot="1" x14ac:dyDescent="0.25">
      <c r="A175" s="1740">
        <v>1</v>
      </c>
      <c r="B175" s="1739">
        <v>2</v>
      </c>
      <c r="C175" s="1739">
        <v>3</v>
      </c>
      <c r="D175" s="1739">
        <v>5</v>
      </c>
      <c r="E175" s="1738">
        <v>6</v>
      </c>
      <c r="F175" s="1738">
        <v>7</v>
      </c>
      <c r="G175" s="2028">
        <v>8</v>
      </c>
      <c r="H175" s="1951" t="s">
        <v>801</v>
      </c>
      <c r="I175" s="1970"/>
    </row>
    <row r="176" spans="1:9" ht="30.75" hidden="1" thickTop="1" x14ac:dyDescent="0.2">
      <c r="A176" s="2049">
        <v>3299</v>
      </c>
      <c r="B176" s="2071">
        <v>5336</v>
      </c>
      <c r="C176" s="2056">
        <v>32133006</v>
      </c>
      <c r="D176" s="1979" t="s">
        <v>1325</v>
      </c>
      <c r="E176" s="1975">
        <v>0</v>
      </c>
      <c r="F176" s="1975"/>
      <c r="G176" s="2039"/>
      <c r="H176" s="1958" t="e">
        <f>G176/F176*100</f>
        <v>#DIV/0!</v>
      </c>
      <c r="I176" s="1970"/>
    </row>
    <row r="177" spans="1:9" ht="30.75" hidden="1" thickTop="1" x14ac:dyDescent="0.2">
      <c r="A177" s="2049">
        <v>3299</v>
      </c>
      <c r="B177" s="2071">
        <v>5336</v>
      </c>
      <c r="C177" s="2056">
        <v>32533006</v>
      </c>
      <c r="D177" s="1979" t="s">
        <v>1325</v>
      </c>
      <c r="E177" s="1989">
        <v>0</v>
      </c>
      <c r="F177" s="1989"/>
      <c r="G177" s="2036"/>
      <c r="H177" s="1961" t="e">
        <f>G177/F177*100</f>
        <v>#DIV/0!</v>
      </c>
      <c r="I177" s="1970"/>
    </row>
    <row r="178" spans="1:9" ht="16.5" hidden="1" thickTop="1" thickBot="1" x14ac:dyDescent="0.3">
      <c r="A178" s="1980" t="s">
        <v>802</v>
      </c>
      <c r="B178" s="1981"/>
      <c r="C178" s="1981"/>
      <c r="D178" s="1982"/>
      <c r="E178" s="1957">
        <f>SUM(E176:E177)</f>
        <v>0</v>
      </c>
      <c r="F178" s="1957">
        <f>SUM(F176:F177)</f>
        <v>0</v>
      </c>
      <c r="G178" s="1957">
        <f>SUM(G176:G177)</f>
        <v>0</v>
      </c>
      <c r="H178" s="1962" t="e">
        <f>G178/F178*100</f>
        <v>#DIV/0!</v>
      </c>
      <c r="I178" s="1970"/>
    </row>
    <row r="179" spans="1:9" ht="13.5" hidden="1" thickTop="1" x14ac:dyDescent="0.2">
      <c r="I179" s="1970"/>
    </row>
    <row r="180" spans="1:9" ht="15.75" hidden="1" thickTop="1" x14ac:dyDescent="0.25">
      <c r="A180" s="1942" t="s">
        <v>189</v>
      </c>
      <c r="D180" s="1936"/>
      <c r="E180" s="1937"/>
      <c r="H180" s="1970"/>
      <c r="I180" s="1970"/>
    </row>
    <row r="181" spans="1:9" ht="15.75" hidden="1" thickTop="1" x14ac:dyDescent="0.25">
      <c r="A181" s="1942" t="s">
        <v>1337</v>
      </c>
      <c r="D181" s="1936"/>
      <c r="E181" s="1937"/>
      <c r="H181" s="2043" t="s">
        <v>173</v>
      </c>
      <c r="I181" s="1970"/>
    </row>
    <row r="182" spans="1:9" ht="25.5" hidden="1" thickTop="1" thickBot="1" x14ac:dyDescent="0.25">
      <c r="A182" s="1943" t="s">
        <v>174</v>
      </c>
      <c r="B182" s="1944" t="s">
        <v>800</v>
      </c>
      <c r="C182" s="1944" t="s">
        <v>397</v>
      </c>
      <c r="D182" s="1945" t="s">
        <v>176</v>
      </c>
      <c r="E182" s="1976" t="s">
        <v>669</v>
      </c>
      <c r="F182" s="1976" t="s">
        <v>670</v>
      </c>
      <c r="G182" s="1977" t="s">
        <v>923</v>
      </c>
      <c r="H182" s="1978" t="s">
        <v>924</v>
      </c>
      <c r="I182" s="1970"/>
    </row>
    <row r="183" spans="1:9" ht="14.25" hidden="1" thickTop="1" thickBot="1" x14ac:dyDescent="0.25">
      <c r="A183" s="1740">
        <v>1</v>
      </c>
      <c r="B183" s="1739">
        <v>2</v>
      </c>
      <c r="C183" s="1739">
        <v>3</v>
      </c>
      <c r="D183" s="1739">
        <v>5</v>
      </c>
      <c r="E183" s="1738">
        <v>6</v>
      </c>
      <c r="F183" s="1738">
        <v>7</v>
      </c>
      <c r="G183" s="2028">
        <v>8</v>
      </c>
      <c r="H183" s="1951" t="s">
        <v>801</v>
      </c>
      <c r="I183" s="1970"/>
    </row>
    <row r="184" spans="1:9" ht="30.75" hidden="1" thickTop="1" x14ac:dyDescent="0.2">
      <c r="A184" s="2049">
        <v>3299</v>
      </c>
      <c r="B184" s="2071">
        <v>5336</v>
      </c>
      <c r="C184" s="2056">
        <v>32133006</v>
      </c>
      <c r="D184" s="1979" t="s">
        <v>1325</v>
      </c>
      <c r="E184" s="1975">
        <v>0</v>
      </c>
      <c r="F184" s="1975"/>
      <c r="G184" s="2039"/>
      <c r="H184" s="1958" t="e">
        <f>G184/F184*100</f>
        <v>#DIV/0!</v>
      </c>
      <c r="I184" s="1970"/>
    </row>
    <row r="185" spans="1:9" ht="30.75" hidden="1" thickTop="1" x14ac:dyDescent="0.2">
      <c r="A185" s="2049">
        <v>3299</v>
      </c>
      <c r="B185" s="2071">
        <v>5336</v>
      </c>
      <c r="C185" s="2056">
        <v>32533006</v>
      </c>
      <c r="D185" s="1979" t="s">
        <v>1325</v>
      </c>
      <c r="E185" s="1989">
        <v>0</v>
      </c>
      <c r="F185" s="1989"/>
      <c r="G185" s="2036"/>
      <c r="H185" s="1961" t="e">
        <f>G185/F185*100</f>
        <v>#DIV/0!</v>
      </c>
      <c r="I185" s="1970"/>
    </row>
    <row r="186" spans="1:9" ht="16.5" hidden="1" thickTop="1" thickBot="1" x14ac:dyDescent="0.3">
      <c r="A186" s="1980" t="s">
        <v>802</v>
      </c>
      <c r="B186" s="1981"/>
      <c r="C186" s="1981"/>
      <c r="D186" s="1982"/>
      <c r="E186" s="1957">
        <f>SUM(E184:E185)</f>
        <v>0</v>
      </c>
      <c r="F186" s="1957">
        <f>SUM(F184:F185)</f>
        <v>0</v>
      </c>
      <c r="G186" s="1957">
        <f>SUM(G184:G185)</f>
        <v>0</v>
      </c>
      <c r="H186" s="1962" t="e">
        <f>G186/F186*100</f>
        <v>#DIV/0!</v>
      </c>
      <c r="I186" s="1970"/>
    </row>
    <row r="187" spans="1:9" ht="13.5" hidden="1" thickTop="1" x14ac:dyDescent="0.2">
      <c r="I187" s="1970"/>
    </row>
    <row r="188" spans="1:9" ht="15.75" hidden="1" thickTop="1" x14ac:dyDescent="0.25">
      <c r="A188" s="1942" t="s">
        <v>1740</v>
      </c>
      <c r="D188" s="1936"/>
      <c r="E188" s="1937"/>
      <c r="H188" s="1970"/>
      <c r="I188" s="1970"/>
    </row>
    <row r="189" spans="1:9" ht="15.75" hidden="1" thickTop="1" x14ac:dyDescent="0.25">
      <c r="A189" s="1942" t="s">
        <v>1338</v>
      </c>
      <c r="D189" s="1936"/>
      <c r="E189" s="1937"/>
      <c r="H189" s="2043" t="s">
        <v>173</v>
      </c>
      <c r="I189" s="1970"/>
    </row>
    <row r="190" spans="1:9" ht="25.5" hidden="1" thickTop="1" thickBot="1" x14ac:dyDescent="0.25">
      <c r="A190" s="1943" t="s">
        <v>174</v>
      </c>
      <c r="B190" s="1944" t="s">
        <v>800</v>
      </c>
      <c r="C190" s="1944" t="s">
        <v>397</v>
      </c>
      <c r="D190" s="1945" t="s">
        <v>176</v>
      </c>
      <c r="E190" s="1976" t="s">
        <v>669</v>
      </c>
      <c r="F190" s="1976" t="s">
        <v>670</v>
      </c>
      <c r="G190" s="1977" t="s">
        <v>923</v>
      </c>
      <c r="H190" s="1978" t="s">
        <v>924</v>
      </c>
      <c r="I190" s="1970"/>
    </row>
    <row r="191" spans="1:9" ht="14.25" hidden="1" thickTop="1" thickBot="1" x14ac:dyDescent="0.25">
      <c r="A191" s="1740">
        <v>1</v>
      </c>
      <c r="B191" s="1739">
        <v>2</v>
      </c>
      <c r="C191" s="1739">
        <v>3</v>
      </c>
      <c r="D191" s="1739">
        <v>5</v>
      </c>
      <c r="E191" s="1738">
        <v>6</v>
      </c>
      <c r="F191" s="1738">
        <v>7</v>
      </c>
      <c r="G191" s="2028">
        <v>8</v>
      </c>
      <c r="H191" s="1951" t="s">
        <v>801</v>
      </c>
      <c r="I191" s="1970"/>
    </row>
    <row r="192" spans="1:9" ht="30.75" hidden="1" thickTop="1" x14ac:dyDescent="0.2">
      <c r="A192" s="2049">
        <v>3299</v>
      </c>
      <c r="B192" s="2071">
        <v>5336</v>
      </c>
      <c r="C192" s="2056">
        <v>32133006</v>
      </c>
      <c r="D192" s="1979" t="s">
        <v>1325</v>
      </c>
      <c r="E192" s="1975">
        <v>0</v>
      </c>
      <c r="F192" s="1975"/>
      <c r="G192" s="2039"/>
      <c r="H192" s="1958" t="e">
        <f>G192/F192*100</f>
        <v>#DIV/0!</v>
      </c>
      <c r="I192" s="1970"/>
    </row>
    <row r="193" spans="1:9" ht="30.75" hidden="1" thickTop="1" x14ac:dyDescent="0.2">
      <c r="A193" s="2049">
        <v>3299</v>
      </c>
      <c r="B193" s="2071">
        <v>5336</v>
      </c>
      <c r="C193" s="2056">
        <v>32533006</v>
      </c>
      <c r="D193" s="1979" t="s">
        <v>1325</v>
      </c>
      <c r="E193" s="1989">
        <v>0</v>
      </c>
      <c r="F193" s="1989"/>
      <c r="G193" s="2036"/>
      <c r="H193" s="1961" t="e">
        <f>G193/F193*100</f>
        <v>#DIV/0!</v>
      </c>
      <c r="I193" s="1970"/>
    </row>
    <row r="194" spans="1:9" ht="30.75" hidden="1" thickTop="1" x14ac:dyDescent="0.2">
      <c r="A194" s="2049">
        <v>3299</v>
      </c>
      <c r="B194" s="2056">
        <v>6351</v>
      </c>
      <c r="C194" s="2056">
        <v>32133006</v>
      </c>
      <c r="D194" s="1979" t="s">
        <v>1339</v>
      </c>
      <c r="E194" s="1989">
        <v>0</v>
      </c>
      <c r="F194" s="1989">
        <v>0</v>
      </c>
      <c r="G194" s="2036">
        <v>0</v>
      </c>
      <c r="H194" s="1961" t="e">
        <f>G194/F194*100</f>
        <v>#DIV/0!</v>
      </c>
      <c r="I194" s="1970"/>
    </row>
    <row r="195" spans="1:9" ht="30.75" hidden="1" thickTop="1" x14ac:dyDescent="0.2">
      <c r="A195" s="2049">
        <v>3299</v>
      </c>
      <c r="B195" s="2056">
        <v>6351</v>
      </c>
      <c r="C195" s="2056">
        <v>32533006</v>
      </c>
      <c r="D195" s="1979" t="s">
        <v>1339</v>
      </c>
      <c r="E195" s="1989">
        <v>0</v>
      </c>
      <c r="F195" s="1989">
        <v>0</v>
      </c>
      <c r="G195" s="2036">
        <v>0</v>
      </c>
      <c r="H195" s="1961" t="e">
        <f>G195/F195*100</f>
        <v>#DIV/0!</v>
      </c>
      <c r="I195" s="1970"/>
    </row>
    <row r="196" spans="1:9" ht="16.5" hidden="1" thickTop="1" thickBot="1" x14ac:dyDescent="0.3">
      <c r="A196" s="1980" t="s">
        <v>802</v>
      </c>
      <c r="B196" s="1981"/>
      <c r="C196" s="1981"/>
      <c r="D196" s="1982"/>
      <c r="E196" s="1957">
        <f>SUM(E192:E195)</f>
        <v>0</v>
      </c>
      <c r="F196" s="1957">
        <f>SUM(F192:F195)</f>
        <v>0</v>
      </c>
      <c r="G196" s="1957">
        <f>SUM(G192:G195)</f>
        <v>0</v>
      </c>
      <c r="H196" s="1962" t="e">
        <f>G196/F196*100</f>
        <v>#DIV/0!</v>
      </c>
      <c r="I196" s="1970"/>
    </row>
    <row r="197" spans="1:9" ht="13.5" hidden="1" thickTop="1" x14ac:dyDescent="0.2">
      <c r="I197" s="1970"/>
    </row>
    <row r="198" spans="1:9" ht="15.75" hidden="1" thickTop="1" x14ac:dyDescent="0.25">
      <c r="A198" s="1942" t="s">
        <v>595</v>
      </c>
      <c r="D198" s="1936"/>
      <c r="E198" s="1937"/>
      <c r="H198" s="1970"/>
      <c r="I198" s="1970"/>
    </row>
    <row r="199" spans="1:9" ht="15.75" hidden="1" thickTop="1" x14ac:dyDescent="0.25">
      <c r="A199" s="1942" t="s">
        <v>596</v>
      </c>
      <c r="D199" s="1936"/>
      <c r="E199" s="1937"/>
      <c r="H199" s="1970" t="s">
        <v>173</v>
      </c>
      <c r="I199" s="1970"/>
    </row>
    <row r="200" spans="1:9" ht="25.5" hidden="1" thickTop="1" thickBot="1" x14ac:dyDescent="0.25">
      <c r="A200" s="1943" t="s">
        <v>174</v>
      </c>
      <c r="B200" s="1944" t="s">
        <v>800</v>
      </c>
      <c r="C200" s="1944" t="s">
        <v>397</v>
      </c>
      <c r="D200" s="1945" t="s">
        <v>176</v>
      </c>
      <c r="E200" s="1976" t="s">
        <v>669</v>
      </c>
      <c r="F200" s="1976" t="s">
        <v>670</v>
      </c>
      <c r="G200" s="1977" t="s">
        <v>923</v>
      </c>
      <c r="H200" s="1978" t="s">
        <v>924</v>
      </c>
      <c r="I200" s="1970"/>
    </row>
    <row r="201" spans="1:9" ht="14.25" hidden="1" thickTop="1" thickBot="1" x14ac:dyDescent="0.25">
      <c r="A201" s="1740">
        <v>1</v>
      </c>
      <c r="B201" s="1739">
        <v>2</v>
      </c>
      <c r="C201" s="1739">
        <v>3</v>
      </c>
      <c r="D201" s="1739">
        <v>5</v>
      </c>
      <c r="E201" s="1738">
        <v>6</v>
      </c>
      <c r="F201" s="1738">
        <v>7</v>
      </c>
      <c r="G201" s="2028">
        <v>8</v>
      </c>
      <c r="H201" s="1951" t="s">
        <v>801</v>
      </c>
      <c r="I201" s="1970"/>
    </row>
    <row r="202" spans="1:9" ht="30.75" hidden="1" thickTop="1" x14ac:dyDescent="0.2">
      <c r="A202" s="2049">
        <v>3299</v>
      </c>
      <c r="B202" s="2056">
        <v>6351</v>
      </c>
      <c r="C202" s="2056">
        <v>32133006</v>
      </c>
      <c r="D202" s="1979" t="s">
        <v>1339</v>
      </c>
      <c r="E202" s="1975">
        <v>0</v>
      </c>
      <c r="F202" s="1975">
        <v>0</v>
      </c>
      <c r="G202" s="2039">
        <v>0</v>
      </c>
      <c r="H202" s="1958" t="e">
        <f>G202/F202*100</f>
        <v>#DIV/0!</v>
      </c>
      <c r="I202" s="1970"/>
    </row>
    <row r="203" spans="1:9" ht="30.75" hidden="1" thickTop="1" x14ac:dyDescent="0.2">
      <c r="A203" s="2049">
        <v>3299</v>
      </c>
      <c r="B203" s="2056">
        <v>6351</v>
      </c>
      <c r="C203" s="2056">
        <v>32533006</v>
      </c>
      <c r="D203" s="1979" t="s">
        <v>1339</v>
      </c>
      <c r="E203" s="1989">
        <v>0</v>
      </c>
      <c r="F203" s="1989">
        <v>0</v>
      </c>
      <c r="G203" s="2036">
        <v>0</v>
      </c>
      <c r="H203" s="1961" t="e">
        <f>G203/F203*100</f>
        <v>#DIV/0!</v>
      </c>
      <c r="I203" s="1970"/>
    </row>
    <row r="204" spans="1:9" ht="16.5" hidden="1" thickTop="1" thickBot="1" x14ac:dyDescent="0.3">
      <c r="A204" s="1980" t="s">
        <v>802</v>
      </c>
      <c r="B204" s="1981"/>
      <c r="C204" s="1981"/>
      <c r="D204" s="1982"/>
      <c r="E204" s="1957">
        <f>SUM(E202:E203)</f>
        <v>0</v>
      </c>
      <c r="F204" s="1957">
        <f>SUM(F202:F203)</f>
        <v>0</v>
      </c>
      <c r="G204" s="1957">
        <f>SUM(G202:G203)</f>
        <v>0</v>
      </c>
      <c r="H204" s="1962" t="e">
        <f>G204/F204*100</f>
        <v>#DIV/0!</v>
      </c>
      <c r="I204" s="1970"/>
    </row>
    <row r="205" spans="1:9" ht="13.5" hidden="1" thickTop="1" x14ac:dyDescent="0.2">
      <c r="I205" s="1970"/>
    </row>
    <row r="206" spans="1:9" ht="15.75" hidden="1" thickTop="1" x14ac:dyDescent="0.25">
      <c r="A206" s="1942" t="s">
        <v>567</v>
      </c>
      <c r="D206" s="1936"/>
      <c r="E206" s="1937"/>
      <c r="H206" s="1970"/>
      <c r="I206" s="1970"/>
    </row>
    <row r="207" spans="1:9" ht="15.75" hidden="1" thickTop="1" x14ac:dyDescent="0.25">
      <c r="A207" s="1942" t="s">
        <v>907</v>
      </c>
      <c r="D207" s="1936"/>
      <c r="E207" s="1937"/>
      <c r="H207" s="2043" t="s">
        <v>173</v>
      </c>
      <c r="I207" s="1970"/>
    </row>
    <row r="208" spans="1:9" ht="25.5" hidden="1" thickTop="1" thickBot="1" x14ac:dyDescent="0.25">
      <c r="A208" s="1943" t="s">
        <v>174</v>
      </c>
      <c r="B208" s="1944" t="s">
        <v>800</v>
      </c>
      <c r="C208" s="1944" t="s">
        <v>397</v>
      </c>
      <c r="D208" s="1945" t="s">
        <v>176</v>
      </c>
      <c r="E208" s="1976" t="s">
        <v>669</v>
      </c>
      <c r="F208" s="1976" t="s">
        <v>670</v>
      </c>
      <c r="G208" s="1977" t="s">
        <v>923</v>
      </c>
      <c r="H208" s="1978" t="s">
        <v>924</v>
      </c>
      <c r="I208" s="1970"/>
    </row>
    <row r="209" spans="1:9" ht="14.25" hidden="1" thickTop="1" thickBot="1" x14ac:dyDescent="0.25">
      <c r="A209" s="1740">
        <v>1</v>
      </c>
      <c r="B209" s="1739">
        <v>2</v>
      </c>
      <c r="C209" s="1739">
        <v>3</v>
      </c>
      <c r="D209" s="1739">
        <v>5</v>
      </c>
      <c r="E209" s="1738">
        <v>6</v>
      </c>
      <c r="F209" s="1738">
        <v>7</v>
      </c>
      <c r="G209" s="2028">
        <v>8</v>
      </c>
      <c r="H209" s="1951" t="s">
        <v>801</v>
      </c>
      <c r="I209" s="1970"/>
    </row>
    <row r="210" spans="1:9" ht="30.75" hidden="1" thickTop="1" x14ac:dyDescent="0.2">
      <c r="A210" s="2049">
        <v>3299</v>
      </c>
      <c r="B210" s="2071">
        <v>5336</v>
      </c>
      <c r="C210" s="2056">
        <v>32133006</v>
      </c>
      <c r="D210" s="1979" t="s">
        <v>1325</v>
      </c>
      <c r="E210" s="1975">
        <v>0</v>
      </c>
      <c r="F210" s="1975"/>
      <c r="G210" s="2039"/>
      <c r="H210" s="1958" t="e">
        <f>G210/F210*100</f>
        <v>#DIV/0!</v>
      </c>
      <c r="I210" s="1970"/>
    </row>
    <row r="211" spans="1:9" ht="30.75" hidden="1" thickTop="1" x14ac:dyDescent="0.2">
      <c r="A211" s="2049">
        <v>3299</v>
      </c>
      <c r="B211" s="2071">
        <v>5336</v>
      </c>
      <c r="C211" s="2056">
        <v>32533006</v>
      </c>
      <c r="D211" s="1979" t="s">
        <v>1325</v>
      </c>
      <c r="E211" s="1989">
        <v>0</v>
      </c>
      <c r="F211" s="1989"/>
      <c r="G211" s="2036"/>
      <c r="H211" s="1961" t="e">
        <f>G211/F211*100</f>
        <v>#DIV/0!</v>
      </c>
      <c r="I211" s="1970"/>
    </row>
    <row r="212" spans="1:9" ht="16.5" hidden="1" thickTop="1" thickBot="1" x14ac:dyDescent="0.3">
      <c r="A212" s="1980" t="s">
        <v>802</v>
      </c>
      <c r="B212" s="1981"/>
      <c r="C212" s="1981"/>
      <c r="D212" s="1982"/>
      <c r="E212" s="1957">
        <f>SUM(E210:E211)</f>
        <v>0</v>
      </c>
      <c r="F212" s="1957">
        <f>SUM(F210:F211)</f>
        <v>0</v>
      </c>
      <c r="G212" s="1957">
        <f>SUM(G210:G211)</f>
        <v>0</v>
      </c>
      <c r="H212" s="1962" t="e">
        <f>G212/F212*100</f>
        <v>#DIV/0!</v>
      </c>
      <c r="I212" s="1970"/>
    </row>
    <row r="213" spans="1:9" ht="13.5" hidden="1" thickTop="1" x14ac:dyDescent="0.2">
      <c r="I213" s="1970"/>
    </row>
    <row r="214" spans="1:9" ht="15.75" thickTop="1" x14ac:dyDescent="0.25">
      <c r="A214" s="1942" t="s">
        <v>597</v>
      </c>
      <c r="D214" s="1936"/>
      <c r="E214" s="1937"/>
      <c r="H214" s="1970"/>
      <c r="I214" s="1970"/>
    </row>
    <row r="215" spans="1:9" ht="15.75" thickBot="1" x14ac:dyDescent="0.3">
      <c r="A215" s="1942" t="s">
        <v>598</v>
      </c>
      <c r="D215" s="1936"/>
      <c r="E215" s="1937"/>
      <c r="H215" s="2043" t="s">
        <v>173</v>
      </c>
      <c r="I215" s="1970"/>
    </row>
    <row r="216" spans="1:9" ht="25.5" thickTop="1" thickBot="1" x14ac:dyDescent="0.25">
      <c r="A216" s="1943" t="s">
        <v>174</v>
      </c>
      <c r="B216" s="1944" t="s">
        <v>800</v>
      </c>
      <c r="C216" s="1944" t="s">
        <v>397</v>
      </c>
      <c r="D216" s="1945" t="s">
        <v>176</v>
      </c>
      <c r="E216" s="1976" t="s">
        <v>669</v>
      </c>
      <c r="F216" s="1976" t="s">
        <v>670</v>
      </c>
      <c r="G216" s="1977" t="s">
        <v>923</v>
      </c>
      <c r="H216" s="1978" t="s">
        <v>924</v>
      </c>
      <c r="I216" s="1970"/>
    </row>
    <row r="217" spans="1:9" ht="14.25" thickTop="1" thickBot="1" x14ac:dyDescent="0.25">
      <c r="A217" s="1740">
        <v>1</v>
      </c>
      <c r="B217" s="1739">
        <v>2</v>
      </c>
      <c r="C217" s="1739">
        <v>3</v>
      </c>
      <c r="D217" s="1739">
        <v>5</v>
      </c>
      <c r="E217" s="1738">
        <v>6</v>
      </c>
      <c r="F217" s="1738">
        <v>7</v>
      </c>
      <c r="G217" s="2028">
        <v>8</v>
      </c>
      <c r="H217" s="1951" t="s">
        <v>801</v>
      </c>
      <c r="I217" s="1970"/>
    </row>
    <row r="218" spans="1:9" ht="30.75" thickTop="1" x14ac:dyDescent="0.2">
      <c r="A218" s="2049">
        <v>3299</v>
      </c>
      <c r="B218" s="2071">
        <v>5336</v>
      </c>
      <c r="C218" s="2056">
        <v>32133006</v>
      </c>
      <c r="D218" s="1979" t="s">
        <v>1325</v>
      </c>
      <c r="E218" s="1975">
        <v>0</v>
      </c>
      <c r="F218" s="1975">
        <v>42</v>
      </c>
      <c r="G218" s="2039">
        <v>42</v>
      </c>
      <c r="H218" s="1958">
        <f>G218/F218*100</f>
        <v>100</v>
      </c>
      <c r="I218" s="1970"/>
    </row>
    <row r="219" spans="1:9" ht="30.75" thickBot="1" x14ac:dyDescent="0.25">
      <c r="A219" s="2049">
        <v>3299</v>
      </c>
      <c r="B219" s="2071">
        <v>5336</v>
      </c>
      <c r="C219" s="2056">
        <v>32533006</v>
      </c>
      <c r="D219" s="1979" t="s">
        <v>1325</v>
      </c>
      <c r="E219" s="1989">
        <v>0</v>
      </c>
      <c r="F219" s="1989">
        <v>238</v>
      </c>
      <c r="G219" s="2036">
        <v>238</v>
      </c>
      <c r="H219" s="1961">
        <f>G219/F219*100</f>
        <v>100</v>
      </c>
      <c r="I219" s="1970"/>
    </row>
    <row r="220" spans="1:9" ht="16.5" thickTop="1" thickBot="1" x14ac:dyDescent="0.3">
      <c r="A220" s="1980" t="s">
        <v>802</v>
      </c>
      <c r="B220" s="1981"/>
      <c r="C220" s="1981"/>
      <c r="D220" s="1982"/>
      <c r="E220" s="1957">
        <f>SUM(E218:E219)</f>
        <v>0</v>
      </c>
      <c r="F220" s="1957">
        <f>SUM(F218:F219)</f>
        <v>280</v>
      </c>
      <c r="G220" s="1957">
        <f>SUM(G218:G219)</f>
        <v>280</v>
      </c>
      <c r="H220" s="1962">
        <f>G220/F220*100</f>
        <v>100</v>
      </c>
      <c r="I220" s="1970"/>
    </row>
    <row r="221" spans="1:9" ht="13.5" thickTop="1" x14ac:dyDescent="0.2">
      <c r="I221" s="1970"/>
    </row>
    <row r="222" spans="1:9" ht="15" hidden="1" x14ac:dyDescent="0.25">
      <c r="A222" s="1942" t="s">
        <v>1057</v>
      </c>
      <c r="D222" s="1936"/>
      <c r="E222" s="1937"/>
      <c r="H222" s="1970"/>
      <c r="I222" s="1970"/>
    </row>
    <row r="223" spans="1:9" ht="15" hidden="1" x14ac:dyDescent="0.25">
      <c r="A223" s="1942" t="s">
        <v>908</v>
      </c>
      <c r="D223" s="1936"/>
      <c r="E223" s="1937"/>
      <c r="H223" s="1970" t="s">
        <v>173</v>
      </c>
      <c r="I223" s="1970"/>
    </row>
    <row r="224" spans="1:9" ht="25.5" hidden="1" thickTop="1" thickBot="1" x14ac:dyDescent="0.25">
      <c r="A224" s="1943" t="s">
        <v>174</v>
      </c>
      <c r="B224" s="1944" t="s">
        <v>800</v>
      </c>
      <c r="C224" s="1944" t="s">
        <v>397</v>
      </c>
      <c r="D224" s="1945" t="s">
        <v>176</v>
      </c>
      <c r="E224" s="1976" t="s">
        <v>669</v>
      </c>
      <c r="F224" s="1976" t="s">
        <v>670</v>
      </c>
      <c r="G224" s="1977" t="s">
        <v>923</v>
      </c>
      <c r="H224" s="1978" t="s">
        <v>924</v>
      </c>
      <c r="I224" s="1970"/>
    </row>
    <row r="225" spans="1:9" ht="14.25" hidden="1" thickTop="1" thickBot="1" x14ac:dyDescent="0.25">
      <c r="A225" s="1740">
        <v>1</v>
      </c>
      <c r="B225" s="1739">
        <v>2</v>
      </c>
      <c r="C225" s="1739">
        <v>3</v>
      </c>
      <c r="D225" s="1739">
        <v>5</v>
      </c>
      <c r="E225" s="1738">
        <v>6</v>
      </c>
      <c r="F225" s="1738">
        <v>7</v>
      </c>
      <c r="G225" s="2028">
        <v>8</v>
      </c>
      <c r="H225" s="1951" t="s">
        <v>801</v>
      </c>
      <c r="I225" s="1970"/>
    </row>
    <row r="226" spans="1:9" ht="30.75" hidden="1" thickTop="1" x14ac:dyDescent="0.2">
      <c r="A226" s="2049">
        <v>3299</v>
      </c>
      <c r="B226" s="2071">
        <v>5336</v>
      </c>
      <c r="C226" s="2056">
        <v>32133006</v>
      </c>
      <c r="D226" s="2072" t="s">
        <v>1453</v>
      </c>
      <c r="E226" s="1975">
        <v>0</v>
      </c>
      <c r="F226" s="1975">
        <v>0</v>
      </c>
      <c r="G226" s="2039">
        <v>0</v>
      </c>
      <c r="H226" s="1958" t="e">
        <f>G226/F226*100</f>
        <v>#DIV/0!</v>
      </c>
      <c r="I226" s="1970"/>
    </row>
    <row r="227" spans="1:9" ht="30" hidden="1" x14ac:dyDescent="0.2">
      <c r="A227" s="2049">
        <v>3299</v>
      </c>
      <c r="B227" s="2071">
        <v>5336</v>
      </c>
      <c r="C227" s="2056">
        <v>32533006</v>
      </c>
      <c r="D227" s="1979" t="s">
        <v>1325</v>
      </c>
      <c r="E227" s="1989">
        <v>0</v>
      </c>
      <c r="F227" s="1989">
        <v>0</v>
      </c>
      <c r="G227" s="2036">
        <v>0</v>
      </c>
      <c r="H227" s="1961" t="e">
        <f>G227/F227*100</f>
        <v>#DIV/0!</v>
      </c>
      <c r="I227" s="1970"/>
    </row>
    <row r="228" spans="1:9" ht="30" hidden="1" x14ac:dyDescent="0.2">
      <c r="A228" s="2049">
        <v>3299</v>
      </c>
      <c r="B228" s="2056">
        <v>6351</v>
      </c>
      <c r="C228" s="2056">
        <v>32133006</v>
      </c>
      <c r="D228" s="1979" t="s">
        <v>1339</v>
      </c>
      <c r="E228" s="1989">
        <v>0</v>
      </c>
      <c r="F228" s="1989">
        <v>0</v>
      </c>
      <c r="G228" s="2036">
        <v>0</v>
      </c>
      <c r="H228" s="1961" t="e">
        <f>G228/F228*100</f>
        <v>#DIV/0!</v>
      </c>
      <c r="I228" s="1970"/>
    </row>
    <row r="229" spans="1:9" ht="30" hidden="1" x14ac:dyDescent="0.2">
      <c r="A229" s="2049">
        <v>3299</v>
      </c>
      <c r="B229" s="2056">
        <v>6351</v>
      </c>
      <c r="C229" s="2056">
        <v>32533006</v>
      </c>
      <c r="D229" s="1979" t="s">
        <v>1339</v>
      </c>
      <c r="E229" s="1989">
        <v>0</v>
      </c>
      <c r="F229" s="1989">
        <v>0</v>
      </c>
      <c r="G229" s="2036">
        <v>0</v>
      </c>
      <c r="H229" s="1961" t="e">
        <f>G229/F229*100</f>
        <v>#DIV/0!</v>
      </c>
      <c r="I229" s="1970"/>
    </row>
    <row r="230" spans="1:9" ht="16.5" hidden="1" thickTop="1" thickBot="1" x14ac:dyDescent="0.3">
      <c r="A230" s="1980" t="s">
        <v>802</v>
      </c>
      <c r="B230" s="1981"/>
      <c r="C230" s="1981"/>
      <c r="D230" s="1982"/>
      <c r="E230" s="1957">
        <f>SUM(E226:E229)</f>
        <v>0</v>
      </c>
      <c r="F230" s="1957">
        <f>SUM(F226:F229)</f>
        <v>0</v>
      </c>
      <c r="G230" s="1957">
        <f>SUM(G226:G229)</f>
        <v>0</v>
      </c>
      <c r="H230" s="1962" t="e">
        <f>G230/F230*100</f>
        <v>#DIV/0!</v>
      </c>
      <c r="I230" s="1970"/>
    </row>
    <row r="231" spans="1:9" hidden="1" x14ac:dyDescent="0.2">
      <c r="I231" s="1970"/>
    </row>
    <row r="232" spans="1:9" ht="15" x14ac:dyDescent="0.25">
      <c r="A232" s="1942" t="s">
        <v>334</v>
      </c>
      <c r="D232" s="1936"/>
      <c r="E232" s="1937"/>
      <c r="H232" s="1970"/>
      <c r="I232" s="1970"/>
    </row>
    <row r="233" spans="1:9" ht="15.75" thickBot="1" x14ac:dyDescent="0.3">
      <c r="A233" s="1942" t="s">
        <v>599</v>
      </c>
      <c r="D233" s="1936"/>
      <c r="E233" s="1937"/>
      <c r="H233" s="2043" t="s">
        <v>173</v>
      </c>
      <c r="I233" s="1970"/>
    </row>
    <row r="234" spans="1:9" ht="25.5" thickTop="1" thickBot="1" x14ac:dyDescent="0.25">
      <c r="A234" s="1943" t="s">
        <v>174</v>
      </c>
      <c r="B234" s="1944" t="s">
        <v>800</v>
      </c>
      <c r="C234" s="1944" t="s">
        <v>397</v>
      </c>
      <c r="D234" s="1945" t="s">
        <v>176</v>
      </c>
      <c r="E234" s="1976" t="s">
        <v>669</v>
      </c>
      <c r="F234" s="1976" t="s">
        <v>670</v>
      </c>
      <c r="G234" s="1977" t="s">
        <v>923</v>
      </c>
      <c r="H234" s="1978" t="s">
        <v>924</v>
      </c>
      <c r="I234" s="1970"/>
    </row>
    <row r="235" spans="1:9" ht="14.25" thickTop="1" thickBot="1" x14ac:dyDescent="0.25">
      <c r="A235" s="1740">
        <v>1</v>
      </c>
      <c r="B235" s="1739">
        <v>2</v>
      </c>
      <c r="C235" s="1739">
        <v>3</v>
      </c>
      <c r="D235" s="1739">
        <v>5</v>
      </c>
      <c r="E235" s="1738">
        <v>6</v>
      </c>
      <c r="F235" s="1738">
        <v>7</v>
      </c>
      <c r="G235" s="2028">
        <v>8</v>
      </c>
      <c r="H235" s="1951" t="s">
        <v>801</v>
      </c>
      <c r="I235" s="1970"/>
    </row>
    <row r="236" spans="1:9" ht="30.75" thickTop="1" x14ac:dyDescent="0.2">
      <c r="A236" s="2049">
        <v>3299</v>
      </c>
      <c r="B236" s="2071">
        <v>5336</v>
      </c>
      <c r="C236" s="2056">
        <v>32133006</v>
      </c>
      <c r="D236" s="1979" t="s">
        <v>1325</v>
      </c>
      <c r="E236" s="1975">
        <v>0</v>
      </c>
      <c r="F236" s="1975">
        <v>18</v>
      </c>
      <c r="G236" s="2039">
        <v>18</v>
      </c>
      <c r="H236" s="1958">
        <f>G236/F236*100</f>
        <v>100</v>
      </c>
      <c r="I236" s="1970"/>
    </row>
    <row r="237" spans="1:9" ht="30.75" thickBot="1" x14ac:dyDescent="0.25">
      <c r="A237" s="2049">
        <v>3299</v>
      </c>
      <c r="B237" s="2071">
        <v>5336</v>
      </c>
      <c r="C237" s="2056">
        <v>32533006</v>
      </c>
      <c r="D237" s="1979" t="s">
        <v>1325</v>
      </c>
      <c r="E237" s="1989">
        <v>0</v>
      </c>
      <c r="F237" s="1989">
        <v>104</v>
      </c>
      <c r="G237" s="2036">
        <v>104</v>
      </c>
      <c r="H237" s="1961">
        <f>G237/F237*100</f>
        <v>100</v>
      </c>
      <c r="I237" s="1970"/>
    </row>
    <row r="238" spans="1:9" ht="30.75" hidden="1" thickBot="1" x14ac:dyDescent="0.25">
      <c r="A238" s="2049">
        <v>3299</v>
      </c>
      <c r="B238" s="2056">
        <v>6351</v>
      </c>
      <c r="C238" s="2056">
        <v>32133006</v>
      </c>
      <c r="D238" s="1979" t="s">
        <v>1339</v>
      </c>
      <c r="E238" s="1989">
        <v>0</v>
      </c>
      <c r="F238" s="1989">
        <v>0</v>
      </c>
      <c r="G238" s="2036">
        <v>0</v>
      </c>
      <c r="H238" s="1961" t="e">
        <f>G238/F238*100</f>
        <v>#DIV/0!</v>
      </c>
      <c r="I238" s="1970"/>
    </row>
    <row r="239" spans="1:9" ht="30.75" hidden="1" thickBot="1" x14ac:dyDescent="0.25">
      <c r="A239" s="2049">
        <v>3299</v>
      </c>
      <c r="B239" s="2056">
        <v>6351</v>
      </c>
      <c r="C239" s="2056">
        <v>32533006</v>
      </c>
      <c r="D239" s="1979" t="s">
        <v>1339</v>
      </c>
      <c r="E239" s="1989">
        <v>0</v>
      </c>
      <c r="F239" s="1989">
        <v>0</v>
      </c>
      <c r="G239" s="2036">
        <v>0</v>
      </c>
      <c r="H239" s="1961" t="e">
        <f>G239/F239*100</f>
        <v>#DIV/0!</v>
      </c>
      <c r="I239" s="1970"/>
    </row>
    <row r="240" spans="1:9" ht="16.5" thickTop="1" thickBot="1" x14ac:dyDescent="0.3">
      <c r="A240" s="1980" t="s">
        <v>802</v>
      </c>
      <c r="B240" s="1981"/>
      <c r="C240" s="1981"/>
      <c r="D240" s="1982"/>
      <c r="E240" s="1957">
        <f>SUM(E236:E239)</f>
        <v>0</v>
      </c>
      <c r="F240" s="1957">
        <f>SUM(F236:F239)</f>
        <v>122</v>
      </c>
      <c r="G240" s="1957">
        <f>SUM(G236:G239)</f>
        <v>122</v>
      </c>
      <c r="H240" s="1962">
        <f>G240/F240*100</f>
        <v>100</v>
      </c>
      <c r="I240" s="1970"/>
    </row>
    <row r="241" spans="1:9" ht="13.5" thickTop="1" x14ac:dyDescent="0.2">
      <c r="I241" s="1970"/>
    </row>
    <row r="242" spans="1:9" ht="15" hidden="1" x14ac:dyDescent="0.25">
      <c r="A242" s="1942" t="s">
        <v>600</v>
      </c>
      <c r="D242" s="1936"/>
      <c r="E242" s="1937"/>
      <c r="H242" s="1970"/>
      <c r="I242" s="1970"/>
    </row>
    <row r="243" spans="1:9" ht="15" hidden="1" x14ac:dyDescent="0.25">
      <c r="A243" s="1942" t="s">
        <v>601</v>
      </c>
      <c r="D243" s="1936"/>
      <c r="E243" s="1937"/>
      <c r="H243" s="1970" t="s">
        <v>173</v>
      </c>
      <c r="I243" s="1970"/>
    </row>
    <row r="244" spans="1:9" ht="25.5" hidden="1" thickTop="1" thickBot="1" x14ac:dyDescent="0.25">
      <c r="A244" s="1943" t="s">
        <v>174</v>
      </c>
      <c r="B244" s="1944" t="s">
        <v>800</v>
      </c>
      <c r="C244" s="1944" t="s">
        <v>397</v>
      </c>
      <c r="D244" s="1945" t="s">
        <v>176</v>
      </c>
      <c r="E244" s="1976" t="s">
        <v>669</v>
      </c>
      <c r="F244" s="1976" t="s">
        <v>670</v>
      </c>
      <c r="G244" s="1977" t="s">
        <v>923</v>
      </c>
      <c r="H244" s="1978" t="s">
        <v>924</v>
      </c>
      <c r="I244" s="1970"/>
    </row>
    <row r="245" spans="1:9" ht="14.25" hidden="1" thickTop="1" thickBot="1" x14ac:dyDescent="0.25">
      <c r="A245" s="1740">
        <v>1</v>
      </c>
      <c r="B245" s="1739">
        <v>2</v>
      </c>
      <c r="C245" s="1739">
        <v>3</v>
      </c>
      <c r="D245" s="1739">
        <v>5</v>
      </c>
      <c r="E245" s="1738">
        <v>6</v>
      </c>
      <c r="F245" s="1738">
        <v>7</v>
      </c>
      <c r="G245" s="2028">
        <v>8</v>
      </c>
      <c r="H245" s="1951" t="s">
        <v>801</v>
      </c>
      <c r="I245" s="1970"/>
    </row>
    <row r="246" spans="1:9" ht="30.75" hidden="1" thickTop="1" x14ac:dyDescent="0.2">
      <c r="A246" s="2049">
        <v>3299</v>
      </c>
      <c r="B246" s="2071">
        <v>5336</v>
      </c>
      <c r="C246" s="2056">
        <v>32133006</v>
      </c>
      <c r="D246" s="2072" t="s">
        <v>1453</v>
      </c>
      <c r="E246" s="1975">
        <v>0</v>
      </c>
      <c r="F246" s="1975">
        <v>0</v>
      </c>
      <c r="G246" s="2039">
        <v>0</v>
      </c>
      <c r="H246" s="1958" t="e">
        <f>G246/F246*100</f>
        <v>#DIV/0!</v>
      </c>
      <c r="I246" s="1970"/>
    </row>
    <row r="247" spans="1:9" ht="30" hidden="1" x14ac:dyDescent="0.2">
      <c r="A247" s="2049">
        <v>3299</v>
      </c>
      <c r="B247" s="2071">
        <v>5336</v>
      </c>
      <c r="C247" s="2056">
        <v>32533006</v>
      </c>
      <c r="D247" s="1979" t="s">
        <v>1325</v>
      </c>
      <c r="E247" s="1989">
        <v>0</v>
      </c>
      <c r="F247" s="1989">
        <v>0</v>
      </c>
      <c r="G247" s="2036">
        <v>0</v>
      </c>
      <c r="H247" s="1961" t="e">
        <f>G247/F247*100</f>
        <v>#DIV/0!</v>
      </c>
      <c r="I247" s="1970"/>
    </row>
    <row r="248" spans="1:9" ht="30" hidden="1" x14ac:dyDescent="0.2">
      <c r="A248" s="2049">
        <v>3299</v>
      </c>
      <c r="B248" s="2056">
        <v>6351</v>
      </c>
      <c r="C248" s="2056">
        <v>32133006</v>
      </c>
      <c r="D248" s="1979" t="s">
        <v>1339</v>
      </c>
      <c r="E248" s="1989">
        <v>0</v>
      </c>
      <c r="F248" s="1989">
        <v>0</v>
      </c>
      <c r="G248" s="2036">
        <v>0</v>
      </c>
      <c r="H248" s="1961" t="e">
        <f>G248/F248*100</f>
        <v>#DIV/0!</v>
      </c>
      <c r="I248" s="1970"/>
    </row>
    <row r="249" spans="1:9" ht="30" hidden="1" x14ac:dyDescent="0.2">
      <c r="A249" s="2049">
        <v>3299</v>
      </c>
      <c r="B249" s="2056">
        <v>6351</v>
      </c>
      <c r="C249" s="2056">
        <v>32533006</v>
      </c>
      <c r="D249" s="1979" t="s">
        <v>1339</v>
      </c>
      <c r="E249" s="1989">
        <v>0</v>
      </c>
      <c r="F249" s="1989">
        <v>0</v>
      </c>
      <c r="G249" s="2036">
        <v>0</v>
      </c>
      <c r="H249" s="1961" t="e">
        <f>G249/F249*100</f>
        <v>#DIV/0!</v>
      </c>
      <c r="I249" s="1970"/>
    </row>
    <row r="250" spans="1:9" ht="16.5" hidden="1" thickTop="1" thickBot="1" x14ac:dyDescent="0.3">
      <c r="A250" s="1980" t="s">
        <v>802</v>
      </c>
      <c r="B250" s="1981"/>
      <c r="C250" s="1981"/>
      <c r="D250" s="1982"/>
      <c r="E250" s="1957">
        <f>SUM(E246:E249)</f>
        <v>0</v>
      </c>
      <c r="F250" s="1957">
        <f>SUM(F246:F249)</f>
        <v>0</v>
      </c>
      <c r="G250" s="1957">
        <f>SUM(G246:G249)</f>
        <v>0</v>
      </c>
      <c r="H250" s="1962" t="e">
        <f>G250/F250*100</f>
        <v>#DIV/0!</v>
      </c>
      <c r="I250" s="1970"/>
    </row>
    <row r="251" spans="1:9" hidden="1" x14ac:dyDescent="0.2">
      <c r="I251" s="1970"/>
    </row>
    <row r="252" spans="1:9" ht="15" hidden="1" x14ac:dyDescent="0.25">
      <c r="A252" s="1942" t="s">
        <v>1741</v>
      </c>
      <c r="D252" s="1936"/>
      <c r="E252" s="1937"/>
      <c r="H252" s="1970"/>
      <c r="I252" s="1970"/>
    </row>
    <row r="253" spans="1:9" ht="15" hidden="1" x14ac:dyDescent="0.25">
      <c r="A253" s="1942" t="s">
        <v>909</v>
      </c>
      <c r="D253" s="1936"/>
      <c r="E253" s="1937"/>
      <c r="H253" s="2043" t="s">
        <v>173</v>
      </c>
      <c r="I253" s="1970"/>
    </row>
    <row r="254" spans="1:9" ht="25.5" hidden="1" thickTop="1" thickBot="1" x14ac:dyDescent="0.25">
      <c r="A254" s="1943" t="s">
        <v>174</v>
      </c>
      <c r="B254" s="1944" t="s">
        <v>800</v>
      </c>
      <c r="C254" s="1944" t="s">
        <v>397</v>
      </c>
      <c r="D254" s="1945" t="s">
        <v>176</v>
      </c>
      <c r="E254" s="1976" t="s">
        <v>669</v>
      </c>
      <c r="F254" s="1976" t="s">
        <v>670</v>
      </c>
      <c r="G254" s="1977" t="s">
        <v>923</v>
      </c>
      <c r="H254" s="1978" t="s">
        <v>924</v>
      </c>
      <c r="I254" s="1970"/>
    </row>
    <row r="255" spans="1:9" ht="14.25" hidden="1" thickTop="1" thickBot="1" x14ac:dyDescent="0.25">
      <c r="A255" s="1740">
        <v>1</v>
      </c>
      <c r="B255" s="1739">
        <v>2</v>
      </c>
      <c r="C255" s="1739">
        <v>3</v>
      </c>
      <c r="D255" s="1739">
        <v>5</v>
      </c>
      <c r="E255" s="1738">
        <v>6</v>
      </c>
      <c r="F255" s="1738">
        <v>7</v>
      </c>
      <c r="G255" s="2028">
        <v>8</v>
      </c>
      <c r="H255" s="1951" t="s">
        <v>801</v>
      </c>
      <c r="I255" s="1970"/>
    </row>
    <row r="256" spans="1:9" ht="30.75" hidden="1" thickTop="1" x14ac:dyDescent="0.2">
      <c r="A256" s="2049">
        <v>3299</v>
      </c>
      <c r="B256" s="2071">
        <v>5336</v>
      </c>
      <c r="C256" s="2056">
        <v>32133006</v>
      </c>
      <c r="D256" s="1979" t="s">
        <v>1325</v>
      </c>
      <c r="E256" s="1975">
        <v>0</v>
      </c>
      <c r="F256" s="1975"/>
      <c r="G256" s="2039"/>
      <c r="H256" s="1958" t="e">
        <f>G256/F256*100</f>
        <v>#DIV/0!</v>
      </c>
      <c r="I256" s="1970"/>
    </row>
    <row r="257" spans="1:9" ht="30" hidden="1" x14ac:dyDescent="0.2">
      <c r="A257" s="2049">
        <v>3299</v>
      </c>
      <c r="B257" s="2071">
        <v>5336</v>
      </c>
      <c r="C257" s="2056">
        <v>32533006</v>
      </c>
      <c r="D257" s="1979" t="s">
        <v>1325</v>
      </c>
      <c r="E257" s="1989">
        <v>0</v>
      </c>
      <c r="F257" s="1989"/>
      <c r="G257" s="2036"/>
      <c r="H257" s="1961" t="e">
        <f>G257/F257*100</f>
        <v>#DIV/0!</v>
      </c>
      <c r="I257" s="1970"/>
    </row>
    <row r="258" spans="1:9" ht="16.5" hidden="1" thickTop="1" thickBot="1" x14ac:dyDescent="0.3">
      <c r="A258" s="1980" t="s">
        <v>802</v>
      </c>
      <c r="B258" s="1981"/>
      <c r="C258" s="1981"/>
      <c r="D258" s="1982"/>
      <c r="E258" s="1957">
        <f>SUM(E256:E257)</f>
        <v>0</v>
      </c>
      <c r="F258" s="1957">
        <f>SUM(F256:F257)</f>
        <v>0</v>
      </c>
      <c r="G258" s="1957">
        <f>SUM(G256:G257)</f>
        <v>0</v>
      </c>
      <c r="H258" s="1962" t="e">
        <f>G258/F258*100</f>
        <v>#DIV/0!</v>
      </c>
      <c r="I258" s="1970"/>
    </row>
    <row r="259" spans="1:9" hidden="1" x14ac:dyDescent="0.2">
      <c r="I259" s="1970"/>
    </row>
    <row r="260" spans="1:9" ht="15" hidden="1" x14ac:dyDescent="0.25">
      <c r="A260" s="1942" t="s">
        <v>1011</v>
      </c>
      <c r="D260" s="1936"/>
      <c r="E260" s="1937"/>
      <c r="H260" s="1970"/>
      <c r="I260" s="1970"/>
    </row>
    <row r="261" spans="1:9" ht="15" hidden="1" x14ac:dyDescent="0.25">
      <c r="A261" s="1942" t="s">
        <v>1012</v>
      </c>
      <c r="D261" s="1936"/>
      <c r="E261" s="1937"/>
      <c r="H261" s="2043" t="s">
        <v>173</v>
      </c>
      <c r="I261" s="1970"/>
    </row>
    <row r="262" spans="1:9" ht="25.5" hidden="1" thickTop="1" thickBot="1" x14ac:dyDescent="0.25">
      <c r="A262" s="1943" t="s">
        <v>174</v>
      </c>
      <c r="B262" s="1944" t="s">
        <v>800</v>
      </c>
      <c r="C262" s="1944" t="s">
        <v>397</v>
      </c>
      <c r="D262" s="1945" t="s">
        <v>176</v>
      </c>
      <c r="E262" s="1976" t="s">
        <v>669</v>
      </c>
      <c r="F262" s="1976" t="s">
        <v>670</v>
      </c>
      <c r="G262" s="1977" t="s">
        <v>923</v>
      </c>
      <c r="H262" s="1978" t="s">
        <v>924</v>
      </c>
      <c r="I262" s="1970"/>
    </row>
    <row r="263" spans="1:9" ht="14.25" hidden="1" thickTop="1" thickBot="1" x14ac:dyDescent="0.25">
      <c r="A263" s="1740">
        <v>1</v>
      </c>
      <c r="B263" s="1739">
        <v>2</v>
      </c>
      <c r="C263" s="1739">
        <v>3</v>
      </c>
      <c r="D263" s="1739">
        <v>5</v>
      </c>
      <c r="E263" s="1738">
        <v>6</v>
      </c>
      <c r="F263" s="1738">
        <v>7</v>
      </c>
      <c r="G263" s="2028">
        <v>8</v>
      </c>
      <c r="H263" s="1951" t="s">
        <v>801</v>
      </c>
      <c r="I263" s="1970"/>
    </row>
    <row r="264" spans="1:9" ht="45.75" hidden="1" thickTop="1" x14ac:dyDescent="0.2">
      <c r="A264" s="2049">
        <v>3299</v>
      </c>
      <c r="B264" s="2056">
        <v>5213</v>
      </c>
      <c r="C264" s="2056">
        <v>32133006</v>
      </c>
      <c r="D264" s="2073" t="s">
        <v>1323</v>
      </c>
      <c r="E264" s="1975">
        <v>0</v>
      </c>
      <c r="F264" s="1975"/>
      <c r="G264" s="2039"/>
      <c r="H264" s="1958" t="e">
        <f>G264/F264*100</f>
        <v>#DIV/0!</v>
      </c>
      <c r="I264" s="1970"/>
    </row>
    <row r="265" spans="1:9" ht="45" hidden="1" x14ac:dyDescent="0.2">
      <c r="A265" s="2049">
        <v>3299</v>
      </c>
      <c r="B265" s="2056">
        <v>5213</v>
      </c>
      <c r="C265" s="2056">
        <v>32533006</v>
      </c>
      <c r="D265" s="2072" t="s">
        <v>1323</v>
      </c>
      <c r="E265" s="1989">
        <v>0</v>
      </c>
      <c r="F265" s="1989"/>
      <c r="G265" s="2036"/>
      <c r="H265" s="1961" t="e">
        <f>G265/F265*100</f>
        <v>#DIV/0!</v>
      </c>
      <c r="I265" s="1970"/>
    </row>
    <row r="266" spans="1:9" ht="16.5" hidden="1" thickTop="1" thickBot="1" x14ac:dyDescent="0.3">
      <c r="A266" s="1980" t="s">
        <v>802</v>
      </c>
      <c r="B266" s="1981"/>
      <c r="C266" s="1981"/>
      <c r="D266" s="1982"/>
      <c r="E266" s="1957">
        <f>SUM(E264:E265)</f>
        <v>0</v>
      </c>
      <c r="F266" s="1957">
        <f>SUM(F264:F265)</f>
        <v>0</v>
      </c>
      <c r="G266" s="1957">
        <f>SUM(G264:G265)</f>
        <v>0</v>
      </c>
      <c r="H266" s="1962" t="e">
        <f>G266/F266*100</f>
        <v>#DIV/0!</v>
      </c>
      <c r="I266" s="1970"/>
    </row>
    <row r="267" spans="1:9" hidden="1" x14ac:dyDescent="0.2">
      <c r="I267" s="1970"/>
    </row>
    <row r="268" spans="1:9" ht="15" hidden="1" x14ac:dyDescent="0.25">
      <c r="A268" s="1942" t="s">
        <v>1742</v>
      </c>
      <c r="D268" s="1936"/>
      <c r="E268" s="1937"/>
      <c r="H268" s="1970"/>
      <c r="I268" s="1970"/>
    </row>
    <row r="269" spans="1:9" ht="15" hidden="1" x14ac:dyDescent="0.25">
      <c r="A269" s="1942" t="s">
        <v>91</v>
      </c>
      <c r="D269" s="1936"/>
      <c r="E269" s="1937"/>
      <c r="H269" s="2043" t="s">
        <v>173</v>
      </c>
      <c r="I269" s="1970"/>
    </row>
    <row r="270" spans="1:9" ht="25.5" hidden="1" thickTop="1" thickBot="1" x14ac:dyDescent="0.25">
      <c r="A270" s="1943" t="s">
        <v>174</v>
      </c>
      <c r="B270" s="1944" t="s">
        <v>800</v>
      </c>
      <c r="C270" s="1944" t="s">
        <v>397</v>
      </c>
      <c r="D270" s="1945" t="s">
        <v>176</v>
      </c>
      <c r="E270" s="1976" t="s">
        <v>669</v>
      </c>
      <c r="F270" s="1976" t="s">
        <v>670</v>
      </c>
      <c r="G270" s="1977" t="s">
        <v>923</v>
      </c>
      <c r="H270" s="1978" t="s">
        <v>924</v>
      </c>
      <c r="I270" s="1970"/>
    </row>
    <row r="271" spans="1:9" ht="14.25" hidden="1" thickTop="1" thickBot="1" x14ac:dyDescent="0.25">
      <c r="A271" s="1740">
        <v>1</v>
      </c>
      <c r="B271" s="1739">
        <v>2</v>
      </c>
      <c r="C271" s="1739">
        <v>3</v>
      </c>
      <c r="D271" s="1739">
        <v>5</v>
      </c>
      <c r="E271" s="1738">
        <v>6</v>
      </c>
      <c r="F271" s="1738">
        <v>7</v>
      </c>
      <c r="G271" s="2028">
        <v>8</v>
      </c>
      <c r="H271" s="1951" t="s">
        <v>801</v>
      </c>
      <c r="I271" s="1970"/>
    </row>
    <row r="272" spans="1:9" ht="45.75" hidden="1" thickTop="1" x14ac:dyDescent="0.2">
      <c r="A272" s="1987">
        <v>3299</v>
      </c>
      <c r="B272" s="1988">
        <v>5213</v>
      </c>
      <c r="C272" s="1988">
        <v>32133006</v>
      </c>
      <c r="D272" s="2006" t="s">
        <v>1323</v>
      </c>
      <c r="E272" s="1975">
        <v>0</v>
      </c>
      <c r="F272" s="1975"/>
      <c r="G272" s="2039"/>
      <c r="H272" s="1958" t="e">
        <f>G272/F272*100</f>
        <v>#DIV/0!</v>
      </c>
      <c r="I272" s="1970"/>
    </row>
    <row r="273" spans="1:9" ht="45" hidden="1" x14ac:dyDescent="0.2">
      <c r="A273" s="2049">
        <v>3299</v>
      </c>
      <c r="B273" s="2056">
        <v>5213</v>
      </c>
      <c r="C273" s="2056">
        <v>32533006</v>
      </c>
      <c r="D273" s="1979" t="s">
        <v>1323</v>
      </c>
      <c r="E273" s="1989">
        <v>0</v>
      </c>
      <c r="F273" s="1989"/>
      <c r="G273" s="2036"/>
      <c r="H273" s="1961" t="e">
        <f>G273/F273*100</f>
        <v>#DIV/0!</v>
      </c>
      <c r="I273" s="1970"/>
    </row>
    <row r="274" spans="1:9" ht="45" hidden="1" x14ac:dyDescent="0.2">
      <c r="A274" s="2049">
        <v>3299</v>
      </c>
      <c r="B274" s="2056">
        <v>6313</v>
      </c>
      <c r="C274" s="2056">
        <v>32133006</v>
      </c>
      <c r="D274" s="1979" t="s">
        <v>92</v>
      </c>
      <c r="E274" s="1989">
        <v>0</v>
      </c>
      <c r="F274" s="1989">
        <v>0</v>
      </c>
      <c r="G274" s="2036">
        <v>0</v>
      </c>
      <c r="H274" s="1961" t="e">
        <f>G274/F274*100</f>
        <v>#DIV/0!</v>
      </c>
      <c r="I274" s="1970"/>
    </row>
    <row r="275" spans="1:9" ht="45" hidden="1" x14ac:dyDescent="0.2">
      <c r="A275" s="2049">
        <v>3299</v>
      </c>
      <c r="B275" s="2056">
        <v>6313</v>
      </c>
      <c r="C275" s="2056">
        <v>32533006</v>
      </c>
      <c r="D275" s="1979" t="s">
        <v>92</v>
      </c>
      <c r="E275" s="1989">
        <v>0</v>
      </c>
      <c r="F275" s="1989">
        <v>0</v>
      </c>
      <c r="G275" s="2036">
        <v>0</v>
      </c>
      <c r="H275" s="1961" t="e">
        <f>G275/F275*100</f>
        <v>#DIV/0!</v>
      </c>
      <c r="I275" s="1970"/>
    </row>
    <row r="276" spans="1:9" ht="16.5" hidden="1" thickTop="1" thickBot="1" x14ac:dyDescent="0.3">
      <c r="A276" s="1980" t="s">
        <v>802</v>
      </c>
      <c r="B276" s="1981"/>
      <c r="C276" s="1981"/>
      <c r="D276" s="1982"/>
      <c r="E276" s="1957">
        <f>SUM(E272:E275)</f>
        <v>0</v>
      </c>
      <c r="F276" s="1957">
        <f>SUM(F272:F275)</f>
        <v>0</v>
      </c>
      <c r="G276" s="1957">
        <f>SUM(G272:G275)</f>
        <v>0</v>
      </c>
      <c r="H276" s="1962" t="e">
        <f>G276/F276*100</f>
        <v>#DIV/0!</v>
      </c>
      <c r="I276" s="1970"/>
    </row>
    <row r="277" spans="1:9" hidden="1" x14ac:dyDescent="0.2">
      <c r="I277" s="1970"/>
    </row>
    <row r="278" spans="1:9" ht="15" hidden="1" x14ac:dyDescent="0.25">
      <c r="A278" s="1942" t="s">
        <v>984</v>
      </c>
      <c r="D278" s="1936"/>
      <c r="E278" s="1937"/>
      <c r="H278" s="1970"/>
      <c r="I278" s="1970"/>
    </row>
    <row r="279" spans="1:9" ht="15" hidden="1" x14ac:dyDescent="0.25">
      <c r="A279" s="1942" t="s">
        <v>1013</v>
      </c>
      <c r="D279" s="1936"/>
      <c r="E279" s="1937"/>
      <c r="H279" s="2043" t="s">
        <v>173</v>
      </c>
      <c r="I279" s="1970"/>
    </row>
    <row r="280" spans="1:9" ht="25.5" hidden="1" thickTop="1" thickBot="1" x14ac:dyDescent="0.25">
      <c r="A280" s="1943" t="s">
        <v>174</v>
      </c>
      <c r="B280" s="1944" t="s">
        <v>800</v>
      </c>
      <c r="C280" s="1944" t="s">
        <v>397</v>
      </c>
      <c r="D280" s="1945" t="s">
        <v>176</v>
      </c>
      <c r="E280" s="1976" t="s">
        <v>669</v>
      </c>
      <c r="F280" s="1976" t="s">
        <v>670</v>
      </c>
      <c r="G280" s="1977" t="s">
        <v>923</v>
      </c>
      <c r="H280" s="1978" t="s">
        <v>924</v>
      </c>
      <c r="I280" s="1970"/>
    </row>
    <row r="281" spans="1:9" ht="14.25" hidden="1" thickTop="1" thickBot="1" x14ac:dyDescent="0.25">
      <c r="A281" s="1740">
        <v>1</v>
      </c>
      <c r="B281" s="1739">
        <v>2</v>
      </c>
      <c r="C281" s="1739">
        <v>3</v>
      </c>
      <c r="D281" s="1739">
        <v>5</v>
      </c>
      <c r="E281" s="1738">
        <v>6</v>
      </c>
      <c r="F281" s="1738">
        <v>7</v>
      </c>
      <c r="G281" s="2028">
        <v>8</v>
      </c>
      <c r="H281" s="1951" t="s">
        <v>801</v>
      </c>
      <c r="I281" s="1970"/>
    </row>
    <row r="282" spans="1:9" ht="45.75" hidden="1" thickTop="1" x14ac:dyDescent="0.2">
      <c r="A282" s="2049">
        <v>3299</v>
      </c>
      <c r="B282" s="2056">
        <v>5213</v>
      </c>
      <c r="C282" s="2056">
        <v>32133006</v>
      </c>
      <c r="D282" s="2073" t="s">
        <v>1323</v>
      </c>
      <c r="E282" s="1975">
        <v>0</v>
      </c>
      <c r="F282" s="1975"/>
      <c r="G282" s="2039"/>
      <c r="H282" s="1958" t="e">
        <f>G282/F282*100</f>
        <v>#DIV/0!</v>
      </c>
      <c r="I282" s="1970"/>
    </row>
    <row r="283" spans="1:9" ht="45.75" hidden="1" thickBot="1" x14ac:dyDescent="0.25">
      <c r="A283" s="2049">
        <v>3299</v>
      </c>
      <c r="B283" s="2056">
        <v>5213</v>
      </c>
      <c r="C283" s="2056">
        <v>32533006</v>
      </c>
      <c r="D283" s="2074" t="s">
        <v>1323</v>
      </c>
      <c r="E283" s="1989">
        <v>0</v>
      </c>
      <c r="F283" s="1989"/>
      <c r="G283" s="2036"/>
      <c r="H283" s="1961" t="e">
        <f>G283/F283*100</f>
        <v>#DIV/0!</v>
      </c>
      <c r="I283" s="1970"/>
    </row>
    <row r="284" spans="1:9" ht="16.5" hidden="1" thickTop="1" thickBot="1" x14ac:dyDescent="0.3">
      <c r="A284" s="1980" t="s">
        <v>802</v>
      </c>
      <c r="B284" s="1981"/>
      <c r="C284" s="1981"/>
      <c r="D284" s="1982"/>
      <c r="E284" s="1957">
        <f>SUM(E282:E283)</f>
        <v>0</v>
      </c>
      <c r="F284" s="1957">
        <f>SUM(F282:F283)</f>
        <v>0</v>
      </c>
      <c r="G284" s="1957">
        <f>SUM(G282:G283)</f>
        <v>0</v>
      </c>
      <c r="H284" s="1962" t="e">
        <f>G284/F284*100</f>
        <v>#DIV/0!</v>
      </c>
      <c r="I284" s="1970"/>
    </row>
    <row r="285" spans="1:9" hidden="1" x14ac:dyDescent="0.2">
      <c r="I285" s="1970"/>
    </row>
    <row r="286" spans="1:9" ht="15" hidden="1" x14ac:dyDescent="0.25">
      <c r="A286" s="1942" t="s">
        <v>1743</v>
      </c>
      <c r="D286" s="1936"/>
      <c r="E286" s="1937"/>
      <c r="H286" s="1970"/>
      <c r="I286" s="1970"/>
    </row>
    <row r="287" spans="1:9" ht="15" hidden="1" x14ac:dyDescent="0.25">
      <c r="A287" s="1942" t="s">
        <v>1014</v>
      </c>
      <c r="D287" s="1936"/>
      <c r="E287" s="1937"/>
      <c r="H287" s="2043" t="s">
        <v>173</v>
      </c>
      <c r="I287" s="1970"/>
    </row>
    <row r="288" spans="1:9" ht="25.5" hidden="1" thickTop="1" thickBot="1" x14ac:dyDescent="0.25">
      <c r="A288" s="1943" t="s">
        <v>174</v>
      </c>
      <c r="B288" s="1944" t="s">
        <v>800</v>
      </c>
      <c r="C288" s="1944" t="s">
        <v>397</v>
      </c>
      <c r="D288" s="1945" t="s">
        <v>176</v>
      </c>
      <c r="E288" s="1976" t="s">
        <v>669</v>
      </c>
      <c r="F288" s="1976" t="s">
        <v>670</v>
      </c>
      <c r="G288" s="1977" t="s">
        <v>923</v>
      </c>
      <c r="H288" s="1978" t="s">
        <v>924</v>
      </c>
      <c r="I288" s="1970"/>
    </row>
    <row r="289" spans="1:9" ht="14.25" hidden="1" thickTop="1" thickBot="1" x14ac:dyDescent="0.25">
      <c r="A289" s="1740">
        <v>1</v>
      </c>
      <c r="B289" s="1739">
        <v>2</v>
      </c>
      <c r="C289" s="1739">
        <v>3</v>
      </c>
      <c r="D289" s="1739">
        <v>5</v>
      </c>
      <c r="E289" s="1738">
        <v>6</v>
      </c>
      <c r="F289" s="1738">
        <v>7</v>
      </c>
      <c r="G289" s="2028">
        <v>8</v>
      </c>
      <c r="H289" s="1951" t="s">
        <v>801</v>
      </c>
      <c r="I289" s="1970"/>
    </row>
    <row r="290" spans="1:9" ht="30.75" hidden="1" thickTop="1" x14ac:dyDescent="0.2">
      <c r="A290" s="2049">
        <v>3299</v>
      </c>
      <c r="B290" s="2056">
        <v>5229</v>
      </c>
      <c r="C290" s="2056">
        <v>32133006</v>
      </c>
      <c r="D290" s="1979" t="s">
        <v>1015</v>
      </c>
      <c r="E290" s="1975">
        <v>0</v>
      </c>
      <c r="F290" s="1975"/>
      <c r="G290" s="2039"/>
      <c r="H290" s="1958" t="e">
        <f>G290/F290*100</f>
        <v>#DIV/0!</v>
      </c>
      <c r="I290" s="1970"/>
    </row>
    <row r="291" spans="1:9" ht="30" hidden="1" x14ac:dyDescent="0.2">
      <c r="A291" s="2049">
        <v>3299</v>
      </c>
      <c r="B291" s="2056">
        <v>5229</v>
      </c>
      <c r="C291" s="2056">
        <v>32533006</v>
      </c>
      <c r="D291" s="1979" t="s">
        <v>1015</v>
      </c>
      <c r="E291" s="1989">
        <v>0</v>
      </c>
      <c r="F291" s="1989"/>
      <c r="G291" s="2036"/>
      <c r="H291" s="1961" t="e">
        <f>G291/F291*100</f>
        <v>#DIV/0!</v>
      </c>
      <c r="I291" s="1970"/>
    </row>
    <row r="292" spans="1:9" ht="16.5" hidden="1" thickTop="1" thickBot="1" x14ac:dyDescent="0.3">
      <c r="A292" s="1980" t="s">
        <v>802</v>
      </c>
      <c r="B292" s="1981"/>
      <c r="C292" s="1981"/>
      <c r="D292" s="1982"/>
      <c r="E292" s="1957">
        <f>SUM(E290:E291)</f>
        <v>0</v>
      </c>
      <c r="F292" s="1957">
        <f>SUM(F290:F291)</f>
        <v>0</v>
      </c>
      <c r="G292" s="1957">
        <f>SUM(G290:G291)</f>
        <v>0</v>
      </c>
      <c r="H292" s="1962" t="e">
        <f>G292/F292*100</f>
        <v>#DIV/0!</v>
      </c>
      <c r="I292" s="1970"/>
    </row>
    <row r="293" spans="1:9" hidden="1" x14ac:dyDescent="0.2">
      <c r="I293" s="1970"/>
    </row>
    <row r="294" spans="1:9" ht="15" hidden="1" x14ac:dyDescent="0.25">
      <c r="A294" s="1942" t="s">
        <v>93</v>
      </c>
      <c r="D294" s="1936"/>
      <c r="E294" s="1937"/>
      <c r="H294" s="1970"/>
      <c r="I294" s="1970"/>
    </row>
    <row r="295" spans="1:9" ht="15" hidden="1" x14ac:dyDescent="0.25">
      <c r="A295" s="1942" t="s">
        <v>240</v>
      </c>
      <c r="D295" s="1936"/>
      <c r="E295" s="1937"/>
      <c r="H295" s="2043" t="s">
        <v>173</v>
      </c>
      <c r="I295" s="1970"/>
    </row>
    <row r="296" spans="1:9" ht="25.5" hidden="1" thickTop="1" thickBot="1" x14ac:dyDescent="0.25">
      <c r="A296" s="1943" t="s">
        <v>174</v>
      </c>
      <c r="B296" s="1944" t="s">
        <v>800</v>
      </c>
      <c r="C296" s="1944" t="s">
        <v>397</v>
      </c>
      <c r="D296" s="1945" t="s">
        <v>176</v>
      </c>
      <c r="E296" s="1976" t="s">
        <v>669</v>
      </c>
      <c r="F296" s="1976" t="s">
        <v>670</v>
      </c>
      <c r="G296" s="1977" t="s">
        <v>923</v>
      </c>
      <c r="H296" s="1978" t="s">
        <v>924</v>
      </c>
      <c r="I296" s="1970"/>
    </row>
    <row r="297" spans="1:9" ht="14.25" hidden="1" thickTop="1" thickBot="1" x14ac:dyDescent="0.25">
      <c r="A297" s="1740">
        <v>1</v>
      </c>
      <c r="B297" s="1739">
        <v>2</v>
      </c>
      <c r="C297" s="1739">
        <v>3</v>
      </c>
      <c r="D297" s="1739">
        <v>5</v>
      </c>
      <c r="E297" s="1738">
        <v>6</v>
      </c>
      <c r="F297" s="1738">
        <v>7</v>
      </c>
      <c r="G297" s="2028">
        <v>8</v>
      </c>
      <c r="H297" s="1951" t="s">
        <v>801</v>
      </c>
      <c r="I297" s="1970"/>
    </row>
    <row r="298" spans="1:9" ht="15.75" hidden="1" thickTop="1" x14ac:dyDescent="0.25">
      <c r="A298" s="1952">
        <v>3299</v>
      </c>
      <c r="B298" s="1953">
        <v>5321</v>
      </c>
      <c r="C298" s="1953">
        <v>32133006</v>
      </c>
      <c r="D298" s="2037" t="s">
        <v>1261</v>
      </c>
      <c r="E298" s="1975">
        <v>0</v>
      </c>
      <c r="F298" s="1975"/>
      <c r="G298" s="2039"/>
      <c r="H298" s="1958" t="e">
        <f>G298/F298*100</f>
        <v>#DIV/0!</v>
      </c>
      <c r="I298" s="1970"/>
    </row>
    <row r="299" spans="1:9" ht="15" hidden="1" x14ac:dyDescent="0.25">
      <c r="A299" s="1952">
        <v>3299</v>
      </c>
      <c r="B299" s="1953">
        <v>5321</v>
      </c>
      <c r="C299" s="1953">
        <v>32533006</v>
      </c>
      <c r="D299" s="2037" t="s">
        <v>1261</v>
      </c>
      <c r="E299" s="1989">
        <v>0</v>
      </c>
      <c r="F299" s="1989"/>
      <c r="G299" s="2036"/>
      <c r="H299" s="1961" t="e">
        <f>G299/F299*100</f>
        <v>#DIV/0!</v>
      </c>
      <c r="I299" s="1970"/>
    </row>
    <row r="300" spans="1:9" ht="15" hidden="1" x14ac:dyDescent="0.25">
      <c r="A300" s="1952">
        <v>3299</v>
      </c>
      <c r="B300" s="1953">
        <v>6341</v>
      </c>
      <c r="C300" s="1953">
        <v>32133006</v>
      </c>
      <c r="D300" s="2037" t="s">
        <v>261</v>
      </c>
      <c r="E300" s="1989">
        <v>0</v>
      </c>
      <c r="F300" s="1989">
        <v>0</v>
      </c>
      <c r="G300" s="2036">
        <v>0</v>
      </c>
      <c r="H300" s="1961" t="e">
        <f>G300/F300*100</f>
        <v>#DIV/0!</v>
      </c>
      <c r="I300" s="1970"/>
    </row>
    <row r="301" spans="1:9" ht="15" hidden="1" x14ac:dyDescent="0.25">
      <c r="A301" s="1952">
        <v>3299</v>
      </c>
      <c r="B301" s="1953">
        <v>6341</v>
      </c>
      <c r="C301" s="1953">
        <v>32533006</v>
      </c>
      <c r="D301" s="2037" t="s">
        <v>261</v>
      </c>
      <c r="E301" s="1989">
        <v>0</v>
      </c>
      <c r="F301" s="1989">
        <v>0</v>
      </c>
      <c r="G301" s="2036">
        <v>0</v>
      </c>
      <c r="H301" s="1961" t="e">
        <f>G301/F301*100</f>
        <v>#DIV/0!</v>
      </c>
      <c r="I301" s="1970"/>
    </row>
    <row r="302" spans="1:9" ht="16.5" hidden="1" thickTop="1" thickBot="1" x14ac:dyDescent="0.3">
      <c r="A302" s="1980" t="s">
        <v>802</v>
      </c>
      <c r="B302" s="1981"/>
      <c r="C302" s="1981"/>
      <c r="D302" s="1982"/>
      <c r="E302" s="1957">
        <f>SUM(E298:E301)</f>
        <v>0</v>
      </c>
      <c r="F302" s="1957">
        <f>SUM(F298:F301)</f>
        <v>0</v>
      </c>
      <c r="G302" s="1957">
        <f>SUM(G298:G301)</f>
        <v>0</v>
      </c>
      <c r="H302" s="1962" t="e">
        <f>G302/F302*100</f>
        <v>#DIV/0!</v>
      </c>
      <c r="I302" s="1970"/>
    </row>
    <row r="303" spans="1:9" hidden="1" x14ac:dyDescent="0.2">
      <c r="I303" s="1970"/>
    </row>
    <row r="304" spans="1:9" ht="15" hidden="1" x14ac:dyDescent="0.25">
      <c r="A304" s="1942" t="s">
        <v>1016</v>
      </c>
      <c r="D304" s="1936"/>
      <c r="E304" s="1937"/>
      <c r="H304" s="1970"/>
      <c r="I304" s="1970"/>
    </row>
    <row r="305" spans="1:9" ht="15" hidden="1" x14ac:dyDescent="0.25">
      <c r="A305" s="1942" t="s">
        <v>1017</v>
      </c>
      <c r="D305" s="1936"/>
      <c r="E305" s="1937"/>
      <c r="H305" s="2043" t="s">
        <v>173</v>
      </c>
      <c r="I305" s="1970"/>
    </row>
    <row r="306" spans="1:9" ht="25.5" hidden="1" thickTop="1" thickBot="1" x14ac:dyDescent="0.25">
      <c r="A306" s="1943" t="s">
        <v>174</v>
      </c>
      <c r="B306" s="1944" t="s">
        <v>800</v>
      </c>
      <c r="C306" s="1944" t="s">
        <v>397</v>
      </c>
      <c r="D306" s="1945" t="s">
        <v>176</v>
      </c>
      <c r="E306" s="1976" t="s">
        <v>669</v>
      </c>
      <c r="F306" s="1976" t="s">
        <v>670</v>
      </c>
      <c r="G306" s="1977" t="s">
        <v>923</v>
      </c>
      <c r="H306" s="1978" t="s">
        <v>924</v>
      </c>
      <c r="I306" s="1970"/>
    </row>
    <row r="307" spans="1:9" ht="14.25" hidden="1" thickTop="1" thickBot="1" x14ac:dyDescent="0.25">
      <c r="A307" s="1740">
        <v>1</v>
      </c>
      <c r="B307" s="1739">
        <v>2</v>
      </c>
      <c r="C307" s="1739">
        <v>3</v>
      </c>
      <c r="D307" s="1739">
        <v>5</v>
      </c>
      <c r="E307" s="1738">
        <v>6</v>
      </c>
      <c r="F307" s="1738">
        <v>7</v>
      </c>
      <c r="G307" s="2028">
        <v>8</v>
      </c>
      <c r="H307" s="1951" t="s">
        <v>801</v>
      </c>
      <c r="I307" s="1970"/>
    </row>
    <row r="308" spans="1:9" ht="15.75" hidden="1" thickTop="1" x14ac:dyDescent="0.25">
      <c r="A308" s="1952">
        <v>3299</v>
      </c>
      <c r="B308" s="1953">
        <v>5321</v>
      </c>
      <c r="C308" s="1953">
        <v>32133006</v>
      </c>
      <c r="D308" s="2037" t="s">
        <v>1261</v>
      </c>
      <c r="E308" s="1975">
        <v>0</v>
      </c>
      <c r="F308" s="1975"/>
      <c r="G308" s="2039"/>
      <c r="H308" s="1958" t="e">
        <f>G308/F308*100</f>
        <v>#DIV/0!</v>
      </c>
      <c r="I308" s="1970"/>
    </row>
    <row r="309" spans="1:9" ht="15" hidden="1" x14ac:dyDescent="0.25">
      <c r="A309" s="1952">
        <v>3299</v>
      </c>
      <c r="B309" s="1953">
        <v>5321</v>
      </c>
      <c r="C309" s="1953">
        <v>32533006</v>
      </c>
      <c r="D309" s="2037" t="s">
        <v>1261</v>
      </c>
      <c r="E309" s="1989">
        <v>0</v>
      </c>
      <c r="F309" s="1989"/>
      <c r="G309" s="2036"/>
      <c r="H309" s="1961" t="e">
        <f>G309/F309*100</f>
        <v>#DIV/0!</v>
      </c>
      <c r="I309" s="1970"/>
    </row>
    <row r="310" spans="1:9" ht="15" hidden="1" x14ac:dyDescent="0.25">
      <c r="A310" s="1952">
        <v>3299</v>
      </c>
      <c r="B310" s="1953">
        <v>6341</v>
      </c>
      <c r="C310" s="1953">
        <v>32133006</v>
      </c>
      <c r="D310" s="2037" t="s">
        <v>261</v>
      </c>
      <c r="E310" s="1989">
        <v>0</v>
      </c>
      <c r="F310" s="1989">
        <v>0</v>
      </c>
      <c r="G310" s="2036">
        <v>0</v>
      </c>
      <c r="H310" s="1961" t="e">
        <f>G310/F310*100</f>
        <v>#DIV/0!</v>
      </c>
      <c r="I310" s="1970"/>
    </row>
    <row r="311" spans="1:9" ht="15" hidden="1" x14ac:dyDescent="0.25">
      <c r="A311" s="1952">
        <v>3299</v>
      </c>
      <c r="B311" s="1953">
        <v>6341</v>
      </c>
      <c r="C311" s="1953">
        <v>32533006</v>
      </c>
      <c r="D311" s="2037" t="s">
        <v>261</v>
      </c>
      <c r="E311" s="1989">
        <v>0</v>
      </c>
      <c r="F311" s="1989">
        <v>0</v>
      </c>
      <c r="G311" s="2036">
        <v>0</v>
      </c>
      <c r="H311" s="1961" t="e">
        <f>G311/F311*100</f>
        <v>#DIV/0!</v>
      </c>
      <c r="I311" s="1970"/>
    </row>
    <row r="312" spans="1:9" ht="16.5" hidden="1" thickTop="1" thickBot="1" x14ac:dyDescent="0.3">
      <c r="A312" s="1980" t="s">
        <v>802</v>
      </c>
      <c r="B312" s="1981"/>
      <c r="C312" s="1981"/>
      <c r="D312" s="1982"/>
      <c r="E312" s="1957">
        <f>SUM(E308:E311)</f>
        <v>0</v>
      </c>
      <c r="F312" s="1957">
        <f>SUM(F308:F311)</f>
        <v>0</v>
      </c>
      <c r="G312" s="1957">
        <f>SUM(G308:G311)</f>
        <v>0</v>
      </c>
      <c r="H312" s="1962" t="e">
        <f>G312/F312*100</f>
        <v>#DIV/0!</v>
      </c>
      <c r="I312" s="1970"/>
    </row>
    <row r="313" spans="1:9" hidden="1" x14ac:dyDescent="0.2">
      <c r="I313" s="1970"/>
    </row>
    <row r="314" spans="1:9" ht="15" hidden="1" x14ac:dyDescent="0.25">
      <c r="A314" s="1942" t="s">
        <v>241</v>
      </c>
      <c r="D314" s="1936"/>
      <c r="E314" s="1937"/>
      <c r="H314" s="1970"/>
      <c r="I314" s="1970"/>
    </row>
    <row r="315" spans="1:9" ht="15" hidden="1" x14ac:dyDescent="0.25">
      <c r="A315" s="1942" t="s">
        <v>242</v>
      </c>
      <c r="D315" s="1936"/>
      <c r="E315" s="1937"/>
      <c r="H315" s="2043" t="s">
        <v>173</v>
      </c>
      <c r="I315" s="1970"/>
    </row>
    <row r="316" spans="1:9" ht="25.5" hidden="1" thickTop="1" thickBot="1" x14ac:dyDescent="0.25">
      <c r="A316" s="1943" t="s">
        <v>174</v>
      </c>
      <c r="B316" s="1944" t="s">
        <v>800</v>
      </c>
      <c r="C316" s="1944" t="s">
        <v>397</v>
      </c>
      <c r="D316" s="1945" t="s">
        <v>176</v>
      </c>
      <c r="E316" s="1976" t="s">
        <v>669</v>
      </c>
      <c r="F316" s="1976" t="s">
        <v>670</v>
      </c>
      <c r="G316" s="1977" t="s">
        <v>923</v>
      </c>
      <c r="H316" s="1978" t="s">
        <v>924</v>
      </c>
      <c r="I316" s="1970"/>
    </row>
    <row r="317" spans="1:9" ht="14.25" hidden="1" thickTop="1" thickBot="1" x14ac:dyDescent="0.25">
      <c r="A317" s="1740">
        <v>1</v>
      </c>
      <c r="B317" s="1739">
        <v>2</v>
      </c>
      <c r="C317" s="1739">
        <v>3</v>
      </c>
      <c r="D317" s="1739">
        <v>5</v>
      </c>
      <c r="E317" s="1738">
        <v>6</v>
      </c>
      <c r="F317" s="1738">
        <v>7</v>
      </c>
      <c r="G317" s="2028">
        <v>8</v>
      </c>
      <c r="H317" s="1951" t="s">
        <v>801</v>
      </c>
      <c r="I317" s="1970"/>
    </row>
    <row r="318" spans="1:9" ht="15.75" hidden="1" thickTop="1" x14ac:dyDescent="0.25">
      <c r="A318" s="1952">
        <v>3299</v>
      </c>
      <c r="B318" s="1953">
        <v>5321</v>
      </c>
      <c r="C318" s="1953">
        <v>32133006</v>
      </c>
      <c r="D318" s="2037" t="s">
        <v>1261</v>
      </c>
      <c r="E318" s="1975">
        <v>0</v>
      </c>
      <c r="F318" s="1975"/>
      <c r="G318" s="2039"/>
      <c r="H318" s="1958" t="e">
        <f>G318/F318*100</f>
        <v>#DIV/0!</v>
      </c>
      <c r="I318" s="1970"/>
    </row>
    <row r="319" spans="1:9" ht="15" hidden="1" x14ac:dyDescent="0.25">
      <c r="A319" s="1952">
        <v>3299</v>
      </c>
      <c r="B319" s="1953">
        <v>5321</v>
      </c>
      <c r="C319" s="1953">
        <v>32533006</v>
      </c>
      <c r="D319" s="2037" t="s">
        <v>1261</v>
      </c>
      <c r="E319" s="1989">
        <v>0</v>
      </c>
      <c r="F319" s="1989"/>
      <c r="G319" s="2036"/>
      <c r="H319" s="1961" t="e">
        <f>G319/F319*100</f>
        <v>#DIV/0!</v>
      </c>
      <c r="I319" s="1970"/>
    </row>
    <row r="320" spans="1:9" ht="16.5" hidden="1" thickTop="1" thickBot="1" x14ac:dyDescent="0.3">
      <c r="A320" s="1980" t="s">
        <v>802</v>
      </c>
      <c r="B320" s="1981"/>
      <c r="C320" s="1981"/>
      <c r="D320" s="1982"/>
      <c r="E320" s="1957">
        <f>SUM(E318:E319)</f>
        <v>0</v>
      </c>
      <c r="F320" s="1957">
        <f>SUM(F318:F319)</f>
        <v>0</v>
      </c>
      <c r="G320" s="1957">
        <f>SUM(G318:G319)</f>
        <v>0</v>
      </c>
      <c r="H320" s="1962" t="e">
        <f>G320/F320*100</f>
        <v>#DIV/0!</v>
      </c>
      <c r="I320" s="1970"/>
    </row>
    <row r="321" spans="1:9" hidden="1" x14ac:dyDescent="0.2">
      <c r="I321" s="1970"/>
    </row>
    <row r="322" spans="1:9" ht="15" hidden="1" x14ac:dyDescent="0.25">
      <c r="A322" s="1942" t="s">
        <v>1018</v>
      </c>
      <c r="D322" s="1936"/>
      <c r="E322" s="1937"/>
      <c r="H322" s="1970"/>
      <c r="I322" s="1970"/>
    </row>
    <row r="323" spans="1:9" ht="15" hidden="1" x14ac:dyDescent="0.25">
      <c r="A323" s="1942" t="s">
        <v>1019</v>
      </c>
      <c r="D323" s="1936"/>
      <c r="E323" s="1937"/>
      <c r="H323" s="2043" t="s">
        <v>173</v>
      </c>
      <c r="I323" s="1970"/>
    </row>
    <row r="324" spans="1:9" ht="25.5" hidden="1" thickTop="1" thickBot="1" x14ac:dyDescent="0.25">
      <c r="A324" s="1943" t="s">
        <v>174</v>
      </c>
      <c r="B324" s="1944" t="s">
        <v>800</v>
      </c>
      <c r="C324" s="1944" t="s">
        <v>397</v>
      </c>
      <c r="D324" s="1945" t="s">
        <v>176</v>
      </c>
      <c r="E324" s="1976" t="s">
        <v>669</v>
      </c>
      <c r="F324" s="1976" t="s">
        <v>670</v>
      </c>
      <c r="G324" s="1977" t="s">
        <v>923</v>
      </c>
      <c r="H324" s="1978" t="s">
        <v>924</v>
      </c>
      <c r="I324" s="1970"/>
    </row>
    <row r="325" spans="1:9" ht="14.25" hidden="1" thickTop="1" thickBot="1" x14ac:dyDescent="0.25">
      <c r="A325" s="1740">
        <v>1</v>
      </c>
      <c r="B325" s="1739">
        <v>2</v>
      </c>
      <c r="C325" s="1739">
        <v>3</v>
      </c>
      <c r="D325" s="1739">
        <v>5</v>
      </c>
      <c r="E325" s="1738">
        <v>6</v>
      </c>
      <c r="F325" s="1738">
        <v>7</v>
      </c>
      <c r="G325" s="2028">
        <v>8</v>
      </c>
      <c r="H325" s="1951" t="s">
        <v>801</v>
      </c>
      <c r="I325" s="1970"/>
    </row>
    <row r="326" spans="1:9" ht="15.75" hidden="1" thickTop="1" x14ac:dyDescent="0.25">
      <c r="A326" s="1952">
        <v>3299</v>
      </c>
      <c r="B326" s="1953">
        <v>5321</v>
      </c>
      <c r="C326" s="1953">
        <v>32133006</v>
      </c>
      <c r="D326" s="2037" t="s">
        <v>1261</v>
      </c>
      <c r="E326" s="1975">
        <v>0</v>
      </c>
      <c r="F326" s="1975"/>
      <c r="G326" s="2039"/>
      <c r="H326" s="1958" t="e">
        <f>G326/F326*100</f>
        <v>#DIV/0!</v>
      </c>
      <c r="I326" s="1970"/>
    </row>
    <row r="327" spans="1:9" ht="15" hidden="1" x14ac:dyDescent="0.25">
      <c r="A327" s="1952">
        <v>3299</v>
      </c>
      <c r="B327" s="1953">
        <v>5321</v>
      </c>
      <c r="C327" s="1953">
        <v>32533006</v>
      </c>
      <c r="D327" s="2037" t="s">
        <v>1261</v>
      </c>
      <c r="E327" s="1989">
        <v>0</v>
      </c>
      <c r="F327" s="1989"/>
      <c r="G327" s="2036"/>
      <c r="H327" s="1961" t="e">
        <f>G327/F327*100</f>
        <v>#DIV/0!</v>
      </c>
      <c r="I327" s="1970"/>
    </row>
    <row r="328" spans="1:9" ht="15" hidden="1" x14ac:dyDescent="0.25">
      <c r="A328" s="1952">
        <v>3299</v>
      </c>
      <c r="B328" s="1953">
        <v>6341</v>
      </c>
      <c r="C328" s="1953">
        <v>32133006</v>
      </c>
      <c r="D328" s="2037" t="s">
        <v>261</v>
      </c>
      <c r="E328" s="1989">
        <v>0</v>
      </c>
      <c r="F328" s="1989">
        <v>0</v>
      </c>
      <c r="G328" s="2036">
        <v>0</v>
      </c>
      <c r="H328" s="1961" t="e">
        <f>G328/F328*100</f>
        <v>#DIV/0!</v>
      </c>
      <c r="I328" s="1970"/>
    </row>
    <row r="329" spans="1:9" ht="15" hidden="1" x14ac:dyDescent="0.25">
      <c r="A329" s="1952">
        <v>3299</v>
      </c>
      <c r="B329" s="1953">
        <v>6341</v>
      </c>
      <c r="C329" s="1953">
        <v>32533006</v>
      </c>
      <c r="D329" s="2037" t="s">
        <v>261</v>
      </c>
      <c r="E329" s="1989">
        <v>0</v>
      </c>
      <c r="F329" s="1989">
        <v>0</v>
      </c>
      <c r="G329" s="2036">
        <v>0</v>
      </c>
      <c r="H329" s="1961" t="e">
        <f>G329/F329*100</f>
        <v>#DIV/0!</v>
      </c>
      <c r="I329" s="1970"/>
    </row>
    <row r="330" spans="1:9" ht="16.5" hidden="1" thickTop="1" thickBot="1" x14ac:dyDescent="0.3">
      <c r="A330" s="1980" t="s">
        <v>802</v>
      </c>
      <c r="B330" s="1981"/>
      <c r="C330" s="1981"/>
      <c r="D330" s="1982"/>
      <c r="E330" s="1957">
        <f>SUM(E326:E329)</f>
        <v>0</v>
      </c>
      <c r="F330" s="1957">
        <f>SUM(F326:F329)</f>
        <v>0</v>
      </c>
      <c r="G330" s="1957">
        <f>SUM(G326:G329)</f>
        <v>0</v>
      </c>
      <c r="H330" s="1962" t="e">
        <f>G330/F330*100</f>
        <v>#DIV/0!</v>
      </c>
      <c r="I330" s="1970"/>
    </row>
    <row r="331" spans="1:9" hidden="1" x14ac:dyDescent="0.2">
      <c r="I331" s="1970"/>
    </row>
    <row r="332" spans="1:9" ht="15" x14ac:dyDescent="0.25">
      <c r="A332" s="1942" t="s">
        <v>1020</v>
      </c>
      <c r="D332" s="1936"/>
      <c r="E332" s="1937"/>
      <c r="H332" s="1970"/>
      <c r="I332" s="1970"/>
    </row>
    <row r="333" spans="1:9" ht="15.75" thickBot="1" x14ac:dyDescent="0.3">
      <c r="A333" s="1942" t="s">
        <v>1021</v>
      </c>
      <c r="D333" s="1936"/>
      <c r="E333" s="1937"/>
      <c r="H333" s="2043" t="s">
        <v>173</v>
      </c>
      <c r="I333" s="1970"/>
    </row>
    <row r="334" spans="1:9" ht="25.5" thickTop="1" thickBot="1" x14ac:dyDescent="0.25">
      <c r="A334" s="1943" t="s">
        <v>174</v>
      </c>
      <c r="B334" s="1944" t="s">
        <v>800</v>
      </c>
      <c r="C334" s="1944" t="s">
        <v>397</v>
      </c>
      <c r="D334" s="1945" t="s">
        <v>176</v>
      </c>
      <c r="E334" s="1976" t="s">
        <v>669</v>
      </c>
      <c r="F334" s="1976" t="s">
        <v>670</v>
      </c>
      <c r="G334" s="1977" t="s">
        <v>923</v>
      </c>
      <c r="H334" s="1978" t="s">
        <v>924</v>
      </c>
      <c r="I334" s="1970"/>
    </row>
    <row r="335" spans="1:9" ht="14.25" thickTop="1" thickBot="1" x14ac:dyDescent="0.25">
      <c r="A335" s="1740">
        <v>1</v>
      </c>
      <c r="B335" s="1739">
        <v>2</v>
      </c>
      <c r="C335" s="1739">
        <v>3</v>
      </c>
      <c r="D335" s="1739">
        <v>5</v>
      </c>
      <c r="E335" s="1738">
        <v>6</v>
      </c>
      <c r="F335" s="1738">
        <v>7</v>
      </c>
      <c r="G335" s="2028">
        <v>8</v>
      </c>
      <c r="H335" s="1951" t="s">
        <v>801</v>
      </c>
      <c r="I335" s="1970"/>
    </row>
    <row r="336" spans="1:9" ht="30.75" thickTop="1" x14ac:dyDescent="0.25">
      <c r="A336" s="2049">
        <v>3299</v>
      </c>
      <c r="B336" s="2056">
        <v>5329</v>
      </c>
      <c r="C336" s="2056">
        <v>32133006</v>
      </c>
      <c r="D336" s="2075" t="s">
        <v>1022</v>
      </c>
      <c r="E336" s="1975">
        <v>0</v>
      </c>
      <c r="F336" s="1975">
        <v>42</v>
      </c>
      <c r="G336" s="2039">
        <v>42</v>
      </c>
      <c r="H336" s="1958">
        <f>G336/F336*100</f>
        <v>100</v>
      </c>
      <c r="I336" s="1970"/>
    </row>
    <row r="337" spans="1:9" ht="30.75" thickBot="1" x14ac:dyDescent="0.3">
      <c r="A337" s="2049">
        <v>3299</v>
      </c>
      <c r="B337" s="2056">
        <v>5329</v>
      </c>
      <c r="C337" s="2056">
        <v>32533006</v>
      </c>
      <c r="D337" s="2075" t="s">
        <v>1022</v>
      </c>
      <c r="E337" s="1989">
        <v>0</v>
      </c>
      <c r="F337" s="1989">
        <v>239</v>
      </c>
      <c r="G337" s="2036">
        <v>239</v>
      </c>
      <c r="H337" s="1961">
        <f>G337/F337*100</f>
        <v>100</v>
      </c>
      <c r="I337" s="1970"/>
    </row>
    <row r="338" spans="1:9" ht="30.75" hidden="1" thickBot="1" x14ac:dyDescent="0.3">
      <c r="A338" s="2049">
        <v>3299</v>
      </c>
      <c r="B338" s="2056">
        <v>6329</v>
      </c>
      <c r="C338" s="2056">
        <v>32133006</v>
      </c>
      <c r="D338" s="2075" t="s">
        <v>1023</v>
      </c>
      <c r="E338" s="1989">
        <v>0</v>
      </c>
      <c r="F338" s="1989">
        <v>0</v>
      </c>
      <c r="G338" s="2036">
        <v>0</v>
      </c>
      <c r="H338" s="1961" t="e">
        <f>G338/F338*100</f>
        <v>#DIV/0!</v>
      </c>
      <c r="I338" s="1970"/>
    </row>
    <row r="339" spans="1:9" ht="30.75" hidden="1" thickBot="1" x14ac:dyDescent="0.3">
      <c r="A339" s="2049">
        <v>3299</v>
      </c>
      <c r="B339" s="2056">
        <v>6329</v>
      </c>
      <c r="C339" s="2056">
        <v>32533006</v>
      </c>
      <c r="D339" s="2075" t="s">
        <v>1023</v>
      </c>
      <c r="E339" s="1989"/>
      <c r="F339" s="1989">
        <v>0</v>
      </c>
      <c r="G339" s="2036">
        <v>0</v>
      </c>
      <c r="H339" s="1961" t="e">
        <f>G339/F339*100</f>
        <v>#DIV/0!</v>
      </c>
      <c r="I339" s="1970"/>
    </row>
    <row r="340" spans="1:9" ht="30.75" hidden="1" thickBot="1" x14ac:dyDescent="0.3">
      <c r="A340" s="2049">
        <v>3299</v>
      </c>
      <c r="B340" s="2056">
        <v>6349</v>
      </c>
      <c r="C340" s="2056">
        <v>32133006</v>
      </c>
      <c r="D340" s="2075" t="s">
        <v>1024</v>
      </c>
      <c r="E340" s="1989">
        <v>0</v>
      </c>
      <c r="F340" s="1989">
        <v>0</v>
      </c>
      <c r="G340" s="2036">
        <v>0</v>
      </c>
      <c r="H340" s="1961">
        <v>0</v>
      </c>
      <c r="I340" s="1970"/>
    </row>
    <row r="341" spans="1:9" ht="30.75" hidden="1" thickBot="1" x14ac:dyDescent="0.3">
      <c r="A341" s="2049">
        <v>3299</v>
      </c>
      <c r="B341" s="2056">
        <v>6349</v>
      </c>
      <c r="C341" s="2056">
        <v>32533006</v>
      </c>
      <c r="D341" s="2075" t="s">
        <v>1024</v>
      </c>
      <c r="E341" s="1989">
        <v>0</v>
      </c>
      <c r="F341" s="1989">
        <v>0</v>
      </c>
      <c r="G341" s="2036">
        <v>0</v>
      </c>
      <c r="H341" s="1961">
        <v>0</v>
      </c>
      <c r="I341" s="1970"/>
    </row>
    <row r="342" spans="1:9" ht="16.5" thickTop="1" thickBot="1" x14ac:dyDescent="0.3">
      <c r="A342" s="1980" t="s">
        <v>802</v>
      </c>
      <c r="B342" s="1981"/>
      <c r="C342" s="1981"/>
      <c r="D342" s="1982"/>
      <c r="E342" s="1957">
        <f>SUM(E336:E341)</f>
        <v>0</v>
      </c>
      <c r="F342" s="1957">
        <f>SUM(F336:F341)</f>
        <v>281</v>
      </c>
      <c r="G342" s="1957">
        <f>SUM(G336:G341)</f>
        <v>281</v>
      </c>
      <c r="H342" s="1962">
        <f>G342/F342*100</f>
        <v>100</v>
      </c>
      <c r="I342" s="1970"/>
    </row>
    <row r="343" spans="1:9" ht="15.75" hidden="1" thickTop="1" x14ac:dyDescent="0.25">
      <c r="A343" s="1994"/>
      <c r="B343" s="1994"/>
      <c r="C343" s="1994"/>
      <c r="D343" s="1994"/>
      <c r="E343" s="1964"/>
      <c r="F343" s="1964"/>
      <c r="G343" s="1964"/>
      <c r="H343" s="1995"/>
      <c r="I343" s="1970"/>
    </row>
    <row r="344" spans="1:9" ht="15.75" hidden="1" thickTop="1" x14ac:dyDescent="0.25">
      <c r="A344" s="1942" t="s">
        <v>243</v>
      </c>
      <c r="D344" s="1936"/>
      <c r="E344" s="1937"/>
      <c r="H344" s="1970"/>
      <c r="I344" s="1970"/>
    </row>
    <row r="345" spans="1:9" ht="15.75" hidden="1" thickTop="1" x14ac:dyDescent="0.25">
      <c r="A345" s="1942" t="s">
        <v>244</v>
      </c>
      <c r="D345" s="1936"/>
      <c r="E345" s="1937"/>
      <c r="H345" s="2043" t="s">
        <v>173</v>
      </c>
      <c r="I345" s="1970"/>
    </row>
    <row r="346" spans="1:9" ht="25.5" hidden="1" thickTop="1" thickBot="1" x14ac:dyDescent="0.25">
      <c r="A346" s="1943" t="s">
        <v>174</v>
      </c>
      <c r="B346" s="1944" t="s">
        <v>800</v>
      </c>
      <c r="C346" s="1944" t="s">
        <v>397</v>
      </c>
      <c r="D346" s="1945" t="s">
        <v>176</v>
      </c>
      <c r="E346" s="1976" t="s">
        <v>669</v>
      </c>
      <c r="F346" s="1976" t="s">
        <v>670</v>
      </c>
      <c r="G346" s="1977" t="s">
        <v>923</v>
      </c>
      <c r="H346" s="1978" t="s">
        <v>924</v>
      </c>
      <c r="I346" s="1970"/>
    </row>
    <row r="347" spans="1:9" ht="14.25" hidden="1" thickTop="1" thickBot="1" x14ac:dyDescent="0.25">
      <c r="A347" s="1740">
        <v>1</v>
      </c>
      <c r="B347" s="1739">
        <v>2</v>
      </c>
      <c r="C347" s="1739">
        <v>3</v>
      </c>
      <c r="D347" s="1739">
        <v>5</v>
      </c>
      <c r="E347" s="1738">
        <v>6</v>
      </c>
      <c r="F347" s="1738">
        <v>7</v>
      </c>
      <c r="G347" s="2028">
        <v>8</v>
      </c>
      <c r="H347" s="1951" t="s">
        <v>801</v>
      </c>
      <c r="I347" s="1970"/>
    </row>
    <row r="348" spans="1:9" ht="15.75" hidden="1" thickTop="1" x14ac:dyDescent="0.25">
      <c r="A348" s="1952">
        <v>3299</v>
      </c>
      <c r="B348" s="1953">
        <v>5321</v>
      </c>
      <c r="C348" s="1953">
        <v>32133006</v>
      </c>
      <c r="D348" s="2037" t="s">
        <v>1261</v>
      </c>
      <c r="E348" s="1975">
        <v>0</v>
      </c>
      <c r="F348" s="1975"/>
      <c r="G348" s="2039"/>
      <c r="H348" s="1958" t="e">
        <f>G348/F348*100</f>
        <v>#DIV/0!</v>
      </c>
      <c r="I348" s="1970"/>
    </row>
    <row r="349" spans="1:9" ht="15.75" hidden="1" thickTop="1" x14ac:dyDescent="0.25">
      <c r="A349" s="1952">
        <v>3299</v>
      </c>
      <c r="B349" s="1953">
        <v>5321</v>
      </c>
      <c r="C349" s="1953">
        <v>32533006</v>
      </c>
      <c r="D349" s="2037" t="s">
        <v>1261</v>
      </c>
      <c r="E349" s="1989">
        <v>0</v>
      </c>
      <c r="F349" s="1989"/>
      <c r="G349" s="2036"/>
      <c r="H349" s="1961" t="e">
        <f>G349/F349*100</f>
        <v>#DIV/0!</v>
      </c>
      <c r="I349" s="1970"/>
    </row>
    <row r="350" spans="1:9" ht="15.75" hidden="1" thickTop="1" x14ac:dyDescent="0.25">
      <c r="A350" s="1952">
        <v>3299</v>
      </c>
      <c r="B350" s="1953">
        <v>6341</v>
      </c>
      <c r="C350" s="1953">
        <v>32133006</v>
      </c>
      <c r="D350" s="2037" t="s">
        <v>261</v>
      </c>
      <c r="E350" s="1989">
        <v>0</v>
      </c>
      <c r="F350" s="1989">
        <v>0</v>
      </c>
      <c r="G350" s="2036">
        <v>0</v>
      </c>
      <c r="H350" s="1961" t="e">
        <f>G350/F350*100</f>
        <v>#DIV/0!</v>
      </c>
      <c r="I350" s="1970"/>
    </row>
    <row r="351" spans="1:9" ht="15.75" hidden="1" thickTop="1" x14ac:dyDescent="0.25">
      <c r="A351" s="1952">
        <v>3299</v>
      </c>
      <c r="B351" s="1953">
        <v>6341</v>
      </c>
      <c r="C351" s="1953">
        <v>32533006</v>
      </c>
      <c r="D351" s="2037" t="s">
        <v>261</v>
      </c>
      <c r="E351" s="1989">
        <v>0</v>
      </c>
      <c r="F351" s="1989">
        <v>0</v>
      </c>
      <c r="G351" s="2036">
        <v>0</v>
      </c>
      <c r="H351" s="1961" t="e">
        <f>G351/F351*100</f>
        <v>#DIV/0!</v>
      </c>
      <c r="I351" s="1970"/>
    </row>
    <row r="352" spans="1:9" ht="16.5" hidden="1" thickTop="1" thickBot="1" x14ac:dyDescent="0.3">
      <c r="A352" s="1980" t="s">
        <v>802</v>
      </c>
      <c r="B352" s="1981"/>
      <c r="C352" s="1981"/>
      <c r="D352" s="1982"/>
      <c r="E352" s="1957">
        <f>SUM(E348:E351)</f>
        <v>0</v>
      </c>
      <c r="F352" s="1957">
        <f>SUM(F348:F351)</f>
        <v>0</v>
      </c>
      <c r="G352" s="1957">
        <f>SUM(G348:G351)</f>
        <v>0</v>
      </c>
      <c r="H352" s="1962" t="e">
        <f>G352/F352*100</f>
        <v>#DIV/0!</v>
      </c>
      <c r="I352" s="1970"/>
    </row>
    <row r="353" spans="1:9" ht="15.75" thickTop="1" x14ac:dyDescent="0.25">
      <c r="A353" s="1994"/>
      <c r="B353" s="1994"/>
      <c r="C353" s="1994"/>
      <c r="D353" s="1994"/>
      <c r="E353" s="1964"/>
      <c r="F353" s="1964"/>
      <c r="G353" s="1964"/>
      <c r="H353" s="1995"/>
      <c r="I353" s="1970"/>
    </row>
    <row r="354" spans="1:9" ht="15" x14ac:dyDescent="0.25">
      <c r="A354" s="1942" t="s">
        <v>1025</v>
      </c>
      <c r="D354" s="1936"/>
      <c r="E354" s="1937"/>
      <c r="H354" s="1970"/>
      <c r="I354" s="1970"/>
    </row>
    <row r="355" spans="1:9" ht="15.75" thickBot="1" x14ac:dyDescent="0.3">
      <c r="A355" s="1942" t="s">
        <v>1026</v>
      </c>
      <c r="D355" s="1936"/>
      <c r="E355" s="1937"/>
      <c r="H355" s="2043" t="s">
        <v>173</v>
      </c>
      <c r="I355" s="1970"/>
    </row>
    <row r="356" spans="1:9" ht="25.5" thickTop="1" thickBot="1" x14ac:dyDescent="0.25">
      <c r="A356" s="1943" t="s">
        <v>174</v>
      </c>
      <c r="B356" s="1944" t="s">
        <v>800</v>
      </c>
      <c r="C356" s="1944" t="s">
        <v>397</v>
      </c>
      <c r="D356" s="1945" t="s">
        <v>176</v>
      </c>
      <c r="E356" s="1976" t="s">
        <v>669</v>
      </c>
      <c r="F356" s="1976" t="s">
        <v>670</v>
      </c>
      <c r="G356" s="1977" t="s">
        <v>923</v>
      </c>
      <c r="H356" s="1978" t="s">
        <v>924</v>
      </c>
      <c r="I356" s="1970"/>
    </row>
    <row r="357" spans="1:9" ht="14.25" thickTop="1" thickBot="1" x14ac:dyDescent="0.25">
      <c r="A357" s="1740">
        <v>1</v>
      </c>
      <c r="B357" s="1739">
        <v>2</v>
      </c>
      <c r="C357" s="1739">
        <v>3</v>
      </c>
      <c r="D357" s="1739">
        <v>5</v>
      </c>
      <c r="E357" s="1738">
        <v>6</v>
      </c>
      <c r="F357" s="1738">
        <v>7</v>
      </c>
      <c r="G357" s="2028">
        <v>8</v>
      </c>
      <c r="H357" s="1951" t="s">
        <v>801</v>
      </c>
      <c r="I357" s="1970"/>
    </row>
    <row r="358" spans="1:9" ht="15.75" thickTop="1" x14ac:dyDescent="0.25">
      <c r="A358" s="1952">
        <v>3299</v>
      </c>
      <c r="B358" s="1953">
        <v>5321</v>
      </c>
      <c r="C358" s="1953">
        <v>32133006</v>
      </c>
      <c r="D358" s="2037" t="s">
        <v>1261</v>
      </c>
      <c r="E358" s="1975">
        <v>0</v>
      </c>
      <c r="F358" s="1975">
        <v>70</v>
      </c>
      <c r="G358" s="2039">
        <v>0</v>
      </c>
      <c r="H358" s="1958">
        <f>G358/F358*100</f>
        <v>0</v>
      </c>
      <c r="I358" s="1970"/>
    </row>
    <row r="359" spans="1:9" ht="15.75" thickBot="1" x14ac:dyDescent="0.3">
      <c r="A359" s="1952">
        <v>3299</v>
      </c>
      <c r="B359" s="1953">
        <v>5321</v>
      </c>
      <c r="C359" s="1953">
        <v>32533006</v>
      </c>
      <c r="D359" s="2037" t="s">
        <v>1261</v>
      </c>
      <c r="E359" s="1989">
        <v>0</v>
      </c>
      <c r="F359" s="1989">
        <v>399</v>
      </c>
      <c r="G359" s="2036">
        <v>0</v>
      </c>
      <c r="H359" s="1961">
        <f>G359/F359*100</f>
        <v>0</v>
      </c>
      <c r="I359" s="1970"/>
    </row>
    <row r="360" spans="1:9" ht="16.5" thickTop="1" thickBot="1" x14ac:dyDescent="0.3">
      <c r="A360" s="1980" t="s">
        <v>802</v>
      </c>
      <c r="B360" s="1981"/>
      <c r="C360" s="1981"/>
      <c r="D360" s="1982"/>
      <c r="E360" s="1957">
        <f>SUM(E358:E359)</f>
        <v>0</v>
      </c>
      <c r="F360" s="1957">
        <f>SUM(F358:F359)</f>
        <v>469</v>
      </c>
      <c r="G360" s="1957">
        <f>SUM(G358:G359)</f>
        <v>0</v>
      </c>
      <c r="H360" s="1962">
        <f>G360/F360*100</f>
        <v>0</v>
      </c>
      <c r="I360" s="1970"/>
    </row>
    <row r="361" spans="1:9" ht="15.75" hidden="1" thickTop="1" x14ac:dyDescent="0.25">
      <c r="A361" s="1994"/>
      <c r="B361" s="1994"/>
      <c r="C361" s="1994"/>
      <c r="D361" s="1994"/>
      <c r="E361" s="1964"/>
      <c r="F361" s="1964"/>
      <c r="G361" s="1964"/>
      <c r="H361" s="1995"/>
      <c r="I361" s="1970"/>
    </row>
    <row r="362" spans="1:9" ht="15.75" hidden="1" thickTop="1" x14ac:dyDescent="0.25">
      <c r="A362" s="1942" t="s">
        <v>1027</v>
      </c>
      <c r="D362" s="1936"/>
      <c r="E362" s="1937"/>
      <c r="H362" s="1970"/>
      <c r="I362" s="1970"/>
    </row>
    <row r="363" spans="1:9" ht="15.75" hidden="1" thickTop="1" x14ac:dyDescent="0.25">
      <c r="A363" s="1942" t="s">
        <v>1028</v>
      </c>
      <c r="D363" s="1936"/>
      <c r="E363" s="1937"/>
      <c r="H363" s="2043" t="s">
        <v>173</v>
      </c>
      <c r="I363" s="1970"/>
    </row>
    <row r="364" spans="1:9" ht="25.5" hidden="1" thickTop="1" thickBot="1" x14ac:dyDescent="0.25">
      <c r="A364" s="1943" t="s">
        <v>174</v>
      </c>
      <c r="B364" s="1944" t="s">
        <v>800</v>
      </c>
      <c r="C364" s="1944" t="s">
        <v>397</v>
      </c>
      <c r="D364" s="1945" t="s">
        <v>176</v>
      </c>
      <c r="E364" s="1976" t="s">
        <v>669</v>
      </c>
      <c r="F364" s="1976" t="s">
        <v>670</v>
      </c>
      <c r="G364" s="1977" t="s">
        <v>923</v>
      </c>
      <c r="H364" s="1978" t="s">
        <v>924</v>
      </c>
      <c r="I364" s="1970"/>
    </row>
    <row r="365" spans="1:9" ht="14.25" hidden="1" thickTop="1" thickBot="1" x14ac:dyDescent="0.25">
      <c r="A365" s="1740">
        <v>1</v>
      </c>
      <c r="B365" s="1739">
        <v>2</v>
      </c>
      <c r="C365" s="1739">
        <v>3</v>
      </c>
      <c r="D365" s="1739">
        <v>5</v>
      </c>
      <c r="E365" s="1738">
        <v>6</v>
      </c>
      <c r="F365" s="1738">
        <v>7</v>
      </c>
      <c r="G365" s="2028">
        <v>8</v>
      </c>
      <c r="H365" s="1951" t="s">
        <v>801</v>
      </c>
      <c r="I365" s="1970"/>
    </row>
    <row r="366" spans="1:9" ht="15.75" hidden="1" thickTop="1" x14ac:dyDescent="0.25">
      <c r="A366" s="1952">
        <v>3299</v>
      </c>
      <c r="B366" s="1953">
        <v>5321</v>
      </c>
      <c r="C366" s="1953">
        <v>32133006</v>
      </c>
      <c r="D366" s="2037" t="s">
        <v>1261</v>
      </c>
      <c r="E366" s="1975">
        <v>0</v>
      </c>
      <c r="F366" s="1975"/>
      <c r="G366" s="2039"/>
      <c r="H366" s="1958" t="e">
        <f>G366/F366*100</f>
        <v>#DIV/0!</v>
      </c>
      <c r="I366" s="1970"/>
    </row>
    <row r="367" spans="1:9" ht="15.75" hidden="1" thickTop="1" x14ac:dyDescent="0.25">
      <c r="A367" s="1952">
        <v>3299</v>
      </c>
      <c r="B367" s="1953">
        <v>5321</v>
      </c>
      <c r="C367" s="1953">
        <v>32533006</v>
      </c>
      <c r="D367" s="2037" t="s">
        <v>1261</v>
      </c>
      <c r="E367" s="1989">
        <v>0</v>
      </c>
      <c r="F367" s="1989"/>
      <c r="G367" s="2036"/>
      <c r="H367" s="1961" t="e">
        <f>G367/F367*100</f>
        <v>#DIV/0!</v>
      </c>
      <c r="I367" s="1970"/>
    </row>
    <row r="368" spans="1:9" ht="15.75" hidden="1" thickTop="1" x14ac:dyDescent="0.25">
      <c r="A368" s="1952">
        <v>3299</v>
      </c>
      <c r="B368" s="1953">
        <v>6341</v>
      </c>
      <c r="C368" s="1953">
        <v>32133006</v>
      </c>
      <c r="D368" s="2037" t="s">
        <v>261</v>
      </c>
      <c r="E368" s="1989">
        <v>0</v>
      </c>
      <c r="F368" s="1989">
        <v>0</v>
      </c>
      <c r="G368" s="2036">
        <v>0</v>
      </c>
      <c r="H368" s="1961" t="e">
        <f>G368/F368*100</f>
        <v>#DIV/0!</v>
      </c>
      <c r="I368" s="1970"/>
    </row>
    <row r="369" spans="1:9" ht="15.75" hidden="1" thickTop="1" x14ac:dyDescent="0.25">
      <c r="A369" s="1952">
        <v>3299</v>
      </c>
      <c r="B369" s="1953">
        <v>6341</v>
      </c>
      <c r="C369" s="1953">
        <v>32533006</v>
      </c>
      <c r="D369" s="2037" t="s">
        <v>261</v>
      </c>
      <c r="E369" s="1989">
        <v>0</v>
      </c>
      <c r="F369" s="1989">
        <v>0</v>
      </c>
      <c r="G369" s="2036">
        <v>0</v>
      </c>
      <c r="H369" s="1961" t="e">
        <f>G369/F369*100</f>
        <v>#DIV/0!</v>
      </c>
      <c r="I369" s="1970"/>
    </row>
    <row r="370" spans="1:9" ht="16.5" hidden="1" thickTop="1" thickBot="1" x14ac:dyDescent="0.3">
      <c r="A370" s="1980" t="s">
        <v>802</v>
      </c>
      <c r="B370" s="1981"/>
      <c r="C370" s="1981"/>
      <c r="D370" s="1982"/>
      <c r="E370" s="1957">
        <f>SUM(E366:E369)</f>
        <v>0</v>
      </c>
      <c r="F370" s="1957">
        <f>SUM(F366:F369)</f>
        <v>0</v>
      </c>
      <c r="G370" s="1957">
        <f>SUM(G366:G369)</f>
        <v>0</v>
      </c>
      <c r="H370" s="1962" t="e">
        <f>G370/F370*100</f>
        <v>#DIV/0!</v>
      </c>
      <c r="I370" s="1970"/>
    </row>
    <row r="371" spans="1:9" ht="15.75" thickTop="1" x14ac:dyDescent="0.25">
      <c r="A371" s="1994"/>
      <c r="B371" s="1994"/>
      <c r="C371" s="1994"/>
      <c r="D371" s="1994"/>
      <c r="E371" s="1964"/>
      <c r="F371" s="1964"/>
      <c r="G371" s="1964"/>
      <c r="H371" s="1995"/>
      <c r="I371" s="1970"/>
    </row>
    <row r="372" spans="1:9" ht="15" x14ac:dyDescent="0.25">
      <c r="A372" s="1942" t="s">
        <v>1029</v>
      </c>
      <c r="D372" s="1936"/>
      <c r="E372" s="1937"/>
      <c r="H372" s="1970"/>
      <c r="I372" s="1970"/>
    </row>
    <row r="373" spans="1:9" ht="15.75" thickBot="1" x14ac:dyDescent="0.3">
      <c r="A373" s="1942" t="s">
        <v>1030</v>
      </c>
      <c r="D373" s="1936"/>
      <c r="E373" s="1937"/>
      <c r="H373" s="2043" t="s">
        <v>173</v>
      </c>
      <c r="I373" s="1970"/>
    </row>
    <row r="374" spans="1:9" ht="25.5" thickTop="1" thickBot="1" x14ac:dyDescent="0.25">
      <c r="A374" s="1943" t="s">
        <v>174</v>
      </c>
      <c r="B374" s="1944" t="s">
        <v>800</v>
      </c>
      <c r="C374" s="1944" t="s">
        <v>397</v>
      </c>
      <c r="D374" s="1945" t="s">
        <v>176</v>
      </c>
      <c r="E374" s="1976" t="s">
        <v>669</v>
      </c>
      <c r="F374" s="1976" t="s">
        <v>670</v>
      </c>
      <c r="G374" s="1977" t="s">
        <v>923</v>
      </c>
      <c r="H374" s="1978" t="s">
        <v>924</v>
      </c>
      <c r="I374" s="1970"/>
    </row>
    <row r="375" spans="1:9" ht="14.25" thickTop="1" thickBot="1" x14ac:dyDescent="0.25">
      <c r="A375" s="1740">
        <v>1</v>
      </c>
      <c r="B375" s="1739">
        <v>2</v>
      </c>
      <c r="C375" s="1739">
        <v>3</v>
      </c>
      <c r="D375" s="1739">
        <v>5</v>
      </c>
      <c r="E375" s="1738">
        <v>6</v>
      </c>
      <c r="F375" s="1738">
        <v>7</v>
      </c>
      <c r="G375" s="2028">
        <v>8</v>
      </c>
      <c r="H375" s="1951" t="s">
        <v>801</v>
      </c>
      <c r="I375" s="1970"/>
    </row>
    <row r="376" spans="1:9" ht="15.75" thickTop="1" x14ac:dyDescent="0.25">
      <c r="A376" s="1952">
        <v>3299</v>
      </c>
      <c r="B376" s="1953">
        <v>5321</v>
      </c>
      <c r="C376" s="1953">
        <v>32133006</v>
      </c>
      <c r="D376" s="2037" t="s">
        <v>1261</v>
      </c>
      <c r="E376" s="1975">
        <v>0</v>
      </c>
      <c r="F376" s="1975">
        <v>24</v>
      </c>
      <c r="G376" s="2039">
        <v>24</v>
      </c>
      <c r="H376" s="1958">
        <f>G376/F376*100</f>
        <v>100</v>
      </c>
      <c r="I376" s="1970"/>
    </row>
    <row r="377" spans="1:9" ht="15.75" thickBot="1" x14ac:dyDescent="0.3">
      <c r="A377" s="1952">
        <v>3299</v>
      </c>
      <c r="B377" s="1953">
        <v>5321</v>
      </c>
      <c r="C377" s="1953">
        <v>32533006</v>
      </c>
      <c r="D377" s="2037" t="s">
        <v>1261</v>
      </c>
      <c r="E377" s="1989">
        <v>0</v>
      </c>
      <c r="F377" s="1989">
        <v>135</v>
      </c>
      <c r="G377" s="2036">
        <v>135</v>
      </c>
      <c r="H377" s="1961">
        <f>G377/F377*100</f>
        <v>100</v>
      </c>
      <c r="I377" s="1970"/>
    </row>
    <row r="378" spans="1:9" ht="15.75" hidden="1" thickBot="1" x14ac:dyDescent="0.3">
      <c r="A378" s="1952">
        <v>3299</v>
      </c>
      <c r="B378" s="1953">
        <v>6341</v>
      </c>
      <c r="C378" s="1953">
        <v>32133006</v>
      </c>
      <c r="D378" s="2037" t="s">
        <v>261</v>
      </c>
      <c r="E378" s="1989">
        <v>0</v>
      </c>
      <c r="F378" s="1989">
        <v>0</v>
      </c>
      <c r="G378" s="2036">
        <v>0</v>
      </c>
      <c r="H378" s="1961" t="e">
        <f>G378/F378*100</f>
        <v>#DIV/0!</v>
      </c>
      <c r="I378" s="1970"/>
    </row>
    <row r="379" spans="1:9" ht="15.75" hidden="1" thickBot="1" x14ac:dyDescent="0.3">
      <c r="A379" s="1952">
        <v>3299</v>
      </c>
      <c r="B379" s="1953">
        <v>6341</v>
      </c>
      <c r="C379" s="1953">
        <v>32533006</v>
      </c>
      <c r="D379" s="2037" t="s">
        <v>261</v>
      </c>
      <c r="E379" s="1989">
        <v>0</v>
      </c>
      <c r="F379" s="1989">
        <v>0</v>
      </c>
      <c r="G379" s="2036">
        <v>0</v>
      </c>
      <c r="H379" s="1961" t="e">
        <f>G379/F379*100</f>
        <v>#DIV/0!</v>
      </c>
      <c r="I379" s="1970"/>
    </row>
    <row r="380" spans="1:9" ht="16.5" thickTop="1" thickBot="1" x14ac:dyDescent="0.3">
      <c r="A380" s="1980" t="s">
        <v>802</v>
      </c>
      <c r="B380" s="1981"/>
      <c r="C380" s="1981"/>
      <c r="D380" s="1982"/>
      <c r="E380" s="1957">
        <f>SUM(E376:E379)</f>
        <v>0</v>
      </c>
      <c r="F380" s="1957">
        <f>SUM(F376:F379)</f>
        <v>159</v>
      </c>
      <c r="G380" s="1957">
        <f>SUM(G376:G379)</f>
        <v>159</v>
      </c>
      <c r="H380" s="1962">
        <f>G380/F380*100</f>
        <v>100</v>
      </c>
      <c r="I380" s="1970"/>
    </row>
    <row r="381" spans="1:9" ht="15.75" thickTop="1" x14ac:dyDescent="0.25">
      <c r="A381" s="1994"/>
      <c r="B381" s="1994"/>
      <c r="C381" s="1994"/>
      <c r="D381" s="1994"/>
      <c r="E381" s="1964"/>
      <c r="F381" s="1964"/>
      <c r="G381" s="1964"/>
      <c r="H381" s="1995"/>
      <c r="I381" s="1970"/>
    </row>
    <row r="382" spans="1:9" ht="15" hidden="1" x14ac:dyDescent="0.25">
      <c r="A382" s="1942" t="s">
        <v>1031</v>
      </c>
      <c r="D382" s="1936"/>
      <c r="E382" s="1937"/>
      <c r="H382" s="1970"/>
      <c r="I382" s="1970"/>
    </row>
    <row r="383" spans="1:9" ht="15" hidden="1" x14ac:dyDescent="0.25">
      <c r="A383" s="1942" t="s">
        <v>1032</v>
      </c>
      <c r="D383" s="1936"/>
      <c r="E383" s="1937"/>
      <c r="H383" s="2043" t="s">
        <v>173</v>
      </c>
      <c r="I383" s="1970"/>
    </row>
    <row r="384" spans="1:9" ht="25.5" hidden="1" thickTop="1" thickBot="1" x14ac:dyDescent="0.25">
      <c r="A384" s="1943" t="s">
        <v>174</v>
      </c>
      <c r="B384" s="1944" t="s">
        <v>800</v>
      </c>
      <c r="C384" s="1944" t="s">
        <v>397</v>
      </c>
      <c r="D384" s="1945" t="s">
        <v>176</v>
      </c>
      <c r="E384" s="1976" t="s">
        <v>669</v>
      </c>
      <c r="F384" s="1976" t="s">
        <v>670</v>
      </c>
      <c r="G384" s="1977" t="s">
        <v>923</v>
      </c>
      <c r="H384" s="1978" t="s">
        <v>924</v>
      </c>
      <c r="I384" s="1970"/>
    </row>
    <row r="385" spans="1:9" ht="14.25" hidden="1" thickTop="1" thickBot="1" x14ac:dyDescent="0.25">
      <c r="A385" s="1740">
        <v>1</v>
      </c>
      <c r="B385" s="1739">
        <v>2</v>
      </c>
      <c r="C385" s="1739">
        <v>3</v>
      </c>
      <c r="D385" s="1739">
        <v>5</v>
      </c>
      <c r="E385" s="1738">
        <v>6</v>
      </c>
      <c r="F385" s="1738">
        <v>7</v>
      </c>
      <c r="G385" s="2028">
        <v>8</v>
      </c>
      <c r="H385" s="1951" t="s">
        <v>801</v>
      </c>
      <c r="I385" s="1970"/>
    </row>
    <row r="386" spans="1:9" ht="15.75" hidden="1" thickTop="1" x14ac:dyDescent="0.25">
      <c r="A386" s="1952">
        <v>3299</v>
      </c>
      <c r="B386" s="1953">
        <v>5321</v>
      </c>
      <c r="C386" s="1953">
        <v>32133006</v>
      </c>
      <c r="D386" s="2037" t="s">
        <v>1261</v>
      </c>
      <c r="E386" s="1975">
        <v>0</v>
      </c>
      <c r="F386" s="1975"/>
      <c r="G386" s="2039"/>
      <c r="H386" s="1958" t="e">
        <f>G386/F386*100</f>
        <v>#DIV/0!</v>
      </c>
      <c r="I386" s="1970"/>
    </row>
    <row r="387" spans="1:9" ht="15" hidden="1" x14ac:dyDescent="0.25">
      <c r="A387" s="1952">
        <v>3299</v>
      </c>
      <c r="B387" s="1953">
        <v>5321</v>
      </c>
      <c r="C387" s="1953">
        <v>32533006</v>
      </c>
      <c r="D387" s="2037" t="s">
        <v>1261</v>
      </c>
      <c r="E387" s="1989">
        <v>0</v>
      </c>
      <c r="F387" s="1989"/>
      <c r="G387" s="2036"/>
      <c r="H387" s="1961" t="e">
        <f>G387/F387*100</f>
        <v>#DIV/0!</v>
      </c>
      <c r="I387" s="1970"/>
    </row>
    <row r="388" spans="1:9" ht="16.5" hidden="1" customHeight="1" thickTop="1" thickBot="1" x14ac:dyDescent="0.3">
      <c r="A388" s="1980" t="s">
        <v>802</v>
      </c>
      <c r="B388" s="1981"/>
      <c r="C388" s="1981"/>
      <c r="D388" s="1982"/>
      <c r="E388" s="1957">
        <f>SUM(E386:E387)</f>
        <v>0</v>
      </c>
      <c r="F388" s="1957">
        <f>SUM(F386:F387)</f>
        <v>0</v>
      </c>
      <c r="G388" s="1957">
        <f>SUM(G386:G387)</f>
        <v>0</v>
      </c>
      <c r="H388" s="1962" t="e">
        <f>G388/F388*100</f>
        <v>#DIV/0!</v>
      </c>
      <c r="I388" s="1970"/>
    </row>
    <row r="389" spans="1:9" ht="16.5" hidden="1" customHeight="1" thickTop="1" x14ac:dyDescent="0.25">
      <c r="A389" s="1994"/>
      <c r="B389" s="1994"/>
      <c r="C389" s="1994"/>
      <c r="D389" s="1994"/>
      <c r="E389" s="1964"/>
      <c r="F389" s="1964"/>
      <c r="G389" s="1964"/>
      <c r="H389" s="1995"/>
      <c r="I389" s="1970"/>
    </row>
    <row r="390" spans="1:9" ht="15" hidden="1" x14ac:dyDescent="0.25">
      <c r="A390" s="1942" t="s">
        <v>245</v>
      </c>
      <c r="D390" s="1936"/>
      <c r="E390" s="1937"/>
      <c r="H390" s="1970"/>
      <c r="I390" s="1970"/>
    </row>
    <row r="391" spans="1:9" ht="15" hidden="1" x14ac:dyDescent="0.25">
      <c r="A391" s="1942" t="s">
        <v>246</v>
      </c>
      <c r="D391" s="1936"/>
      <c r="E391" s="1937"/>
      <c r="H391" s="1970" t="s">
        <v>173</v>
      </c>
      <c r="I391" s="1970"/>
    </row>
    <row r="392" spans="1:9" ht="25.5" hidden="1" thickTop="1" thickBot="1" x14ac:dyDescent="0.25">
      <c r="A392" s="1943" t="s">
        <v>174</v>
      </c>
      <c r="B392" s="1944" t="s">
        <v>800</v>
      </c>
      <c r="C392" s="1944" t="s">
        <v>397</v>
      </c>
      <c r="D392" s="1945" t="s">
        <v>176</v>
      </c>
      <c r="E392" s="1976" t="s">
        <v>669</v>
      </c>
      <c r="F392" s="1976" t="s">
        <v>670</v>
      </c>
      <c r="G392" s="1977" t="s">
        <v>923</v>
      </c>
      <c r="H392" s="1978" t="s">
        <v>924</v>
      </c>
      <c r="I392" s="1970"/>
    </row>
    <row r="393" spans="1:9" ht="14.25" hidden="1" thickTop="1" thickBot="1" x14ac:dyDescent="0.25">
      <c r="A393" s="1740">
        <v>1</v>
      </c>
      <c r="B393" s="1739">
        <v>2</v>
      </c>
      <c r="C393" s="1739">
        <v>3</v>
      </c>
      <c r="D393" s="1739">
        <v>5</v>
      </c>
      <c r="E393" s="1738">
        <v>6</v>
      </c>
      <c r="F393" s="1738">
        <v>7</v>
      </c>
      <c r="G393" s="2028">
        <v>8</v>
      </c>
      <c r="H393" s="1951" t="s">
        <v>801</v>
      </c>
      <c r="I393" s="1970"/>
    </row>
    <row r="394" spans="1:9" ht="15.75" hidden="1" customHeight="1" thickTop="1" x14ac:dyDescent="0.25">
      <c r="A394" s="1952">
        <v>3299</v>
      </c>
      <c r="B394" s="1953">
        <v>5321</v>
      </c>
      <c r="C394" s="1953">
        <v>32133006</v>
      </c>
      <c r="D394" s="2037" t="s">
        <v>1261</v>
      </c>
      <c r="E394" s="1975">
        <v>0</v>
      </c>
      <c r="F394" s="1975">
        <v>0</v>
      </c>
      <c r="G394" s="2039">
        <v>0</v>
      </c>
      <c r="H394" s="1958" t="e">
        <f>G394/F394*100</f>
        <v>#DIV/0!</v>
      </c>
      <c r="I394" s="1970"/>
    </row>
    <row r="395" spans="1:9" ht="15" hidden="1" x14ac:dyDescent="0.25">
      <c r="A395" s="1952">
        <v>3299</v>
      </c>
      <c r="B395" s="1953">
        <v>5321</v>
      </c>
      <c r="C395" s="1953">
        <v>32533006</v>
      </c>
      <c r="D395" s="2037" t="s">
        <v>1261</v>
      </c>
      <c r="E395" s="1989">
        <v>0</v>
      </c>
      <c r="F395" s="1989">
        <v>0</v>
      </c>
      <c r="G395" s="2036">
        <v>0</v>
      </c>
      <c r="H395" s="1961" t="e">
        <f>G395/F395*100</f>
        <v>#DIV/0!</v>
      </c>
      <c r="I395" s="1970"/>
    </row>
    <row r="396" spans="1:9" ht="16.5" hidden="1" thickTop="1" thickBot="1" x14ac:dyDescent="0.3">
      <c r="A396" s="1980" t="s">
        <v>802</v>
      </c>
      <c r="B396" s="1981"/>
      <c r="C396" s="1981"/>
      <c r="D396" s="1982"/>
      <c r="E396" s="1957">
        <f>SUM(E394:E395)</f>
        <v>0</v>
      </c>
      <c r="F396" s="1957">
        <f>SUM(F394:F395)</f>
        <v>0</v>
      </c>
      <c r="G396" s="1957">
        <f>SUM(G394:G395)</f>
        <v>0</v>
      </c>
      <c r="H396" s="1962" t="e">
        <f>G396/F396*100</f>
        <v>#DIV/0!</v>
      </c>
      <c r="I396" s="1970"/>
    </row>
    <row r="397" spans="1:9" hidden="1" x14ac:dyDescent="0.2"/>
    <row r="398" spans="1:9" ht="15" x14ac:dyDescent="0.25">
      <c r="A398" s="1942" t="s">
        <v>1033</v>
      </c>
      <c r="D398" s="1936"/>
      <c r="E398" s="1937"/>
      <c r="H398" s="1970"/>
    </row>
    <row r="399" spans="1:9" ht="15.75" thickBot="1" x14ac:dyDescent="0.3">
      <c r="A399" s="1942" t="s">
        <v>1034</v>
      </c>
      <c r="D399" s="1936"/>
      <c r="E399" s="1937"/>
      <c r="H399" s="2043" t="s">
        <v>173</v>
      </c>
    </row>
    <row r="400" spans="1:9" ht="25.5" thickTop="1" thickBot="1" x14ac:dyDescent="0.25">
      <c r="A400" s="1943" t="s">
        <v>174</v>
      </c>
      <c r="B400" s="1944" t="s">
        <v>800</v>
      </c>
      <c r="C400" s="1944" t="s">
        <v>397</v>
      </c>
      <c r="D400" s="1945" t="s">
        <v>176</v>
      </c>
      <c r="E400" s="1976" t="s">
        <v>669</v>
      </c>
      <c r="F400" s="1976" t="s">
        <v>670</v>
      </c>
      <c r="G400" s="1977" t="s">
        <v>923</v>
      </c>
      <c r="H400" s="1978" t="s">
        <v>924</v>
      </c>
    </row>
    <row r="401" spans="1:13" ht="14.25" thickTop="1" thickBot="1" x14ac:dyDescent="0.25">
      <c r="A401" s="1740">
        <v>1</v>
      </c>
      <c r="B401" s="1739">
        <v>2</v>
      </c>
      <c r="C401" s="1739">
        <v>3</v>
      </c>
      <c r="D401" s="1739">
        <v>5</v>
      </c>
      <c r="E401" s="1738">
        <v>6</v>
      </c>
      <c r="F401" s="1738">
        <v>7</v>
      </c>
      <c r="G401" s="2028">
        <v>8</v>
      </c>
      <c r="H401" s="1951" t="s">
        <v>801</v>
      </c>
    </row>
    <row r="402" spans="1:13" ht="15.75" thickTop="1" x14ac:dyDescent="0.25">
      <c r="A402" s="1952">
        <v>3299</v>
      </c>
      <c r="B402" s="1953">
        <v>5321</v>
      </c>
      <c r="C402" s="1953">
        <v>32133006</v>
      </c>
      <c r="D402" s="2037" t="s">
        <v>1261</v>
      </c>
      <c r="E402" s="1975">
        <v>0</v>
      </c>
      <c r="F402" s="1975">
        <v>18</v>
      </c>
      <c r="G402" s="2039">
        <v>18</v>
      </c>
      <c r="H402" s="1958">
        <f>G402/F402*100</f>
        <v>100</v>
      </c>
    </row>
    <row r="403" spans="1:13" ht="15.75" thickBot="1" x14ac:dyDescent="0.3">
      <c r="A403" s="1952">
        <v>3299</v>
      </c>
      <c r="B403" s="1953">
        <v>5321</v>
      </c>
      <c r="C403" s="1953">
        <v>32533006</v>
      </c>
      <c r="D403" s="2037" t="s">
        <v>1261</v>
      </c>
      <c r="E403" s="1989">
        <v>0</v>
      </c>
      <c r="F403" s="1989">
        <v>102</v>
      </c>
      <c r="G403" s="2036">
        <v>102</v>
      </c>
      <c r="H403" s="1961">
        <f>G403/F403*100</f>
        <v>100</v>
      </c>
    </row>
    <row r="404" spans="1:13" ht="15.75" hidden="1" thickBot="1" x14ac:dyDescent="0.3">
      <c r="A404" s="1952">
        <v>3299</v>
      </c>
      <c r="B404" s="1953">
        <v>6341</v>
      </c>
      <c r="C404" s="1953">
        <v>32133006</v>
      </c>
      <c r="D404" s="2037" t="s">
        <v>261</v>
      </c>
      <c r="E404" s="1989">
        <v>0</v>
      </c>
      <c r="F404" s="1989">
        <v>0</v>
      </c>
      <c r="G404" s="2036">
        <v>0</v>
      </c>
      <c r="H404" s="1961" t="e">
        <f>G404/F404*100</f>
        <v>#DIV/0!</v>
      </c>
    </row>
    <row r="405" spans="1:13" ht="15.75" hidden="1" thickBot="1" x14ac:dyDescent="0.3">
      <c r="A405" s="1952">
        <v>3299</v>
      </c>
      <c r="B405" s="1953">
        <v>6341</v>
      </c>
      <c r="C405" s="1953">
        <v>32533006</v>
      </c>
      <c r="D405" s="2037" t="s">
        <v>261</v>
      </c>
      <c r="E405" s="1989">
        <v>0</v>
      </c>
      <c r="F405" s="1989">
        <v>0</v>
      </c>
      <c r="G405" s="2036">
        <v>0</v>
      </c>
      <c r="H405" s="1961" t="e">
        <f>G405/F405*100</f>
        <v>#DIV/0!</v>
      </c>
    </row>
    <row r="406" spans="1:13" ht="16.5" thickTop="1" thickBot="1" x14ac:dyDescent="0.3">
      <c r="A406" s="1980" t="s">
        <v>802</v>
      </c>
      <c r="B406" s="1981"/>
      <c r="C406" s="1981"/>
      <c r="D406" s="1982"/>
      <c r="E406" s="1957">
        <f>SUM(E402:E405)</f>
        <v>0</v>
      </c>
      <c r="F406" s="1957">
        <f>SUM(F402:F405)</f>
        <v>120</v>
      </c>
      <c r="G406" s="1957">
        <f>SUM(G402:G405)</f>
        <v>120</v>
      </c>
      <c r="H406" s="1962">
        <f>G406/F406*100</f>
        <v>100</v>
      </c>
    </row>
    <row r="407" spans="1:13" ht="13.5" thickTop="1" x14ac:dyDescent="0.2"/>
    <row r="410" spans="1:13" ht="16.5" x14ac:dyDescent="0.25">
      <c r="A410" s="2011" t="s">
        <v>487</v>
      </c>
      <c r="B410" s="2012"/>
      <c r="C410" s="2013"/>
      <c r="D410" s="2014"/>
      <c r="E410" s="2015">
        <f>SUM(E411:E413)</f>
        <v>0</v>
      </c>
      <c r="F410" s="2015">
        <f>F411+F412+F413+F414</f>
        <v>17054</v>
      </c>
      <c r="G410" s="2015">
        <f>G411+G412+G413+G414</f>
        <v>3325</v>
      </c>
      <c r="H410" s="2035">
        <f>G410/F410*100</f>
        <v>19.496892224698019</v>
      </c>
      <c r="J410" s="2017">
        <f>J411+J412+J413</f>
        <v>0</v>
      </c>
      <c r="K410" s="2017">
        <f>K411+K412+K413</f>
        <v>17054434.379999999</v>
      </c>
      <c r="L410" s="2017">
        <f>L411+L412+L413</f>
        <v>3325536.75</v>
      </c>
    </row>
    <row r="411" spans="1:13" ht="15" x14ac:dyDescent="0.2">
      <c r="A411" s="1696" t="s">
        <v>277</v>
      </c>
      <c r="B411" s="1699"/>
      <c r="C411" s="1694"/>
      <c r="D411" s="2018"/>
      <c r="E411" s="1697">
        <f>E14+E15+E16+E17+E18+E19+E20+E26+E34+E35+E44+E45+E62+E63+E140+E141+E218+E219+E236+E237+E336+E337+E358+E359+E376+E377+E386+E387+E402+E403</f>
        <v>0</v>
      </c>
      <c r="F411" s="1697">
        <f>F14+F15+F16+F17+F18+F19+F20+F26+F34+F35+F44+F45+F62+F63+F140+F141+F218+F219+F236+F237+F336+F337+F358+F359+F376+F377+F386+F387+F402+F403</f>
        <v>11985</v>
      </c>
      <c r="G411" s="1697">
        <f>G14+G15+G16+G17+G18+G19+G20+G26+G34+G35+G44+G45+G62+G63+G140+G141+G218+G219+G236+G237+G336+G337+G358+G359+G376+G377+G386+G387+G402+G403</f>
        <v>3325</v>
      </c>
      <c r="H411" s="2034">
        <f>G411/F411*100</f>
        <v>27.743012098456404</v>
      </c>
      <c r="J411" s="2019">
        <v>0</v>
      </c>
      <c r="K411" s="2019">
        <v>11984924.279999999</v>
      </c>
      <c r="L411" s="2019">
        <v>3325536.75</v>
      </c>
      <c r="M411" s="1938"/>
    </row>
    <row r="412" spans="1:13" ht="15" x14ac:dyDescent="0.2">
      <c r="A412" s="1696" t="s">
        <v>278</v>
      </c>
      <c r="B412" s="1695"/>
      <c r="C412" s="1694"/>
      <c r="D412" s="2020"/>
      <c r="E412" s="1697">
        <f>E24+E25</f>
        <v>0</v>
      </c>
      <c r="F412" s="1697">
        <f>F24+F25</f>
        <v>5069</v>
      </c>
      <c r="G412" s="1697">
        <f>G24+G25</f>
        <v>0</v>
      </c>
      <c r="H412" s="2034">
        <f>G412/F412*100</f>
        <v>0</v>
      </c>
      <c r="J412" s="2019">
        <v>0</v>
      </c>
      <c r="K412" s="2019">
        <v>5069510.0999999996</v>
      </c>
      <c r="L412" s="2019">
        <v>0</v>
      </c>
      <c r="M412" s="1938"/>
    </row>
    <row r="413" spans="1:13" ht="15" x14ac:dyDescent="0.2">
      <c r="A413" s="1696" t="s">
        <v>488</v>
      </c>
      <c r="B413" s="1695"/>
      <c r="C413" s="1694"/>
      <c r="D413" s="2020"/>
      <c r="E413" s="1697">
        <v>0</v>
      </c>
      <c r="F413" s="1697">
        <v>0</v>
      </c>
      <c r="G413" s="1697">
        <v>0</v>
      </c>
      <c r="H413" s="2034">
        <v>0</v>
      </c>
      <c r="J413" s="2019">
        <v>0</v>
      </c>
      <c r="K413" s="2019">
        <v>0</v>
      </c>
      <c r="L413" s="2019">
        <v>0</v>
      </c>
    </row>
    <row r="414" spans="1:13" ht="15" x14ac:dyDescent="0.2">
      <c r="A414" s="1696"/>
      <c r="B414" s="1695"/>
      <c r="C414" s="1694"/>
      <c r="D414" s="2020"/>
      <c r="E414" s="1697"/>
      <c r="F414" s="1697"/>
      <c r="G414" s="1697"/>
      <c r="H414" s="1693"/>
      <c r="J414" s="1938"/>
      <c r="K414" s="1938"/>
      <c r="L414" s="1938"/>
      <c r="M414" s="1938"/>
    </row>
    <row r="415" spans="1:13" ht="51.75" customHeight="1" thickBot="1" x14ac:dyDescent="0.4">
      <c r="A415" s="2746" t="s">
        <v>985</v>
      </c>
      <c r="B415" s="2747"/>
      <c r="C415" s="2747"/>
      <c r="D415" s="2747"/>
      <c r="E415" s="1687">
        <f>SUM(E410)</f>
        <v>0</v>
      </c>
      <c r="F415" s="1687">
        <f>SUM(F410)</f>
        <v>17054</v>
      </c>
      <c r="G415" s="1687">
        <f>SUM(G410)</f>
        <v>3325</v>
      </c>
      <c r="H415" s="1686">
        <f>(G415/F415)*100</f>
        <v>19.496892224698019</v>
      </c>
      <c r="J415" s="1938"/>
      <c r="L415" s="1938"/>
    </row>
    <row r="416" spans="1:13" ht="13.5" thickTop="1" x14ac:dyDescent="0.2"/>
    <row r="535" spans="1:5" ht="13.5" thickBot="1" x14ac:dyDescent="0.25">
      <c r="A535" s="1984"/>
      <c r="B535" s="1984"/>
      <c r="C535" s="1984"/>
      <c r="D535" s="2064"/>
      <c r="E535" s="2065"/>
    </row>
    <row r="536" spans="1:5" ht="13.5" thickTop="1" x14ac:dyDescent="0.2">
      <c r="A536" s="2009"/>
      <c r="B536" s="2009"/>
      <c r="C536" s="2009"/>
      <c r="D536" s="1998"/>
      <c r="E536" s="2066"/>
    </row>
    <row r="537" spans="1:5" x14ac:dyDescent="0.2">
      <c r="D537" s="1937" t="e">
        <f>#REF!+#REF!</f>
        <v>#REF!</v>
      </c>
    </row>
  </sheetData>
  <mergeCells count="2">
    <mergeCell ref="A27:D27"/>
    <mergeCell ref="A415:D415"/>
  </mergeCells>
  <pageMargins left="0.78740157480314965" right="0.78740157480314965" top="0.98425196850393704" bottom="0.98425196850393704" header="0.51181102362204722" footer="0.51181102362204722"/>
  <pageSetup paperSize="9" scale="68" firstPageNumber="134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1" manualBreakCount="1">
    <brk id="213" max="7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59"/>
  <sheetViews>
    <sheetView showGridLines="0" view="pageBreakPreview" topLeftCell="A4" zoomScaleNormal="100" zoomScaleSheetLayoutView="100" workbookViewId="0">
      <selection activeCell="J231" sqref="J231:L233"/>
    </sheetView>
  </sheetViews>
  <sheetFormatPr defaultRowHeight="12.75" x14ac:dyDescent="0.2"/>
  <cols>
    <col min="1" max="1" width="5" style="1936" customWidth="1"/>
    <col min="2" max="2" width="6.140625" style="1936" customWidth="1"/>
    <col min="3" max="3" width="10.28515625" style="1936" customWidth="1"/>
    <col min="4" max="4" width="40.42578125" style="1937" customWidth="1"/>
    <col min="5" max="5" width="10.42578125" style="1970" customWidth="1"/>
    <col min="6" max="6" width="15.85546875" style="1970" customWidth="1"/>
    <col min="7" max="7" width="13.85546875" style="1970" customWidth="1"/>
    <col min="8" max="8" width="8.42578125" style="1937" customWidth="1"/>
    <col min="9" max="9" width="14.28515625" style="1937" bestFit="1" customWidth="1"/>
    <col min="10" max="10" width="9.140625" style="1937"/>
    <col min="11" max="12" width="16" style="1937" bestFit="1" customWidth="1"/>
    <col min="13" max="256" width="9.140625" style="1937"/>
    <col min="257" max="257" width="4.7109375" style="1937" customWidth="1"/>
    <col min="258" max="258" width="6.140625" style="1937" customWidth="1"/>
    <col min="259" max="259" width="10.28515625" style="1937" customWidth="1"/>
    <col min="260" max="260" width="40.42578125" style="1937" customWidth="1"/>
    <col min="261" max="261" width="10.42578125" style="1937" customWidth="1"/>
    <col min="262" max="262" width="15.85546875" style="1937" customWidth="1"/>
    <col min="263" max="263" width="13.85546875" style="1937" customWidth="1"/>
    <col min="264" max="264" width="6.42578125" style="1937" customWidth="1"/>
    <col min="265" max="265" width="14.28515625" style="1937" bestFit="1" customWidth="1"/>
    <col min="266" max="266" width="9.140625" style="1937"/>
    <col min="267" max="268" width="16" style="1937" bestFit="1" customWidth="1"/>
    <col min="269" max="512" width="9.140625" style="1937"/>
    <col min="513" max="513" width="4.7109375" style="1937" customWidth="1"/>
    <col min="514" max="514" width="6.140625" style="1937" customWidth="1"/>
    <col min="515" max="515" width="10.28515625" style="1937" customWidth="1"/>
    <col min="516" max="516" width="40.42578125" style="1937" customWidth="1"/>
    <col min="517" max="517" width="10.42578125" style="1937" customWidth="1"/>
    <col min="518" max="518" width="15.85546875" style="1937" customWidth="1"/>
    <col min="519" max="519" width="13.85546875" style="1937" customWidth="1"/>
    <col min="520" max="520" width="6.42578125" style="1937" customWidth="1"/>
    <col min="521" max="521" width="14.28515625" style="1937" bestFit="1" customWidth="1"/>
    <col min="522" max="522" width="9.140625" style="1937"/>
    <col min="523" max="524" width="16" style="1937" bestFit="1" customWidth="1"/>
    <col min="525" max="768" width="9.140625" style="1937"/>
    <col min="769" max="769" width="4.7109375" style="1937" customWidth="1"/>
    <col min="770" max="770" width="6.140625" style="1937" customWidth="1"/>
    <col min="771" max="771" width="10.28515625" style="1937" customWidth="1"/>
    <col min="772" max="772" width="40.42578125" style="1937" customWidth="1"/>
    <col min="773" max="773" width="10.42578125" style="1937" customWidth="1"/>
    <col min="774" max="774" width="15.85546875" style="1937" customWidth="1"/>
    <col min="775" max="775" width="13.85546875" style="1937" customWidth="1"/>
    <col min="776" max="776" width="6.42578125" style="1937" customWidth="1"/>
    <col min="777" max="777" width="14.28515625" style="1937" bestFit="1" customWidth="1"/>
    <col min="778" max="778" width="9.140625" style="1937"/>
    <col min="779" max="780" width="16" style="1937" bestFit="1" customWidth="1"/>
    <col min="781" max="1024" width="9.140625" style="1937"/>
    <col min="1025" max="1025" width="4.7109375" style="1937" customWidth="1"/>
    <col min="1026" max="1026" width="6.140625" style="1937" customWidth="1"/>
    <col min="1027" max="1027" width="10.28515625" style="1937" customWidth="1"/>
    <col min="1028" max="1028" width="40.42578125" style="1937" customWidth="1"/>
    <col min="1029" max="1029" width="10.42578125" style="1937" customWidth="1"/>
    <col min="1030" max="1030" width="15.85546875" style="1937" customWidth="1"/>
    <col min="1031" max="1031" width="13.85546875" style="1937" customWidth="1"/>
    <col min="1032" max="1032" width="6.42578125" style="1937" customWidth="1"/>
    <col min="1033" max="1033" width="14.28515625" style="1937" bestFit="1" customWidth="1"/>
    <col min="1034" max="1034" width="9.140625" style="1937"/>
    <col min="1035" max="1036" width="16" style="1937" bestFit="1" customWidth="1"/>
    <col min="1037" max="1280" width="9.140625" style="1937"/>
    <col min="1281" max="1281" width="4.7109375" style="1937" customWidth="1"/>
    <col min="1282" max="1282" width="6.140625" style="1937" customWidth="1"/>
    <col min="1283" max="1283" width="10.28515625" style="1937" customWidth="1"/>
    <col min="1284" max="1284" width="40.42578125" style="1937" customWidth="1"/>
    <col min="1285" max="1285" width="10.42578125" style="1937" customWidth="1"/>
    <col min="1286" max="1286" width="15.85546875" style="1937" customWidth="1"/>
    <col min="1287" max="1287" width="13.85546875" style="1937" customWidth="1"/>
    <col min="1288" max="1288" width="6.42578125" style="1937" customWidth="1"/>
    <col min="1289" max="1289" width="14.28515625" style="1937" bestFit="1" customWidth="1"/>
    <col min="1290" max="1290" width="9.140625" style="1937"/>
    <col min="1291" max="1292" width="16" style="1937" bestFit="1" customWidth="1"/>
    <col min="1293" max="1536" width="9.140625" style="1937"/>
    <col min="1537" max="1537" width="4.7109375" style="1937" customWidth="1"/>
    <col min="1538" max="1538" width="6.140625" style="1937" customWidth="1"/>
    <col min="1539" max="1539" width="10.28515625" style="1937" customWidth="1"/>
    <col min="1540" max="1540" width="40.42578125" style="1937" customWidth="1"/>
    <col min="1541" max="1541" width="10.42578125" style="1937" customWidth="1"/>
    <col min="1542" max="1542" width="15.85546875" style="1937" customWidth="1"/>
    <col min="1543" max="1543" width="13.85546875" style="1937" customWidth="1"/>
    <col min="1544" max="1544" width="6.42578125" style="1937" customWidth="1"/>
    <col min="1545" max="1545" width="14.28515625" style="1937" bestFit="1" customWidth="1"/>
    <col min="1546" max="1546" width="9.140625" style="1937"/>
    <col min="1547" max="1548" width="16" style="1937" bestFit="1" customWidth="1"/>
    <col min="1549" max="1792" width="9.140625" style="1937"/>
    <col min="1793" max="1793" width="4.7109375" style="1937" customWidth="1"/>
    <col min="1794" max="1794" width="6.140625" style="1937" customWidth="1"/>
    <col min="1795" max="1795" width="10.28515625" style="1937" customWidth="1"/>
    <col min="1796" max="1796" width="40.42578125" style="1937" customWidth="1"/>
    <col min="1797" max="1797" width="10.42578125" style="1937" customWidth="1"/>
    <col min="1798" max="1798" width="15.85546875" style="1937" customWidth="1"/>
    <col min="1799" max="1799" width="13.85546875" style="1937" customWidth="1"/>
    <col min="1800" max="1800" width="6.42578125" style="1937" customWidth="1"/>
    <col min="1801" max="1801" width="14.28515625" style="1937" bestFit="1" customWidth="1"/>
    <col min="1802" max="1802" width="9.140625" style="1937"/>
    <col min="1803" max="1804" width="16" style="1937" bestFit="1" customWidth="1"/>
    <col min="1805" max="2048" width="9.140625" style="1937"/>
    <col min="2049" max="2049" width="4.7109375" style="1937" customWidth="1"/>
    <col min="2050" max="2050" width="6.140625" style="1937" customWidth="1"/>
    <col min="2051" max="2051" width="10.28515625" style="1937" customWidth="1"/>
    <col min="2052" max="2052" width="40.42578125" style="1937" customWidth="1"/>
    <col min="2053" max="2053" width="10.42578125" style="1937" customWidth="1"/>
    <col min="2054" max="2054" width="15.85546875" style="1937" customWidth="1"/>
    <col min="2055" max="2055" width="13.85546875" style="1937" customWidth="1"/>
    <col min="2056" max="2056" width="6.42578125" style="1937" customWidth="1"/>
    <col min="2057" max="2057" width="14.28515625" style="1937" bestFit="1" customWidth="1"/>
    <col min="2058" max="2058" width="9.140625" style="1937"/>
    <col min="2059" max="2060" width="16" style="1937" bestFit="1" customWidth="1"/>
    <col min="2061" max="2304" width="9.140625" style="1937"/>
    <col min="2305" max="2305" width="4.7109375" style="1937" customWidth="1"/>
    <col min="2306" max="2306" width="6.140625" style="1937" customWidth="1"/>
    <col min="2307" max="2307" width="10.28515625" style="1937" customWidth="1"/>
    <col min="2308" max="2308" width="40.42578125" style="1937" customWidth="1"/>
    <col min="2309" max="2309" width="10.42578125" style="1937" customWidth="1"/>
    <col min="2310" max="2310" width="15.85546875" style="1937" customWidth="1"/>
    <col min="2311" max="2311" width="13.85546875" style="1937" customWidth="1"/>
    <col min="2312" max="2312" width="6.42578125" style="1937" customWidth="1"/>
    <col min="2313" max="2313" width="14.28515625" style="1937" bestFit="1" customWidth="1"/>
    <col min="2314" max="2314" width="9.140625" style="1937"/>
    <col min="2315" max="2316" width="16" style="1937" bestFit="1" customWidth="1"/>
    <col min="2317" max="2560" width="9.140625" style="1937"/>
    <col min="2561" max="2561" width="4.7109375" style="1937" customWidth="1"/>
    <col min="2562" max="2562" width="6.140625" style="1937" customWidth="1"/>
    <col min="2563" max="2563" width="10.28515625" style="1937" customWidth="1"/>
    <col min="2564" max="2564" width="40.42578125" style="1937" customWidth="1"/>
    <col min="2565" max="2565" width="10.42578125" style="1937" customWidth="1"/>
    <col min="2566" max="2566" width="15.85546875" style="1937" customWidth="1"/>
    <col min="2567" max="2567" width="13.85546875" style="1937" customWidth="1"/>
    <col min="2568" max="2568" width="6.42578125" style="1937" customWidth="1"/>
    <col min="2569" max="2569" width="14.28515625" style="1937" bestFit="1" customWidth="1"/>
    <col min="2570" max="2570" width="9.140625" style="1937"/>
    <col min="2571" max="2572" width="16" style="1937" bestFit="1" customWidth="1"/>
    <col min="2573" max="2816" width="9.140625" style="1937"/>
    <col min="2817" max="2817" width="4.7109375" style="1937" customWidth="1"/>
    <col min="2818" max="2818" width="6.140625" style="1937" customWidth="1"/>
    <col min="2819" max="2819" width="10.28515625" style="1937" customWidth="1"/>
    <col min="2820" max="2820" width="40.42578125" style="1937" customWidth="1"/>
    <col min="2821" max="2821" width="10.42578125" style="1937" customWidth="1"/>
    <col min="2822" max="2822" width="15.85546875" style="1937" customWidth="1"/>
    <col min="2823" max="2823" width="13.85546875" style="1937" customWidth="1"/>
    <col min="2824" max="2824" width="6.42578125" style="1937" customWidth="1"/>
    <col min="2825" max="2825" width="14.28515625" style="1937" bestFit="1" customWidth="1"/>
    <col min="2826" max="2826" width="9.140625" style="1937"/>
    <col min="2827" max="2828" width="16" style="1937" bestFit="1" customWidth="1"/>
    <col min="2829" max="3072" width="9.140625" style="1937"/>
    <col min="3073" max="3073" width="4.7109375" style="1937" customWidth="1"/>
    <col min="3074" max="3074" width="6.140625" style="1937" customWidth="1"/>
    <col min="3075" max="3075" width="10.28515625" style="1937" customWidth="1"/>
    <col min="3076" max="3076" width="40.42578125" style="1937" customWidth="1"/>
    <col min="3077" max="3077" width="10.42578125" style="1937" customWidth="1"/>
    <col min="3078" max="3078" width="15.85546875" style="1937" customWidth="1"/>
    <col min="3079" max="3079" width="13.85546875" style="1937" customWidth="1"/>
    <col min="3080" max="3080" width="6.42578125" style="1937" customWidth="1"/>
    <col min="3081" max="3081" width="14.28515625" style="1937" bestFit="1" customWidth="1"/>
    <col min="3082" max="3082" width="9.140625" style="1937"/>
    <col min="3083" max="3084" width="16" style="1937" bestFit="1" customWidth="1"/>
    <col min="3085" max="3328" width="9.140625" style="1937"/>
    <col min="3329" max="3329" width="4.7109375" style="1937" customWidth="1"/>
    <col min="3330" max="3330" width="6.140625" style="1937" customWidth="1"/>
    <col min="3331" max="3331" width="10.28515625" style="1937" customWidth="1"/>
    <col min="3332" max="3332" width="40.42578125" style="1937" customWidth="1"/>
    <col min="3333" max="3333" width="10.42578125" style="1937" customWidth="1"/>
    <col min="3334" max="3334" width="15.85546875" style="1937" customWidth="1"/>
    <col min="3335" max="3335" width="13.85546875" style="1937" customWidth="1"/>
    <col min="3336" max="3336" width="6.42578125" style="1937" customWidth="1"/>
    <col min="3337" max="3337" width="14.28515625" style="1937" bestFit="1" customWidth="1"/>
    <col min="3338" max="3338" width="9.140625" style="1937"/>
    <col min="3339" max="3340" width="16" style="1937" bestFit="1" customWidth="1"/>
    <col min="3341" max="3584" width="9.140625" style="1937"/>
    <col min="3585" max="3585" width="4.7109375" style="1937" customWidth="1"/>
    <col min="3586" max="3586" width="6.140625" style="1937" customWidth="1"/>
    <col min="3587" max="3587" width="10.28515625" style="1937" customWidth="1"/>
    <col min="3588" max="3588" width="40.42578125" style="1937" customWidth="1"/>
    <col min="3589" max="3589" width="10.42578125" style="1937" customWidth="1"/>
    <col min="3590" max="3590" width="15.85546875" style="1937" customWidth="1"/>
    <col min="3591" max="3591" width="13.85546875" style="1937" customWidth="1"/>
    <col min="3592" max="3592" width="6.42578125" style="1937" customWidth="1"/>
    <col min="3593" max="3593" width="14.28515625" style="1937" bestFit="1" customWidth="1"/>
    <col min="3594" max="3594" width="9.140625" style="1937"/>
    <col min="3595" max="3596" width="16" style="1937" bestFit="1" customWidth="1"/>
    <col min="3597" max="3840" width="9.140625" style="1937"/>
    <col min="3841" max="3841" width="4.7109375" style="1937" customWidth="1"/>
    <col min="3842" max="3842" width="6.140625" style="1937" customWidth="1"/>
    <col min="3843" max="3843" width="10.28515625" style="1937" customWidth="1"/>
    <col min="3844" max="3844" width="40.42578125" style="1937" customWidth="1"/>
    <col min="3845" max="3845" width="10.42578125" style="1937" customWidth="1"/>
    <col min="3846" max="3846" width="15.85546875" style="1937" customWidth="1"/>
    <col min="3847" max="3847" width="13.85546875" style="1937" customWidth="1"/>
    <col min="3848" max="3848" width="6.42578125" style="1937" customWidth="1"/>
    <col min="3849" max="3849" width="14.28515625" style="1937" bestFit="1" customWidth="1"/>
    <col min="3850" max="3850" width="9.140625" style="1937"/>
    <col min="3851" max="3852" width="16" style="1937" bestFit="1" customWidth="1"/>
    <col min="3853" max="4096" width="9.140625" style="1937"/>
    <col min="4097" max="4097" width="4.7109375" style="1937" customWidth="1"/>
    <col min="4098" max="4098" width="6.140625" style="1937" customWidth="1"/>
    <col min="4099" max="4099" width="10.28515625" style="1937" customWidth="1"/>
    <col min="4100" max="4100" width="40.42578125" style="1937" customWidth="1"/>
    <col min="4101" max="4101" width="10.42578125" style="1937" customWidth="1"/>
    <col min="4102" max="4102" width="15.85546875" style="1937" customWidth="1"/>
    <col min="4103" max="4103" width="13.85546875" style="1937" customWidth="1"/>
    <col min="4104" max="4104" width="6.42578125" style="1937" customWidth="1"/>
    <col min="4105" max="4105" width="14.28515625" style="1937" bestFit="1" customWidth="1"/>
    <col min="4106" max="4106" width="9.140625" style="1937"/>
    <col min="4107" max="4108" width="16" style="1937" bestFit="1" customWidth="1"/>
    <col min="4109" max="4352" width="9.140625" style="1937"/>
    <col min="4353" max="4353" width="4.7109375" style="1937" customWidth="1"/>
    <col min="4354" max="4354" width="6.140625" style="1937" customWidth="1"/>
    <col min="4355" max="4355" width="10.28515625" style="1937" customWidth="1"/>
    <col min="4356" max="4356" width="40.42578125" style="1937" customWidth="1"/>
    <col min="4357" max="4357" width="10.42578125" style="1937" customWidth="1"/>
    <col min="4358" max="4358" width="15.85546875" style="1937" customWidth="1"/>
    <col min="4359" max="4359" width="13.85546875" style="1937" customWidth="1"/>
    <col min="4360" max="4360" width="6.42578125" style="1937" customWidth="1"/>
    <col min="4361" max="4361" width="14.28515625" style="1937" bestFit="1" customWidth="1"/>
    <col min="4362" max="4362" width="9.140625" style="1937"/>
    <col min="4363" max="4364" width="16" style="1937" bestFit="1" customWidth="1"/>
    <col min="4365" max="4608" width="9.140625" style="1937"/>
    <col min="4609" max="4609" width="4.7109375" style="1937" customWidth="1"/>
    <col min="4610" max="4610" width="6.140625" style="1937" customWidth="1"/>
    <col min="4611" max="4611" width="10.28515625" style="1937" customWidth="1"/>
    <col min="4612" max="4612" width="40.42578125" style="1937" customWidth="1"/>
    <col min="4613" max="4613" width="10.42578125" style="1937" customWidth="1"/>
    <col min="4614" max="4614" width="15.85546875" style="1937" customWidth="1"/>
    <col min="4615" max="4615" width="13.85546875" style="1937" customWidth="1"/>
    <col min="4616" max="4616" width="6.42578125" style="1937" customWidth="1"/>
    <col min="4617" max="4617" width="14.28515625" style="1937" bestFit="1" customWidth="1"/>
    <col min="4618" max="4618" width="9.140625" style="1937"/>
    <col min="4619" max="4620" width="16" style="1937" bestFit="1" customWidth="1"/>
    <col min="4621" max="4864" width="9.140625" style="1937"/>
    <col min="4865" max="4865" width="4.7109375" style="1937" customWidth="1"/>
    <col min="4866" max="4866" width="6.140625" style="1937" customWidth="1"/>
    <col min="4867" max="4867" width="10.28515625" style="1937" customWidth="1"/>
    <col min="4868" max="4868" width="40.42578125" style="1937" customWidth="1"/>
    <col min="4869" max="4869" width="10.42578125" style="1937" customWidth="1"/>
    <col min="4870" max="4870" width="15.85546875" style="1937" customWidth="1"/>
    <col min="4871" max="4871" width="13.85546875" style="1937" customWidth="1"/>
    <col min="4872" max="4872" width="6.42578125" style="1937" customWidth="1"/>
    <col min="4873" max="4873" width="14.28515625" style="1937" bestFit="1" customWidth="1"/>
    <col min="4874" max="4874" width="9.140625" style="1937"/>
    <col min="4875" max="4876" width="16" style="1937" bestFit="1" customWidth="1"/>
    <col min="4877" max="5120" width="9.140625" style="1937"/>
    <col min="5121" max="5121" width="4.7109375" style="1937" customWidth="1"/>
    <col min="5122" max="5122" width="6.140625" style="1937" customWidth="1"/>
    <col min="5123" max="5123" width="10.28515625" style="1937" customWidth="1"/>
    <col min="5124" max="5124" width="40.42578125" style="1937" customWidth="1"/>
    <col min="5125" max="5125" width="10.42578125" style="1937" customWidth="1"/>
    <col min="5126" max="5126" width="15.85546875" style="1937" customWidth="1"/>
    <col min="5127" max="5127" width="13.85546875" style="1937" customWidth="1"/>
    <col min="5128" max="5128" width="6.42578125" style="1937" customWidth="1"/>
    <col min="5129" max="5129" width="14.28515625" style="1937" bestFit="1" customWidth="1"/>
    <col min="5130" max="5130" width="9.140625" style="1937"/>
    <col min="5131" max="5132" width="16" style="1937" bestFit="1" customWidth="1"/>
    <col min="5133" max="5376" width="9.140625" style="1937"/>
    <col min="5377" max="5377" width="4.7109375" style="1937" customWidth="1"/>
    <col min="5378" max="5378" width="6.140625" style="1937" customWidth="1"/>
    <col min="5379" max="5379" width="10.28515625" style="1937" customWidth="1"/>
    <col min="5380" max="5380" width="40.42578125" style="1937" customWidth="1"/>
    <col min="5381" max="5381" width="10.42578125" style="1937" customWidth="1"/>
    <col min="5382" max="5382" width="15.85546875" style="1937" customWidth="1"/>
    <col min="5383" max="5383" width="13.85546875" style="1937" customWidth="1"/>
    <col min="5384" max="5384" width="6.42578125" style="1937" customWidth="1"/>
    <col min="5385" max="5385" width="14.28515625" style="1937" bestFit="1" customWidth="1"/>
    <col min="5386" max="5386" width="9.140625" style="1937"/>
    <col min="5387" max="5388" width="16" style="1937" bestFit="1" customWidth="1"/>
    <col min="5389" max="5632" width="9.140625" style="1937"/>
    <col min="5633" max="5633" width="4.7109375" style="1937" customWidth="1"/>
    <col min="5634" max="5634" width="6.140625" style="1937" customWidth="1"/>
    <col min="5635" max="5635" width="10.28515625" style="1937" customWidth="1"/>
    <col min="5636" max="5636" width="40.42578125" style="1937" customWidth="1"/>
    <col min="5637" max="5637" width="10.42578125" style="1937" customWidth="1"/>
    <col min="5638" max="5638" width="15.85546875" style="1937" customWidth="1"/>
    <col min="5639" max="5639" width="13.85546875" style="1937" customWidth="1"/>
    <col min="5640" max="5640" width="6.42578125" style="1937" customWidth="1"/>
    <col min="5641" max="5641" width="14.28515625" style="1937" bestFit="1" customWidth="1"/>
    <col min="5642" max="5642" width="9.140625" style="1937"/>
    <col min="5643" max="5644" width="16" style="1937" bestFit="1" customWidth="1"/>
    <col min="5645" max="5888" width="9.140625" style="1937"/>
    <col min="5889" max="5889" width="4.7109375" style="1937" customWidth="1"/>
    <col min="5890" max="5890" width="6.140625" style="1937" customWidth="1"/>
    <col min="5891" max="5891" width="10.28515625" style="1937" customWidth="1"/>
    <col min="5892" max="5892" width="40.42578125" style="1937" customWidth="1"/>
    <col min="5893" max="5893" width="10.42578125" style="1937" customWidth="1"/>
    <col min="5894" max="5894" width="15.85546875" style="1937" customWidth="1"/>
    <col min="5895" max="5895" width="13.85546875" style="1937" customWidth="1"/>
    <col min="5896" max="5896" width="6.42578125" style="1937" customWidth="1"/>
    <col min="5897" max="5897" width="14.28515625" style="1937" bestFit="1" customWidth="1"/>
    <col min="5898" max="5898" width="9.140625" style="1937"/>
    <col min="5899" max="5900" width="16" style="1937" bestFit="1" customWidth="1"/>
    <col min="5901" max="6144" width="9.140625" style="1937"/>
    <col min="6145" max="6145" width="4.7109375" style="1937" customWidth="1"/>
    <col min="6146" max="6146" width="6.140625" style="1937" customWidth="1"/>
    <col min="6147" max="6147" width="10.28515625" style="1937" customWidth="1"/>
    <col min="6148" max="6148" width="40.42578125" style="1937" customWidth="1"/>
    <col min="6149" max="6149" width="10.42578125" style="1937" customWidth="1"/>
    <col min="6150" max="6150" width="15.85546875" style="1937" customWidth="1"/>
    <col min="6151" max="6151" width="13.85546875" style="1937" customWidth="1"/>
    <col min="6152" max="6152" width="6.42578125" style="1937" customWidth="1"/>
    <col min="6153" max="6153" width="14.28515625" style="1937" bestFit="1" customWidth="1"/>
    <col min="6154" max="6154" width="9.140625" style="1937"/>
    <col min="6155" max="6156" width="16" style="1937" bestFit="1" customWidth="1"/>
    <col min="6157" max="6400" width="9.140625" style="1937"/>
    <col min="6401" max="6401" width="4.7109375" style="1937" customWidth="1"/>
    <col min="6402" max="6402" width="6.140625" style="1937" customWidth="1"/>
    <col min="6403" max="6403" width="10.28515625" style="1937" customWidth="1"/>
    <col min="6404" max="6404" width="40.42578125" style="1937" customWidth="1"/>
    <col min="6405" max="6405" width="10.42578125" style="1937" customWidth="1"/>
    <col min="6406" max="6406" width="15.85546875" style="1937" customWidth="1"/>
    <col min="6407" max="6407" width="13.85546875" style="1937" customWidth="1"/>
    <col min="6408" max="6408" width="6.42578125" style="1937" customWidth="1"/>
    <col min="6409" max="6409" width="14.28515625" style="1937" bestFit="1" customWidth="1"/>
    <col min="6410" max="6410" width="9.140625" style="1937"/>
    <col min="6411" max="6412" width="16" style="1937" bestFit="1" customWidth="1"/>
    <col min="6413" max="6656" width="9.140625" style="1937"/>
    <col min="6657" max="6657" width="4.7109375" style="1937" customWidth="1"/>
    <col min="6658" max="6658" width="6.140625" style="1937" customWidth="1"/>
    <col min="6659" max="6659" width="10.28515625" style="1937" customWidth="1"/>
    <col min="6660" max="6660" width="40.42578125" style="1937" customWidth="1"/>
    <col min="6661" max="6661" width="10.42578125" style="1937" customWidth="1"/>
    <col min="6662" max="6662" width="15.85546875" style="1937" customWidth="1"/>
    <col min="6663" max="6663" width="13.85546875" style="1937" customWidth="1"/>
    <col min="6664" max="6664" width="6.42578125" style="1937" customWidth="1"/>
    <col min="6665" max="6665" width="14.28515625" style="1937" bestFit="1" customWidth="1"/>
    <col min="6666" max="6666" width="9.140625" style="1937"/>
    <col min="6667" max="6668" width="16" style="1937" bestFit="1" customWidth="1"/>
    <col min="6669" max="6912" width="9.140625" style="1937"/>
    <col min="6913" max="6913" width="4.7109375" style="1937" customWidth="1"/>
    <col min="6914" max="6914" width="6.140625" style="1937" customWidth="1"/>
    <col min="6915" max="6915" width="10.28515625" style="1937" customWidth="1"/>
    <col min="6916" max="6916" width="40.42578125" style="1937" customWidth="1"/>
    <col min="6917" max="6917" width="10.42578125" style="1937" customWidth="1"/>
    <col min="6918" max="6918" width="15.85546875" style="1937" customWidth="1"/>
    <col min="6919" max="6919" width="13.85546875" style="1937" customWidth="1"/>
    <col min="6920" max="6920" width="6.42578125" style="1937" customWidth="1"/>
    <col min="6921" max="6921" width="14.28515625" style="1937" bestFit="1" customWidth="1"/>
    <col min="6922" max="6922" width="9.140625" style="1937"/>
    <col min="6923" max="6924" width="16" style="1937" bestFit="1" customWidth="1"/>
    <col min="6925" max="7168" width="9.140625" style="1937"/>
    <col min="7169" max="7169" width="4.7109375" style="1937" customWidth="1"/>
    <col min="7170" max="7170" width="6.140625" style="1937" customWidth="1"/>
    <col min="7171" max="7171" width="10.28515625" style="1937" customWidth="1"/>
    <col min="7172" max="7172" width="40.42578125" style="1937" customWidth="1"/>
    <col min="7173" max="7173" width="10.42578125" style="1937" customWidth="1"/>
    <col min="7174" max="7174" width="15.85546875" style="1937" customWidth="1"/>
    <col min="7175" max="7175" width="13.85546875" style="1937" customWidth="1"/>
    <col min="7176" max="7176" width="6.42578125" style="1937" customWidth="1"/>
    <col min="7177" max="7177" width="14.28515625" style="1937" bestFit="1" customWidth="1"/>
    <col min="7178" max="7178" width="9.140625" style="1937"/>
    <col min="7179" max="7180" width="16" style="1937" bestFit="1" customWidth="1"/>
    <col min="7181" max="7424" width="9.140625" style="1937"/>
    <col min="7425" max="7425" width="4.7109375" style="1937" customWidth="1"/>
    <col min="7426" max="7426" width="6.140625" style="1937" customWidth="1"/>
    <col min="7427" max="7427" width="10.28515625" style="1937" customWidth="1"/>
    <col min="7428" max="7428" width="40.42578125" style="1937" customWidth="1"/>
    <col min="7429" max="7429" width="10.42578125" style="1937" customWidth="1"/>
    <col min="7430" max="7430" width="15.85546875" style="1937" customWidth="1"/>
    <col min="7431" max="7431" width="13.85546875" style="1937" customWidth="1"/>
    <col min="7432" max="7432" width="6.42578125" style="1937" customWidth="1"/>
    <col min="7433" max="7433" width="14.28515625" style="1937" bestFit="1" customWidth="1"/>
    <col min="7434" max="7434" width="9.140625" style="1937"/>
    <col min="7435" max="7436" width="16" style="1937" bestFit="1" customWidth="1"/>
    <col min="7437" max="7680" width="9.140625" style="1937"/>
    <col min="7681" max="7681" width="4.7109375" style="1937" customWidth="1"/>
    <col min="7682" max="7682" width="6.140625" style="1937" customWidth="1"/>
    <col min="7683" max="7683" width="10.28515625" style="1937" customWidth="1"/>
    <col min="7684" max="7684" width="40.42578125" style="1937" customWidth="1"/>
    <col min="7685" max="7685" width="10.42578125" style="1937" customWidth="1"/>
    <col min="7686" max="7686" width="15.85546875" style="1937" customWidth="1"/>
    <col min="7687" max="7687" width="13.85546875" style="1937" customWidth="1"/>
    <col min="7688" max="7688" width="6.42578125" style="1937" customWidth="1"/>
    <col min="7689" max="7689" width="14.28515625" style="1937" bestFit="1" customWidth="1"/>
    <col min="7690" max="7690" width="9.140625" style="1937"/>
    <col min="7691" max="7692" width="16" style="1937" bestFit="1" customWidth="1"/>
    <col min="7693" max="7936" width="9.140625" style="1937"/>
    <col min="7937" max="7937" width="4.7109375" style="1937" customWidth="1"/>
    <col min="7938" max="7938" width="6.140625" style="1937" customWidth="1"/>
    <col min="7939" max="7939" width="10.28515625" style="1937" customWidth="1"/>
    <col min="7940" max="7940" width="40.42578125" style="1937" customWidth="1"/>
    <col min="7941" max="7941" width="10.42578125" style="1937" customWidth="1"/>
    <col min="7942" max="7942" width="15.85546875" style="1937" customWidth="1"/>
    <col min="7943" max="7943" width="13.85546875" style="1937" customWidth="1"/>
    <col min="7944" max="7944" width="6.42578125" style="1937" customWidth="1"/>
    <col min="7945" max="7945" width="14.28515625" style="1937" bestFit="1" customWidth="1"/>
    <col min="7946" max="7946" width="9.140625" style="1937"/>
    <col min="7947" max="7948" width="16" style="1937" bestFit="1" customWidth="1"/>
    <col min="7949" max="8192" width="9.140625" style="1937"/>
    <col min="8193" max="8193" width="4.7109375" style="1937" customWidth="1"/>
    <col min="8194" max="8194" width="6.140625" style="1937" customWidth="1"/>
    <col min="8195" max="8195" width="10.28515625" style="1937" customWidth="1"/>
    <col min="8196" max="8196" width="40.42578125" style="1937" customWidth="1"/>
    <col min="8197" max="8197" width="10.42578125" style="1937" customWidth="1"/>
    <col min="8198" max="8198" width="15.85546875" style="1937" customWidth="1"/>
    <col min="8199" max="8199" width="13.85546875" style="1937" customWidth="1"/>
    <col min="8200" max="8200" width="6.42578125" style="1937" customWidth="1"/>
    <col min="8201" max="8201" width="14.28515625" style="1937" bestFit="1" customWidth="1"/>
    <col min="8202" max="8202" width="9.140625" style="1937"/>
    <col min="8203" max="8204" width="16" style="1937" bestFit="1" customWidth="1"/>
    <col min="8205" max="8448" width="9.140625" style="1937"/>
    <col min="8449" max="8449" width="4.7109375" style="1937" customWidth="1"/>
    <col min="8450" max="8450" width="6.140625" style="1937" customWidth="1"/>
    <col min="8451" max="8451" width="10.28515625" style="1937" customWidth="1"/>
    <col min="8452" max="8452" width="40.42578125" style="1937" customWidth="1"/>
    <col min="8453" max="8453" width="10.42578125" style="1937" customWidth="1"/>
    <col min="8454" max="8454" width="15.85546875" style="1937" customWidth="1"/>
    <col min="8455" max="8455" width="13.85546875" style="1937" customWidth="1"/>
    <col min="8456" max="8456" width="6.42578125" style="1937" customWidth="1"/>
    <col min="8457" max="8457" width="14.28515625" style="1937" bestFit="1" customWidth="1"/>
    <col min="8458" max="8458" width="9.140625" style="1937"/>
    <col min="8459" max="8460" width="16" style="1937" bestFit="1" customWidth="1"/>
    <col min="8461" max="8704" width="9.140625" style="1937"/>
    <col min="8705" max="8705" width="4.7109375" style="1937" customWidth="1"/>
    <col min="8706" max="8706" width="6.140625" style="1937" customWidth="1"/>
    <col min="8707" max="8707" width="10.28515625" style="1937" customWidth="1"/>
    <col min="8708" max="8708" width="40.42578125" style="1937" customWidth="1"/>
    <col min="8709" max="8709" width="10.42578125" style="1937" customWidth="1"/>
    <col min="8710" max="8710" width="15.85546875" style="1937" customWidth="1"/>
    <col min="8711" max="8711" width="13.85546875" style="1937" customWidth="1"/>
    <col min="8712" max="8712" width="6.42578125" style="1937" customWidth="1"/>
    <col min="8713" max="8713" width="14.28515625" style="1937" bestFit="1" customWidth="1"/>
    <col min="8714" max="8714" width="9.140625" style="1937"/>
    <col min="8715" max="8716" width="16" style="1937" bestFit="1" customWidth="1"/>
    <col min="8717" max="8960" width="9.140625" style="1937"/>
    <col min="8961" max="8961" width="4.7109375" style="1937" customWidth="1"/>
    <col min="8962" max="8962" width="6.140625" style="1937" customWidth="1"/>
    <col min="8963" max="8963" width="10.28515625" style="1937" customWidth="1"/>
    <col min="8964" max="8964" width="40.42578125" style="1937" customWidth="1"/>
    <col min="8965" max="8965" width="10.42578125" style="1937" customWidth="1"/>
    <col min="8966" max="8966" width="15.85546875" style="1937" customWidth="1"/>
    <col min="8967" max="8967" width="13.85546875" style="1937" customWidth="1"/>
    <col min="8968" max="8968" width="6.42578125" style="1937" customWidth="1"/>
    <col min="8969" max="8969" width="14.28515625" style="1937" bestFit="1" customWidth="1"/>
    <col min="8970" max="8970" width="9.140625" style="1937"/>
    <col min="8971" max="8972" width="16" style="1937" bestFit="1" customWidth="1"/>
    <col min="8973" max="9216" width="9.140625" style="1937"/>
    <col min="9217" max="9217" width="4.7109375" style="1937" customWidth="1"/>
    <col min="9218" max="9218" width="6.140625" style="1937" customWidth="1"/>
    <col min="9219" max="9219" width="10.28515625" style="1937" customWidth="1"/>
    <col min="9220" max="9220" width="40.42578125" style="1937" customWidth="1"/>
    <col min="9221" max="9221" width="10.42578125" style="1937" customWidth="1"/>
    <col min="9222" max="9222" width="15.85546875" style="1937" customWidth="1"/>
    <col min="9223" max="9223" width="13.85546875" style="1937" customWidth="1"/>
    <col min="9224" max="9224" width="6.42578125" style="1937" customWidth="1"/>
    <col min="9225" max="9225" width="14.28515625" style="1937" bestFit="1" customWidth="1"/>
    <col min="9226" max="9226" width="9.140625" style="1937"/>
    <col min="9227" max="9228" width="16" style="1937" bestFit="1" customWidth="1"/>
    <col min="9229" max="9472" width="9.140625" style="1937"/>
    <col min="9473" max="9473" width="4.7109375" style="1937" customWidth="1"/>
    <col min="9474" max="9474" width="6.140625" style="1937" customWidth="1"/>
    <col min="9475" max="9475" width="10.28515625" style="1937" customWidth="1"/>
    <col min="9476" max="9476" width="40.42578125" style="1937" customWidth="1"/>
    <col min="9477" max="9477" width="10.42578125" style="1937" customWidth="1"/>
    <col min="9478" max="9478" width="15.85546875" style="1937" customWidth="1"/>
    <col min="9479" max="9479" width="13.85546875" style="1937" customWidth="1"/>
    <col min="9480" max="9480" width="6.42578125" style="1937" customWidth="1"/>
    <col min="9481" max="9481" width="14.28515625" style="1937" bestFit="1" customWidth="1"/>
    <col min="9482" max="9482" width="9.140625" style="1937"/>
    <col min="9483" max="9484" width="16" style="1937" bestFit="1" customWidth="1"/>
    <col min="9485" max="9728" width="9.140625" style="1937"/>
    <col min="9729" max="9729" width="4.7109375" style="1937" customWidth="1"/>
    <col min="9730" max="9730" width="6.140625" style="1937" customWidth="1"/>
    <col min="9731" max="9731" width="10.28515625" style="1937" customWidth="1"/>
    <col min="9732" max="9732" width="40.42578125" style="1937" customWidth="1"/>
    <col min="9733" max="9733" width="10.42578125" style="1937" customWidth="1"/>
    <col min="9734" max="9734" width="15.85546875" style="1937" customWidth="1"/>
    <col min="9735" max="9735" width="13.85546875" style="1937" customWidth="1"/>
    <col min="9736" max="9736" width="6.42578125" style="1937" customWidth="1"/>
    <col min="9737" max="9737" width="14.28515625" style="1937" bestFit="1" customWidth="1"/>
    <col min="9738" max="9738" width="9.140625" style="1937"/>
    <col min="9739" max="9740" width="16" style="1937" bestFit="1" customWidth="1"/>
    <col min="9741" max="9984" width="9.140625" style="1937"/>
    <col min="9985" max="9985" width="4.7109375" style="1937" customWidth="1"/>
    <col min="9986" max="9986" width="6.140625" style="1937" customWidth="1"/>
    <col min="9987" max="9987" width="10.28515625" style="1937" customWidth="1"/>
    <col min="9988" max="9988" width="40.42578125" style="1937" customWidth="1"/>
    <col min="9989" max="9989" width="10.42578125" style="1937" customWidth="1"/>
    <col min="9990" max="9990" width="15.85546875" style="1937" customWidth="1"/>
    <col min="9991" max="9991" width="13.85546875" style="1937" customWidth="1"/>
    <col min="9992" max="9992" width="6.42578125" style="1937" customWidth="1"/>
    <col min="9993" max="9993" width="14.28515625" style="1937" bestFit="1" customWidth="1"/>
    <col min="9994" max="9994" width="9.140625" style="1937"/>
    <col min="9995" max="9996" width="16" style="1937" bestFit="1" customWidth="1"/>
    <col min="9997" max="10240" width="9.140625" style="1937"/>
    <col min="10241" max="10241" width="4.7109375" style="1937" customWidth="1"/>
    <col min="10242" max="10242" width="6.140625" style="1937" customWidth="1"/>
    <col min="10243" max="10243" width="10.28515625" style="1937" customWidth="1"/>
    <col min="10244" max="10244" width="40.42578125" style="1937" customWidth="1"/>
    <col min="10245" max="10245" width="10.42578125" style="1937" customWidth="1"/>
    <col min="10246" max="10246" width="15.85546875" style="1937" customWidth="1"/>
    <col min="10247" max="10247" width="13.85546875" style="1937" customWidth="1"/>
    <col min="10248" max="10248" width="6.42578125" style="1937" customWidth="1"/>
    <col min="10249" max="10249" width="14.28515625" style="1937" bestFit="1" customWidth="1"/>
    <col min="10250" max="10250" width="9.140625" style="1937"/>
    <col min="10251" max="10252" width="16" style="1937" bestFit="1" customWidth="1"/>
    <col min="10253" max="10496" width="9.140625" style="1937"/>
    <col min="10497" max="10497" width="4.7109375" style="1937" customWidth="1"/>
    <col min="10498" max="10498" width="6.140625" style="1937" customWidth="1"/>
    <col min="10499" max="10499" width="10.28515625" style="1937" customWidth="1"/>
    <col min="10500" max="10500" width="40.42578125" style="1937" customWidth="1"/>
    <col min="10501" max="10501" width="10.42578125" style="1937" customWidth="1"/>
    <col min="10502" max="10502" width="15.85546875" style="1937" customWidth="1"/>
    <col min="10503" max="10503" width="13.85546875" style="1937" customWidth="1"/>
    <col min="10504" max="10504" width="6.42578125" style="1937" customWidth="1"/>
    <col min="10505" max="10505" width="14.28515625" style="1937" bestFit="1" customWidth="1"/>
    <col min="10506" max="10506" width="9.140625" style="1937"/>
    <col min="10507" max="10508" width="16" style="1937" bestFit="1" customWidth="1"/>
    <col min="10509" max="10752" width="9.140625" style="1937"/>
    <col min="10753" max="10753" width="4.7109375" style="1937" customWidth="1"/>
    <col min="10754" max="10754" width="6.140625" style="1937" customWidth="1"/>
    <col min="10755" max="10755" width="10.28515625" style="1937" customWidth="1"/>
    <col min="10756" max="10756" width="40.42578125" style="1937" customWidth="1"/>
    <col min="10757" max="10757" width="10.42578125" style="1937" customWidth="1"/>
    <col min="10758" max="10758" width="15.85546875" style="1937" customWidth="1"/>
    <col min="10759" max="10759" width="13.85546875" style="1937" customWidth="1"/>
    <col min="10760" max="10760" width="6.42578125" style="1937" customWidth="1"/>
    <col min="10761" max="10761" width="14.28515625" style="1937" bestFit="1" customWidth="1"/>
    <col min="10762" max="10762" width="9.140625" style="1937"/>
    <col min="10763" max="10764" width="16" style="1937" bestFit="1" customWidth="1"/>
    <col min="10765" max="11008" width="9.140625" style="1937"/>
    <col min="11009" max="11009" width="4.7109375" style="1937" customWidth="1"/>
    <col min="11010" max="11010" width="6.140625" style="1937" customWidth="1"/>
    <col min="11011" max="11011" width="10.28515625" style="1937" customWidth="1"/>
    <col min="11012" max="11012" width="40.42578125" style="1937" customWidth="1"/>
    <col min="11013" max="11013" width="10.42578125" style="1937" customWidth="1"/>
    <col min="11014" max="11014" width="15.85546875" style="1937" customWidth="1"/>
    <col min="11015" max="11015" width="13.85546875" style="1937" customWidth="1"/>
    <col min="11016" max="11016" width="6.42578125" style="1937" customWidth="1"/>
    <col min="11017" max="11017" width="14.28515625" style="1937" bestFit="1" customWidth="1"/>
    <col min="11018" max="11018" width="9.140625" style="1937"/>
    <col min="11019" max="11020" width="16" style="1937" bestFit="1" customWidth="1"/>
    <col min="11021" max="11264" width="9.140625" style="1937"/>
    <col min="11265" max="11265" width="4.7109375" style="1937" customWidth="1"/>
    <col min="11266" max="11266" width="6.140625" style="1937" customWidth="1"/>
    <col min="11267" max="11267" width="10.28515625" style="1937" customWidth="1"/>
    <col min="11268" max="11268" width="40.42578125" style="1937" customWidth="1"/>
    <col min="11269" max="11269" width="10.42578125" style="1937" customWidth="1"/>
    <col min="11270" max="11270" width="15.85546875" style="1937" customWidth="1"/>
    <col min="11271" max="11271" width="13.85546875" style="1937" customWidth="1"/>
    <col min="11272" max="11272" width="6.42578125" style="1937" customWidth="1"/>
    <col min="11273" max="11273" width="14.28515625" style="1937" bestFit="1" customWidth="1"/>
    <col min="11274" max="11274" width="9.140625" style="1937"/>
    <col min="11275" max="11276" width="16" style="1937" bestFit="1" customWidth="1"/>
    <col min="11277" max="11520" width="9.140625" style="1937"/>
    <col min="11521" max="11521" width="4.7109375" style="1937" customWidth="1"/>
    <col min="11522" max="11522" width="6.140625" style="1937" customWidth="1"/>
    <col min="11523" max="11523" width="10.28515625" style="1937" customWidth="1"/>
    <col min="11524" max="11524" width="40.42578125" style="1937" customWidth="1"/>
    <col min="11525" max="11525" width="10.42578125" style="1937" customWidth="1"/>
    <col min="11526" max="11526" width="15.85546875" style="1937" customWidth="1"/>
    <col min="11527" max="11527" width="13.85546875" style="1937" customWidth="1"/>
    <col min="11528" max="11528" width="6.42578125" style="1937" customWidth="1"/>
    <col min="11529" max="11529" width="14.28515625" style="1937" bestFit="1" customWidth="1"/>
    <col min="11530" max="11530" width="9.140625" style="1937"/>
    <col min="11531" max="11532" width="16" style="1937" bestFit="1" customWidth="1"/>
    <col min="11533" max="11776" width="9.140625" style="1937"/>
    <col min="11777" max="11777" width="4.7109375" style="1937" customWidth="1"/>
    <col min="11778" max="11778" width="6.140625" style="1937" customWidth="1"/>
    <col min="11779" max="11779" width="10.28515625" style="1937" customWidth="1"/>
    <col min="11780" max="11780" width="40.42578125" style="1937" customWidth="1"/>
    <col min="11781" max="11781" width="10.42578125" style="1937" customWidth="1"/>
    <col min="11782" max="11782" width="15.85546875" style="1937" customWidth="1"/>
    <col min="11783" max="11783" width="13.85546875" style="1937" customWidth="1"/>
    <col min="11784" max="11784" width="6.42578125" style="1937" customWidth="1"/>
    <col min="11785" max="11785" width="14.28515625" style="1937" bestFit="1" customWidth="1"/>
    <col min="11786" max="11786" width="9.140625" style="1937"/>
    <col min="11787" max="11788" width="16" style="1937" bestFit="1" customWidth="1"/>
    <col min="11789" max="12032" width="9.140625" style="1937"/>
    <col min="12033" max="12033" width="4.7109375" style="1937" customWidth="1"/>
    <col min="12034" max="12034" width="6.140625" style="1937" customWidth="1"/>
    <col min="12035" max="12035" width="10.28515625" style="1937" customWidth="1"/>
    <col min="12036" max="12036" width="40.42578125" style="1937" customWidth="1"/>
    <col min="12037" max="12037" width="10.42578125" style="1937" customWidth="1"/>
    <col min="12038" max="12038" width="15.85546875" style="1937" customWidth="1"/>
    <col min="12039" max="12039" width="13.85546875" style="1937" customWidth="1"/>
    <col min="12040" max="12040" width="6.42578125" style="1937" customWidth="1"/>
    <col min="12041" max="12041" width="14.28515625" style="1937" bestFit="1" customWidth="1"/>
    <col min="12042" max="12042" width="9.140625" style="1937"/>
    <col min="12043" max="12044" width="16" style="1937" bestFit="1" customWidth="1"/>
    <col min="12045" max="12288" width="9.140625" style="1937"/>
    <col min="12289" max="12289" width="4.7109375" style="1937" customWidth="1"/>
    <col min="12290" max="12290" width="6.140625" style="1937" customWidth="1"/>
    <col min="12291" max="12291" width="10.28515625" style="1937" customWidth="1"/>
    <col min="12292" max="12292" width="40.42578125" style="1937" customWidth="1"/>
    <col min="12293" max="12293" width="10.42578125" style="1937" customWidth="1"/>
    <col min="12294" max="12294" width="15.85546875" style="1937" customWidth="1"/>
    <col min="12295" max="12295" width="13.85546875" style="1937" customWidth="1"/>
    <col min="12296" max="12296" width="6.42578125" style="1937" customWidth="1"/>
    <col min="12297" max="12297" width="14.28515625" style="1937" bestFit="1" customWidth="1"/>
    <col min="12298" max="12298" width="9.140625" style="1937"/>
    <col min="12299" max="12300" width="16" style="1937" bestFit="1" customWidth="1"/>
    <col min="12301" max="12544" width="9.140625" style="1937"/>
    <col min="12545" max="12545" width="4.7109375" style="1937" customWidth="1"/>
    <col min="12546" max="12546" width="6.140625" style="1937" customWidth="1"/>
    <col min="12547" max="12547" width="10.28515625" style="1937" customWidth="1"/>
    <col min="12548" max="12548" width="40.42578125" style="1937" customWidth="1"/>
    <col min="12549" max="12549" width="10.42578125" style="1937" customWidth="1"/>
    <col min="12550" max="12550" width="15.85546875" style="1937" customWidth="1"/>
    <col min="12551" max="12551" width="13.85546875" style="1937" customWidth="1"/>
    <col min="12552" max="12552" width="6.42578125" style="1937" customWidth="1"/>
    <col min="12553" max="12553" width="14.28515625" style="1937" bestFit="1" customWidth="1"/>
    <col min="12554" max="12554" width="9.140625" style="1937"/>
    <col min="12555" max="12556" width="16" style="1937" bestFit="1" customWidth="1"/>
    <col min="12557" max="12800" width="9.140625" style="1937"/>
    <col min="12801" max="12801" width="4.7109375" style="1937" customWidth="1"/>
    <col min="12802" max="12802" width="6.140625" style="1937" customWidth="1"/>
    <col min="12803" max="12803" width="10.28515625" style="1937" customWidth="1"/>
    <col min="12804" max="12804" width="40.42578125" style="1937" customWidth="1"/>
    <col min="12805" max="12805" width="10.42578125" style="1937" customWidth="1"/>
    <col min="12806" max="12806" width="15.85546875" style="1937" customWidth="1"/>
    <col min="12807" max="12807" width="13.85546875" style="1937" customWidth="1"/>
    <col min="12808" max="12808" width="6.42578125" style="1937" customWidth="1"/>
    <col min="12809" max="12809" width="14.28515625" style="1937" bestFit="1" customWidth="1"/>
    <col min="12810" max="12810" width="9.140625" style="1937"/>
    <col min="12811" max="12812" width="16" style="1937" bestFit="1" customWidth="1"/>
    <col min="12813" max="13056" width="9.140625" style="1937"/>
    <col min="13057" max="13057" width="4.7109375" style="1937" customWidth="1"/>
    <col min="13058" max="13058" width="6.140625" style="1937" customWidth="1"/>
    <col min="13059" max="13059" width="10.28515625" style="1937" customWidth="1"/>
    <col min="13060" max="13060" width="40.42578125" style="1937" customWidth="1"/>
    <col min="13061" max="13061" width="10.42578125" style="1937" customWidth="1"/>
    <col min="13062" max="13062" width="15.85546875" style="1937" customWidth="1"/>
    <col min="13063" max="13063" width="13.85546875" style="1937" customWidth="1"/>
    <col min="13064" max="13064" width="6.42578125" style="1937" customWidth="1"/>
    <col min="13065" max="13065" width="14.28515625" style="1937" bestFit="1" customWidth="1"/>
    <col min="13066" max="13066" width="9.140625" style="1937"/>
    <col min="13067" max="13068" width="16" style="1937" bestFit="1" customWidth="1"/>
    <col min="13069" max="13312" width="9.140625" style="1937"/>
    <col min="13313" max="13313" width="4.7109375" style="1937" customWidth="1"/>
    <col min="13314" max="13314" width="6.140625" style="1937" customWidth="1"/>
    <col min="13315" max="13315" width="10.28515625" style="1937" customWidth="1"/>
    <col min="13316" max="13316" width="40.42578125" style="1937" customWidth="1"/>
    <col min="13317" max="13317" width="10.42578125" style="1937" customWidth="1"/>
    <col min="13318" max="13318" width="15.85546875" style="1937" customWidth="1"/>
    <col min="13319" max="13319" width="13.85546875" style="1937" customWidth="1"/>
    <col min="13320" max="13320" width="6.42578125" style="1937" customWidth="1"/>
    <col min="13321" max="13321" width="14.28515625" style="1937" bestFit="1" customWidth="1"/>
    <col min="13322" max="13322" width="9.140625" style="1937"/>
    <col min="13323" max="13324" width="16" style="1937" bestFit="1" customWidth="1"/>
    <col min="13325" max="13568" width="9.140625" style="1937"/>
    <col min="13569" max="13569" width="4.7109375" style="1937" customWidth="1"/>
    <col min="13570" max="13570" width="6.140625" style="1937" customWidth="1"/>
    <col min="13571" max="13571" width="10.28515625" style="1937" customWidth="1"/>
    <col min="13572" max="13572" width="40.42578125" style="1937" customWidth="1"/>
    <col min="13573" max="13573" width="10.42578125" style="1937" customWidth="1"/>
    <col min="13574" max="13574" width="15.85546875" style="1937" customWidth="1"/>
    <col min="13575" max="13575" width="13.85546875" style="1937" customWidth="1"/>
    <col min="13576" max="13576" width="6.42578125" style="1937" customWidth="1"/>
    <col min="13577" max="13577" width="14.28515625" style="1937" bestFit="1" customWidth="1"/>
    <col min="13578" max="13578" width="9.140625" style="1937"/>
    <col min="13579" max="13580" width="16" style="1937" bestFit="1" customWidth="1"/>
    <col min="13581" max="13824" width="9.140625" style="1937"/>
    <col min="13825" max="13825" width="4.7109375" style="1937" customWidth="1"/>
    <col min="13826" max="13826" width="6.140625" style="1937" customWidth="1"/>
    <col min="13827" max="13827" width="10.28515625" style="1937" customWidth="1"/>
    <col min="13828" max="13828" width="40.42578125" style="1937" customWidth="1"/>
    <col min="13829" max="13829" width="10.42578125" style="1937" customWidth="1"/>
    <col min="13830" max="13830" width="15.85546875" style="1937" customWidth="1"/>
    <col min="13831" max="13831" width="13.85546875" style="1937" customWidth="1"/>
    <col min="13832" max="13832" width="6.42578125" style="1937" customWidth="1"/>
    <col min="13833" max="13833" width="14.28515625" style="1937" bestFit="1" customWidth="1"/>
    <col min="13834" max="13834" width="9.140625" style="1937"/>
    <col min="13835" max="13836" width="16" style="1937" bestFit="1" customWidth="1"/>
    <col min="13837" max="14080" width="9.140625" style="1937"/>
    <col min="14081" max="14081" width="4.7109375" style="1937" customWidth="1"/>
    <col min="14082" max="14082" width="6.140625" style="1937" customWidth="1"/>
    <col min="14083" max="14083" width="10.28515625" style="1937" customWidth="1"/>
    <col min="14084" max="14084" width="40.42578125" style="1937" customWidth="1"/>
    <col min="14085" max="14085" width="10.42578125" style="1937" customWidth="1"/>
    <col min="14086" max="14086" width="15.85546875" style="1937" customWidth="1"/>
    <col min="14087" max="14087" width="13.85546875" style="1937" customWidth="1"/>
    <col min="14088" max="14088" width="6.42578125" style="1937" customWidth="1"/>
    <col min="14089" max="14089" width="14.28515625" style="1937" bestFit="1" customWidth="1"/>
    <col min="14090" max="14090" width="9.140625" style="1937"/>
    <col min="14091" max="14092" width="16" style="1937" bestFit="1" customWidth="1"/>
    <col min="14093" max="14336" width="9.140625" style="1937"/>
    <col min="14337" max="14337" width="4.7109375" style="1937" customWidth="1"/>
    <col min="14338" max="14338" width="6.140625" style="1937" customWidth="1"/>
    <col min="14339" max="14339" width="10.28515625" style="1937" customWidth="1"/>
    <col min="14340" max="14340" width="40.42578125" style="1937" customWidth="1"/>
    <col min="14341" max="14341" width="10.42578125" style="1937" customWidth="1"/>
    <col min="14342" max="14342" width="15.85546875" style="1937" customWidth="1"/>
    <col min="14343" max="14343" width="13.85546875" style="1937" customWidth="1"/>
    <col min="14344" max="14344" width="6.42578125" style="1937" customWidth="1"/>
    <col min="14345" max="14345" width="14.28515625" style="1937" bestFit="1" customWidth="1"/>
    <col min="14346" max="14346" width="9.140625" style="1937"/>
    <col min="14347" max="14348" width="16" style="1937" bestFit="1" customWidth="1"/>
    <col min="14349" max="14592" width="9.140625" style="1937"/>
    <col min="14593" max="14593" width="4.7109375" style="1937" customWidth="1"/>
    <col min="14594" max="14594" width="6.140625" style="1937" customWidth="1"/>
    <col min="14595" max="14595" width="10.28515625" style="1937" customWidth="1"/>
    <col min="14596" max="14596" width="40.42578125" style="1937" customWidth="1"/>
    <col min="14597" max="14597" width="10.42578125" style="1937" customWidth="1"/>
    <col min="14598" max="14598" width="15.85546875" style="1937" customWidth="1"/>
    <col min="14599" max="14599" width="13.85546875" style="1937" customWidth="1"/>
    <col min="14600" max="14600" width="6.42578125" style="1937" customWidth="1"/>
    <col min="14601" max="14601" width="14.28515625" style="1937" bestFit="1" customWidth="1"/>
    <col min="14602" max="14602" width="9.140625" style="1937"/>
    <col min="14603" max="14604" width="16" style="1937" bestFit="1" customWidth="1"/>
    <col min="14605" max="14848" width="9.140625" style="1937"/>
    <col min="14849" max="14849" width="4.7109375" style="1937" customWidth="1"/>
    <col min="14850" max="14850" width="6.140625" style="1937" customWidth="1"/>
    <col min="14851" max="14851" width="10.28515625" style="1937" customWidth="1"/>
    <col min="14852" max="14852" width="40.42578125" style="1937" customWidth="1"/>
    <col min="14853" max="14853" width="10.42578125" style="1937" customWidth="1"/>
    <col min="14854" max="14854" width="15.85546875" style="1937" customWidth="1"/>
    <col min="14855" max="14855" width="13.85546875" style="1937" customWidth="1"/>
    <col min="14856" max="14856" width="6.42578125" style="1937" customWidth="1"/>
    <col min="14857" max="14857" width="14.28515625" style="1937" bestFit="1" customWidth="1"/>
    <col min="14858" max="14858" width="9.140625" style="1937"/>
    <col min="14859" max="14860" width="16" style="1937" bestFit="1" customWidth="1"/>
    <col min="14861" max="15104" width="9.140625" style="1937"/>
    <col min="15105" max="15105" width="4.7109375" style="1937" customWidth="1"/>
    <col min="15106" max="15106" width="6.140625" style="1937" customWidth="1"/>
    <col min="15107" max="15107" width="10.28515625" style="1937" customWidth="1"/>
    <col min="15108" max="15108" width="40.42578125" style="1937" customWidth="1"/>
    <col min="15109" max="15109" width="10.42578125" style="1937" customWidth="1"/>
    <col min="15110" max="15110" width="15.85546875" style="1937" customWidth="1"/>
    <col min="15111" max="15111" width="13.85546875" style="1937" customWidth="1"/>
    <col min="15112" max="15112" width="6.42578125" style="1937" customWidth="1"/>
    <col min="15113" max="15113" width="14.28515625" style="1937" bestFit="1" customWidth="1"/>
    <col min="15114" max="15114" width="9.140625" style="1937"/>
    <col min="15115" max="15116" width="16" style="1937" bestFit="1" customWidth="1"/>
    <col min="15117" max="15360" width="9.140625" style="1937"/>
    <col min="15361" max="15361" width="4.7109375" style="1937" customWidth="1"/>
    <col min="15362" max="15362" width="6.140625" style="1937" customWidth="1"/>
    <col min="15363" max="15363" width="10.28515625" style="1937" customWidth="1"/>
    <col min="15364" max="15364" width="40.42578125" style="1937" customWidth="1"/>
    <col min="15365" max="15365" width="10.42578125" style="1937" customWidth="1"/>
    <col min="15366" max="15366" width="15.85546875" style="1937" customWidth="1"/>
    <col min="15367" max="15367" width="13.85546875" style="1937" customWidth="1"/>
    <col min="15368" max="15368" width="6.42578125" style="1937" customWidth="1"/>
    <col min="15369" max="15369" width="14.28515625" style="1937" bestFit="1" customWidth="1"/>
    <col min="15370" max="15370" width="9.140625" style="1937"/>
    <col min="15371" max="15372" width="16" style="1937" bestFit="1" customWidth="1"/>
    <col min="15373" max="15616" width="9.140625" style="1937"/>
    <col min="15617" max="15617" width="4.7109375" style="1937" customWidth="1"/>
    <col min="15618" max="15618" width="6.140625" style="1937" customWidth="1"/>
    <col min="15619" max="15619" width="10.28515625" style="1937" customWidth="1"/>
    <col min="15620" max="15620" width="40.42578125" style="1937" customWidth="1"/>
    <col min="15621" max="15621" width="10.42578125" style="1937" customWidth="1"/>
    <col min="15622" max="15622" width="15.85546875" style="1937" customWidth="1"/>
    <col min="15623" max="15623" width="13.85546875" style="1937" customWidth="1"/>
    <col min="15624" max="15624" width="6.42578125" style="1937" customWidth="1"/>
    <col min="15625" max="15625" width="14.28515625" style="1937" bestFit="1" customWidth="1"/>
    <col min="15626" max="15626" width="9.140625" style="1937"/>
    <col min="15627" max="15628" width="16" style="1937" bestFit="1" customWidth="1"/>
    <col min="15629" max="15872" width="9.140625" style="1937"/>
    <col min="15873" max="15873" width="4.7109375" style="1937" customWidth="1"/>
    <col min="15874" max="15874" width="6.140625" style="1937" customWidth="1"/>
    <col min="15875" max="15875" width="10.28515625" style="1937" customWidth="1"/>
    <col min="15876" max="15876" width="40.42578125" style="1937" customWidth="1"/>
    <col min="15877" max="15877" width="10.42578125" style="1937" customWidth="1"/>
    <col min="15878" max="15878" width="15.85546875" style="1937" customWidth="1"/>
    <col min="15879" max="15879" width="13.85546875" style="1937" customWidth="1"/>
    <col min="15880" max="15880" width="6.42578125" style="1937" customWidth="1"/>
    <col min="15881" max="15881" width="14.28515625" style="1937" bestFit="1" customWidth="1"/>
    <col min="15882" max="15882" width="9.140625" style="1937"/>
    <col min="15883" max="15884" width="16" style="1937" bestFit="1" customWidth="1"/>
    <col min="15885" max="16128" width="9.140625" style="1937"/>
    <col min="16129" max="16129" width="4.7109375" style="1937" customWidth="1"/>
    <col min="16130" max="16130" width="6.140625" style="1937" customWidth="1"/>
    <col min="16131" max="16131" width="10.28515625" style="1937" customWidth="1"/>
    <col min="16132" max="16132" width="40.42578125" style="1937" customWidth="1"/>
    <col min="16133" max="16133" width="10.42578125" style="1937" customWidth="1"/>
    <col min="16134" max="16134" width="15.85546875" style="1937" customWidth="1"/>
    <col min="16135" max="16135" width="13.85546875" style="1937" customWidth="1"/>
    <col min="16136" max="16136" width="6.42578125" style="1937" customWidth="1"/>
    <col min="16137" max="16137" width="14.28515625" style="1937" bestFit="1" customWidth="1"/>
    <col min="16138" max="16138" width="9.140625" style="1937"/>
    <col min="16139" max="16140" width="16" style="1937" bestFit="1" customWidth="1"/>
    <col min="16141" max="16384" width="9.140625" style="1937"/>
  </cols>
  <sheetData>
    <row r="1" spans="1:8" ht="39" customHeight="1" thickBot="1" x14ac:dyDescent="0.25">
      <c r="A1" s="2762" t="s">
        <v>986</v>
      </c>
      <c r="B1" s="2762"/>
      <c r="C1" s="2762"/>
      <c r="D1" s="2762"/>
      <c r="E1" s="2762"/>
      <c r="F1" s="2762"/>
      <c r="G1" s="2762"/>
      <c r="H1" s="2762"/>
    </row>
    <row r="2" spans="1:8" ht="18" x14ac:dyDescent="0.25">
      <c r="A2" s="1941"/>
      <c r="B2" s="1973"/>
      <c r="C2" s="1973"/>
      <c r="D2" s="1973"/>
      <c r="E2" s="1973"/>
      <c r="F2" s="1973"/>
      <c r="G2" s="1973"/>
      <c r="H2" s="2027" t="s">
        <v>987</v>
      </c>
    </row>
    <row r="3" spans="1:8" ht="18" x14ac:dyDescent="0.25">
      <c r="A3" s="1815" t="s">
        <v>387</v>
      </c>
      <c r="B3" s="1973"/>
      <c r="C3" s="1935" t="s">
        <v>363</v>
      </c>
      <c r="D3" s="1973"/>
      <c r="E3" s="1973"/>
      <c r="F3" s="1973"/>
      <c r="G3" s="1973"/>
      <c r="H3" s="2027"/>
    </row>
    <row r="4" spans="1:8" ht="18" x14ac:dyDescent="0.25">
      <c r="A4" s="1941"/>
      <c r="B4" s="1973"/>
      <c r="C4" s="1935" t="s">
        <v>364</v>
      </c>
      <c r="D4" s="1973"/>
      <c r="E4" s="1973"/>
      <c r="F4" s="1973"/>
      <c r="G4" s="1973"/>
      <c r="H4" s="2027"/>
    </row>
    <row r="5" spans="1:8" ht="18" x14ac:dyDescent="0.25">
      <c r="A5" s="1940" t="s">
        <v>988</v>
      </c>
      <c r="B5" s="1973"/>
      <c r="C5" s="1973"/>
      <c r="D5" s="1973"/>
      <c r="E5" s="1973"/>
      <c r="F5" s="1973"/>
      <c r="G5" s="1973"/>
      <c r="H5" s="2027"/>
    </row>
    <row r="7" spans="1:8" ht="15.75" thickBot="1" x14ac:dyDescent="0.3">
      <c r="A7" s="1942" t="s">
        <v>263</v>
      </c>
      <c r="H7" s="2043" t="s">
        <v>173</v>
      </c>
    </row>
    <row r="8" spans="1:8" s="1735" customFormat="1" ht="25.5" thickTop="1" thickBot="1" x14ac:dyDescent="0.25">
      <c r="A8" s="1943" t="s">
        <v>174</v>
      </c>
      <c r="B8" s="1944" t="s">
        <v>800</v>
      </c>
      <c r="C8" s="1944" t="s">
        <v>397</v>
      </c>
      <c r="D8" s="1945" t="s">
        <v>176</v>
      </c>
      <c r="E8" s="1976" t="s">
        <v>669</v>
      </c>
      <c r="F8" s="1976" t="s">
        <v>670</v>
      </c>
      <c r="G8" s="1977" t="s">
        <v>923</v>
      </c>
      <c r="H8" s="1978" t="s">
        <v>924</v>
      </c>
    </row>
    <row r="9" spans="1:8" s="1735" customFormat="1" ht="13.5" thickTop="1" thickBot="1" x14ac:dyDescent="0.25">
      <c r="A9" s="1740">
        <v>1</v>
      </c>
      <c r="B9" s="1739">
        <v>2</v>
      </c>
      <c r="C9" s="1739">
        <v>3</v>
      </c>
      <c r="D9" s="1739">
        <v>4</v>
      </c>
      <c r="E9" s="1738">
        <v>5</v>
      </c>
      <c r="F9" s="1738">
        <v>6</v>
      </c>
      <c r="G9" s="2028">
        <v>7</v>
      </c>
      <c r="H9" s="2054" t="s">
        <v>61</v>
      </c>
    </row>
    <row r="10" spans="1:8" ht="45.75" thickTop="1" x14ac:dyDescent="0.2">
      <c r="A10" s="2049">
        <v>3299</v>
      </c>
      <c r="B10" s="2056">
        <v>5213</v>
      </c>
      <c r="C10" s="2059">
        <v>32133006</v>
      </c>
      <c r="D10" s="2006" t="s">
        <v>1323</v>
      </c>
      <c r="E10" s="1975">
        <v>0</v>
      </c>
      <c r="F10" s="1975">
        <v>152</v>
      </c>
      <c r="G10" s="1975">
        <v>152</v>
      </c>
      <c r="H10" s="1958">
        <f t="shared" ref="H10:H26" si="0">G10/F10*100</f>
        <v>100</v>
      </c>
    </row>
    <row r="11" spans="1:8" ht="45" x14ac:dyDescent="0.2">
      <c r="A11" s="2049">
        <v>3299</v>
      </c>
      <c r="B11" s="2056">
        <v>5213</v>
      </c>
      <c r="C11" s="2059">
        <v>32533006</v>
      </c>
      <c r="D11" s="1979" t="s">
        <v>1323</v>
      </c>
      <c r="E11" s="1989">
        <v>0</v>
      </c>
      <c r="F11" s="1989">
        <v>862</v>
      </c>
      <c r="G11" s="1989">
        <v>862</v>
      </c>
      <c r="H11" s="1961">
        <f t="shared" si="0"/>
        <v>100</v>
      </c>
    </row>
    <row r="12" spans="1:8" ht="30" hidden="1" x14ac:dyDescent="0.2">
      <c r="A12" s="2049">
        <v>3299</v>
      </c>
      <c r="B12" s="2056">
        <v>5221</v>
      </c>
      <c r="C12" s="2059">
        <v>32133006</v>
      </c>
      <c r="D12" s="1979" t="s">
        <v>1380</v>
      </c>
      <c r="E12" s="1989">
        <v>0</v>
      </c>
      <c r="F12" s="1989"/>
      <c r="G12" s="1989"/>
      <c r="H12" s="1961" t="e">
        <f t="shared" si="0"/>
        <v>#DIV/0!</v>
      </c>
    </row>
    <row r="13" spans="1:8" ht="30" hidden="1" x14ac:dyDescent="0.2">
      <c r="A13" s="2049">
        <v>3299</v>
      </c>
      <c r="B13" s="2056">
        <v>5221</v>
      </c>
      <c r="C13" s="2059">
        <v>32533006</v>
      </c>
      <c r="D13" s="1979" t="s">
        <v>1380</v>
      </c>
      <c r="E13" s="1989">
        <v>0</v>
      </c>
      <c r="F13" s="1989"/>
      <c r="G13" s="1989"/>
      <c r="H13" s="1961" t="e">
        <f t="shared" si="0"/>
        <v>#DIV/0!</v>
      </c>
    </row>
    <row r="14" spans="1:8" ht="30" hidden="1" x14ac:dyDescent="0.2">
      <c r="A14" s="2049">
        <v>3299</v>
      </c>
      <c r="B14" s="2056">
        <v>5222</v>
      </c>
      <c r="C14" s="2059">
        <v>32133006</v>
      </c>
      <c r="D14" s="1979" t="s">
        <v>234</v>
      </c>
      <c r="E14" s="1989">
        <v>0</v>
      </c>
      <c r="F14" s="1989"/>
      <c r="G14" s="1989"/>
      <c r="H14" s="1961" t="e">
        <f t="shared" si="0"/>
        <v>#DIV/0!</v>
      </c>
    </row>
    <row r="15" spans="1:8" ht="30" hidden="1" x14ac:dyDescent="0.2">
      <c r="A15" s="2049">
        <v>3299</v>
      </c>
      <c r="B15" s="2056">
        <v>5222</v>
      </c>
      <c r="C15" s="2059">
        <v>32533006</v>
      </c>
      <c r="D15" s="1979" t="s">
        <v>234</v>
      </c>
      <c r="E15" s="1989">
        <v>0</v>
      </c>
      <c r="F15" s="1989"/>
      <c r="G15" s="1989"/>
      <c r="H15" s="1961" t="e">
        <f t="shared" si="0"/>
        <v>#DIV/0!</v>
      </c>
    </row>
    <row r="16" spans="1:8" ht="15" x14ac:dyDescent="0.2">
      <c r="A16" s="2049">
        <v>3299</v>
      </c>
      <c r="B16" s="2056">
        <v>5901</v>
      </c>
      <c r="C16" s="2059">
        <v>32133006</v>
      </c>
      <c r="D16" s="1979" t="s">
        <v>639</v>
      </c>
      <c r="E16" s="1989">
        <v>0</v>
      </c>
      <c r="F16" s="1989">
        <v>820</v>
      </c>
      <c r="G16" s="1989">
        <v>0</v>
      </c>
      <c r="H16" s="1961">
        <f t="shared" si="0"/>
        <v>0</v>
      </c>
    </row>
    <row r="17" spans="1:9" ht="15" x14ac:dyDescent="0.2">
      <c r="A17" s="2049">
        <v>3299</v>
      </c>
      <c r="B17" s="2056">
        <v>5901</v>
      </c>
      <c r="C17" s="2059">
        <v>32533006</v>
      </c>
      <c r="D17" s="1979" t="s">
        <v>639</v>
      </c>
      <c r="E17" s="1989">
        <v>0</v>
      </c>
      <c r="F17" s="1989">
        <v>4644</v>
      </c>
      <c r="G17" s="1989">
        <v>0</v>
      </c>
      <c r="H17" s="1961">
        <f t="shared" si="0"/>
        <v>0</v>
      </c>
    </row>
    <row r="18" spans="1:9" ht="45" hidden="1" x14ac:dyDescent="0.2">
      <c r="A18" s="2049">
        <v>3299</v>
      </c>
      <c r="B18" s="2056">
        <v>5901</v>
      </c>
      <c r="C18" s="2059">
        <v>32133006</v>
      </c>
      <c r="D18" s="1979" t="s">
        <v>92</v>
      </c>
      <c r="E18" s="1989">
        <v>0</v>
      </c>
      <c r="F18" s="1989">
        <v>0</v>
      </c>
      <c r="G18" s="1989">
        <v>0</v>
      </c>
      <c r="H18" s="1961" t="e">
        <f t="shared" si="0"/>
        <v>#DIV/0!</v>
      </c>
    </row>
    <row r="19" spans="1:9" ht="45" hidden="1" x14ac:dyDescent="0.2">
      <c r="A19" s="2049">
        <v>3299</v>
      </c>
      <c r="B19" s="2056">
        <v>5901</v>
      </c>
      <c r="C19" s="2059">
        <v>32533006</v>
      </c>
      <c r="D19" s="1979" t="s">
        <v>92</v>
      </c>
      <c r="E19" s="1989">
        <v>0</v>
      </c>
      <c r="F19" s="1989">
        <v>0</v>
      </c>
      <c r="G19" s="1989">
        <v>0</v>
      </c>
      <c r="H19" s="1961" t="e">
        <f t="shared" si="0"/>
        <v>#DIV/0!</v>
      </c>
    </row>
    <row r="20" spans="1:9" ht="30" hidden="1" x14ac:dyDescent="0.2">
      <c r="A20" s="2049">
        <v>3299</v>
      </c>
      <c r="B20" s="2056">
        <v>5901</v>
      </c>
      <c r="C20" s="2059">
        <v>32133006</v>
      </c>
      <c r="D20" s="1979" t="s">
        <v>1199</v>
      </c>
      <c r="E20" s="1989">
        <v>0</v>
      </c>
      <c r="F20" s="1989"/>
      <c r="G20" s="1989"/>
      <c r="H20" s="1961" t="e">
        <f t="shared" si="0"/>
        <v>#DIV/0!</v>
      </c>
    </row>
    <row r="21" spans="1:9" ht="30" hidden="1" x14ac:dyDescent="0.2">
      <c r="A21" s="2049">
        <v>3299</v>
      </c>
      <c r="B21" s="2056">
        <v>5901</v>
      </c>
      <c r="C21" s="2059">
        <v>32533006</v>
      </c>
      <c r="D21" s="1979" t="s">
        <v>1199</v>
      </c>
      <c r="E21" s="1989">
        <v>0</v>
      </c>
      <c r="F21" s="1989"/>
      <c r="G21" s="1989"/>
      <c r="H21" s="1961" t="e">
        <f t="shared" si="0"/>
        <v>#DIV/0!</v>
      </c>
    </row>
    <row r="22" spans="1:9" ht="15" x14ac:dyDescent="0.2">
      <c r="A22" s="2049">
        <v>3299</v>
      </c>
      <c r="B22" s="2056">
        <v>5909</v>
      </c>
      <c r="C22" s="2059">
        <v>0</v>
      </c>
      <c r="D22" s="1979" t="s">
        <v>689</v>
      </c>
      <c r="E22" s="1989">
        <v>0</v>
      </c>
      <c r="F22" s="1989">
        <v>51</v>
      </c>
      <c r="G22" s="1989">
        <v>51</v>
      </c>
      <c r="H22" s="1961">
        <f t="shared" si="0"/>
        <v>100</v>
      </c>
    </row>
    <row r="23" spans="1:9" ht="15" x14ac:dyDescent="0.2">
      <c r="A23" s="2049">
        <v>3299</v>
      </c>
      <c r="B23" s="2056">
        <v>6901</v>
      </c>
      <c r="C23" s="2059">
        <v>32133006</v>
      </c>
      <c r="D23" s="1979" t="s">
        <v>449</v>
      </c>
      <c r="E23" s="1989">
        <v>0</v>
      </c>
      <c r="F23" s="1989">
        <v>252</v>
      </c>
      <c r="G23" s="1989">
        <v>0</v>
      </c>
      <c r="H23" s="1961">
        <f t="shared" si="0"/>
        <v>0</v>
      </c>
    </row>
    <row r="24" spans="1:9" ht="15" x14ac:dyDescent="0.2">
      <c r="A24" s="2049">
        <v>3299</v>
      </c>
      <c r="B24" s="2056">
        <v>6901</v>
      </c>
      <c r="C24" s="2059">
        <v>32533006</v>
      </c>
      <c r="D24" s="1979" t="s">
        <v>449</v>
      </c>
      <c r="E24" s="1989">
        <v>0</v>
      </c>
      <c r="F24" s="1989">
        <v>1430</v>
      </c>
      <c r="G24" s="1989">
        <v>0</v>
      </c>
      <c r="H24" s="1961">
        <f t="shared" si="0"/>
        <v>0</v>
      </c>
    </row>
    <row r="25" spans="1:9" ht="15.75" thickBot="1" x14ac:dyDescent="0.25">
      <c r="A25" s="2049">
        <v>6402</v>
      </c>
      <c r="B25" s="2056">
        <v>5363</v>
      </c>
      <c r="C25" s="2059">
        <v>19</v>
      </c>
      <c r="D25" s="1979" t="s">
        <v>1652</v>
      </c>
      <c r="E25" s="1989">
        <v>0</v>
      </c>
      <c r="F25" s="1989">
        <v>132</v>
      </c>
      <c r="G25" s="1989">
        <v>98</v>
      </c>
      <c r="H25" s="1968">
        <f t="shared" si="0"/>
        <v>74.242424242424249</v>
      </c>
    </row>
    <row r="26" spans="1:9" s="1969" customFormat="1" ht="16.5" thickTop="1" thickBot="1" x14ac:dyDescent="0.3">
      <c r="A26" s="2750" t="s">
        <v>802</v>
      </c>
      <c r="B26" s="2751"/>
      <c r="C26" s="2751"/>
      <c r="D26" s="2751"/>
      <c r="E26" s="1957">
        <f>SUM(E10:E24)</f>
        <v>0</v>
      </c>
      <c r="F26" s="1957">
        <f>SUM(F10:F25)</f>
        <v>8343</v>
      </c>
      <c r="G26" s="1957">
        <f>SUM(G10:G25)</f>
        <v>1163</v>
      </c>
      <c r="H26" s="1968">
        <f t="shared" si="0"/>
        <v>13.939829797434975</v>
      </c>
      <c r="I26" s="2063"/>
    </row>
    <row r="27" spans="1:9" ht="13.5" thickTop="1" x14ac:dyDescent="0.2">
      <c r="I27" s="1970"/>
    </row>
    <row r="28" spans="1:9" ht="15" hidden="1" x14ac:dyDescent="0.25">
      <c r="A28" s="1942" t="s">
        <v>1744</v>
      </c>
      <c r="D28" s="1936"/>
      <c r="E28" s="1937"/>
      <c r="H28" s="1970"/>
      <c r="I28" s="1970"/>
    </row>
    <row r="29" spans="1:9" ht="15" hidden="1" x14ac:dyDescent="0.25">
      <c r="A29" s="1942" t="s">
        <v>1035</v>
      </c>
      <c r="D29" s="1936"/>
      <c r="E29" s="1937"/>
      <c r="H29" s="2043" t="s">
        <v>173</v>
      </c>
      <c r="I29" s="1970"/>
    </row>
    <row r="30" spans="1:9" ht="25.5" hidden="1" thickTop="1" thickBot="1" x14ac:dyDescent="0.25">
      <c r="A30" s="1943" t="s">
        <v>174</v>
      </c>
      <c r="B30" s="1944" t="s">
        <v>800</v>
      </c>
      <c r="C30" s="1944" t="s">
        <v>397</v>
      </c>
      <c r="D30" s="1945" t="s">
        <v>176</v>
      </c>
      <c r="E30" s="1976" t="s">
        <v>669</v>
      </c>
      <c r="F30" s="1976" t="s">
        <v>670</v>
      </c>
      <c r="G30" s="1977" t="s">
        <v>923</v>
      </c>
      <c r="H30" s="1978" t="s">
        <v>924</v>
      </c>
      <c r="I30" s="1970"/>
    </row>
    <row r="31" spans="1:9" ht="14.25" hidden="1" thickTop="1" thickBot="1" x14ac:dyDescent="0.25">
      <c r="A31" s="1740">
        <v>1</v>
      </c>
      <c r="B31" s="1739">
        <v>2</v>
      </c>
      <c r="C31" s="1739">
        <v>3</v>
      </c>
      <c r="D31" s="1739">
        <v>5</v>
      </c>
      <c r="E31" s="1738">
        <v>6</v>
      </c>
      <c r="F31" s="1738">
        <v>7</v>
      </c>
      <c r="G31" s="2028">
        <v>8</v>
      </c>
      <c r="H31" s="1951" t="s">
        <v>801</v>
      </c>
      <c r="I31" s="1970"/>
    </row>
    <row r="32" spans="1:9" ht="30.75" hidden="1" thickTop="1" x14ac:dyDescent="0.2">
      <c r="A32" s="2049">
        <v>3299</v>
      </c>
      <c r="B32" s="2056">
        <v>5336</v>
      </c>
      <c r="C32" s="2056">
        <v>32133006</v>
      </c>
      <c r="D32" s="1979" t="s">
        <v>1325</v>
      </c>
      <c r="E32" s="1975">
        <v>0</v>
      </c>
      <c r="F32" s="1975"/>
      <c r="G32" s="2039"/>
      <c r="H32" s="1958" t="e">
        <f>G32/F32*100</f>
        <v>#DIV/0!</v>
      </c>
      <c r="I32" s="1970"/>
    </row>
    <row r="33" spans="1:9" ht="30" hidden="1" x14ac:dyDescent="0.2">
      <c r="A33" s="2049">
        <v>3299</v>
      </c>
      <c r="B33" s="2056">
        <v>5336</v>
      </c>
      <c r="C33" s="2056">
        <v>32533006</v>
      </c>
      <c r="D33" s="1979" t="s">
        <v>1325</v>
      </c>
      <c r="E33" s="1989">
        <v>0</v>
      </c>
      <c r="F33" s="1989"/>
      <c r="G33" s="2036"/>
      <c r="H33" s="1961" t="e">
        <f>G33/F33*100</f>
        <v>#DIV/0!</v>
      </c>
      <c r="I33" s="1970"/>
    </row>
    <row r="34" spans="1:9" ht="30" hidden="1" x14ac:dyDescent="0.2">
      <c r="A34" s="2049">
        <v>3299</v>
      </c>
      <c r="B34" s="2056">
        <v>6351</v>
      </c>
      <c r="C34" s="2056">
        <v>32133006</v>
      </c>
      <c r="D34" s="1979" t="s">
        <v>1339</v>
      </c>
      <c r="E34" s="1989">
        <v>0</v>
      </c>
      <c r="F34" s="1989">
        <v>0</v>
      </c>
      <c r="G34" s="2036">
        <v>0</v>
      </c>
      <c r="H34" s="1961" t="e">
        <f>G34/F34*100</f>
        <v>#DIV/0!</v>
      </c>
      <c r="I34" s="1970"/>
    </row>
    <row r="35" spans="1:9" ht="30" hidden="1" x14ac:dyDescent="0.2">
      <c r="A35" s="2049">
        <v>3299</v>
      </c>
      <c r="B35" s="2056">
        <v>6351</v>
      </c>
      <c r="C35" s="2056">
        <v>32533006</v>
      </c>
      <c r="D35" s="1979" t="s">
        <v>1339</v>
      </c>
      <c r="E35" s="1989">
        <v>0</v>
      </c>
      <c r="F35" s="1989">
        <v>0</v>
      </c>
      <c r="G35" s="2036">
        <v>0</v>
      </c>
      <c r="H35" s="1961" t="e">
        <f>G35/F35*100</f>
        <v>#DIV/0!</v>
      </c>
      <c r="I35" s="1970"/>
    </row>
    <row r="36" spans="1:9" ht="16.5" hidden="1" thickTop="1" thickBot="1" x14ac:dyDescent="0.3">
      <c r="A36" s="1980" t="s">
        <v>802</v>
      </c>
      <c r="B36" s="1981"/>
      <c r="C36" s="1981"/>
      <c r="D36" s="1982"/>
      <c r="E36" s="1957">
        <f>SUM(E32:E35)</f>
        <v>0</v>
      </c>
      <c r="F36" s="1957">
        <f>SUM(F32:F35)</f>
        <v>0</v>
      </c>
      <c r="G36" s="1957">
        <f>SUM(G32:G35)</f>
        <v>0</v>
      </c>
      <c r="H36" s="1962" t="e">
        <f>G36/F36*100</f>
        <v>#DIV/0!</v>
      </c>
      <c r="I36" s="1970"/>
    </row>
    <row r="37" spans="1:9" hidden="1" x14ac:dyDescent="0.2">
      <c r="I37" s="1970"/>
    </row>
    <row r="38" spans="1:9" ht="15" hidden="1" x14ac:dyDescent="0.25">
      <c r="A38" s="1942" t="s">
        <v>1178</v>
      </c>
      <c r="D38" s="1936"/>
      <c r="E38" s="1937"/>
      <c r="H38" s="1970"/>
      <c r="I38" s="1970"/>
    </row>
    <row r="39" spans="1:9" ht="15" hidden="1" x14ac:dyDescent="0.25">
      <c r="A39" s="1942" t="s">
        <v>1036</v>
      </c>
      <c r="D39" s="1936"/>
      <c r="E39" s="1937"/>
      <c r="H39" s="2043" t="s">
        <v>173</v>
      </c>
      <c r="I39" s="1970"/>
    </row>
    <row r="40" spans="1:9" ht="25.5" hidden="1" thickTop="1" thickBot="1" x14ac:dyDescent="0.25">
      <c r="A40" s="1943" t="s">
        <v>174</v>
      </c>
      <c r="B40" s="1944" t="s">
        <v>800</v>
      </c>
      <c r="C40" s="1944" t="s">
        <v>397</v>
      </c>
      <c r="D40" s="1945" t="s">
        <v>176</v>
      </c>
      <c r="E40" s="1976" t="s">
        <v>669</v>
      </c>
      <c r="F40" s="1976" t="s">
        <v>670</v>
      </c>
      <c r="G40" s="1977" t="s">
        <v>923</v>
      </c>
      <c r="H40" s="1978" t="s">
        <v>924</v>
      </c>
      <c r="I40" s="1970"/>
    </row>
    <row r="41" spans="1:9" ht="14.25" hidden="1" thickTop="1" thickBot="1" x14ac:dyDescent="0.25">
      <c r="A41" s="1740">
        <v>1</v>
      </c>
      <c r="B41" s="1739">
        <v>2</v>
      </c>
      <c r="C41" s="1739">
        <v>3</v>
      </c>
      <c r="D41" s="1739">
        <v>5</v>
      </c>
      <c r="E41" s="1738">
        <v>6</v>
      </c>
      <c r="F41" s="1738">
        <v>7</v>
      </c>
      <c r="G41" s="2028">
        <v>8</v>
      </c>
      <c r="H41" s="1951" t="s">
        <v>801</v>
      </c>
      <c r="I41" s="1970"/>
    </row>
    <row r="42" spans="1:9" ht="30.75" hidden="1" thickTop="1" x14ac:dyDescent="0.2">
      <c r="A42" s="2049">
        <v>3299</v>
      </c>
      <c r="B42" s="2076">
        <v>5336</v>
      </c>
      <c r="C42" s="2056">
        <v>32133006</v>
      </c>
      <c r="D42" s="1979" t="s">
        <v>1325</v>
      </c>
      <c r="E42" s="1975">
        <v>0</v>
      </c>
      <c r="F42" s="1975"/>
      <c r="G42" s="2039"/>
      <c r="H42" s="1958" t="e">
        <f>G42/F42*100</f>
        <v>#DIV/0!</v>
      </c>
      <c r="I42" s="1970"/>
    </row>
    <row r="43" spans="1:9" ht="30" hidden="1" x14ac:dyDescent="0.2">
      <c r="A43" s="2049">
        <v>3299</v>
      </c>
      <c r="B43" s="2076">
        <v>5336</v>
      </c>
      <c r="C43" s="2056">
        <v>32533006</v>
      </c>
      <c r="D43" s="1979" t="s">
        <v>1325</v>
      </c>
      <c r="E43" s="1989">
        <v>0</v>
      </c>
      <c r="F43" s="1989"/>
      <c r="G43" s="2036"/>
      <c r="H43" s="1961" t="e">
        <f>G43/F43*100</f>
        <v>#DIV/0!</v>
      </c>
      <c r="I43" s="1970"/>
    </row>
    <row r="44" spans="1:9" ht="16.5" hidden="1" thickTop="1" thickBot="1" x14ac:dyDescent="0.3">
      <c r="A44" s="1980" t="s">
        <v>802</v>
      </c>
      <c r="B44" s="1981"/>
      <c r="C44" s="1981"/>
      <c r="D44" s="1982"/>
      <c r="E44" s="1957">
        <f>SUM(E42:E43)</f>
        <v>0</v>
      </c>
      <c r="F44" s="1957">
        <f>SUM(F42:F43)</f>
        <v>0</v>
      </c>
      <c r="G44" s="1957">
        <f>SUM(G42:G43)</f>
        <v>0</v>
      </c>
      <c r="H44" s="1962" t="e">
        <f>G44/F44*100</f>
        <v>#DIV/0!</v>
      </c>
      <c r="I44" s="1970"/>
    </row>
    <row r="45" spans="1:9" hidden="1" x14ac:dyDescent="0.2">
      <c r="I45" s="1970"/>
    </row>
    <row r="46" spans="1:9" hidden="1" x14ac:dyDescent="0.2">
      <c r="I46" s="1970"/>
    </row>
    <row r="47" spans="1:9" hidden="1" x14ac:dyDescent="0.2">
      <c r="I47" s="1970"/>
    </row>
    <row r="48" spans="1:9" hidden="1" x14ac:dyDescent="0.2">
      <c r="I48" s="1970"/>
    </row>
    <row r="49" spans="1:9" hidden="1" x14ac:dyDescent="0.2">
      <c r="I49" s="1970"/>
    </row>
    <row r="50" spans="1:9" hidden="1" x14ac:dyDescent="0.2">
      <c r="I50" s="1970"/>
    </row>
    <row r="51" spans="1:9" hidden="1" x14ac:dyDescent="0.2">
      <c r="I51" s="1970"/>
    </row>
    <row r="52" spans="1:9" hidden="1" x14ac:dyDescent="0.2">
      <c r="I52" s="1970"/>
    </row>
    <row r="53" spans="1:9" ht="15" hidden="1" x14ac:dyDescent="0.25">
      <c r="A53" s="1942" t="s">
        <v>1745</v>
      </c>
      <c r="D53" s="1936"/>
      <c r="E53" s="1937"/>
      <c r="H53" s="1970"/>
      <c r="I53" s="1970"/>
    </row>
    <row r="54" spans="1:9" ht="15" hidden="1" x14ac:dyDescent="0.25">
      <c r="A54" s="1942" t="s">
        <v>1460</v>
      </c>
      <c r="D54" s="1936"/>
      <c r="E54" s="1937"/>
      <c r="H54" s="2043" t="s">
        <v>173</v>
      </c>
      <c r="I54" s="1970"/>
    </row>
    <row r="55" spans="1:9" ht="25.5" hidden="1" thickTop="1" thickBot="1" x14ac:dyDescent="0.25">
      <c r="A55" s="1943" t="s">
        <v>174</v>
      </c>
      <c r="B55" s="1944" t="s">
        <v>800</v>
      </c>
      <c r="C55" s="1944" t="s">
        <v>397</v>
      </c>
      <c r="D55" s="1945" t="s">
        <v>176</v>
      </c>
      <c r="E55" s="1976" t="s">
        <v>669</v>
      </c>
      <c r="F55" s="1976" t="s">
        <v>670</v>
      </c>
      <c r="G55" s="1977" t="s">
        <v>923</v>
      </c>
      <c r="H55" s="1978" t="s">
        <v>924</v>
      </c>
      <c r="I55" s="1970"/>
    </row>
    <row r="56" spans="1:9" ht="14.25" hidden="1" thickTop="1" thickBot="1" x14ac:dyDescent="0.25">
      <c r="A56" s="1740">
        <v>1</v>
      </c>
      <c r="B56" s="1739">
        <v>2</v>
      </c>
      <c r="C56" s="1739">
        <v>3</v>
      </c>
      <c r="D56" s="1739">
        <v>5</v>
      </c>
      <c r="E56" s="1738">
        <v>6</v>
      </c>
      <c r="F56" s="1738">
        <v>7</v>
      </c>
      <c r="G56" s="2028">
        <v>8</v>
      </c>
      <c r="H56" s="1951" t="s">
        <v>801</v>
      </c>
      <c r="I56" s="1970"/>
    </row>
    <row r="57" spans="1:9" ht="30.75" hidden="1" thickTop="1" x14ac:dyDescent="0.2">
      <c r="A57" s="2049">
        <v>3299</v>
      </c>
      <c r="B57" s="2076">
        <v>5336</v>
      </c>
      <c r="C57" s="2056">
        <v>32133006</v>
      </c>
      <c r="D57" s="1979" t="s">
        <v>1325</v>
      </c>
      <c r="E57" s="1975">
        <v>0</v>
      </c>
      <c r="F57" s="1975"/>
      <c r="G57" s="2039"/>
      <c r="H57" s="1958" t="e">
        <f>G57/F57*100</f>
        <v>#DIV/0!</v>
      </c>
      <c r="I57" s="1970"/>
    </row>
    <row r="58" spans="1:9" ht="30" hidden="1" x14ac:dyDescent="0.2">
      <c r="A58" s="2049">
        <v>3299</v>
      </c>
      <c r="B58" s="2076">
        <v>5336</v>
      </c>
      <c r="C58" s="2056">
        <v>32533006</v>
      </c>
      <c r="D58" s="1979" t="s">
        <v>1325</v>
      </c>
      <c r="E58" s="1989">
        <v>0</v>
      </c>
      <c r="F58" s="1989"/>
      <c r="G58" s="2036"/>
      <c r="H58" s="1961" t="e">
        <f>G58/F58*100</f>
        <v>#DIV/0!</v>
      </c>
      <c r="I58" s="1970"/>
    </row>
    <row r="59" spans="1:9" ht="16.5" hidden="1" thickTop="1" thickBot="1" x14ac:dyDescent="0.3">
      <c r="A59" s="1980" t="s">
        <v>802</v>
      </c>
      <c r="B59" s="1981"/>
      <c r="C59" s="1981"/>
      <c r="D59" s="1982"/>
      <c r="E59" s="1957">
        <f>SUM(E57:E58)</f>
        <v>0</v>
      </c>
      <c r="F59" s="1957">
        <f>SUM(F57:F58)</f>
        <v>0</v>
      </c>
      <c r="G59" s="1957">
        <f>SUM(G57:G58)</f>
        <v>0</v>
      </c>
      <c r="H59" s="1962" t="e">
        <f>G59/F59*100</f>
        <v>#DIV/0!</v>
      </c>
      <c r="I59" s="1970"/>
    </row>
    <row r="60" spans="1:9" ht="11.25" hidden="1" customHeight="1" thickTop="1" x14ac:dyDescent="0.2">
      <c r="I60" s="1970"/>
    </row>
    <row r="61" spans="1:9" ht="15" hidden="1" x14ac:dyDescent="0.25">
      <c r="A61" s="1942" t="s">
        <v>54</v>
      </c>
      <c r="D61" s="1936"/>
      <c r="E61" s="1937"/>
      <c r="H61" s="1970"/>
      <c r="I61" s="1970"/>
    </row>
    <row r="62" spans="1:9" ht="15" hidden="1" x14ac:dyDescent="0.25">
      <c r="A62" s="1942" t="s">
        <v>1037</v>
      </c>
      <c r="D62" s="1936"/>
      <c r="E62" s="1937"/>
      <c r="H62" s="2043" t="s">
        <v>173</v>
      </c>
      <c r="I62" s="1970"/>
    </row>
    <row r="63" spans="1:9" ht="25.5" hidden="1" thickTop="1" thickBot="1" x14ac:dyDescent="0.25">
      <c r="A63" s="1943" t="s">
        <v>174</v>
      </c>
      <c r="B63" s="1944" t="s">
        <v>800</v>
      </c>
      <c r="C63" s="1944" t="s">
        <v>397</v>
      </c>
      <c r="D63" s="1945" t="s">
        <v>176</v>
      </c>
      <c r="E63" s="1976" t="s">
        <v>669</v>
      </c>
      <c r="F63" s="1976" t="s">
        <v>670</v>
      </c>
      <c r="G63" s="1977" t="s">
        <v>923</v>
      </c>
      <c r="H63" s="1978" t="s">
        <v>924</v>
      </c>
      <c r="I63" s="1970"/>
    </row>
    <row r="64" spans="1:9" ht="14.25" hidden="1" thickTop="1" thickBot="1" x14ac:dyDescent="0.25">
      <c r="A64" s="1740">
        <v>1</v>
      </c>
      <c r="B64" s="1739">
        <v>2</v>
      </c>
      <c r="C64" s="1739">
        <v>3</v>
      </c>
      <c r="D64" s="1739">
        <v>5</v>
      </c>
      <c r="E64" s="1738">
        <v>6</v>
      </c>
      <c r="F64" s="1738">
        <v>7</v>
      </c>
      <c r="G64" s="2028">
        <v>8</v>
      </c>
      <c r="H64" s="1951" t="s">
        <v>801</v>
      </c>
      <c r="I64" s="1970"/>
    </row>
    <row r="65" spans="1:9" ht="30.75" hidden="1" thickTop="1" x14ac:dyDescent="0.2">
      <c r="A65" s="2049">
        <v>3299</v>
      </c>
      <c r="B65" s="2076">
        <v>5336</v>
      </c>
      <c r="C65" s="2056">
        <v>32133006</v>
      </c>
      <c r="D65" s="1979" t="s">
        <v>1325</v>
      </c>
      <c r="E65" s="1975">
        <v>0</v>
      </c>
      <c r="F65" s="1975">
        <v>58</v>
      </c>
      <c r="G65" s="2039">
        <v>58</v>
      </c>
      <c r="H65" s="1958">
        <f>G65/F65*100</f>
        <v>100</v>
      </c>
      <c r="I65" s="1970"/>
    </row>
    <row r="66" spans="1:9" ht="30" hidden="1" x14ac:dyDescent="0.2">
      <c r="A66" s="2049">
        <v>3299</v>
      </c>
      <c r="B66" s="2076">
        <v>5336</v>
      </c>
      <c r="C66" s="2056">
        <v>32533006</v>
      </c>
      <c r="D66" s="1979" t="s">
        <v>1325</v>
      </c>
      <c r="E66" s="1989">
        <v>0</v>
      </c>
      <c r="F66" s="1989">
        <v>327</v>
      </c>
      <c r="G66" s="2036">
        <v>327</v>
      </c>
      <c r="H66" s="1961">
        <f>G66/F66*100</f>
        <v>100</v>
      </c>
      <c r="I66" s="1970"/>
    </row>
    <row r="67" spans="1:9" ht="30" hidden="1" x14ac:dyDescent="0.2">
      <c r="A67" s="2049">
        <v>3299</v>
      </c>
      <c r="B67" s="2076">
        <v>6351</v>
      </c>
      <c r="C67" s="2056">
        <v>32133006</v>
      </c>
      <c r="D67" s="2072" t="s">
        <v>1339</v>
      </c>
      <c r="E67" s="1989">
        <v>0</v>
      </c>
      <c r="F67" s="1989">
        <v>12</v>
      </c>
      <c r="G67" s="2036">
        <v>12</v>
      </c>
      <c r="H67" s="1961">
        <f>G67/F67*100</f>
        <v>100</v>
      </c>
      <c r="I67" s="1970"/>
    </row>
    <row r="68" spans="1:9" ht="30" hidden="1" x14ac:dyDescent="0.2">
      <c r="A68" s="2049">
        <v>3299</v>
      </c>
      <c r="B68" s="2076">
        <v>6351</v>
      </c>
      <c r="C68" s="2056">
        <v>32533006</v>
      </c>
      <c r="D68" s="2072" t="s">
        <v>1339</v>
      </c>
      <c r="E68" s="1989">
        <v>0</v>
      </c>
      <c r="F68" s="1989">
        <v>66</v>
      </c>
      <c r="G68" s="2036">
        <v>66</v>
      </c>
      <c r="H68" s="1961">
        <f>G68/F68*100</f>
        <v>100</v>
      </c>
      <c r="I68" s="1970"/>
    </row>
    <row r="69" spans="1:9" ht="16.5" hidden="1" thickTop="1" thickBot="1" x14ac:dyDescent="0.3">
      <c r="A69" s="1980" t="s">
        <v>802</v>
      </c>
      <c r="B69" s="1981"/>
      <c r="C69" s="1981"/>
      <c r="D69" s="1982"/>
      <c r="E69" s="1957">
        <f>SUM(E65:E66)</f>
        <v>0</v>
      </c>
      <c r="F69" s="1957">
        <f>SUM(F65:F68)</f>
        <v>463</v>
      </c>
      <c r="G69" s="1957">
        <f>SUM(G65:G68)</f>
        <v>463</v>
      </c>
      <c r="H69" s="1962">
        <f>G69/F69*100</f>
        <v>100</v>
      </c>
      <c r="I69" s="1970"/>
    </row>
    <row r="70" spans="1:9" ht="7.5" hidden="1" customHeight="1" thickTop="1" x14ac:dyDescent="0.2">
      <c r="I70" s="1970"/>
    </row>
    <row r="71" spans="1:9" ht="15" x14ac:dyDescent="0.25">
      <c r="A71" s="1942" t="s">
        <v>1746</v>
      </c>
      <c r="D71" s="1936"/>
      <c r="E71" s="1937"/>
      <c r="H71" s="1970"/>
      <c r="I71" s="1970"/>
    </row>
    <row r="72" spans="1:9" ht="15.75" thickBot="1" x14ac:dyDescent="0.3">
      <c r="A72" s="1942" t="s">
        <v>1038</v>
      </c>
      <c r="D72" s="1936"/>
      <c r="E72" s="1937"/>
      <c r="H72" s="2043" t="s">
        <v>173</v>
      </c>
      <c r="I72" s="1970"/>
    </row>
    <row r="73" spans="1:9" ht="25.5" thickTop="1" thickBot="1" x14ac:dyDescent="0.25">
      <c r="A73" s="1943" t="s">
        <v>174</v>
      </c>
      <c r="B73" s="1944" t="s">
        <v>800</v>
      </c>
      <c r="C73" s="1944" t="s">
        <v>397</v>
      </c>
      <c r="D73" s="1945" t="s">
        <v>176</v>
      </c>
      <c r="E73" s="1976" t="s">
        <v>669</v>
      </c>
      <c r="F73" s="1976" t="s">
        <v>670</v>
      </c>
      <c r="G73" s="1977" t="s">
        <v>923</v>
      </c>
      <c r="H73" s="1978" t="s">
        <v>924</v>
      </c>
      <c r="I73" s="1970"/>
    </row>
    <row r="74" spans="1:9" ht="14.25" thickTop="1" thickBot="1" x14ac:dyDescent="0.25">
      <c r="A74" s="1740">
        <v>1</v>
      </c>
      <c r="B74" s="1739">
        <v>2</v>
      </c>
      <c r="C74" s="1739">
        <v>3</v>
      </c>
      <c r="D74" s="1739">
        <v>5</v>
      </c>
      <c r="E74" s="1738">
        <v>6</v>
      </c>
      <c r="F74" s="1738">
        <v>7</v>
      </c>
      <c r="G74" s="2028">
        <v>8</v>
      </c>
      <c r="H74" s="1951" t="s">
        <v>801</v>
      </c>
      <c r="I74" s="1970"/>
    </row>
    <row r="75" spans="1:9" ht="30.75" thickTop="1" x14ac:dyDescent="0.2">
      <c r="A75" s="2049">
        <v>3299</v>
      </c>
      <c r="B75" s="2076">
        <v>5336</v>
      </c>
      <c r="C75" s="2056">
        <v>32133006</v>
      </c>
      <c r="D75" s="1979" t="s">
        <v>1325</v>
      </c>
      <c r="E75" s="1975">
        <v>0</v>
      </c>
      <c r="F75" s="1975">
        <v>72</v>
      </c>
      <c r="G75" s="2039">
        <v>72</v>
      </c>
      <c r="H75" s="1958">
        <f>G75/F75*100</f>
        <v>100</v>
      </c>
      <c r="I75" s="1970"/>
    </row>
    <row r="76" spans="1:9" ht="30.75" thickBot="1" x14ac:dyDescent="0.25">
      <c r="A76" s="2049">
        <v>3299</v>
      </c>
      <c r="B76" s="2076">
        <v>5336</v>
      </c>
      <c r="C76" s="2056">
        <v>32533006</v>
      </c>
      <c r="D76" s="1979" t="s">
        <v>1325</v>
      </c>
      <c r="E76" s="1989">
        <v>0</v>
      </c>
      <c r="F76" s="1989">
        <v>409</v>
      </c>
      <c r="G76" s="2036">
        <v>409</v>
      </c>
      <c r="H76" s="1961">
        <f>G76/F76*100</f>
        <v>100</v>
      </c>
      <c r="I76" s="1970"/>
    </row>
    <row r="77" spans="1:9" ht="16.5" thickTop="1" thickBot="1" x14ac:dyDescent="0.3">
      <c r="A77" s="1980" t="s">
        <v>802</v>
      </c>
      <c r="B77" s="1981"/>
      <c r="C77" s="1981"/>
      <c r="D77" s="1982"/>
      <c r="E77" s="1957">
        <f>SUM(E75:E76)</f>
        <v>0</v>
      </c>
      <c r="F77" s="1957">
        <f>SUM(F75:F76)</f>
        <v>481</v>
      </c>
      <c r="G77" s="1957">
        <f>SUM(G75:G76)</f>
        <v>481</v>
      </c>
      <c r="H77" s="1962">
        <f>G77/F77*100</f>
        <v>100</v>
      </c>
      <c r="I77" s="1970"/>
    </row>
    <row r="78" spans="1:9" ht="13.5" thickTop="1" x14ac:dyDescent="0.2">
      <c r="I78" s="1970"/>
    </row>
    <row r="79" spans="1:9" ht="15" hidden="1" x14ac:dyDescent="0.25">
      <c r="A79" s="1942" t="s">
        <v>351</v>
      </c>
      <c r="D79" s="1936"/>
      <c r="E79" s="1937"/>
      <c r="H79" s="1970"/>
      <c r="I79" s="1970"/>
    </row>
    <row r="80" spans="1:9" ht="15" hidden="1" x14ac:dyDescent="0.25">
      <c r="A80" s="1942" t="s">
        <v>1200</v>
      </c>
      <c r="D80" s="1936"/>
      <c r="E80" s="1937"/>
      <c r="H80" s="2043" t="s">
        <v>173</v>
      </c>
      <c r="I80" s="1970"/>
    </row>
    <row r="81" spans="1:9" ht="25.5" hidden="1" thickTop="1" thickBot="1" x14ac:dyDescent="0.25">
      <c r="A81" s="1943" t="s">
        <v>174</v>
      </c>
      <c r="B81" s="1944" t="s">
        <v>800</v>
      </c>
      <c r="C81" s="1944" t="s">
        <v>397</v>
      </c>
      <c r="D81" s="1945" t="s">
        <v>176</v>
      </c>
      <c r="E81" s="1976" t="s">
        <v>669</v>
      </c>
      <c r="F81" s="1976" t="s">
        <v>670</v>
      </c>
      <c r="G81" s="1977" t="s">
        <v>923</v>
      </c>
      <c r="H81" s="1978" t="s">
        <v>924</v>
      </c>
      <c r="I81" s="1970"/>
    </row>
    <row r="82" spans="1:9" ht="14.25" hidden="1" thickTop="1" thickBot="1" x14ac:dyDescent="0.25">
      <c r="A82" s="1740">
        <v>1</v>
      </c>
      <c r="B82" s="1739">
        <v>2</v>
      </c>
      <c r="C82" s="1739">
        <v>3</v>
      </c>
      <c r="D82" s="1739">
        <v>5</v>
      </c>
      <c r="E82" s="1738">
        <v>6</v>
      </c>
      <c r="F82" s="1738">
        <v>7</v>
      </c>
      <c r="G82" s="2028">
        <v>8</v>
      </c>
      <c r="H82" s="1951" t="s">
        <v>801</v>
      </c>
      <c r="I82" s="1970"/>
    </row>
    <row r="83" spans="1:9" ht="30.75" hidden="1" thickTop="1" x14ac:dyDescent="0.2">
      <c r="A83" s="2049">
        <v>3299</v>
      </c>
      <c r="B83" s="2076">
        <v>5336</v>
      </c>
      <c r="C83" s="2056">
        <v>32133006</v>
      </c>
      <c r="D83" s="1979" t="s">
        <v>1325</v>
      </c>
      <c r="E83" s="1975">
        <v>0</v>
      </c>
      <c r="F83" s="1975"/>
      <c r="G83" s="2039"/>
      <c r="H83" s="1958" t="e">
        <f>G83/F83*100</f>
        <v>#DIV/0!</v>
      </c>
      <c r="I83" s="1970"/>
    </row>
    <row r="84" spans="1:9" ht="30" hidden="1" x14ac:dyDescent="0.2">
      <c r="A84" s="2049">
        <v>3299</v>
      </c>
      <c r="B84" s="2076">
        <v>5336</v>
      </c>
      <c r="C84" s="2056">
        <v>32533006</v>
      </c>
      <c r="D84" s="1979" t="s">
        <v>1325</v>
      </c>
      <c r="E84" s="1989">
        <v>0</v>
      </c>
      <c r="F84" s="1989"/>
      <c r="G84" s="2036"/>
      <c r="H84" s="1961" t="e">
        <f>G84/F84*100</f>
        <v>#DIV/0!</v>
      </c>
      <c r="I84" s="1970"/>
    </row>
    <row r="85" spans="1:9" ht="30" hidden="1" x14ac:dyDescent="0.2">
      <c r="A85" s="2049">
        <v>3299</v>
      </c>
      <c r="B85" s="2056">
        <v>6351</v>
      </c>
      <c r="C85" s="2056">
        <v>32133006</v>
      </c>
      <c r="D85" s="1979" t="s">
        <v>1339</v>
      </c>
      <c r="E85" s="1989">
        <v>0</v>
      </c>
      <c r="F85" s="1989">
        <v>0</v>
      </c>
      <c r="G85" s="2036">
        <v>0</v>
      </c>
      <c r="H85" s="1961" t="e">
        <f>G85/F85*100</f>
        <v>#DIV/0!</v>
      </c>
      <c r="I85" s="1970"/>
    </row>
    <row r="86" spans="1:9" ht="30" hidden="1" x14ac:dyDescent="0.2">
      <c r="A86" s="2049">
        <v>3299</v>
      </c>
      <c r="B86" s="2056">
        <v>6351</v>
      </c>
      <c r="C86" s="2056">
        <v>32533006</v>
      </c>
      <c r="D86" s="1979" t="s">
        <v>1339</v>
      </c>
      <c r="E86" s="1989">
        <v>0</v>
      </c>
      <c r="F86" s="1989">
        <v>0</v>
      </c>
      <c r="G86" s="2036">
        <v>0</v>
      </c>
      <c r="H86" s="1961" t="e">
        <f>G86/F86*100</f>
        <v>#DIV/0!</v>
      </c>
      <c r="I86" s="1970"/>
    </row>
    <row r="87" spans="1:9" ht="16.5" hidden="1" thickTop="1" thickBot="1" x14ac:dyDescent="0.3">
      <c r="A87" s="1980" t="s">
        <v>802</v>
      </c>
      <c r="B87" s="1981"/>
      <c r="C87" s="1981"/>
      <c r="D87" s="1982"/>
      <c r="E87" s="1957">
        <f>SUM(E83:E86)</f>
        <v>0</v>
      </c>
      <c r="F87" s="1957">
        <f>SUM(F83:F86)</f>
        <v>0</v>
      </c>
      <c r="G87" s="1957">
        <f>SUM(G83:G86)</f>
        <v>0</v>
      </c>
      <c r="H87" s="1962" t="e">
        <f>G87/F87*100</f>
        <v>#DIV/0!</v>
      </c>
      <c r="I87" s="1970"/>
    </row>
    <row r="88" spans="1:9" ht="10.5" hidden="1" customHeight="1" thickTop="1" x14ac:dyDescent="0.2">
      <c r="I88" s="1970"/>
    </row>
    <row r="89" spans="1:9" ht="15" hidden="1" x14ac:dyDescent="0.25">
      <c r="A89" s="1942" t="s">
        <v>1747</v>
      </c>
      <c r="D89" s="1936"/>
      <c r="E89" s="1937"/>
      <c r="H89" s="1970"/>
      <c r="I89" s="1970"/>
    </row>
    <row r="90" spans="1:9" ht="15" hidden="1" x14ac:dyDescent="0.25">
      <c r="A90" s="1942" t="s">
        <v>1039</v>
      </c>
      <c r="D90" s="1936"/>
      <c r="E90" s="1937"/>
      <c r="H90" s="2043" t="s">
        <v>173</v>
      </c>
      <c r="I90" s="1970"/>
    </row>
    <row r="91" spans="1:9" ht="25.5" hidden="1" thickTop="1" thickBot="1" x14ac:dyDescent="0.25">
      <c r="A91" s="1943" t="s">
        <v>174</v>
      </c>
      <c r="B91" s="1944" t="s">
        <v>800</v>
      </c>
      <c r="C91" s="1944" t="s">
        <v>397</v>
      </c>
      <c r="D91" s="1945" t="s">
        <v>176</v>
      </c>
      <c r="E91" s="1976" t="s">
        <v>669</v>
      </c>
      <c r="F91" s="1976" t="s">
        <v>670</v>
      </c>
      <c r="G91" s="1977" t="s">
        <v>923</v>
      </c>
      <c r="H91" s="1978" t="s">
        <v>924</v>
      </c>
      <c r="I91" s="1970"/>
    </row>
    <row r="92" spans="1:9" ht="14.25" hidden="1" thickTop="1" thickBot="1" x14ac:dyDescent="0.25">
      <c r="A92" s="1740">
        <v>1</v>
      </c>
      <c r="B92" s="1739">
        <v>2</v>
      </c>
      <c r="C92" s="1739">
        <v>3</v>
      </c>
      <c r="D92" s="1739">
        <v>5</v>
      </c>
      <c r="E92" s="1738">
        <v>6</v>
      </c>
      <c r="F92" s="1738">
        <v>7</v>
      </c>
      <c r="G92" s="2028">
        <v>8</v>
      </c>
      <c r="H92" s="1951" t="s">
        <v>801</v>
      </c>
      <c r="I92" s="1970"/>
    </row>
    <row r="93" spans="1:9" ht="30.75" hidden="1" thickTop="1" x14ac:dyDescent="0.2">
      <c r="A93" s="2049">
        <v>3299</v>
      </c>
      <c r="B93" s="2076">
        <v>5336</v>
      </c>
      <c r="C93" s="2056">
        <v>32133006</v>
      </c>
      <c r="D93" s="1979" t="s">
        <v>1325</v>
      </c>
      <c r="E93" s="1975">
        <v>0</v>
      </c>
      <c r="F93" s="1975"/>
      <c r="G93" s="2039"/>
      <c r="H93" s="1958" t="e">
        <f>G93/F93*100</f>
        <v>#DIV/0!</v>
      </c>
      <c r="I93" s="1970"/>
    </row>
    <row r="94" spans="1:9" ht="30" hidden="1" x14ac:dyDescent="0.2">
      <c r="A94" s="2049">
        <v>3299</v>
      </c>
      <c r="B94" s="2076">
        <v>5336</v>
      </c>
      <c r="C94" s="2056">
        <v>32533006</v>
      </c>
      <c r="D94" s="1979" t="s">
        <v>1325</v>
      </c>
      <c r="E94" s="1989">
        <v>0</v>
      </c>
      <c r="F94" s="1989"/>
      <c r="G94" s="2036"/>
      <c r="H94" s="1961" t="e">
        <f>G94/F94*100</f>
        <v>#DIV/0!</v>
      </c>
      <c r="I94" s="1970"/>
    </row>
    <row r="95" spans="1:9" ht="30" hidden="1" x14ac:dyDescent="0.2">
      <c r="A95" s="2049">
        <v>3299</v>
      </c>
      <c r="B95" s="2056">
        <v>6351</v>
      </c>
      <c r="C95" s="2056">
        <v>32133006</v>
      </c>
      <c r="D95" s="1979" t="s">
        <v>1339</v>
      </c>
      <c r="E95" s="1989">
        <v>0</v>
      </c>
      <c r="F95" s="1989">
        <v>0</v>
      </c>
      <c r="G95" s="2036">
        <v>0</v>
      </c>
      <c r="H95" s="1961" t="e">
        <f>G95/F95*100</f>
        <v>#DIV/0!</v>
      </c>
      <c r="I95" s="1970"/>
    </row>
    <row r="96" spans="1:9" ht="30" hidden="1" x14ac:dyDescent="0.2">
      <c r="A96" s="2049">
        <v>3299</v>
      </c>
      <c r="B96" s="2056">
        <v>6351</v>
      </c>
      <c r="C96" s="2056">
        <v>32533006</v>
      </c>
      <c r="D96" s="1979" t="s">
        <v>1339</v>
      </c>
      <c r="E96" s="1989">
        <v>0</v>
      </c>
      <c r="F96" s="1989">
        <v>0</v>
      </c>
      <c r="G96" s="2036">
        <v>0</v>
      </c>
      <c r="H96" s="1961" t="e">
        <f>G96/F96*100</f>
        <v>#DIV/0!</v>
      </c>
      <c r="I96" s="1970"/>
    </row>
    <row r="97" spans="1:9" ht="16.5" hidden="1" thickTop="1" thickBot="1" x14ac:dyDescent="0.3">
      <c r="A97" s="1980" t="s">
        <v>802</v>
      </c>
      <c r="B97" s="1981"/>
      <c r="C97" s="1981"/>
      <c r="D97" s="1982"/>
      <c r="E97" s="1957">
        <f>SUM(E93:E96)</f>
        <v>0</v>
      </c>
      <c r="F97" s="1957">
        <f>SUM(F93:F96)</f>
        <v>0</v>
      </c>
      <c r="G97" s="1957">
        <f>SUM(G93:G96)</f>
        <v>0</v>
      </c>
      <c r="H97" s="1962" t="e">
        <f>G97/F97*100</f>
        <v>#DIV/0!</v>
      </c>
      <c r="I97" s="1970"/>
    </row>
    <row r="98" spans="1:9" ht="8.25" hidden="1" customHeight="1" thickTop="1" x14ac:dyDescent="0.2">
      <c r="I98" s="1970"/>
    </row>
    <row r="99" spans="1:9" ht="15" hidden="1" x14ac:dyDescent="0.25">
      <c r="A99" s="1942" t="s">
        <v>1040</v>
      </c>
      <c r="D99" s="1936"/>
      <c r="E99" s="1937"/>
      <c r="H99" s="1970"/>
      <c r="I99" s="1970"/>
    </row>
    <row r="100" spans="1:9" ht="15" hidden="1" x14ac:dyDescent="0.25">
      <c r="A100" s="1942" t="s">
        <v>204</v>
      </c>
      <c r="D100" s="1936"/>
      <c r="E100" s="1937"/>
      <c r="H100" s="1970" t="s">
        <v>173</v>
      </c>
      <c r="I100" s="1970"/>
    </row>
    <row r="101" spans="1:9" ht="25.5" hidden="1" thickTop="1" thickBot="1" x14ac:dyDescent="0.25">
      <c r="A101" s="1943" t="s">
        <v>174</v>
      </c>
      <c r="B101" s="1944" t="s">
        <v>800</v>
      </c>
      <c r="C101" s="1944" t="s">
        <v>397</v>
      </c>
      <c r="D101" s="1945" t="s">
        <v>176</v>
      </c>
      <c r="E101" s="1976" t="s">
        <v>669</v>
      </c>
      <c r="F101" s="1976" t="s">
        <v>670</v>
      </c>
      <c r="G101" s="1977" t="s">
        <v>923</v>
      </c>
      <c r="H101" s="1978" t="s">
        <v>924</v>
      </c>
      <c r="I101" s="1970"/>
    </row>
    <row r="102" spans="1:9" ht="14.25" hidden="1" thickTop="1" thickBot="1" x14ac:dyDescent="0.25">
      <c r="A102" s="1740">
        <v>1</v>
      </c>
      <c r="B102" s="1739">
        <v>2</v>
      </c>
      <c r="C102" s="1739">
        <v>3</v>
      </c>
      <c r="D102" s="1739">
        <v>5</v>
      </c>
      <c r="E102" s="1738">
        <v>6</v>
      </c>
      <c r="F102" s="1738">
        <v>7</v>
      </c>
      <c r="G102" s="2028">
        <v>8</v>
      </c>
      <c r="H102" s="1951" t="s">
        <v>801</v>
      </c>
      <c r="I102" s="1970"/>
    </row>
    <row r="103" spans="1:9" ht="30.75" hidden="1" thickTop="1" x14ac:dyDescent="0.2">
      <c r="A103" s="2049">
        <v>3299</v>
      </c>
      <c r="B103" s="2076">
        <v>5336</v>
      </c>
      <c r="C103" s="2056">
        <v>32133006</v>
      </c>
      <c r="D103" s="2072" t="s">
        <v>1453</v>
      </c>
      <c r="E103" s="1975">
        <v>0</v>
      </c>
      <c r="F103" s="1975">
        <v>0</v>
      </c>
      <c r="G103" s="2039">
        <v>0</v>
      </c>
      <c r="H103" s="1958" t="e">
        <f>G103/F103*100</f>
        <v>#DIV/0!</v>
      </c>
      <c r="I103" s="1970"/>
    </row>
    <row r="104" spans="1:9" ht="30" hidden="1" x14ac:dyDescent="0.2">
      <c r="A104" s="2049">
        <v>3299</v>
      </c>
      <c r="B104" s="2076">
        <v>5336</v>
      </c>
      <c r="C104" s="2056">
        <v>32533006</v>
      </c>
      <c r="D104" s="1979" t="s">
        <v>1325</v>
      </c>
      <c r="E104" s="1989">
        <v>0</v>
      </c>
      <c r="F104" s="1989">
        <v>0</v>
      </c>
      <c r="G104" s="2036">
        <v>0</v>
      </c>
      <c r="H104" s="1961" t="e">
        <f>G104/F104*100</f>
        <v>#DIV/0!</v>
      </c>
      <c r="I104" s="1970"/>
    </row>
    <row r="105" spans="1:9" ht="16.5" hidden="1" thickTop="1" thickBot="1" x14ac:dyDescent="0.3">
      <c r="A105" s="1980" t="s">
        <v>802</v>
      </c>
      <c r="B105" s="1981"/>
      <c r="C105" s="1981"/>
      <c r="D105" s="1982"/>
      <c r="E105" s="1957">
        <f>SUM(E103:E104)</f>
        <v>0</v>
      </c>
      <c r="F105" s="1957">
        <f>SUM(F103:F104)</f>
        <v>0</v>
      </c>
      <c r="G105" s="1957">
        <f>SUM(G103:G104)</f>
        <v>0</v>
      </c>
      <c r="H105" s="1962" t="e">
        <f>G105/F105*100</f>
        <v>#DIV/0!</v>
      </c>
      <c r="I105" s="1970"/>
    </row>
    <row r="106" spans="1:9" ht="15" hidden="1" x14ac:dyDescent="0.25">
      <c r="A106" s="1994"/>
      <c r="B106" s="1994"/>
      <c r="C106" s="1994"/>
      <c r="D106" s="1994"/>
      <c r="E106" s="1964"/>
      <c r="F106" s="1964"/>
      <c r="G106" s="1964"/>
      <c r="H106" s="1995"/>
      <c r="I106" s="1970"/>
    </row>
    <row r="107" spans="1:9" ht="15" x14ac:dyDescent="0.25">
      <c r="A107" s="2077" t="s">
        <v>1748</v>
      </c>
      <c r="B107" s="2077"/>
      <c r="C107" s="2077"/>
      <c r="D107" s="2077"/>
      <c r="E107" s="2077"/>
      <c r="F107" s="2078"/>
      <c r="G107" s="2078"/>
      <c r="H107" s="2078"/>
      <c r="I107" s="2078"/>
    </row>
    <row r="108" spans="1:9" ht="15.75" thickBot="1" x14ac:dyDescent="0.3">
      <c r="A108" s="2077" t="s">
        <v>1459</v>
      </c>
      <c r="B108" s="2077"/>
      <c r="C108" s="2079"/>
      <c r="D108" s="2079"/>
      <c r="E108" s="2080"/>
      <c r="F108" s="2078"/>
      <c r="G108" s="2078"/>
      <c r="H108" s="2081" t="s">
        <v>173</v>
      </c>
      <c r="I108" s="2078"/>
    </row>
    <row r="109" spans="1:9" ht="25.5" thickTop="1" thickBot="1" x14ac:dyDescent="0.25">
      <c r="A109" s="2082" t="s">
        <v>174</v>
      </c>
      <c r="B109" s="2083" t="s">
        <v>800</v>
      </c>
      <c r="C109" s="2083" t="s">
        <v>397</v>
      </c>
      <c r="D109" s="2084" t="s">
        <v>176</v>
      </c>
      <c r="E109" s="2085" t="s">
        <v>669</v>
      </c>
      <c r="F109" s="2085" t="s">
        <v>670</v>
      </c>
      <c r="G109" s="2086" t="s">
        <v>923</v>
      </c>
      <c r="H109" s="2087" t="s">
        <v>924</v>
      </c>
      <c r="I109" s="2078"/>
    </row>
    <row r="110" spans="1:9" ht="14.25" thickTop="1" thickBot="1" x14ac:dyDescent="0.25">
      <c r="A110" s="2088">
        <v>1</v>
      </c>
      <c r="B110" s="2089">
        <v>2</v>
      </c>
      <c r="C110" s="2089">
        <v>3</v>
      </c>
      <c r="D110" s="2089">
        <v>5</v>
      </c>
      <c r="E110" s="2090">
        <v>6</v>
      </c>
      <c r="F110" s="2090">
        <v>7</v>
      </c>
      <c r="G110" s="2091">
        <v>8</v>
      </c>
      <c r="H110" s="2092" t="s">
        <v>801</v>
      </c>
      <c r="I110" s="2078"/>
    </row>
    <row r="111" spans="1:9" ht="30.75" thickTop="1" x14ac:dyDescent="0.2">
      <c r="A111" s="2093">
        <v>3299</v>
      </c>
      <c r="B111" s="2094">
        <v>5336</v>
      </c>
      <c r="C111" s="2094">
        <v>32133006</v>
      </c>
      <c r="D111" s="1979" t="s">
        <v>1325</v>
      </c>
      <c r="E111" s="2095">
        <v>0</v>
      </c>
      <c r="F111" s="2095">
        <v>107</v>
      </c>
      <c r="G111" s="2096">
        <v>107</v>
      </c>
      <c r="H111" s="2097">
        <v>88.6</v>
      </c>
      <c r="I111" s="2078"/>
    </row>
    <row r="112" spans="1:9" ht="30.75" thickBot="1" x14ac:dyDescent="0.25">
      <c r="A112" s="2093">
        <v>3299</v>
      </c>
      <c r="B112" s="2094">
        <v>5336</v>
      </c>
      <c r="C112" s="2094">
        <v>32533006</v>
      </c>
      <c r="D112" s="1979" t="s">
        <v>1325</v>
      </c>
      <c r="E112" s="2095">
        <v>0</v>
      </c>
      <c r="F112" s="2095">
        <v>604</v>
      </c>
      <c r="G112" s="2096">
        <v>604</v>
      </c>
      <c r="H112" s="2097">
        <v>89.1</v>
      </c>
      <c r="I112" s="2078"/>
    </row>
    <row r="113" spans="1:9" ht="16.5" thickTop="1" thickBot="1" x14ac:dyDescent="0.3">
      <c r="A113" s="2098" t="s">
        <v>802</v>
      </c>
      <c r="B113" s="2099"/>
      <c r="C113" s="2099"/>
      <c r="D113" s="2100"/>
      <c r="E113" s="2101">
        <v>0</v>
      </c>
      <c r="F113" s="2101">
        <f>SUM(F111:F112)</f>
        <v>711</v>
      </c>
      <c r="G113" s="2101">
        <f>SUM(G111:G112)</f>
        <v>711</v>
      </c>
      <c r="H113" s="2102">
        <v>89</v>
      </c>
      <c r="I113" s="2078"/>
    </row>
    <row r="114" spans="1:9" ht="15.75" hidden="1" thickTop="1" x14ac:dyDescent="0.25">
      <c r="A114" s="1942" t="s">
        <v>1201</v>
      </c>
      <c r="D114" s="1936"/>
      <c r="E114" s="1937"/>
      <c r="H114" s="1970"/>
      <c r="I114" s="1970"/>
    </row>
    <row r="115" spans="1:9" ht="15.75" hidden="1" thickTop="1" x14ac:dyDescent="0.25">
      <c r="A115" s="1942" t="s">
        <v>1202</v>
      </c>
      <c r="D115" s="1936"/>
      <c r="E115" s="1937"/>
      <c r="H115" s="1970" t="s">
        <v>173</v>
      </c>
      <c r="I115" s="1970"/>
    </row>
    <row r="116" spans="1:9" ht="25.5" hidden="1" thickTop="1" thickBot="1" x14ac:dyDescent="0.25">
      <c r="A116" s="1943" t="s">
        <v>174</v>
      </c>
      <c r="B116" s="1944" t="s">
        <v>800</v>
      </c>
      <c r="C116" s="1944" t="s">
        <v>397</v>
      </c>
      <c r="D116" s="1945" t="s">
        <v>176</v>
      </c>
      <c r="E116" s="1976" t="s">
        <v>669</v>
      </c>
      <c r="F116" s="1976" t="s">
        <v>670</v>
      </c>
      <c r="G116" s="1977" t="s">
        <v>923</v>
      </c>
      <c r="H116" s="1978" t="s">
        <v>924</v>
      </c>
      <c r="I116" s="1970"/>
    </row>
    <row r="117" spans="1:9" ht="14.25" hidden="1" thickTop="1" thickBot="1" x14ac:dyDescent="0.25">
      <c r="A117" s="1740">
        <v>1</v>
      </c>
      <c r="B117" s="1739">
        <v>2</v>
      </c>
      <c r="C117" s="1739">
        <v>3</v>
      </c>
      <c r="D117" s="1739">
        <v>5</v>
      </c>
      <c r="E117" s="1738">
        <v>6</v>
      </c>
      <c r="F117" s="1738">
        <v>7</v>
      </c>
      <c r="G117" s="2028">
        <v>8</v>
      </c>
      <c r="H117" s="1951" t="s">
        <v>801</v>
      </c>
      <c r="I117" s="1970"/>
    </row>
    <row r="118" spans="1:9" ht="30.75" hidden="1" thickTop="1" x14ac:dyDescent="0.2">
      <c r="A118" s="2049">
        <v>3299</v>
      </c>
      <c r="B118" s="2076">
        <v>5336</v>
      </c>
      <c r="C118" s="2056">
        <v>32133006</v>
      </c>
      <c r="D118" s="2072" t="s">
        <v>1453</v>
      </c>
      <c r="E118" s="1975">
        <v>0</v>
      </c>
      <c r="F118" s="1975">
        <v>0</v>
      </c>
      <c r="G118" s="2039">
        <v>0</v>
      </c>
      <c r="H118" s="1958" t="e">
        <f>G118/F118*100</f>
        <v>#DIV/0!</v>
      </c>
      <c r="I118" s="1970"/>
    </row>
    <row r="119" spans="1:9" ht="30.75" hidden="1" thickTop="1" x14ac:dyDescent="0.2">
      <c r="A119" s="2049">
        <v>3299</v>
      </c>
      <c r="B119" s="2076">
        <v>5336</v>
      </c>
      <c r="C119" s="2056">
        <v>32533006</v>
      </c>
      <c r="D119" s="1979" t="s">
        <v>1325</v>
      </c>
      <c r="E119" s="1989">
        <v>0</v>
      </c>
      <c r="F119" s="1989">
        <v>0</v>
      </c>
      <c r="G119" s="2036">
        <v>0</v>
      </c>
      <c r="H119" s="1961" t="e">
        <f>G119/F119*100</f>
        <v>#DIV/0!</v>
      </c>
      <c r="I119" s="1970"/>
    </row>
    <row r="120" spans="1:9" ht="16.5" hidden="1" thickTop="1" thickBot="1" x14ac:dyDescent="0.3">
      <c r="A120" s="1980" t="s">
        <v>802</v>
      </c>
      <c r="B120" s="1981"/>
      <c r="C120" s="1981"/>
      <c r="D120" s="1982"/>
      <c r="E120" s="1957">
        <f>SUM(E118:E119)</f>
        <v>0</v>
      </c>
      <c r="F120" s="1957">
        <f>SUM(F118:F119)</f>
        <v>0</v>
      </c>
      <c r="G120" s="1957">
        <f>SUM(G118:G119)</f>
        <v>0</v>
      </c>
      <c r="H120" s="1962" t="e">
        <f>G120/F120*100</f>
        <v>#DIV/0!</v>
      </c>
      <c r="I120" s="1970"/>
    </row>
    <row r="121" spans="1:9" ht="13.5" hidden="1" thickTop="1" x14ac:dyDescent="0.2">
      <c r="I121" s="1970"/>
    </row>
    <row r="122" spans="1:9" ht="15.75" hidden="1" thickTop="1" x14ac:dyDescent="0.25">
      <c r="A122" s="1942" t="s">
        <v>1041</v>
      </c>
      <c r="D122" s="1936"/>
      <c r="E122" s="1937"/>
      <c r="H122" s="1970"/>
      <c r="I122" s="1970"/>
    </row>
    <row r="123" spans="1:9" ht="15.75" hidden="1" thickTop="1" x14ac:dyDescent="0.25">
      <c r="A123" s="1942" t="s">
        <v>1203</v>
      </c>
      <c r="D123" s="1936"/>
      <c r="E123" s="1937"/>
      <c r="H123" s="1970" t="s">
        <v>173</v>
      </c>
      <c r="I123" s="1970"/>
    </row>
    <row r="124" spans="1:9" ht="25.5" hidden="1" thickTop="1" thickBot="1" x14ac:dyDescent="0.25">
      <c r="A124" s="1943" t="s">
        <v>174</v>
      </c>
      <c r="B124" s="1944" t="s">
        <v>800</v>
      </c>
      <c r="C124" s="1944" t="s">
        <v>397</v>
      </c>
      <c r="D124" s="1945" t="s">
        <v>176</v>
      </c>
      <c r="E124" s="1976" t="s">
        <v>669</v>
      </c>
      <c r="F124" s="1976" t="s">
        <v>670</v>
      </c>
      <c r="G124" s="1977" t="s">
        <v>923</v>
      </c>
      <c r="H124" s="1978" t="s">
        <v>924</v>
      </c>
      <c r="I124" s="1970"/>
    </row>
    <row r="125" spans="1:9" ht="14.25" hidden="1" thickTop="1" thickBot="1" x14ac:dyDescent="0.25">
      <c r="A125" s="1740">
        <v>1</v>
      </c>
      <c r="B125" s="1739">
        <v>2</v>
      </c>
      <c r="C125" s="1739">
        <v>3</v>
      </c>
      <c r="D125" s="1739">
        <v>5</v>
      </c>
      <c r="E125" s="1738">
        <v>6</v>
      </c>
      <c r="F125" s="1738">
        <v>7</v>
      </c>
      <c r="G125" s="2028">
        <v>8</v>
      </c>
      <c r="H125" s="1951" t="s">
        <v>801</v>
      </c>
      <c r="I125" s="1970"/>
    </row>
    <row r="126" spans="1:9" ht="30.75" hidden="1" thickTop="1" x14ac:dyDescent="0.2">
      <c r="A126" s="2049">
        <v>3299</v>
      </c>
      <c r="B126" s="2076">
        <v>5336</v>
      </c>
      <c r="C126" s="2056">
        <v>32133006</v>
      </c>
      <c r="D126" s="2072" t="s">
        <v>1453</v>
      </c>
      <c r="E126" s="1975">
        <v>0</v>
      </c>
      <c r="F126" s="1975">
        <v>0</v>
      </c>
      <c r="G126" s="2039">
        <v>0</v>
      </c>
      <c r="H126" s="1958" t="e">
        <f>G126/F126*100</f>
        <v>#DIV/0!</v>
      </c>
      <c r="I126" s="1970"/>
    </row>
    <row r="127" spans="1:9" ht="30.75" hidden="1" thickTop="1" x14ac:dyDescent="0.2">
      <c r="A127" s="2049">
        <v>3299</v>
      </c>
      <c r="B127" s="2076">
        <v>5336</v>
      </c>
      <c r="C127" s="2056">
        <v>32533006</v>
      </c>
      <c r="D127" s="1979" t="s">
        <v>1325</v>
      </c>
      <c r="E127" s="1989">
        <v>0</v>
      </c>
      <c r="F127" s="1989">
        <v>0</v>
      </c>
      <c r="G127" s="2036">
        <v>0</v>
      </c>
      <c r="H127" s="1961" t="e">
        <f>G127/F127*100</f>
        <v>#DIV/0!</v>
      </c>
      <c r="I127" s="1970"/>
    </row>
    <row r="128" spans="1:9" ht="16.5" hidden="1" customHeight="1" thickTop="1" thickBot="1" x14ac:dyDescent="0.3">
      <c r="A128" s="1980" t="s">
        <v>802</v>
      </c>
      <c r="B128" s="1981"/>
      <c r="C128" s="1981"/>
      <c r="D128" s="1982"/>
      <c r="E128" s="1957">
        <f>SUM(E126:E127)</f>
        <v>0</v>
      </c>
      <c r="F128" s="1957">
        <f>SUM(F126:F127)</f>
        <v>0</v>
      </c>
      <c r="G128" s="1957">
        <f>SUM(G126:G127)</f>
        <v>0</v>
      </c>
      <c r="H128" s="1962" t="e">
        <f>G128/F128*100</f>
        <v>#DIV/0!</v>
      </c>
      <c r="I128" s="1970"/>
    </row>
    <row r="129" spans="1:9" ht="15" hidden="1" customHeight="1" thickTop="1" x14ac:dyDescent="0.2">
      <c r="I129" s="1970"/>
    </row>
    <row r="130" spans="1:9" ht="15" hidden="1" customHeight="1" thickTop="1" x14ac:dyDescent="0.25">
      <c r="A130" s="1942" t="s">
        <v>1042</v>
      </c>
      <c r="D130" s="1936"/>
      <c r="E130" s="1937"/>
      <c r="H130" s="1970"/>
      <c r="I130" s="1970"/>
    </row>
    <row r="131" spans="1:9" ht="15" hidden="1" customHeight="1" thickBot="1" x14ac:dyDescent="0.3">
      <c r="A131" s="1942" t="s">
        <v>1043</v>
      </c>
      <c r="D131" s="1936"/>
      <c r="E131" s="1937"/>
      <c r="H131" s="2043" t="s">
        <v>173</v>
      </c>
      <c r="I131" s="1970"/>
    </row>
    <row r="132" spans="1:9" ht="25.5" hidden="1" customHeight="1" thickTop="1" thickBot="1" x14ac:dyDescent="0.25">
      <c r="A132" s="1943" t="s">
        <v>174</v>
      </c>
      <c r="B132" s="1944" t="s">
        <v>800</v>
      </c>
      <c r="C132" s="1944" t="s">
        <v>397</v>
      </c>
      <c r="D132" s="1945" t="s">
        <v>176</v>
      </c>
      <c r="E132" s="1976" t="s">
        <v>669</v>
      </c>
      <c r="F132" s="1976" t="s">
        <v>670</v>
      </c>
      <c r="G132" s="1977" t="s">
        <v>923</v>
      </c>
      <c r="H132" s="1978" t="s">
        <v>924</v>
      </c>
      <c r="I132" s="1970"/>
    </row>
    <row r="133" spans="1:9" ht="15" hidden="1" customHeight="1" thickTop="1" thickBot="1" x14ac:dyDescent="0.25">
      <c r="A133" s="1740">
        <v>1</v>
      </c>
      <c r="B133" s="1739">
        <v>2</v>
      </c>
      <c r="C133" s="1739">
        <v>3</v>
      </c>
      <c r="D133" s="1739">
        <v>5</v>
      </c>
      <c r="E133" s="1738">
        <v>6</v>
      </c>
      <c r="F133" s="1738">
        <v>7</v>
      </c>
      <c r="G133" s="2028">
        <v>8</v>
      </c>
      <c r="H133" s="1951" t="s">
        <v>801</v>
      </c>
      <c r="I133" s="1970"/>
    </row>
    <row r="134" spans="1:9" ht="30.75" hidden="1" customHeight="1" thickTop="1" x14ac:dyDescent="0.2">
      <c r="A134" s="2049">
        <v>3299</v>
      </c>
      <c r="B134" s="2076">
        <v>5336</v>
      </c>
      <c r="C134" s="2056">
        <v>32133006</v>
      </c>
      <c r="D134" s="1979" t="s">
        <v>1325</v>
      </c>
      <c r="E134" s="1975">
        <v>0</v>
      </c>
      <c r="F134" s="1975"/>
      <c r="G134" s="2039"/>
      <c r="H134" s="1958" t="e">
        <f>G134/F134*100</f>
        <v>#DIV/0!</v>
      </c>
      <c r="I134" s="1970"/>
    </row>
    <row r="135" spans="1:9" ht="30.75" hidden="1" customHeight="1" thickBot="1" x14ac:dyDescent="0.25">
      <c r="A135" s="2049">
        <v>3299</v>
      </c>
      <c r="B135" s="2076">
        <v>5336</v>
      </c>
      <c r="C135" s="2056">
        <v>32533006</v>
      </c>
      <c r="D135" s="1979" t="s">
        <v>1325</v>
      </c>
      <c r="E135" s="1989">
        <v>0</v>
      </c>
      <c r="F135" s="1989"/>
      <c r="G135" s="2036"/>
      <c r="H135" s="1961" t="e">
        <f>G135/F135*100</f>
        <v>#DIV/0!</v>
      </c>
      <c r="I135" s="1970"/>
    </row>
    <row r="136" spans="1:9" ht="16.5" hidden="1" customHeight="1" thickTop="1" thickBot="1" x14ac:dyDescent="0.3">
      <c r="A136" s="1980" t="s">
        <v>802</v>
      </c>
      <c r="B136" s="1981"/>
      <c r="C136" s="1981"/>
      <c r="D136" s="1982"/>
      <c r="E136" s="1957">
        <f>SUM(E134:E135)</f>
        <v>0</v>
      </c>
      <c r="F136" s="1957">
        <f>SUM(F134:F135)</f>
        <v>0</v>
      </c>
      <c r="G136" s="1957">
        <f>SUM(G134:G135)</f>
        <v>0</v>
      </c>
      <c r="H136" s="1962" t="e">
        <f>G136/F136*100</f>
        <v>#DIV/0!</v>
      </c>
      <c r="I136" s="1970"/>
    </row>
    <row r="137" spans="1:9" ht="15" customHeight="1" thickTop="1" x14ac:dyDescent="0.2">
      <c r="I137" s="1970"/>
    </row>
    <row r="138" spans="1:9" ht="15" hidden="1" customHeight="1" x14ac:dyDescent="0.25">
      <c r="A138" s="1942" t="s">
        <v>1044</v>
      </c>
      <c r="D138" s="1936"/>
      <c r="E138" s="1937"/>
      <c r="H138" s="1970"/>
      <c r="I138" s="1970"/>
    </row>
    <row r="139" spans="1:9" ht="15" hidden="1" customHeight="1" thickBot="1" x14ac:dyDescent="0.3">
      <c r="A139" s="1942" t="s">
        <v>1045</v>
      </c>
      <c r="D139" s="1936"/>
      <c r="E139" s="1937"/>
      <c r="H139" s="1970" t="s">
        <v>173</v>
      </c>
      <c r="I139" s="1970"/>
    </row>
    <row r="140" spans="1:9" ht="25.5" hidden="1" customHeight="1" thickTop="1" thickBot="1" x14ac:dyDescent="0.25">
      <c r="A140" s="1943" t="s">
        <v>174</v>
      </c>
      <c r="B140" s="1944" t="s">
        <v>800</v>
      </c>
      <c r="C140" s="1944" t="s">
        <v>397</v>
      </c>
      <c r="D140" s="1945" t="s">
        <v>176</v>
      </c>
      <c r="E140" s="1976" t="s">
        <v>669</v>
      </c>
      <c r="F140" s="1976" t="s">
        <v>670</v>
      </c>
      <c r="G140" s="1977" t="s">
        <v>923</v>
      </c>
      <c r="H140" s="1978" t="s">
        <v>924</v>
      </c>
      <c r="I140" s="1970"/>
    </row>
    <row r="141" spans="1:9" ht="15" hidden="1" customHeight="1" thickTop="1" thickBot="1" x14ac:dyDescent="0.25">
      <c r="A141" s="1740">
        <v>1</v>
      </c>
      <c r="B141" s="1739">
        <v>2</v>
      </c>
      <c r="C141" s="1739">
        <v>3</v>
      </c>
      <c r="D141" s="1739">
        <v>5</v>
      </c>
      <c r="E141" s="1738">
        <v>6</v>
      </c>
      <c r="F141" s="1738">
        <v>7</v>
      </c>
      <c r="G141" s="2028">
        <v>8</v>
      </c>
      <c r="H141" s="1951" t="s">
        <v>801</v>
      </c>
      <c r="I141" s="1970"/>
    </row>
    <row r="142" spans="1:9" ht="42.75" hidden="1" customHeight="1" thickTop="1" x14ac:dyDescent="0.2">
      <c r="A142" s="2049">
        <v>3299</v>
      </c>
      <c r="B142" s="2056">
        <v>5213</v>
      </c>
      <c r="C142" s="2056">
        <v>32133006</v>
      </c>
      <c r="D142" s="1979" t="s">
        <v>1046</v>
      </c>
      <c r="E142" s="1975">
        <v>0</v>
      </c>
      <c r="F142" s="1975">
        <v>0</v>
      </c>
      <c r="G142" s="2039">
        <v>0</v>
      </c>
      <c r="H142" s="1958" t="e">
        <f>G142/F142*100</f>
        <v>#DIV/0!</v>
      </c>
      <c r="I142" s="1970"/>
    </row>
    <row r="143" spans="1:9" ht="47.25" hidden="1" customHeight="1" thickBot="1" x14ac:dyDescent="0.25">
      <c r="A143" s="2049">
        <v>3299</v>
      </c>
      <c r="B143" s="2056">
        <v>5213</v>
      </c>
      <c r="C143" s="2056">
        <v>32533006</v>
      </c>
      <c r="D143" s="1979" t="s">
        <v>1046</v>
      </c>
      <c r="E143" s="1989">
        <v>0</v>
      </c>
      <c r="F143" s="1989">
        <v>0</v>
      </c>
      <c r="G143" s="2036">
        <v>0</v>
      </c>
      <c r="H143" s="1961" t="e">
        <f>G143/F143*100</f>
        <v>#DIV/0!</v>
      </c>
      <c r="I143" s="1970"/>
    </row>
    <row r="144" spans="1:9" ht="16.5" hidden="1" customHeight="1" thickTop="1" thickBot="1" x14ac:dyDescent="0.3">
      <c r="A144" s="1980" t="s">
        <v>802</v>
      </c>
      <c r="B144" s="1981"/>
      <c r="C144" s="1981"/>
      <c r="D144" s="1982"/>
      <c r="E144" s="1957">
        <f>SUM(E142:E143)</f>
        <v>0</v>
      </c>
      <c r="F144" s="1957">
        <f>SUM(F142:F143)</f>
        <v>0</v>
      </c>
      <c r="G144" s="1957">
        <f>SUM(G142:G143)</f>
        <v>0</v>
      </c>
      <c r="H144" s="1962" t="e">
        <f>G144/F144*100</f>
        <v>#DIV/0!</v>
      </c>
      <c r="I144" s="1970"/>
    </row>
    <row r="145" spans="1:9" ht="15" hidden="1" customHeight="1" thickTop="1" x14ac:dyDescent="0.2">
      <c r="I145" s="1970"/>
    </row>
    <row r="146" spans="1:9" ht="15" customHeight="1" x14ac:dyDescent="0.25">
      <c r="A146" s="1942" t="s">
        <v>1458</v>
      </c>
      <c r="B146" s="2077"/>
      <c r="C146" s="2077"/>
      <c r="D146" s="2077"/>
      <c r="E146" s="2077"/>
      <c r="F146" s="2078"/>
      <c r="G146" s="2078"/>
      <c r="H146" s="2078"/>
      <c r="I146" s="2078"/>
    </row>
    <row r="147" spans="1:9" ht="15" customHeight="1" thickBot="1" x14ac:dyDescent="0.3">
      <c r="A147" s="2077" t="s">
        <v>1457</v>
      </c>
      <c r="B147" s="2077"/>
      <c r="C147" s="2079"/>
      <c r="D147" s="2079"/>
      <c r="E147" s="2080"/>
      <c r="F147" s="2078"/>
      <c r="G147" s="2078"/>
      <c r="H147" s="2081" t="s">
        <v>173</v>
      </c>
      <c r="I147" s="2078"/>
    </row>
    <row r="148" spans="1:9" ht="27.75" customHeight="1" thickTop="1" thickBot="1" x14ac:dyDescent="0.25">
      <c r="A148" s="2082" t="s">
        <v>174</v>
      </c>
      <c r="B148" s="2083" t="s">
        <v>800</v>
      </c>
      <c r="C148" s="2083" t="s">
        <v>397</v>
      </c>
      <c r="D148" s="2084" t="s">
        <v>176</v>
      </c>
      <c r="E148" s="2085" t="s">
        <v>669</v>
      </c>
      <c r="F148" s="2085" t="s">
        <v>670</v>
      </c>
      <c r="G148" s="2086" t="s">
        <v>923</v>
      </c>
      <c r="H148" s="2087" t="s">
        <v>924</v>
      </c>
      <c r="I148" s="2078"/>
    </row>
    <row r="149" spans="1:9" ht="15" customHeight="1" thickTop="1" thickBot="1" x14ac:dyDescent="0.25">
      <c r="A149" s="2088">
        <v>1</v>
      </c>
      <c r="B149" s="2089">
        <v>2</v>
      </c>
      <c r="C149" s="2089">
        <v>3</v>
      </c>
      <c r="D149" s="2089">
        <v>5</v>
      </c>
      <c r="E149" s="2090">
        <v>6</v>
      </c>
      <c r="F149" s="2090">
        <v>7</v>
      </c>
      <c r="G149" s="2091">
        <v>8</v>
      </c>
      <c r="H149" s="2092" t="s">
        <v>801</v>
      </c>
      <c r="I149" s="2078"/>
    </row>
    <row r="150" spans="1:9" ht="30.75" customHeight="1" thickTop="1" x14ac:dyDescent="0.2">
      <c r="A150" s="2093">
        <v>3299</v>
      </c>
      <c r="B150" s="2094">
        <v>5221</v>
      </c>
      <c r="C150" s="2094">
        <v>32133006</v>
      </c>
      <c r="D150" s="2103" t="s">
        <v>1380</v>
      </c>
      <c r="E150" s="2095">
        <v>0</v>
      </c>
      <c r="F150" s="2095">
        <v>81</v>
      </c>
      <c r="G150" s="2096">
        <v>81</v>
      </c>
      <c r="H150" s="2097">
        <v>84.8</v>
      </c>
      <c r="I150" s="2078"/>
    </row>
    <row r="151" spans="1:9" ht="30.75" customHeight="1" thickBot="1" x14ac:dyDescent="0.25">
      <c r="A151" s="2093">
        <v>3299</v>
      </c>
      <c r="B151" s="2094">
        <v>5221</v>
      </c>
      <c r="C151" s="2094">
        <v>32533006</v>
      </c>
      <c r="D151" s="2103" t="s">
        <v>1380</v>
      </c>
      <c r="E151" s="2095">
        <v>0</v>
      </c>
      <c r="F151" s="2095">
        <v>462</v>
      </c>
      <c r="G151" s="2096">
        <v>462</v>
      </c>
      <c r="H151" s="2097">
        <v>84.9</v>
      </c>
      <c r="I151" s="2078"/>
    </row>
    <row r="152" spans="1:9" ht="15" customHeight="1" thickTop="1" thickBot="1" x14ac:dyDescent="0.3">
      <c r="A152" s="2098" t="s">
        <v>802</v>
      </c>
      <c r="B152" s="2099"/>
      <c r="C152" s="2099"/>
      <c r="D152" s="2100"/>
      <c r="E152" s="2101">
        <v>0</v>
      </c>
      <c r="F152" s="2101">
        <f>SUM(F150:F151)</f>
        <v>543</v>
      </c>
      <c r="G152" s="2101">
        <f>SUM(G150:G151)</f>
        <v>543</v>
      </c>
      <c r="H152" s="2102">
        <v>84.9</v>
      </c>
      <c r="I152" s="2078"/>
    </row>
    <row r="153" spans="1:9" ht="15" customHeight="1" thickTop="1" x14ac:dyDescent="0.2">
      <c r="I153" s="1970"/>
    </row>
    <row r="154" spans="1:9" ht="15" customHeight="1" x14ac:dyDescent="0.25">
      <c r="A154" s="1942" t="s">
        <v>1456</v>
      </c>
      <c r="B154" s="2077"/>
      <c r="C154" s="2077"/>
      <c r="D154" s="2077"/>
      <c r="E154" s="2077"/>
      <c r="F154" s="2078"/>
      <c r="G154" s="2078"/>
      <c r="H154" s="2078"/>
      <c r="I154" s="2078"/>
    </row>
    <row r="155" spans="1:9" ht="15" customHeight="1" thickBot="1" x14ac:dyDescent="0.3">
      <c r="A155" s="2077" t="s">
        <v>1455</v>
      </c>
      <c r="B155" s="2077"/>
      <c r="C155" s="2079"/>
      <c r="D155" s="2079"/>
      <c r="E155" s="2080"/>
      <c r="F155" s="2078"/>
      <c r="G155" s="2078"/>
      <c r="H155" s="2081" t="s">
        <v>173</v>
      </c>
      <c r="I155" s="2078"/>
    </row>
    <row r="156" spans="1:9" ht="27.75" customHeight="1" thickTop="1" thickBot="1" x14ac:dyDescent="0.25">
      <c r="A156" s="2082" t="s">
        <v>174</v>
      </c>
      <c r="B156" s="2083" t="s">
        <v>800</v>
      </c>
      <c r="C156" s="2083" t="s">
        <v>397</v>
      </c>
      <c r="D156" s="2084" t="s">
        <v>176</v>
      </c>
      <c r="E156" s="2085" t="s">
        <v>669</v>
      </c>
      <c r="F156" s="2085" t="s">
        <v>670</v>
      </c>
      <c r="G156" s="2086" t="s">
        <v>923</v>
      </c>
      <c r="H156" s="2087" t="s">
        <v>924</v>
      </c>
      <c r="I156" s="2078"/>
    </row>
    <row r="157" spans="1:9" ht="15" customHeight="1" thickTop="1" thickBot="1" x14ac:dyDescent="0.25">
      <c r="A157" s="2088">
        <v>1</v>
      </c>
      <c r="B157" s="2089">
        <v>2</v>
      </c>
      <c r="C157" s="2089">
        <v>3</v>
      </c>
      <c r="D157" s="2089">
        <v>5</v>
      </c>
      <c r="E157" s="2090">
        <v>6</v>
      </c>
      <c r="F157" s="2090">
        <v>7</v>
      </c>
      <c r="G157" s="2091">
        <v>8</v>
      </c>
      <c r="H157" s="2092" t="s">
        <v>801</v>
      </c>
      <c r="I157" s="2078"/>
    </row>
    <row r="158" spans="1:9" ht="30.75" customHeight="1" thickTop="1" x14ac:dyDescent="0.2">
      <c r="A158" s="2093">
        <v>3299</v>
      </c>
      <c r="B158" s="2094">
        <v>5221</v>
      </c>
      <c r="C158" s="2094">
        <v>32133006</v>
      </c>
      <c r="D158" s="2103" t="s">
        <v>1380</v>
      </c>
      <c r="E158" s="2095">
        <v>0</v>
      </c>
      <c r="F158" s="2095">
        <v>54</v>
      </c>
      <c r="G158" s="2096">
        <v>54</v>
      </c>
      <c r="H158" s="2097">
        <v>84.8</v>
      </c>
      <c r="I158" s="2078"/>
    </row>
    <row r="159" spans="1:9" ht="30.75" customHeight="1" thickBot="1" x14ac:dyDescent="0.25">
      <c r="A159" s="2093">
        <v>3299</v>
      </c>
      <c r="B159" s="2094">
        <v>5221</v>
      </c>
      <c r="C159" s="2094">
        <v>32533006</v>
      </c>
      <c r="D159" s="2103" t="s">
        <v>1380</v>
      </c>
      <c r="E159" s="2095">
        <v>0</v>
      </c>
      <c r="F159" s="2095">
        <v>304</v>
      </c>
      <c r="G159" s="2096">
        <v>304</v>
      </c>
      <c r="H159" s="2097">
        <v>84.9</v>
      </c>
      <c r="I159" s="2078"/>
    </row>
    <row r="160" spans="1:9" ht="15" customHeight="1" thickTop="1" thickBot="1" x14ac:dyDescent="0.3">
      <c r="A160" s="2098" t="s">
        <v>802</v>
      </c>
      <c r="B160" s="2099"/>
      <c r="C160" s="2099"/>
      <c r="D160" s="2100"/>
      <c r="E160" s="2101">
        <v>0</v>
      </c>
      <c r="F160" s="2101">
        <f>SUM(F158:F159)</f>
        <v>358</v>
      </c>
      <c r="G160" s="2101">
        <f>SUM(G158:G159)</f>
        <v>358</v>
      </c>
      <c r="H160" s="2102">
        <v>84.9</v>
      </c>
      <c r="I160" s="2078"/>
    </row>
    <row r="161" spans="1:9" ht="15" customHeight="1" thickTop="1" x14ac:dyDescent="0.2">
      <c r="I161" s="1970"/>
    </row>
    <row r="162" spans="1:9" ht="15" hidden="1" customHeight="1" x14ac:dyDescent="0.25">
      <c r="A162" s="1942" t="s">
        <v>1047</v>
      </c>
      <c r="D162" s="1936"/>
      <c r="E162" s="1937"/>
      <c r="H162" s="1970"/>
      <c r="I162" s="1970"/>
    </row>
    <row r="163" spans="1:9" ht="15" hidden="1" customHeight="1" thickBot="1" x14ac:dyDescent="0.3">
      <c r="A163" s="1942" t="s">
        <v>1012</v>
      </c>
      <c r="D163" s="1936"/>
      <c r="E163" s="1937"/>
      <c r="H163" s="2043" t="s">
        <v>173</v>
      </c>
      <c r="I163" s="1970"/>
    </row>
    <row r="164" spans="1:9" ht="25.5" hidden="1" customHeight="1" thickTop="1" thickBot="1" x14ac:dyDescent="0.25">
      <c r="A164" s="1943" t="s">
        <v>174</v>
      </c>
      <c r="B164" s="1944" t="s">
        <v>800</v>
      </c>
      <c r="C164" s="1944" t="s">
        <v>397</v>
      </c>
      <c r="D164" s="1945" t="s">
        <v>176</v>
      </c>
      <c r="E164" s="1976" t="s">
        <v>669</v>
      </c>
      <c r="F164" s="1976" t="s">
        <v>670</v>
      </c>
      <c r="G164" s="1977" t="s">
        <v>923</v>
      </c>
      <c r="H164" s="1978" t="s">
        <v>924</v>
      </c>
      <c r="I164" s="1970"/>
    </row>
    <row r="165" spans="1:9" ht="15" hidden="1" customHeight="1" thickTop="1" thickBot="1" x14ac:dyDescent="0.25">
      <c r="A165" s="1740">
        <v>1</v>
      </c>
      <c r="B165" s="1739">
        <v>2</v>
      </c>
      <c r="C165" s="1739">
        <v>3</v>
      </c>
      <c r="D165" s="1739">
        <v>5</v>
      </c>
      <c r="E165" s="1738">
        <v>6</v>
      </c>
      <c r="F165" s="1738">
        <v>7</v>
      </c>
      <c r="G165" s="2028">
        <v>8</v>
      </c>
      <c r="H165" s="1951" t="s">
        <v>801</v>
      </c>
      <c r="I165" s="1970"/>
    </row>
    <row r="166" spans="1:9" ht="42.75" hidden="1" customHeight="1" thickTop="1" x14ac:dyDescent="0.2">
      <c r="A166" s="2049">
        <v>3299</v>
      </c>
      <c r="B166" s="2056">
        <v>5213</v>
      </c>
      <c r="C166" s="2056">
        <v>32133006</v>
      </c>
      <c r="D166" s="1979" t="s">
        <v>1046</v>
      </c>
      <c r="E166" s="1975">
        <v>0</v>
      </c>
      <c r="F166" s="1975"/>
      <c r="G166" s="2039"/>
      <c r="H166" s="1958" t="e">
        <f>G166/F166*100</f>
        <v>#DIV/0!</v>
      </c>
      <c r="I166" s="1970"/>
    </row>
    <row r="167" spans="1:9" ht="47.25" hidden="1" customHeight="1" thickBot="1" x14ac:dyDescent="0.25">
      <c r="A167" s="2049">
        <v>3299</v>
      </c>
      <c r="B167" s="2056">
        <v>5213</v>
      </c>
      <c r="C167" s="2056">
        <v>32533006</v>
      </c>
      <c r="D167" s="1979" t="s">
        <v>1046</v>
      </c>
      <c r="E167" s="1989">
        <v>0</v>
      </c>
      <c r="F167" s="1989"/>
      <c r="G167" s="2036"/>
      <c r="H167" s="1961" t="e">
        <f>G167/F167*100</f>
        <v>#DIV/0!</v>
      </c>
      <c r="I167" s="1970"/>
    </row>
    <row r="168" spans="1:9" ht="47.25" hidden="1" customHeight="1" x14ac:dyDescent="0.2">
      <c r="A168" s="2104">
        <v>3299</v>
      </c>
      <c r="B168" s="2105">
        <v>6313</v>
      </c>
      <c r="C168" s="2056">
        <v>32133006</v>
      </c>
      <c r="D168" s="2068" t="s">
        <v>1048</v>
      </c>
      <c r="E168" s="1989">
        <v>0</v>
      </c>
      <c r="F168" s="1989">
        <v>0</v>
      </c>
      <c r="G168" s="2036">
        <v>0</v>
      </c>
      <c r="H168" s="1961" t="e">
        <f>G168/F168*100</f>
        <v>#DIV/0!</v>
      </c>
      <c r="I168" s="1970"/>
    </row>
    <row r="169" spans="1:9" ht="47.25" hidden="1" customHeight="1" thickBot="1" x14ac:dyDescent="0.25">
      <c r="A169" s="2104">
        <v>3299</v>
      </c>
      <c r="B169" s="2070">
        <v>6313</v>
      </c>
      <c r="C169" s="2106">
        <v>32533006</v>
      </c>
      <c r="D169" s="1985" t="s">
        <v>1048</v>
      </c>
      <c r="E169" s="1989">
        <v>0</v>
      </c>
      <c r="F169" s="1989">
        <v>0</v>
      </c>
      <c r="G169" s="2036">
        <v>0</v>
      </c>
      <c r="H169" s="1961" t="e">
        <f>G169/F169*100</f>
        <v>#DIV/0!</v>
      </c>
      <c r="I169" s="1970"/>
    </row>
    <row r="170" spans="1:9" ht="16.5" hidden="1" customHeight="1" thickTop="1" thickBot="1" x14ac:dyDescent="0.3">
      <c r="A170" s="1980" t="s">
        <v>802</v>
      </c>
      <c r="B170" s="1981"/>
      <c r="C170" s="1981"/>
      <c r="D170" s="1982"/>
      <c r="E170" s="1957">
        <f>SUM(E166:E167)</f>
        <v>0</v>
      </c>
      <c r="F170" s="1957">
        <f>SUM(F166:F169)</f>
        <v>0</v>
      </c>
      <c r="G170" s="1957">
        <f>SUM(G166:G169)</f>
        <v>0</v>
      </c>
      <c r="H170" s="1962" t="e">
        <f>G170/F170*100</f>
        <v>#DIV/0!</v>
      </c>
      <c r="I170" s="1970"/>
    </row>
    <row r="171" spans="1:9" ht="15" hidden="1" customHeight="1" thickTop="1" x14ac:dyDescent="0.2">
      <c r="I171" s="1970"/>
    </row>
    <row r="172" spans="1:9" ht="15" hidden="1" customHeight="1" x14ac:dyDescent="0.25">
      <c r="A172" s="1942" t="s">
        <v>1749</v>
      </c>
      <c r="D172" s="1936"/>
      <c r="E172" s="1937"/>
      <c r="H172" s="1970"/>
      <c r="I172" s="1970"/>
    </row>
    <row r="173" spans="1:9" ht="15" hidden="1" customHeight="1" thickBot="1" x14ac:dyDescent="0.3">
      <c r="A173" s="1942" t="s">
        <v>1049</v>
      </c>
      <c r="D173" s="1936"/>
      <c r="E173" s="1937"/>
      <c r="H173" s="2043" t="s">
        <v>173</v>
      </c>
      <c r="I173" s="1970"/>
    </row>
    <row r="174" spans="1:9" ht="25.5" hidden="1" customHeight="1" thickTop="1" thickBot="1" x14ac:dyDescent="0.25">
      <c r="A174" s="1943" t="s">
        <v>174</v>
      </c>
      <c r="B174" s="1944" t="s">
        <v>800</v>
      </c>
      <c r="C174" s="1944" t="s">
        <v>397</v>
      </c>
      <c r="D174" s="1945" t="s">
        <v>176</v>
      </c>
      <c r="E174" s="1976" t="s">
        <v>669</v>
      </c>
      <c r="F174" s="1976" t="s">
        <v>670</v>
      </c>
      <c r="G174" s="1977" t="s">
        <v>923</v>
      </c>
      <c r="H174" s="1978" t="s">
        <v>924</v>
      </c>
      <c r="I174" s="1970"/>
    </row>
    <row r="175" spans="1:9" ht="15" hidden="1" customHeight="1" thickTop="1" thickBot="1" x14ac:dyDescent="0.25">
      <c r="A175" s="1740">
        <v>1</v>
      </c>
      <c r="B175" s="1739">
        <v>2</v>
      </c>
      <c r="C175" s="1739">
        <v>3</v>
      </c>
      <c r="D175" s="1739">
        <v>5</v>
      </c>
      <c r="E175" s="1738">
        <v>6</v>
      </c>
      <c r="F175" s="1738">
        <v>7</v>
      </c>
      <c r="G175" s="2028">
        <v>8</v>
      </c>
      <c r="H175" s="1951" t="s">
        <v>801</v>
      </c>
      <c r="I175" s="1970"/>
    </row>
    <row r="176" spans="1:9" ht="30.75" hidden="1" customHeight="1" thickTop="1" x14ac:dyDescent="0.2">
      <c r="A176" s="2049">
        <v>3299</v>
      </c>
      <c r="B176" s="2056">
        <v>5221</v>
      </c>
      <c r="C176" s="2056">
        <v>32133006</v>
      </c>
      <c r="D176" s="1979" t="s">
        <v>1380</v>
      </c>
      <c r="E176" s="1975">
        <v>0</v>
      </c>
      <c r="F176" s="1975"/>
      <c r="G176" s="2039"/>
      <c r="H176" s="1958" t="e">
        <f>G176/F176*100</f>
        <v>#DIV/0!</v>
      </c>
      <c r="I176" s="1970"/>
    </row>
    <row r="177" spans="1:9" ht="30.75" hidden="1" customHeight="1" thickBot="1" x14ac:dyDescent="0.25">
      <c r="A177" s="2049">
        <v>3299</v>
      </c>
      <c r="B177" s="2056">
        <v>5221</v>
      </c>
      <c r="C177" s="2056">
        <v>32533006</v>
      </c>
      <c r="D177" s="1979" t="s">
        <v>1380</v>
      </c>
      <c r="E177" s="1989">
        <v>0</v>
      </c>
      <c r="F177" s="1989"/>
      <c r="G177" s="2036"/>
      <c r="H177" s="1961" t="e">
        <f>G177/F177*100</f>
        <v>#DIV/0!</v>
      </c>
      <c r="I177" s="1970"/>
    </row>
    <row r="178" spans="1:9" ht="15" hidden="1" customHeight="1" thickTop="1" thickBot="1" x14ac:dyDescent="0.3">
      <c r="A178" s="1980" t="s">
        <v>802</v>
      </c>
      <c r="B178" s="1981"/>
      <c r="C178" s="1981"/>
      <c r="D178" s="1982"/>
      <c r="E178" s="1957">
        <f>SUM(E176:E177)</f>
        <v>0</v>
      </c>
      <c r="F178" s="1957">
        <f>SUM(F176:F177)</f>
        <v>0</v>
      </c>
      <c r="G178" s="1957">
        <f>SUM(G176:G177)</f>
        <v>0</v>
      </c>
      <c r="H178" s="1962" t="e">
        <f>G178/F178*100</f>
        <v>#DIV/0!</v>
      </c>
      <c r="I178" s="1970"/>
    </row>
    <row r="179" spans="1:9" ht="15" hidden="1" customHeight="1" thickTop="1" x14ac:dyDescent="0.2">
      <c r="I179" s="1970"/>
    </row>
    <row r="180" spans="1:9" ht="15" hidden="1" customHeight="1" x14ac:dyDescent="0.25">
      <c r="A180" s="1942" t="s">
        <v>1750</v>
      </c>
      <c r="D180" s="1936"/>
      <c r="E180" s="1937"/>
      <c r="H180" s="1970"/>
      <c r="I180" s="1970"/>
    </row>
    <row r="181" spans="1:9" ht="15" hidden="1" customHeight="1" thickBot="1" x14ac:dyDescent="0.3">
      <c r="A181" s="1942" t="s">
        <v>1050</v>
      </c>
      <c r="D181" s="1936"/>
      <c r="E181" s="1937"/>
      <c r="H181" s="2043" t="s">
        <v>173</v>
      </c>
      <c r="I181" s="1970"/>
    </row>
    <row r="182" spans="1:9" ht="25.5" hidden="1" customHeight="1" thickTop="1" thickBot="1" x14ac:dyDescent="0.25">
      <c r="A182" s="1943" t="s">
        <v>174</v>
      </c>
      <c r="B182" s="1944" t="s">
        <v>800</v>
      </c>
      <c r="C182" s="1944" t="s">
        <v>397</v>
      </c>
      <c r="D182" s="1945" t="s">
        <v>176</v>
      </c>
      <c r="E182" s="1976" t="s">
        <v>669</v>
      </c>
      <c r="F182" s="1976" t="s">
        <v>670</v>
      </c>
      <c r="G182" s="1977" t="s">
        <v>923</v>
      </c>
      <c r="H182" s="1978" t="s">
        <v>924</v>
      </c>
      <c r="I182" s="1970"/>
    </row>
    <row r="183" spans="1:9" ht="15" hidden="1" customHeight="1" thickTop="1" thickBot="1" x14ac:dyDescent="0.25">
      <c r="A183" s="1740">
        <v>1</v>
      </c>
      <c r="B183" s="1739">
        <v>2</v>
      </c>
      <c r="C183" s="1739">
        <v>3</v>
      </c>
      <c r="D183" s="1739">
        <v>5</v>
      </c>
      <c r="E183" s="1738">
        <v>6</v>
      </c>
      <c r="F183" s="1738">
        <v>7</v>
      </c>
      <c r="G183" s="2028">
        <v>8</v>
      </c>
      <c r="H183" s="1951" t="s">
        <v>801</v>
      </c>
      <c r="I183" s="1970"/>
    </row>
    <row r="184" spans="1:9" ht="30.75" hidden="1" customHeight="1" thickTop="1" x14ac:dyDescent="0.2">
      <c r="A184" s="2049">
        <v>3299</v>
      </c>
      <c r="B184" s="2056">
        <v>5222</v>
      </c>
      <c r="C184" s="2056">
        <v>32133006</v>
      </c>
      <c r="D184" s="1979" t="s">
        <v>234</v>
      </c>
      <c r="E184" s="1975">
        <v>0</v>
      </c>
      <c r="F184" s="1975"/>
      <c r="G184" s="2039"/>
      <c r="H184" s="1958" t="e">
        <f>G184/F184*100</f>
        <v>#DIV/0!</v>
      </c>
      <c r="I184" s="1970"/>
    </row>
    <row r="185" spans="1:9" ht="30.75" hidden="1" customHeight="1" thickBot="1" x14ac:dyDescent="0.25">
      <c r="A185" s="2049">
        <v>3299</v>
      </c>
      <c r="B185" s="2056">
        <v>5222</v>
      </c>
      <c r="C185" s="2056">
        <v>32533006</v>
      </c>
      <c r="D185" s="1979" t="s">
        <v>234</v>
      </c>
      <c r="E185" s="1989">
        <v>0</v>
      </c>
      <c r="F185" s="1989"/>
      <c r="G185" s="2036"/>
      <c r="H185" s="1961" t="e">
        <f>G185/F185*100</f>
        <v>#DIV/0!</v>
      </c>
      <c r="I185" s="1970"/>
    </row>
    <row r="186" spans="1:9" ht="15" hidden="1" customHeight="1" thickTop="1" thickBot="1" x14ac:dyDescent="0.3">
      <c r="A186" s="1980" t="s">
        <v>802</v>
      </c>
      <c r="B186" s="1981"/>
      <c r="C186" s="1981"/>
      <c r="D186" s="1982"/>
      <c r="E186" s="1957">
        <f>SUM(E184:E185)</f>
        <v>0</v>
      </c>
      <c r="F186" s="1957">
        <f>SUM(F184:F185)</f>
        <v>0</v>
      </c>
      <c r="G186" s="1957">
        <f>SUM(G184:G185)</f>
        <v>0</v>
      </c>
      <c r="H186" s="1962" t="e">
        <f>G186/F186*100</f>
        <v>#DIV/0!</v>
      </c>
      <c r="I186" s="1970"/>
    </row>
    <row r="187" spans="1:9" ht="15" hidden="1" customHeight="1" thickTop="1" x14ac:dyDescent="0.2">
      <c r="I187" s="1970"/>
    </row>
    <row r="188" spans="1:9" ht="15" hidden="1" customHeight="1" x14ac:dyDescent="0.25">
      <c r="A188" s="1942" t="s">
        <v>241</v>
      </c>
      <c r="D188" s="1936"/>
      <c r="E188" s="1937"/>
      <c r="H188" s="1970"/>
      <c r="I188" s="1970"/>
    </row>
    <row r="189" spans="1:9" ht="15" hidden="1" customHeight="1" thickBot="1" x14ac:dyDescent="0.3">
      <c r="A189" s="1942" t="s">
        <v>242</v>
      </c>
      <c r="D189" s="1936"/>
      <c r="E189" s="1937"/>
      <c r="H189" s="1970" t="s">
        <v>173</v>
      </c>
      <c r="I189" s="1970"/>
    </row>
    <row r="190" spans="1:9" ht="25.5" hidden="1" customHeight="1" thickTop="1" thickBot="1" x14ac:dyDescent="0.25">
      <c r="A190" s="1943" t="s">
        <v>174</v>
      </c>
      <c r="B190" s="1944" t="s">
        <v>800</v>
      </c>
      <c r="C190" s="1944" t="s">
        <v>397</v>
      </c>
      <c r="D190" s="1945" t="s">
        <v>176</v>
      </c>
      <c r="E190" s="1976" t="s">
        <v>669</v>
      </c>
      <c r="F190" s="1976" t="s">
        <v>670</v>
      </c>
      <c r="G190" s="1977" t="s">
        <v>923</v>
      </c>
      <c r="H190" s="1978" t="s">
        <v>924</v>
      </c>
      <c r="I190" s="1970"/>
    </row>
    <row r="191" spans="1:9" ht="15" hidden="1" customHeight="1" thickTop="1" thickBot="1" x14ac:dyDescent="0.25">
      <c r="A191" s="1740">
        <v>1</v>
      </c>
      <c r="B191" s="1739">
        <v>2</v>
      </c>
      <c r="C191" s="1739">
        <v>3</v>
      </c>
      <c r="D191" s="1739">
        <v>5</v>
      </c>
      <c r="E191" s="1738">
        <v>6</v>
      </c>
      <c r="F191" s="1738">
        <v>7</v>
      </c>
      <c r="G191" s="2028">
        <v>8</v>
      </c>
      <c r="H191" s="1951" t="s">
        <v>801</v>
      </c>
      <c r="I191" s="1970"/>
    </row>
    <row r="192" spans="1:9" ht="15" hidden="1" customHeight="1" thickTop="1" x14ac:dyDescent="0.25">
      <c r="A192" s="1952">
        <v>3299</v>
      </c>
      <c r="B192" s="1953">
        <v>5321</v>
      </c>
      <c r="C192" s="1953">
        <v>32133006</v>
      </c>
      <c r="D192" s="2037" t="s">
        <v>1261</v>
      </c>
      <c r="E192" s="1975">
        <v>0</v>
      </c>
      <c r="F192" s="1975">
        <v>0</v>
      </c>
      <c r="G192" s="2039">
        <v>0</v>
      </c>
      <c r="H192" s="1958" t="e">
        <f>G192/F192*100</f>
        <v>#DIV/0!</v>
      </c>
      <c r="I192" s="1970"/>
    </row>
    <row r="193" spans="1:9" ht="15" hidden="1" customHeight="1" thickBot="1" x14ac:dyDescent="0.3">
      <c r="A193" s="1952">
        <v>3299</v>
      </c>
      <c r="B193" s="1953">
        <v>5321</v>
      </c>
      <c r="C193" s="1953">
        <v>32533006</v>
      </c>
      <c r="D193" s="2037" t="s">
        <v>1261</v>
      </c>
      <c r="E193" s="1989">
        <v>0</v>
      </c>
      <c r="F193" s="1989">
        <v>0</v>
      </c>
      <c r="G193" s="2036">
        <v>0</v>
      </c>
      <c r="H193" s="1961" t="e">
        <f>G193/F193*100</f>
        <v>#DIV/0!</v>
      </c>
      <c r="I193" s="1970"/>
    </row>
    <row r="194" spans="1:9" ht="15" hidden="1" customHeight="1" thickTop="1" thickBot="1" x14ac:dyDescent="0.3">
      <c r="A194" s="1980" t="s">
        <v>802</v>
      </c>
      <c r="B194" s="1981"/>
      <c r="C194" s="1981"/>
      <c r="D194" s="1982"/>
      <c r="E194" s="1957">
        <f>SUM(E192:E193)</f>
        <v>0</v>
      </c>
      <c r="F194" s="1957">
        <f>SUM(F192:F193)</f>
        <v>0</v>
      </c>
      <c r="G194" s="1957">
        <f>SUM(G192:G193)</f>
        <v>0</v>
      </c>
      <c r="H194" s="1962" t="e">
        <f>G194/F194*100</f>
        <v>#DIV/0!</v>
      </c>
      <c r="I194" s="1970"/>
    </row>
    <row r="195" spans="1:9" ht="15" hidden="1" customHeight="1" thickTop="1" x14ac:dyDescent="0.2">
      <c r="I195" s="1970"/>
    </row>
    <row r="196" spans="1:9" ht="15" hidden="1" customHeight="1" x14ac:dyDescent="0.25">
      <c r="A196" s="1942" t="s">
        <v>1027</v>
      </c>
      <c r="D196" s="1936"/>
      <c r="E196" s="1937"/>
      <c r="H196" s="1970"/>
      <c r="I196" s="1970"/>
    </row>
    <row r="197" spans="1:9" ht="15" hidden="1" customHeight="1" thickBot="1" x14ac:dyDescent="0.3">
      <c r="A197" s="1942" t="s">
        <v>1028</v>
      </c>
      <c r="D197" s="1936"/>
      <c r="E197" s="1937"/>
      <c r="H197" s="2043" t="s">
        <v>173</v>
      </c>
      <c r="I197" s="1970"/>
    </row>
    <row r="198" spans="1:9" ht="25.5" hidden="1" customHeight="1" thickTop="1" thickBot="1" x14ac:dyDescent="0.25">
      <c r="A198" s="1943" t="s">
        <v>174</v>
      </c>
      <c r="B198" s="1944" t="s">
        <v>800</v>
      </c>
      <c r="C198" s="1944" t="s">
        <v>397</v>
      </c>
      <c r="D198" s="1945" t="s">
        <v>176</v>
      </c>
      <c r="E198" s="1976" t="s">
        <v>669</v>
      </c>
      <c r="F198" s="1976" t="s">
        <v>670</v>
      </c>
      <c r="G198" s="1977" t="s">
        <v>923</v>
      </c>
      <c r="H198" s="1978" t="s">
        <v>924</v>
      </c>
      <c r="I198" s="1970"/>
    </row>
    <row r="199" spans="1:9" ht="15" hidden="1" customHeight="1" thickTop="1" thickBot="1" x14ac:dyDescent="0.25">
      <c r="A199" s="1740">
        <v>1</v>
      </c>
      <c r="B199" s="1739">
        <v>2</v>
      </c>
      <c r="C199" s="1739">
        <v>3</v>
      </c>
      <c r="D199" s="1739">
        <v>5</v>
      </c>
      <c r="E199" s="1738">
        <v>6</v>
      </c>
      <c r="F199" s="1738">
        <v>7</v>
      </c>
      <c r="G199" s="2028">
        <v>8</v>
      </c>
      <c r="H199" s="1951" t="s">
        <v>801</v>
      </c>
      <c r="I199" s="1970"/>
    </row>
    <row r="200" spans="1:9" ht="15" hidden="1" customHeight="1" thickTop="1" x14ac:dyDescent="0.25">
      <c r="A200" s="1952">
        <v>3299</v>
      </c>
      <c r="B200" s="1953">
        <v>5321</v>
      </c>
      <c r="C200" s="1953">
        <v>32133006</v>
      </c>
      <c r="D200" s="2037" t="s">
        <v>1261</v>
      </c>
      <c r="E200" s="1975">
        <v>0</v>
      </c>
      <c r="F200" s="1975"/>
      <c r="G200" s="2039"/>
      <c r="H200" s="1958" t="e">
        <f>G200/F200*100</f>
        <v>#DIV/0!</v>
      </c>
      <c r="I200" s="1970"/>
    </row>
    <row r="201" spans="1:9" ht="15" hidden="1" customHeight="1" thickBot="1" x14ac:dyDescent="0.3">
      <c r="A201" s="1952">
        <v>3299</v>
      </c>
      <c r="B201" s="1953">
        <v>5321</v>
      </c>
      <c r="C201" s="1953">
        <v>32533006</v>
      </c>
      <c r="D201" s="2037" t="s">
        <v>1261</v>
      </c>
      <c r="E201" s="1989">
        <v>0</v>
      </c>
      <c r="F201" s="1989"/>
      <c r="G201" s="2036"/>
      <c r="H201" s="1961" t="e">
        <f>G201/F201*100</f>
        <v>#DIV/0!</v>
      </c>
      <c r="I201" s="1970"/>
    </row>
    <row r="202" spans="1:9" ht="15" hidden="1" customHeight="1" x14ac:dyDescent="0.25">
      <c r="A202" s="1952">
        <v>3299</v>
      </c>
      <c r="B202" s="2009">
        <v>6341</v>
      </c>
      <c r="C202" s="1953">
        <v>32133006</v>
      </c>
      <c r="D202" s="2107" t="s">
        <v>261</v>
      </c>
      <c r="E202" s="1989">
        <v>0</v>
      </c>
      <c r="F202" s="1989">
        <v>0</v>
      </c>
      <c r="G202" s="2036">
        <v>0</v>
      </c>
      <c r="H202" s="1961" t="e">
        <f>G202/F202*100</f>
        <v>#DIV/0!</v>
      </c>
      <c r="I202" s="1970"/>
    </row>
    <row r="203" spans="1:9" ht="15" hidden="1" customHeight="1" thickBot="1" x14ac:dyDescent="0.3">
      <c r="A203" s="1991">
        <v>3299</v>
      </c>
      <c r="B203" s="1967">
        <v>6341</v>
      </c>
      <c r="C203" s="1967">
        <v>32533006</v>
      </c>
      <c r="D203" s="2107" t="s">
        <v>261</v>
      </c>
      <c r="E203" s="1989">
        <v>0</v>
      </c>
      <c r="F203" s="1989">
        <v>0</v>
      </c>
      <c r="G203" s="2036">
        <v>0</v>
      </c>
      <c r="H203" s="1961" t="e">
        <f>G203/F203*100</f>
        <v>#DIV/0!</v>
      </c>
      <c r="I203" s="1970"/>
    </row>
    <row r="204" spans="1:9" ht="15" hidden="1" customHeight="1" thickTop="1" thickBot="1" x14ac:dyDescent="0.3">
      <c r="A204" s="1980" t="s">
        <v>802</v>
      </c>
      <c r="B204" s="1981"/>
      <c r="C204" s="1981"/>
      <c r="D204" s="1982"/>
      <c r="E204" s="1957">
        <f>SUM(E200:E201)</f>
        <v>0</v>
      </c>
      <c r="F204" s="1957">
        <f>SUM(F200:F203)</f>
        <v>0</v>
      </c>
      <c r="G204" s="1957">
        <f>SUM(G200:G203)</f>
        <v>0</v>
      </c>
      <c r="H204" s="1962" t="e">
        <f>G204/F204*100</f>
        <v>#DIV/0!</v>
      </c>
      <c r="I204" s="1970"/>
    </row>
    <row r="205" spans="1:9" ht="15" hidden="1" customHeight="1" thickTop="1" x14ac:dyDescent="0.2">
      <c r="I205" s="1970"/>
    </row>
    <row r="206" spans="1:9" ht="15" hidden="1" x14ac:dyDescent="0.25">
      <c r="A206" s="1942" t="s">
        <v>1051</v>
      </c>
      <c r="D206" s="1936"/>
      <c r="E206" s="1937"/>
      <c r="H206" s="1970"/>
      <c r="I206" s="1970"/>
    </row>
    <row r="207" spans="1:9" ht="15" hidden="1" x14ac:dyDescent="0.25">
      <c r="A207" s="1942" t="s">
        <v>1052</v>
      </c>
      <c r="D207" s="1936"/>
      <c r="E207" s="1937"/>
      <c r="H207" s="2043" t="s">
        <v>173</v>
      </c>
      <c r="I207" s="1970"/>
    </row>
    <row r="208" spans="1:9" ht="25.5" hidden="1" thickTop="1" thickBot="1" x14ac:dyDescent="0.25">
      <c r="A208" s="1943" t="s">
        <v>174</v>
      </c>
      <c r="B208" s="1944" t="s">
        <v>800</v>
      </c>
      <c r="C208" s="1944" t="s">
        <v>397</v>
      </c>
      <c r="D208" s="1945" t="s">
        <v>176</v>
      </c>
      <c r="E208" s="1976" t="s">
        <v>669</v>
      </c>
      <c r="F208" s="1976" t="s">
        <v>670</v>
      </c>
      <c r="G208" s="1977" t="s">
        <v>923</v>
      </c>
      <c r="H208" s="1978" t="s">
        <v>924</v>
      </c>
      <c r="I208" s="1970"/>
    </row>
    <row r="209" spans="1:9" ht="14.25" hidden="1" thickTop="1" thickBot="1" x14ac:dyDescent="0.25">
      <c r="A209" s="1740">
        <v>1</v>
      </c>
      <c r="B209" s="1739">
        <v>2</v>
      </c>
      <c r="C209" s="1739">
        <v>3</v>
      </c>
      <c r="D209" s="1739">
        <v>5</v>
      </c>
      <c r="E209" s="1738">
        <v>6</v>
      </c>
      <c r="F209" s="1738">
        <v>7</v>
      </c>
      <c r="G209" s="2028">
        <v>8</v>
      </c>
      <c r="H209" s="1951" t="s">
        <v>801</v>
      </c>
      <c r="I209" s="1970"/>
    </row>
    <row r="210" spans="1:9" ht="15.75" hidden="1" thickTop="1" x14ac:dyDescent="0.25">
      <c r="A210" s="1952">
        <v>3299</v>
      </c>
      <c r="B210" s="1953">
        <v>5321</v>
      </c>
      <c r="C210" s="1953">
        <v>32133006</v>
      </c>
      <c r="D210" s="2037" t="s">
        <v>1261</v>
      </c>
      <c r="E210" s="1975">
        <v>0</v>
      </c>
      <c r="F210" s="1975"/>
      <c r="G210" s="2039"/>
      <c r="H210" s="1958" t="e">
        <f>G210/F210*100</f>
        <v>#DIV/0!</v>
      </c>
      <c r="I210" s="1970"/>
    </row>
    <row r="211" spans="1:9" ht="15" hidden="1" x14ac:dyDescent="0.25">
      <c r="A211" s="1952">
        <v>3299</v>
      </c>
      <c r="B211" s="1953">
        <v>5321</v>
      </c>
      <c r="C211" s="1953">
        <v>32533006</v>
      </c>
      <c r="D211" s="2037" t="s">
        <v>1261</v>
      </c>
      <c r="E211" s="1989">
        <v>0</v>
      </c>
      <c r="F211" s="1989"/>
      <c r="G211" s="2036"/>
      <c r="H211" s="1961" t="e">
        <f>G211/F211*100</f>
        <v>#DIV/0!</v>
      </c>
      <c r="I211" s="1970"/>
    </row>
    <row r="212" spans="1:9" ht="16.5" hidden="1" thickTop="1" thickBot="1" x14ac:dyDescent="0.3">
      <c r="A212" s="1980" t="s">
        <v>802</v>
      </c>
      <c r="B212" s="1981"/>
      <c r="C212" s="1981"/>
      <c r="D212" s="1982"/>
      <c r="E212" s="1957">
        <f>SUM(E210:E211)</f>
        <v>0</v>
      </c>
      <c r="F212" s="1957">
        <f>SUM(F210:F211)</f>
        <v>0</v>
      </c>
      <c r="G212" s="1957">
        <f>SUM(G210:G211)</f>
        <v>0</v>
      </c>
      <c r="H212" s="1962" t="e">
        <f>G212/F212*100</f>
        <v>#DIV/0!</v>
      </c>
      <c r="I212" s="1970"/>
    </row>
    <row r="213" spans="1:9" ht="15" hidden="1" customHeight="1" thickTop="1" x14ac:dyDescent="0.2">
      <c r="I213" s="1970"/>
    </row>
    <row r="214" spans="1:9" ht="15" hidden="1" x14ac:dyDescent="0.25">
      <c r="A214" s="1942" t="s">
        <v>1053</v>
      </c>
      <c r="D214" s="1936"/>
      <c r="E214" s="1937"/>
      <c r="H214" s="1970"/>
      <c r="I214" s="1970"/>
    </row>
    <row r="215" spans="1:9" ht="15" hidden="1" x14ac:dyDescent="0.25">
      <c r="A215" s="1942" t="s">
        <v>1204</v>
      </c>
      <c r="D215" s="1936"/>
      <c r="E215" s="1937"/>
      <c r="H215" s="2043" t="s">
        <v>173</v>
      </c>
      <c r="I215" s="1970"/>
    </row>
    <row r="216" spans="1:9" ht="25.5" hidden="1" thickTop="1" thickBot="1" x14ac:dyDescent="0.25">
      <c r="A216" s="1943" t="s">
        <v>174</v>
      </c>
      <c r="B216" s="1944" t="s">
        <v>800</v>
      </c>
      <c r="C216" s="1944" t="s">
        <v>397</v>
      </c>
      <c r="D216" s="1945" t="s">
        <v>176</v>
      </c>
      <c r="E216" s="1976" t="s">
        <v>669</v>
      </c>
      <c r="F216" s="1976" t="s">
        <v>670</v>
      </c>
      <c r="G216" s="1977" t="s">
        <v>923</v>
      </c>
      <c r="H216" s="1978" t="s">
        <v>924</v>
      </c>
      <c r="I216" s="1970"/>
    </row>
    <row r="217" spans="1:9" ht="14.25" hidden="1" thickTop="1" thickBot="1" x14ac:dyDescent="0.25">
      <c r="A217" s="1740">
        <v>1</v>
      </c>
      <c r="B217" s="1739">
        <v>2</v>
      </c>
      <c r="C217" s="1739">
        <v>3</v>
      </c>
      <c r="D217" s="1739">
        <v>5</v>
      </c>
      <c r="E217" s="1738">
        <v>6</v>
      </c>
      <c r="F217" s="1738">
        <v>7</v>
      </c>
      <c r="G217" s="2028">
        <v>8</v>
      </c>
      <c r="H217" s="1951" t="s">
        <v>801</v>
      </c>
      <c r="I217" s="1970"/>
    </row>
    <row r="218" spans="1:9" ht="15.75" hidden="1" thickTop="1" x14ac:dyDescent="0.25">
      <c r="A218" s="1952">
        <v>3299</v>
      </c>
      <c r="B218" s="1953">
        <v>5321</v>
      </c>
      <c r="C218" s="1953">
        <v>32133006</v>
      </c>
      <c r="D218" s="2037" t="s">
        <v>1261</v>
      </c>
      <c r="E218" s="1975">
        <v>0</v>
      </c>
      <c r="F218" s="1975"/>
      <c r="G218" s="2039"/>
      <c r="H218" s="1958" t="e">
        <f>G218/F218*100</f>
        <v>#DIV/0!</v>
      </c>
      <c r="I218" s="1970"/>
    </row>
    <row r="219" spans="1:9" ht="15" hidden="1" x14ac:dyDescent="0.25">
      <c r="A219" s="1952">
        <v>3299</v>
      </c>
      <c r="B219" s="1953">
        <v>5321</v>
      </c>
      <c r="C219" s="1953">
        <v>32533006</v>
      </c>
      <c r="D219" s="2037" t="s">
        <v>1261</v>
      </c>
      <c r="E219" s="1989">
        <v>0</v>
      </c>
      <c r="F219" s="1989"/>
      <c r="G219" s="2036"/>
      <c r="H219" s="1961" t="e">
        <f>G219/F219*100</f>
        <v>#DIV/0!</v>
      </c>
      <c r="I219" s="1970"/>
    </row>
    <row r="220" spans="1:9" ht="15" hidden="1" x14ac:dyDescent="0.25">
      <c r="A220" s="2041">
        <v>3299</v>
      </c>
      <c r="B220" s="2108">
        <v>6341</v>
      </c>
      <c r="C220" s="2108">
        <v>32133006</v>
      </c>
      <c r="D220" s="2037" t="s">
        <v>261</v>
      </c>
      <c r="E220" s="1989">
        <v>0</v>
      </c>
      <c r="F220" s="1989">
        <v>0</v>
      </c>
      <c r="G220" s="2036">
        <v>0</v>
      </c>
      <c r="H220" s="1961" t="e">
        <f>G220/F220*100</f>
        <v>#DIV/0!</v>
      </c>
      <c r="I220" s="1970"/>
    </row>
    <row r="221" spans="1:9" ht="15.75" hidden="1" thickBot="1" x14ac:dyDescent="0.3">
      <c r="A221" s="2041">
        <v>3299</v>
      </c>
      <c r="B221" s="2010">
        <v>6341</v>
      </c>
      <c r="C221" s="1967">
        <v>32533006</v>
      </c>
      <c r="D221" s="2107" t="s">
        <v>261</v>
      </c>
      <c r="E221" s="1989">
        <v>0</v>
      </c>
      <c r="F221" s="1989">
        <v>0</v>
      </c>
      <c r="G221" s="2036">
        <v>0</v>
      </c>
      <c r="H221" s="1961" t="e">
        <f>G221/F221*100</f>
        <v>#DIV/0!</v>
      </c>
      <c r="I221" s="1970"/>
    </row>
    <row r="222" spans="1:9" ht="16.5" hidden="1" thickTop="1" thickBot="1" x14ac:dyDescent="0.3">
      <c r="A222" s="1980" t="s">
        <v>802</v>
      </c>
      <c r="B222" s="1981"/>
      <c r="C222" s="1981"/>
      <c r="D222" s="1982"/>
      <c r="E222" s="1957">
        <f>SUM(E218:E219)</f>
        <v>0</v>
      </c>
      <c r="F222" s="1957">
        <f>SUM(F218:F221)</f>
        <v>0</v>
      </c>
      <c r="G222" s="1957">
        <f>SUM(G218:G221)</f>
        <v>0</v>
      </c>
      <c r="H222" s="1962" t="e">
        <f>G222/F222*100</f>
        <v>#DIV/0!</v>
      </c>
      <c r="I222" s="1970"/>
    </row>
    <row r="223" spans="1:9" hidden="1" x14ac:dyDescent="0.2">
      <c r="I223" s="1970"/>
    </row>
    <row r="224" spans="1:9" hidden="1" x14ac:dyDescent="0.2">
      <c r="I224" s="1970"/>
    </row>
    <row r="225" spans="1:12" hidden="1" x14ac:dyDescent="0.2">
      <c r="I225" s="1970"/>
    </row>
    <row r="226" spans="1:12" hidden="1" x14ac:dyDescent="0.2">
      <c r="I226" s="1970"/>
    </row>
    <row r="227" spans="1:12" hidden="1" x14ac:dyDescent="0.2">
      <c r="I227" s="1970"/>
    </row>
    <row r="228" spans="1:12" hidden="1" x14ac:dyDescent="0.2">
      <c r="I228" s="1970"/>
    </row>
    <row r="229" spans="1:12" hidden="1" x14ac:dyDescent="0.2">
      <c r="I229" s="1970"/>
    </row>
    <row r="230" spans="1:12" ht="16.5" x14ac:dyDescent="0.25">
      <c r="A230" s="2011" t="s">
        <v>487</v>
      </c>
      <c r="B230" s="2012"/>
      <c r="C230" s="2013"/>
      <c r="D230" s="2014"/>
      <c r="E230" s="2015">
        <f>SUM(E231:E233)</f>
        <v>0</v>
      </c>
      <c r="F230" s="2015">
        <f>F231+F232+F233+F234</f>
        <v>10899</v>
      </c>
      <c r="G230" s="2015">
        <f>G231+G232+G233+G234</f>
        <v>3719</v>
      </c>
      <c r="H230" s="2035">
        <f>G230/F230*100</f>
        <v>34.122396550142213</v>
      </c>
      <c r="J230" s="2017">
        <f>J231+J232+J233</f>
        <v>0</v>
      </c>
      <c r="K230" s="2017">
        <f>K231+K232+K233</f>
        <v>10899295.24</v>
      </c>
      <c r="L230" s="2017">
        <f>L231+L232+L233</f>
        <v>3719293.17</v>
      </c>
    </row>
    <row r="231" spans="1:12" ht="15" x14ac:dyDescent="0.2">
      <c r="A231" s="1696" t="s">
        <v>277</v>
      </c>
      <c r="B231" s="1699"/>
      <c r="C231" s="1694"/>
      <c r="D231" s="2018"/>
      <c r="E231" s="1697">
        <f>E10+E11+E16+E17+E22+E25+E65+E66+E75+E76+E111+E112+E150+E151+E158+E159</f>
        <v>0</v>
      </c>
      <c r="F231" s="1697">
        <f>F10+F11+F16+F17+F22+F25+F65+F66+F75+F76+F111+F112+F150+F151+F158+F159</f>
        <v>9139</v>
      </c>
      <c r="G231" s="1697">
        <f>G10+G11+G16+G17+G22+G25+G65+G66+G75+G76+G111+G112+G150+G151+G158+G159</f>
        <v>3641</v>
      </c>
      <c r="H231" s="2034">
        <f>G231/F231*100</f>
        <v>39.840245103402999</v>
      </c>
      <c r="J231" s="2019">
        <v>0</v>
      </c>
      <c r="K231" s="2019">
        <v>9139074.4700000007</v>
      </c>
      <c r="L231" s="2019">
        <v>3641413.17</v>
      </c>
    </row>
    <row r="232" spans="1:12" ht="15" x14ac:dyDescent="0.2">
      <c r="A232" s="1696" t="s">
        <v>278</v>
      </c>
      <c r="B232" s="1695"/>
      <c r="C232" s="1694"/>
      <c r="D232" s="2020"/>
      <c r="E232" s="1697">
        <f>E23+E24+E67+E68</f>
        <v>0</v>
      </c>
      <c r="F232" s="1697">
        <f>F23+F24+F67+F68</f>
        <v>1760</v>
      </c>
      <c r="G232" s="1697">
        <f>G23+G24+G67+G68</f>
        <v>78</v>
      </c>
      <c r="H232" s="2034">
        <f>G232/F232*100</f>
        <v>4.4318181818181817</v>
      </c>
      <c r="J232" s="2019">
        <v>0</v>
      </c>
      <c r="K232" s="2019">
        <v>1760220.77</v>
      </c>
      <c r="L232" s="2019">
        <v>77880</v>
      </c>
    </row>
    <row r="233" spans="1:12" ht="15" x14ac:dyDescent="0.2">
      <c r="A233" s="1696" t="s">
        <v>488</v>
      </c>
      <c r="B233" s="1695"/>
      <c r="C233" s="1694"/>
      <c r="D233" s="2020"/>
      <c r="E233" s="1697">
        <v>0</v>
      </c>
      <c r="F233" s="1697">
        <v>0</v>
      </c>
      <c r="G233" s="1697">
        <v>0</v>
      </c>
      <c r="H233" s="2034">
        <v>0</v>
      </c>
      <c r="J233" s="2019">
        <v>0</v>
      </c>
      <c r="K233" s="2019">
        <v>0</v>
      </c>
      <c r="L233" s="2019">
        <v>0</v>
      </c>
    </row>
    <row r="234" spans="1:12" ht="15" x14ac:dyDescent="0.2">
      <c r="A234" s="1696"/>
      <c r="B234" s="1695"/>
      <c r="C234" s="1694"/>
      <c r="D234" s="2020"/>
      <c r="E234" s="1697"/>
      <c r="F234" s="1697"/>
      <c r="G234" s="1697"/>
      <c r="H234" s="1693"/>
    </row>
    <row r="235" spans="1:12" ht="91.5" customHeight="1" thickBot="1" x14ac:dyDescent="0.4">
      <c r="A235" s="2746" t="s">
        <v>989</v>
      </c>
      <c r="B235" s="2765"/>
      <c r="C235" s="2765"/>
      <c r="D235" s="2765"/>
      <c r="E235" s="1687">
        <f>SUM(E230)</f>
        <v>0</v>
      </c>
      <c r="F235" s="1687">
        <f>SUM(F230)</f>
        <v>10899</v>
      </c>
      <c r="G235" s="1687">
        <f>SUM(G230)</f>
        <v>3719</v>
      </c>
      <c r="H235" s="1686">
        <f>(G235/F235)*100</f>
        <v>34.122396550142213</v>
      </c>
    </row>
    <row r="236" spans="1:12" ht="13.5" thickTop="1" x14ac:dyDescent="0.2"/>
    <row r="357" spans="1:5" ht="13.5" thickBot="1" x14ac:dyDescent="0.25">
      <c r="A357" s="1984"/>
      <c r="B357" s="1984"/>
      <c r="C357" s="1984"/>
      <c r="D357" s="2064"/>
      <c r="E357" s="2065"/>
    </row>
    <row r="358" spans="1:5" ht="13.5" thickTop="1" x14ac:dyDescent="0.2">
      <c r="A358" s="2009"/>
      <c r="B358" s="2009"/>
      <c r="C358" s="2009"/>
      <c r="D358" s="1998"/>
      <c r="E358" s="2066"/>
    </row>
    <row r="359" spans="1:5" x14ac:dyDescent="0.2">
      <c r="D359" s="1937" t="e">
        <f>#REF!+#REF!</f>
        <v>#REF!</v>
      </c>
    </row>
  </sheetData>
  <mergeCells count="3">
    <mergeCell ref="A1:H1"/>
    <mergeCell ref="A26:D26"/>
    <mergeCell ref="A235:D235"/>
  </mergeCells>
  <pageMargins left="0.98425196850393704" right="0.78740157480314965" top="0.98425196850393704" bottom="0.98425196850393704" header="0.51181102362204722" footer="0.51181102362204722"/>
  <pageSetup paperSize="9" scale="68" firstPageNumber="136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1" manualBreakCount="1">
    <brk id="160" max="7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49"/>
  <sheetViews>
    <sheetView showGridLines="0" view="pageBreakPreview" zoomScaleNormal="100" zoomScaleSheetLayoutView="100" workbookViewId="0">
      <selection activeCell="K221" sqref="K221"/>
    </sheetView>
  </sheetViews>
  <sheetFormatPr defaultRowHeight="12.75" x14ac:dyDescent="0.2"/>
  <cols>
    <col min="1" max="1" width="5" style="1936" customWidth="1"/>
    <col min="2" max="2" width="6.140625" style="1936" customWidth="1"/>
    <col min="3" max="3" width="10.28515625" style="1936" customWidth="1"/>
    <col min="4" max="4" width="40.42578125" style="1937" customWidth="1"/>
    <col min="5" max="5" width="10.42578125" style="1970" customWidth="1"/>
    <col min="6" max="6" width="15.85546875" style="1970" customWidth="1"/>
    <col min="7" max="7" width="13.85546875" style="1970" customWidth="1"/>
    <col min="8" max="8" width="8" style="1937" customWidth="1"/>
    <col min="9" max="9" width="14.28515625" style="1937" bestFit="1" customWidth="1"/>
    <col min="10" max="10" width="9.28515625" style="1937" bestFit="1" customWidth="1"/>
    <col min="11" max="11" width="16.140625" style="1937" bestFit="1" customWidth="1"/>
    <col min="12" max="12" width="16" style="1937" bestFit="1" customWidth="1"/>
    <col min="13" max="256" width="9.140625" style="1937"/>
    <col min="257" max="257" width="4.7109375" style="1937" customWidth="1"/>
    <col min="258" max="258" width="6.140625" style="1937" customWidth="1"/>
    <col min="259" max="259" width="10.28515625" style="1937" customWidth="1"/>
    <col min="260" max="260" width="40.42578125" style="1937" customWidth="1"/>
    <col min="261" max="261" width="10.42578125" style="1937" customWidth="1"/>
    <col min="262" max="262" width="15.85546875" style="1937" customWidth="1"/>
    <col min="263" max="263" width="13.85546875" style="1937" customWidth="1"/>
    <col min="264" max="264" width="6.42578125" style="1937" customWidth="1"/>
    <col min="265" max="265" width="14.28515625" style="1937" bestFit="1" customWidth="1"/>
    <col min="266" max="266" width="9.28515625" style="1937" bestFit="1" customWidth="1"/>
    <col min="267" max="267" width="16.140625" style="1937" bestFit="1" customWidth="1"/>
    <col min="268" max="268" width="16" style="1937" bestFit="1" customWidth="1"/>
    <col min="269" max="512" width="9.140625" style="1937"/>
    <col min="513" max="513" width="4.7109375" style="1937" customWidth="1"/>
    <col min="514" max="514" width="6.140625" style="1937" customWidth="1"/>
    <col min="515" max="515" width="10.28515625" style="1937" customWidth="1"/>
    <col min="516" max="516" width="40.42578125" style="1937" customWidth="1"/>
    <col min="517" max="517" width="10.42578125" style="1937" customWidth="1"/>
    <col min="518" max="518" width="15.85546875" style="1937" customWidth="1"/>
    <col min="519" max="519" width="13.85546875" style="1937" customWidth="1"/>
    <col min="520" max="520" width="6.42578125" style="1937" customWidth="1"/>
    <col min="521" max="521" width="14.28515625" style="1937" bestFit="1" customWidth="1"/>
    <col min="522" max="522" width="9.28515625" style="1937" bestFit="1" customWidth="1"/>
    <col min="523" max="523" width="16.140625" style="1937" bestFit="1" customWidth="1"/>
    <col min="524" max="524" width="16" style="1937" bestFit="1" customWidth="1"/>
    <col min="525" max="768" width="9.140625" style="1937"/>
    <col min="769" max="769" width="4.7109375" style="1937" customWidth="1"/>
    <col min="770" max="770" width="6.140625" style="1937" customWidth="1"/>
    <col min="771" max="771" width="10.28515625" style="1937" customWidth="1"/>
    <col min="772" max="772" width="40.42578125" style="1937" customWidth="1"/>
    <col min="773" max="773" width="10.42578125" style="1937" customWidth="1"/>
    <col min="774" max="774" width="15.85546875" style="1937" customWidth="1"/>
    <col min="775" max="775" width="13.85546875" style="1937" customWidth="1"/>
    <col min="776" max="776" width="6.42578125" style="1937" customWidth="1"/>
    <col min="777" max="777" width="14.28515625" style="1937" bestFit="1" customWidth="1"/>
    <col min="778" max="778" width="9.28515625" style="1937" bestFit="1" customWidth="1"/>
    <col min="779" max="779" width="16.140625" style="1937" bestFit="1" customWidth="1"/>
    <col min="780" max="780" width="16" style="1937" bestFit="1" customWidth="1"/>
    <col min="781" max="1024" width="9.140625" style="1937"/>
    <col min="1025" max="1025" width="4.7109375" style="1937" customWidth="1"/>
    <col min="1026" max="1026" width="6.140625" style="1937" customWidth="1"/>
    <col min="1027" max="1027" width="10.28515625" style="1937" customWidth="1"/>
    <col min="1028" max="1028" width="40.42578125" style="1937" customWidth="1"/>
    <col min="1029" max="1029" width="10.42578125" style="1937" customWidth="1"/>
    <col min="1030" max="1030" width="15.85546875" style="1937" customWidth="1"/>
    <col min="1031" max="1031" width="13.85546875" style="1937" customWidth="1"/>
    <col min="1032" max="1032" width="6.42578125" style="1937" customWidth="1"/>
    <col min="1033" max="1033" width="14.28515625" style="1937" bestFit="1" customWidth="1"/>
    <col min="1034" max="1034" width="9.28515625" style="1937" bestFit="1" customWidth="1"/>
    <col min="1035" max="1035" width="16.140625" style="1937" bestFit="1" customWidth="1"/>
    <col min="1036" max="1036" width="16" style="1937" bestFit="1" customWidth="1"/>
    <col min="1037" max="1280" width="9.140625" style="1937"/>
    <col min="1281" max="1281" width="4.7109375" style="1937" customWidth="1"/>
    <col min="1282" max="1282" width="6.140625" style="1937" customWidth="1"/>
    <col min="1283" max="1283" width="10.28515625" style="1937" customWidth="1"/>
    <col min="1284" max="1284" width="40.42578125" style="1937" customWidth="1"/>
    <col min="1285" max="1285" width="10.42578125" style="1937" customWidth="1"/>
    <col min="1286" max="1286" width="15.85546875" style="1937" customWidth="1"/>
    <col min="1287" max="1287" width="13.85546875" style="1937" customWidth="1"/>
    <col min="1288" max="1288" width="6.42578125" style="1937" customWidth="1"/>
    <col min="1289" max="1289" width="14.28515625" style="1937" bestFit="1" customWidth="1"/>
    <col min="1290" max="1290" width="9.28515625" style="1937" bestFit="1" customWidth="1"/>
    <col min="1291" max="1291" width="16.140625" style="1937" bestFit="1" customWidth="1"/>
    <col min="1292" max="1292" width="16" style="1937" bestFit="1" customWidth="1"/>
    <col min="1293" max="1536" width="9.140625" style="1937"/>
    <col min="1537" max="1537" width="4.7109375" style="1937" customWidth="1"/>
    <col min="1538" max="1538" width="6.140625" style="1937" customWidth="1"/>
    <col min="1539" max="1539" width="10.28515625" style="1937" customWidth="1"/>
    <col min="1540" max="1540" width="40.42578125" style="1937" customWidth="1"/>
    <col min="1541" max="1541" width="10.42578125" style="1937" customWidth="1"/>
    <col min="1542" max="1542" width="15.85546875" style="1937" customWidth="1"/>
    <col min="1543" max="1543" width="13.85546875" style="1937" customWidth="1"/>
    <col min="1544" max="1544" width="6.42578125" style="1937" customWidth="1"/>
    <col min="1545" max="1545" width="14.28515625" style="1937" bestFit="1" customWidth="1"/>
    <col min="1546" max="1546" width="9.28515625" style="1937" bestFit="1" customWidth="1"/>
    <col min="1547" max="1547" width="16.140625" style="1937" bestFit="1" customWidth="1"/>
    <col min="1548" max="1548" width="16" style="1937" bestFit="1" customWidth="1"/>
    <col min="1549" max="1792" width="9.140625" style="1937"/>
    <col min="1793" max="1793" width="4.7109375" style="1937" customWidth="1"/>
    <col min="1794" max="1794" width="6.140625" style="1937" customWidth="1"/>
    <col min="1795" max="1795" width="10.28515625" style="1937" customWidth="1"/>
    <col min="1796" max="1796" width="40.42578125" style="1937" customWidth="1"/>
    <col min="1797" max="1797" width="10.42578125" style="1937" customWidth="1"/>
    <col min="1798" max="1798" width="15.85546875" style="1937" customWidth="1"/>
    <col min="1799" max="1799" width="13.85546875" style="1937" customWidth="1"/>
    <col min="1800" max="1800" width="6.42578125" style="1937" customWidth="1"/>
    <col min="1801" max="1801" width="14.28515625" style="1937" bestFit="1" customWidth="1"/>
    <col min="1802" max="1802" width="9.28515625" style="1937" bestFit="1" customWidth="1"/>
    <col min="1803" max="1803" width="16.140625" style="1937" bestFit="1" customWidth="1"/>
    <col min="1804" max="1804" width="16" style="1937" bestFit="1" customWidth="1"/>
    <col min="1805" max="2048" width="9.140625" style="1937"/>
    <col min="2049" max="2049" width="4.7109375" style="1937" customWidth="1"/>
    <col min="2050" max="2050" width="6.140625" style="1937" customWidth="1"/>
    <col min="2051" max="2051" width="10.28515625" style="1937" customWidth="1"/>
    <col min="2052" max="2052" width="40.42578125" style="1937" customWidth="1"/>
    <col min="2053" max="2053" width="10.42578125" style="1937" customWidth="1"/>
    <col min="2054" max="2054" width="15.85546875" style="1937" customWidth="1"/>
    <col min="2055" max="2055" width="13.85546875" style="1937" customWidth="1"/>
    <col min="2056" max="2056" width="6.42578125" style="1937" customWidth="1"/>
    <col min="2057" max="2057" width="14.28515625" style="1937" bestFit="1" customWidth="1"/>
    <col min="2058" max="2058" width="9.28515625" style="1937" bestFit="1" customWidth="1"/>
    <col min="2059" max="2059" width="16.140625" style="1937" bestFit="1" customWidth="1"/>
    <col min="2060" max="2060" width="16" style="1937" bestFit="1" customWidth="1"/>
    <col min="2061" max="2304" width="9.140625" style="1937"/>
    <col min="2305" max="2305" width="4.7109375" style="1937" customWidth="1"/>
    <col min="2306" max="2306" width="6.140625" style="1937" customWidth="1"/>
    <col min="2307" max="2307" width="10.28515625" style="1937" customWidth="1"/>
    <col min="2308" max="2308" width="40.42578125" style="1937" customWidth="1"/>
    <col min="2309" max="2309" width="10.42578125" style="1937" customWidth="1"/>
    <col min="2310" max="2310" width="15.85546875" style="1937" customWidth="1"/>
    <col min="2311" max="2311" width="13.85546875" style="1937" customWidth="1"/>
    <col min="2312" max="2312" width="6.42578125" style="1937" customWidth="1"/>
    <col min="2313" max="2313" width="14.28515625" style="1937" bestFit="1" customWidth="1"/>
    <col min="2314" max="2314" width="9.28515625" style="1937" bestFit="1" customWidth="1"/>
    <col min="2315" max="2315" width="16.140625" style="1937" bestFit="1" customWidth="1"/>
    <col min="2316" max="2316" width="16" style="1937" bestFit="1" customWidth="1"/>
    <col min="2317" max="2560" width="9.140625" style="1937"/>
    <col min="2561" max="2561" width="4.7109375" style="1937" customWidth="1"/>
    <col min="2562" max="2562" width="6.140625" style="1937" customWidth="1"/>
    <col min="2563" max="2563" width="10.28515625" style="1937" customWidth="1"/>
    <col min="2564" max="2564" width="40.42578125" style="1937" customWidth="1"/>
    <col min="2565" max="2565" width="10.42578125" style="1937" customWidth="1"/>
    <col min="2566" max="2566" width="15.85546875" style="1937" customWidth="1"/>
    <col min="2567" max="2567" width="13.85546875" style="1937" customWidth="1"/>
    <col min="2568" max="2568" width="6.42578125" style="1937" customWidth="1"/>
    <col min="2569" max="2569" width="14.28515625" style="1937" bestFit="1" customWidth="1"/>
    <col min="2570" max="2570" width="9.28515625" style="1937" bestFit="1" customWidth="1"/>
    <col min="2571" max="2571" width="16.140625" style="1937" bestFit="1" customWidth="1"/>
    <col min="2572" max="2572" width="16" style="1937" bestFit="1" customWidth="1"/>
    <col min="2573" max="2816" width="9.140625" style="1937"/>
    <col min="2817" max="2817" width="4.7109375" style="1937" customWidth="1"/>
    <col min="2818" max="2818" width="6.140625" style="1937" customWidth="1"/>
    <col min="2819" max="2819" width="10.28515625" style="1937" customWidth="1"/>
    <col min="2820" max="2820" width="40.42578125" style="1937" customWidth="1"/>
    <col min="2821" max="2821" width="10.42578125" style="1937" customWidth="1"/>
    <col min="2822" max="2822" width="15.85546875" style="1937" customWidth="1"/>
    <col min="2823" max="2823" width="13.85546875" style="1937" customWidth="1"/>
    <col min="2824" max="2824" width="6.42578125" style="1937" customWidth="1"/>
    <col min="2825" max="2825" width="14.28515625" style="1937" bestFit="1" customWidth="1"/>
    <col min="2826" max="2826" width="9.28515625" style="1937" bestFit="1" customWidth="1"/>
    <col min="2827" max="2827" width="16.140625" style="1937" bestFit="1" customWidth="1"/>
    <col min="2828" max="2828" width="16" style="1937" bestFit="1" customWidth="1"/>
    <col min="2829" max="3072" width="9.140625" style="1937"/>
    <col min="3073" max="3073" width="4.7109375" style="1937" customWidth="1"/>
    <col min="3074" max="3074" width="6.140625" style="1937" customWidth="1"/>
    <col min="3075" max="3075" width="10.28515625" style="1937" customWidth="1"/>
    <col min="3076" max="3076" width="40.42578125" style="1937" customWidth="1"/>
    <col min="3077" max="3077" width="10.42578125" style="1937" customWidth="1"/>
    <col min="3078" max="3078" width="15.85546875" style="1937" customWidth="1"/>
    <col min="3079" max="3079" width="13.85546875" style="1937" customWidth="1"/>
    <col min="3080" max="3080" width="6.42578125" style="1937" customWidth="1"/>
    <col min="3081" max="3081" width="14.28515625" style="1937" bestFit="1" customWidth="1"/>
    <col min="3082" max="3082" width="9.28515625" style="1937" bestFit="1" customWidth="1"/>
    <col min="3083" max="3083" width="16.140625" style="1937" bestFit="1" customWidth="1"/>
    <col min="3084" max="3084" width="16" style="1937" bestFit="1" customWidth="1"/>
    <col min="3085" max="3328" width="9.140625" style="1937"/>
    <col min="3329" max="3329" width="4.7109375" style="1937" customWidth="1"/>
    <col min="3330" max="3330" width="6.140625" style="1937" customWidth="1"/>
    <col min="3331" max="3331" width="10.28515625" style="1937" customWidth="1"/>
    <col min="3332" max="3332" width="40.42578125" style="1937" customWidth="1"/>
    <col min="3333" max="3333" width="10.42578125" style="1937" customWidth="1"/>
    <col min="3334" max="3334" width="15.85546875" style="1937" customWidth="1"/>
    <col min="3335" max="3335" width="13.85546875" style="1937" customWidth="1"/>
    <col min="3336" max="3336" width="6.42578125" style="1937" customWidth="1"/>
    <col min="3337" max="3337" width="14.28515625" style="1937" bestFit="1" customWidth="1"/>
    <col min="3338" max="3338" width="9.28515625" style="1937" bestFit="1" customWidth="1"/>
    <col min="3339" max="3339" width="16.140625" style="1937" bestFit="1" customWidth="1"/>
    <col min="3340" max="3340" width="16" style="1937" bestFit="1" customWidth="1"/>
    <col min="3341" max="3584" width="9.140625" style="1937"/>
    <col min="3585" max="3585" width="4.7109375" style="1937" customWidth="1"/>
    <col min="3586" max="3586" width="6.140625" style="1937" customWidth="1"/>
    <col min="3587" max="3587" width="10.28515625" style="1937" customWidth="1"/>
    <col min="3588" max="3588" width="40.42578125" style="1937" customWidth="1"/>
    <col min="3589" max="3589" width="10.42578125" style="1937" customWidth="1"/>
    <col min="3590" max="3590" width="15.85546875" style="1937" customWidth="1"/>
    <col min="3591" max="3591" width="13.85546875" style="1937" customWidth="1"/>
    <col min="3592" max="3592" width="6.42578125" style="1937" customWidth="1"/>
    <col min="3593" max="3593" width="14.28515625" style="1937" bestFit="1" customWidth="1"/>
    <col min="3594" max="3594" width="9.28515625" style="1937" bestFit="1" customWidth="1"/>
    <col min="3595" max="3595" width="16.140625" style="1937" bestFit="1" customWidth="1"/>
    <col min="3596" max="3596" width="16" style="1937" bestFit="1" customWidth="1"/>
    <col min="3597" max="3840" width="9.140625" style="1937"/>
    <col min="3841" max="3841" width="4.7109375" style="1937" customWidth="1"/>
    <col min="3842" max="3842" width="6.140625" style="1937" customWidth="1"/>
    <col min="3843" max="3843" width="10.28515625" style="1937" customWidth="1"/>
    <col min="3844" max="3844" width="40.42578125" style="1937" customWidth="1"/>
    <col min="3845" max="3845" width="10.42578125" style="1937" customWidth="1"/>
    <col min="3846" max="3846" width="15.85546875" style="1937" customWidth="1"/>
    <col min="3847" max="3847" width="13.85546875" style="1937" customWidth="1"/>
    <col min="3848" max="3848" width="6.42578125" style="1937" customWidth="1"/>
    <col min="3849" max="3849" width="14.28515625" style="1937" bestFit="1" customWidth="1"/>
    <col min="3850" max="3850" width="9.28515625" style="1937" bestFit="1" customWidth="1"/>
    <col min="3851" max="3851" width="16.140625" style="1937" bestFit="1" customWidth="1"/>
    <col min="3852" max="3852" width="16" style="1937" bestFit="1" customWidth="1"/>
    <col min="3853" max="4096" width="9.140625" style="1937"/>
    <col min="4097" max="4097" width="4.7109375" style="1937" customWidth="1"/>
    <col min="4098" max="4098" width="6.140625" style="1937" customWidth="1"/>
    <col min="4099" max="4099" width="10.28515625" style="1937" customWidth="1"/>
    <col min="4100" max="4100" width="40.42578125" style="1937" customWidth="1"/>
    <col min="4101" max="4101" width="10.42578125" style="1937" customWidth="1"/>
    <col min="4102" max="4102" width="15.85546875" style="1937" customWidth="1"/>
    <col min="4103" max="4103" width="13.85546875" style="1937" customWidth="1"/>
    <col min="4104" max="4104" width="6.42578125" style="1937" customWidth="1"/>
    <col min="4105" max="4105" width="14.28515625" style="1937" bestFit="1" customWidth="1"/>
    <col min="4106" max="4106" width="9.28515625" style="1937" bestFit="1" customWidth="1"/>
    <col min="4107" max="4107" width="16.140625" style="1937" bestFit="1" customWidth="1"/>
    <col min="4108" max="4108" width="16" style="1937" bestFit="1" customWidth="1"/>
    <col min="4109" max="4352" width="9.140625" style="1937"/>
    <col min="4353" max="4353" width="4.7109375" style="1937" customWidth="1"/>
    <col min="4354" max="4354" width="6.140625" style="1937" customWidth="1"/>
    <col min="4355" max="4355" width="10.28515625" style="1937" customWidth="1"/>
    <col min="4356" max="4356" width="40.42578125" style="1937" customWidth="1"/>
    <col min="4357" max="4357" width="10.42578125" style="1937" customWidth="1"/>
    <col min="4358" max="4358" width="15.85546875" style="1937" customWidth="1"/>
    <col min="4359" max="4359" width="13.85546875" style="1937" customWidth="1"/>
    <col min="4360" max="4360" width="6.42578125" style="1937" customWidth="1"/>
    <col min="4361" max="4361" width="14.28515625" style="1937" bestFit="1" customWidth="1"/>
    <col min="4362" max="4362" width="9.28515625" style="1937" bestFit="1" customWidth="1"/>
    <col min="4363" max="4363" width="16.140625" style="1937" bestFit="1" customWidth="1"/>
    <col min="4364" max="4364" width="16" style="1937" bestFit="1" customWidth="1"/>
    <col min="4365" max="4608" width="9.140625" style="1937"/>
    <col min="4609" max="4609" width="4.7109375" style="1937" customWidth="1"/>
    <col min="4610" max="4610" width="6.140625" style="1937" customWidth="1"/>
    <col min="4611" max="4611" width="10.28515625" style="1937" customWidth="1"/>
    <col min="4612" max="4612" width="40.42578125" style="1937" customWidth="1"/>
    <col min="4613" max="4613" width="10.42578125" style="1937" customWidth="1"/>
    <col min="4614" max="4614" width="15.85546875" style="1937" customWidth="1"/>
    <col min="4615" max="4615" width="13.85546875" style="1937" customWidth="1"/>
    <col min="4616" max="4616" width="6.42578125" style="1937" customWidth="1"/>
    <col min="4617" max="4617" width="14.28515625" style="1937" bestFit="1" customWidth="1"/>
    <col min="4618" max="4618" width="9.28515625" style="1937" bestFit="1" customWidth="1"/>
    <col min="4619" max="4619" width="16.140625" style="1937" bestFit="1" customWidth="1"/>
    <col min="4620" max="4620" width="16" style="1937" bestFit="1" customWidth="1"/>
    <col min="4621" max="4864" width="9.140625" style="1937"/>
    <col min="4865" max="4865" width="4.7109375" style="1937" customWidth="1"/>
    <col min="4866" max="4866" width="6.140625" style="1937" customWidth="1"/>
    <col min="4867" max="4867" width="10.28515625" style="1937" customWidth="1"/>
    <col min="4868" max="4868" width="40.42578125" style="1937" customWidth="1"/>
    <col min="4869" max="4869" width="10.42578125" style="1937" customWidth="1"/>
    <col min="4870" max="4870" width="15.85546875" style="1937" customWidth="1"/>
    <col min="4871" max="4871" width="13.85546875" style="1937" customWidth="1"/>
    <col min="4872" max="4872" width="6.42578125" style="1937" customWidth="1"/>
    <col min="4873" max="4873" width="14.28515625" style="1937" bestFit="1" customWidth="1"/>
    <col min="4874" max="4874" width="9.28515625" style="1937" bestFit="1" customWidth="1"/>
    <col min="4875" max="4875" width="16.140625" style="1937" bestFit="1" customWidth="1"/>
    <col min="4876" max="4876" width="16" style="1937" bestFit="1" customWidth="1"/>
    <col min="4877" max="5120" width="9.140625" style="1937"/>
    <col min="5121" max="5121" width="4.7109375" style="1937" customWidth="1"/>
    <col min="5122" max="5122" width="6.140625" style="1937" customWidth="1"/>
    <col min="5123" max="5123" width="10.28515625" style="1937" customWidth="1"/>
    <col min="5124" max="5124" width="40.42578125" style="1937" customWidth="1"/>
    <col min="5125" max="5125" width="10.42578125" style="1937" customWidth="1"/>
    <col min="5126" max="5126" width="15.85546875" style="1937" customWidth="1"/>
    <col min="5127" max="5127" width="13.85546875" style="1937" customWidth="1"/>
    <col min="5128" max="5128" width="6.42578125" style="1937" customWidth="1"/>
    <col min="5129" max="5129" width="14.28515625" style="1937" bestFit="1" customWidth="1"/>
    <col min="5130" max="5130" width="9.28515625" style="1937" bestFit="1" customWidth="1"/>
    <col min="5131" max="5131" width="16.140625" style="1937" bestFit="1" customWidth="1"/>
    <col min="5132" max="5132" width="16" style="1937" bestFit="1" customWidth="1"/>
    <col min="5133" max="5376" width="9.140625" style="1937"/>
    <col min="5377" max="5377" width="4.7109375" style="1937" customWidth="1"/>
    <col min="5378" max="5378" width="6.140625" style="1937" customWidth="1"/>
    <col min="5379" max="5379" width="10.28515625" style="1937" customWidth="1"/>
    <col min="5380" max="5380" width="40.42578125" style="1937" customWidth="1"/>
    <col min="5381" max="5381" width="10.42578125" style="1937" customWidth="1"/>
    <col min="5382" max="5382" width="15.85546875" style="1937" customWidth="1"/>
    <col min="5383" max="5383" width="13.85546875" style="1937" customWidth="1"/>
    <col min="5384" max="5384" width="6.42578125" style="1937" customWidth="1"/>
    <col min="5385" max="5385" width="14.28515625" style="1937" bestFit="1" customWidth="1"/>
    <col min="5386" max="5386" width="9.28515625" style="1937" bestFit="1" customWidth="1"/>
    <col min="5387" max="5387" width="16.140625" style="1937" bestFit="1" customWidth="1"/>
    <col min="5388" max="5388" width="16" style="1937" bestFit="1" customWidth="1"/>
    <col min="5389" max="5632" width="9.140625" style="1937"/>
    <col min="5633" max="5633" width="4.7109375" style="1937" customWidth="1"/>
    <col min="5634" max="5634" width="6.140625" style="1937" customWidth="1"/>
    <col min="5635" max="5635" width="10.28515625" style="1937" customWidth="1"/>
    <col min="5636" max="5636" width="40.42578125" style="1937" customWidth="1"/>
    <col min="5637" max="5637" width="10.42578125" style="1937" customWidth="1"/>
    <col min="5638" max="5638" width="15.85546875" style="1937" customWidth="1"/>
    <col min="5639" max="5639" width="13.85546875" style="1937" customWidth="1"/>
    <col min="5640" max="5640" width="6.42578125" style="1937" customWidth="1"/>
    <col min="5641" max="5641" width="14.28515625" style="1937" bestFit="1" customWidth="1"/>
    <col min="5642" max="5642" width="9.28515625" style="1937" bestFit="1" customWidth="1"/>
    <col min="5643" max="5643" width="16.140625" style="1937" bestFit="1" customWidth="1"/>
    <col min="5644" max="5644" width="16" style="1937" bestFit="1" customWidth="1"/>
    <col min="5645" max="5888" width="9.140625" style="1937"/>
    <col min="5889" max="5889" width="4.7109375" style="1937" customWidth="1"/>
    <col min="5890" max="5890" width="6.140625" style="1937" customWidth="1"/>
    <col min="5891" max="5891" width="10.28515625" style="1937" customWidth="1"/>
    <col min="5892" max="5892" width="40.42578125" style="1937" customWidth="1"/>
    <col min="5893" max="5893" width="10.42578125" style="1937" customWidth="1"/>
    <col min="5894" max="5894" width="15.85546875" style="1937" customWidth="1"/>
    <col min="5895" max="5895" width="13.85546875" style="1937" customWidth="1"/>
    <col min="5896" max="5896" width="6.42578125" style="1937" customWidth="1"/>
    <col min="5897" max="5897" width="14.28515625" style="1937" bestFit="1" customWidth="1"/>
    <col min="5898" max="5898" width="9.28515625" style="1937" bestFit="1" customWidth="1"/>
    <col min="5899" max="5899" width="16.140625" style="1937" bestFit="1" customWidth="1"/>
    <col min="5900" max="5900" width="16" style="1937" bestFit="1" customWidth="1"/>
    <col min="5901" max="6144" width="9.140625" style="1937"/>
    <col min="6145" max="6145" width="4.7109375" style="1937" customWidth="1"/>
    <col min="6146" max="6146" width="6.140625" style="1937" customWidth="1"/>
    <col min="6147" max="6147" width="10.28515625" style="1937" customWidth="1"/>
    <col min="6148" max="6148" width="40.42578125" style="1937" customWidth="1"/>
    <col min="6149" max="6149" width="10.42578125" style="1937" customWidth="1"/>
    <col min="6150" max="6150" width="15.85546875" style="1937" customWidth="1"/>
    <col min="6151" max="6151" width="13.85546875" style="1937" customWidth="1"/>
    <col min="6152" max="6152" width="6.42578125" style="1937" customWidth="1"/>
    <col min="6153" max="6153" width="14.28515625" style="1937" bestFit="1" customWidth="1"/>
    <col min="6154" max="6154" width="9.28515625" style="1937" bestFit="1" customWidth="1"/>
    <col min="6155" max="6155" width="16.140625" style="1937" bestFit="1" customWidth="1"/>
    <col min="6156" max="6156" width="16" style="1937" bestFit="1" customWidth="1"/>
    <col min="6157" max="6400" width="9.140625" style="1937"/>
    <col min="6401" max="6401" width="4.7109375" style="1937" customWidth="1"/>
    <col min="6402" max="6402" width="6.140625" style="1937" customWidth="1"/>
    <col min="6403" max="6403" width="10.28515625" style="1937" customWidth="1"/>
    <col min="6404" max="6404" width="40.42578125" style="1937" customWidth="1"/>
    <col min="6405" max="6405" width="10.42578125" style="1937" customWidth="1"/>
    <col min="6406" max="6406" width="15.85546875" style="1937" customWidth="1"/>
    <col min="6407" max="6407" width="13.85546875" style="1937" customWidth="1"/>
    <col min="6408" max="6408" width="6.42578125" style="1937" customWidth="1"/>
    <col min="6409" max="6409" width="14.28515625" style="1937" bestFit="1" customWidth="1"/>
    <col min="6410" max="6410" width="9.28515625" style="1937" bestFit="1" customWidth="1"/>
    <col min="6411" max="6411" width="16.140625" style="1937" bestFit="1" customWidth="1"/>
    <col min="6412" max="6412" width="16" style="1937" bestFit="1" customWidth="1"/>
    <col min="6413" max="6656" width="9.140625" style="1937"/>
    <col min="6657" max="6657" width="4.7109375" style="1937" customWidth="1"/>
    <col min="6658" max="6658" width="6.140625" style="1937" customWidth="1"/>
    <col min="6659" max="6659" width="10.28515625" style="1937" customWidth="1"/>
    <col min="6660" max="6660" width="40.42578125" style="1937" customWidth="1"/>
    <col min="6661" max="6661" width="10.42578125" style="1937" customWidth="1"/>
    <col min="6662" max="6662" width="15.85546875" style="1937" customWidth="1"/>
    <col min="6663" max="6663" width="13.85546875" style="1937" customWidth="1"/>
    <col min="6664" max="6664" width="6.42578125" style="1937" customWidth="1"/>
    <col min="6665" max="6665" width="14.28515625" style="1937" bestFit="1" customWidth="1"/>
    <col min="6666" max="6666" width="9.28515625" style="1937" bestFit="1" customWidth="1"/>
    <col min="6667" max="6667" width="16.140625" style="1937" bestFit="1" customWidth="1"/>
    <col min="6668" max="6668" width="16" style="1937" bestFit="1" customWidth="1"/>
    <col min="6669" max="6912" width="9.140625" style="1937"/>
    <col min="6913" max="6913" width="4.7109375" style="1937" customWidth="1"/>
    <col min="6914" max="6914" width="6.140625" style="1937" customWidth="1"/>
    <col min="6915" max="6915" width="10.28515625" style="1937" customWidth="1"/>
    <col min="6916" max="6916" width="40.42578125" style="1937" customWidth="1"/>
    <col min="6917" max="6917" width="10.42578125" style="1937" customWidth="1"/>
    <col min="6918" max="6918" width="15.85546875" style="1937" customWidth="1"/>
    <col min="6919" max="6919" width="13.85546875" style="1937" customWidth="1"/>
    <col min="6920" max="6920" width="6.42578125" style="1937" customWidth="1"/>
    <col min="6921" max="6921" width="14.28515625" style="1937" bestFit="1" customWidth="1"/>
    <col min="6922" max="6922" width="9.28515625" style="1937" bestFit="1" customWidth="1"/>
    <col min="6923" max="6923" width="16.140625" style="1937" bestFit="1" customWidth="1"/>
    <col min="6924" max="6924" width="16" style="1937" bestFit="1" customWidth="1"/>
    <col min="6925" max="7168" width="9.140625" style="1937"/>
    <col min="7169" max="7169" width="4.7109375" style="1937" customWidth="1"/>
    <col min="7170" max="7170" width="6.140625" style="1937" customWidth="1"/>
    <col min="7171" max="7171" width="10.28515625" style="1937" customWidth="1"/>
    <col min="7172" max="7172" width="40.42578125" style="1937" customWidth="1"/>
    <col min="7173" max="7173" width="10.42578125" style="1937" customWidth="1"/>
    <col min="7174" max="7174" width="15.85546875" style="1937" customWidth="1"/>
    <col min="7175" max="7175" width="13.85546875" style="1937" customWidth="1"/>
    <col min="7176" max="7176" width="6.42578125" style="1937" customWidth="1"/>
    <col min="7177" max="7177" width="14.28515625" style="1937" bestFit="1" customWidth="1"/>
    <col min="7178" max="7178" width="9.28515625" style="1937" bestFit="1" customWidth="1"/>
    <col min="7179" max="7179" width="16.140625" style="1937" bestFit="1" customWidth="1"/>
    <col min="7180" max="7180" width="16" style="1937" bestFit="1" customWidth="1"/>
    <col min="7181" max="7424" width="9.140625" style="1937"/>
    <col min="7425" max="7425" width="4.7109375" style="1937" customWidth="1"/>
    <col min="7426" max="7426" width="6.140625" style="1937" customWidth="1"/>
    <col min="7427" max="7427" width="10.28515625" style="1937" customWidth="1"/>
    <col min="7428" max="7428" width="40.42578125" style="1937" customWidth="1"/>
    <col min="7429" max="7429" width="10.42578125" style="1937" customWidth="1"/>
    <col min="7430" max="7430" width="15.85546875" style="1937" customWidth="1"/>
    <col min="7431" max="7431" width="13.85546875" style="1937" customWidth="1"/>
    <col min="7432" max="7432" width="6.42578125" style="1937" customWidth="1"/>
    <col min="7433" max="7433" width="14.28515625" style="1937" bestFit="1" customWidth="1"/>
    <col min="7434" max="7434" width="9.28515625" style="1937" bestFit="1" customWidth="1"/>
    <col min="7435" max="7435" width="16.140625" style="1937" bestFit="1" customWidth="1"/>
    <col min="7436" max="7436" width="16" style="1937" bestFit="1" customWidth="1"/>
    <col min="7437" max="7680" width="9.140625" style="1937"/>
    <col min="7681" max="7681" width="4.7109375" style="1937" customWidth="1"/>
    <col min="7682" max="7682" width="6.140625" style="1937" customWidth="1"/>
    <col min="7683" max="7683" width="10.28515625" style="1937" customWidth="1"/>
    <col min="7684" max="7684" width="40.42578125" style="1937" customWidth="1"/>
    <col min="7685" max="7685" width="10.42578125" style="1937" customWidth="1"/>
    <col min="7686" max="7686" width="15.85546875" style="1937" customWidth="1"/>
    <col min="7687" max="7687" width="13.85546875" style="1937" customWidth="1"/>
    <col min="7688" max="7688" width="6.42578125" style="1937" customWidth="1"/>
    <col min="7689" max="7689" width="14.28515625" style="1937" bestFit="1" customWidth="1"/>
    <col min="7690" max="7690" width="9.28515625" style="1937" bestFit="1" customWidth="1"/>
    <col min="7691" max="7691" width="16.140625" style="1937" bestFit="1" customWidth="1"/>
    <col min="7692" max="7692" width="16" style="1937" bestFit="1" customWidth="1"/>
    <col min="7693" max="7936" width="9.140625" style="1937"/>
    <col min="7937" max="7937" width="4.7109375" style="1937" customWidth="1"/>
    <col min="7938" max="7938" width="6.140625" style="1937" customWidth="1"/>
    <col min="7939" max="7939" width="10.28515625" style="1937" customWidth="1"/>
    <col min="7940" max="7940" width="40.42578125" style="1937" customWidth="1"/>
    <col min="7941" max="7941" width="10.42578125" style="1937" customWidth="1"/>
    <col min="7942" max="7942" width="15.85546875" style="1937" customWidth="1"/>
    <col min="7943" max="7943" width="13.85546875" style="1937" customWidth="1"/>
    <col min="7944" max="7944" width="6.42578125" style="1937" customWidth="1"/>
    <col min="7945" max="7945" width="14.28515625" style="1937" bestFit="1" customWidth="1"/>
    <col min="7946" max="7946" width="9.28515625" style="1937" bestFit="1" customWidth="1"/>
    <col min="7947" max="7947" width="16.140625" style="1937" bestFit="1" customWidth="1"/>
    <col min="7948" max="7948" width="16" style="1937" bestFit="1" customWidth="1"/>
    <col min="7949" max="8192" width="9.140625" style="1937"/>
    <col min="8193" max="8193" width="4.7109375" style="1937" customWidth="1"/>
    <col min="8194" max="8194" width="6.140625" style="1937" customWidth="1"/>
    <col min="8195" max="8195" width="10.28515625" style="1937" customWidth="1"/>
    <col min="8196" max="8196" width="40.42578125" style="1937" customWidth="1"/>
    <col min="8197" max="8197" width="10.42578125" style="1937" customWidth="1"/>
    <col min="8198" max="8198" width="15.85546875" style="1937" customWidth="1"/>
    <col min="8199" max="8199" width="13.85546875" style="1937" customWidth="1"/>
    <col min="8200" max="8200" width="6.42578125" style="1937" customWidth="1"/>
    <col min="8201" max="8201" width="14.28515625" style="1937" bestFit="1" customWidth="1"/>
    <col min="8202" max="8202" width="9.28515625" style="1937" bestFit="1" customWidth="1"/>
    <col min="8203" max="8203" width="16.140625" style="1937" bestFit="1" customWidth="1"/>
    <col min="8204" max="8204" width="16" style="1937" bestFit="1" customWidth="1"/>
    <col min="8205" max="8448" width="9.140625" style="1937"/>
    <col min="8449" max="8449" width="4.7109375" style="1937" customWidth="1"/>
    <col min="8450" max="8450" width="6.140625" style="1937" customWidth="1"/>
    <col min="8451" max="8451" width="10.28515625" style="1937" customWidth="1"/>
    <col min="8452" max="8452" width="40.42578125" style="1937" customWidth="1"/>
    <col min="8453" max="8453" width="10.42578125" style="1937" customWidth="1"/>
    <col min="8454" max="8454" width="15.85546875" style="1937" customWidth="1"/>
    <col min="8455" max="8455" width="13.85546875" style="1937" customWidth="1"/>
    <col min="8456" max="8456" width="6.42578125" style="1937" customWidth="1"/>
    <col min="8457" max="8457" width="14.28515625" style="1937" bestFit="1" customWidth="1"/>
    <col min="8458" max="8458" width="9.28515625" style="1937" bestFit="1" customWidth="1"/>
    <col min="8459" max="8459" width="16.140625" style="1937" bestFit="1" customWidth="1"/>
    <col min="8460" max="8460" width="16" style="1937" bestFit="1" customWidth="1"/>
    <col min="8461" max="8704" width="9.140625" style="1937"/>
    <col min="8705" max="8705" width="4.7109375" style="1937" customWidth="1"/>
    <col min="8706" max="8706" width="6.140625" style="1937" customWidth="1"/>
    <col min="8707" max="8707" width="10.28515625" style="1937" customWidth="1"/>
    <col min="8708" max="8708" width="40.42578125" style="1937" customWidth="1"/>
    <col min="8709" max="8709" width="10.42578125" style="1937" customWidth="1"/>
    <col min="8710" max="8710" width="15.85546875" style="1937" customWidth="1"/>
    <col min="8711" max="8711" width="13.85546875" style="1937" customWidth="1"/>
    <col min="8712" max="8712" width="6.42578125" style="1937" customWidth="1"/>
    <col min="8713" max="8713" width="14.28515625" style="1937" bestFit="1" customWidth="1"/>
    <col min="8714" max="8714" width="9.28515625" style="1937" bestFit="1" customWidth="1"/>
    <col min="8715" max="8715" width="16.140625" style="1937" bestFit="1" customWidth="1"/>
    <col min="8716" max="8716" width="16" style="1937" bestFit="1" customWidth="1"/>
    <col min="8717" max="8960" width="9.140625" style="1937"/>
    <col min="8961" max="8961" width="4.7109375" style="1937" customWidth="1"/>
    <col min="8962" max="8962" width="6.140625" style="1937" customWidth="1"/>
    <col min="8963" max="8963" width="10.28515625" style="1937" customWidth="1"/>
    <col min="8964" max="8964" width="40.42578125" style="1937" customWidth="1"/>
    <col min="8965" max="8965" width="10.42578125" style="1937" customWidth="1"/>
    <col min="8966" max="8966" width="15.85546875" style="1937" customWidth="1"/>
    <col min="8967" max="8967" width="13.85546875" style="1937" customWidth="1"/>
    <col min="8968" max="8968" width="6.42578125" style="1937" customWidth="1"/>
    <col min="8969" max="8969" width="14.28515625" style="1937" bestFit="1" customWidth="1"/>
    <col min="8970" max="8970" width="9.28515625" style="1937" bestFit="1" customWidth="1"/>
    <col min="8971" max="8971" width="16.140625" style="1937" bestFit="1" customWidth="1"/>
    <col min="8972" max="8972" width="16" style="1937" bestFit="1" customWidth="1"/>
    <col min="8973" max="9216" width="9.140625" style="1937"/>
    <col min="9217" max="9217" width="4.7109375" style="1937" customWidth="1"/>
    <col min="9218" max="9218" width="6.140625" style="1937" customWidth="1"/>
    <col min="9219" max="9219" width="10.28515625" style="1937" customWidth="1"/>
    <col min="9220" max="9220" width="40.42578125" style="1937" customWidth="1"/>
    <col min="9221" max="9221" width="10.42578125" style="1937" customWidth="1"/>
    <col min="9222" max="9222" width="15.85546875" style="1937" customWidth="1"/>
    <col min="9223" max="9223" width="13.85546875" style="1937" customWidth="1"/>
    <col min="9224" max="9224" width="6.42578125" style="1937" customWidth="1"/>
    <col min="9225" max="9225" width="14.28515625" style="1937" bestFit="1" customWidth="1"/>
    <col min="9226" max="9226" width="9.28515625" style="1937" bestFit="1" customWidth="1"/>
    <col min="9227" max="9227" width="16.140625" style="1937" bestFit="1" customWidth="1"/>
    <col min="9228" max="9228" width="16" style="1937" bestFit="1" customWidth="1"/>
    <col min="9229" max="9472" width="9.140625" style="1937"/>
    <col min="9473" max="9473" width="4.7109375" style="1937" customWidth="1"/>
    <col min="9474" max="9474" width="6.140625" style="1937" customWidth="1"/>
    <col min="9475" max="9475" width="10.28515625" style="1937" customWidth="1"/>
    <col min="9476" max="9476" width="40.42578125" style="1937" customWidth="1"/>
    <col min="9477" max="9477" width="10.42578125" style="1937" customWidth="1"/>
    <col min="9478" max="9478" width="15.85546875" style="1937" customWidth="1"/>
    <col min="9479" max="9479" width="13.85546875" style="1937" customWidth="1"/>
    <col min="9480" max="9480" width="6.42578125" style="1937" customWidth="1"/>
    <col min="9481" max="9481" width="14.28515625" style="1937" bestFit="1" customWidth="1"/>
    <col min="9482" max="9482" width="9.28515625" style="1937" bestFit="1" customWidth="1"/>
    <col min="9483" max="9483" width="16.140625" style="1937" bestFit="1" customWidth="1"/>
    <col min="9484" max="9484" width="16" style="1937" bestFit="1" customWidth="1"/>
    <col min="9485" max="9728" width="9.140625" style="1937"/>
    <col min="9729" max="9729" width="4.7109375" style="1937" customWidth="1"/>
    <col min="9730" max="9730" width="6.140625" style="1937" customWidth="1"/>
    <col min="9731" max="9731" width="10.28515625" style="1937" customWidth="1"/>
    <col min="9732" max="9732" width="40.42578125" style="1937" customWidth="1"/>
    <col min="9733" max="9733" width="10.42578125" style="1937" customWidth="1"/>
    <col min="9734" max="9734" width="15.85546875" style="1937" customWidth="1"/>
    <col min="9735" max="9735" width="13.85546875" style="1937" customWidth="1"/>
    <col min="9736" max="9736" width="6.42578125" style="1937" customWidth="1"/>
    <col min="9737" max="9737" width="14.28515625" style="1937" bestFit="1" customWidth="1"/>
    <col min="9738" max="9738" width="9.28515625" style="1937" bestFit="1" customWidth="1"/>
    <col min="9739" max="9739" width="16.140625" style="1937" bestFit="1" customWidth="1"/>
    <col min="9740" max="9740" width="16" style="1937" bestFit="1" customWidth="1"/>
    <col min="9741" max="9984" width="9.140625" style="1937"/>
    <col min="9985" max="9985" width="4.7109375" style="1937" customWidth="1"/>
    <col min="9986" max="9986" width="6.140625" style="1937" customWidth="1"/>
    <col min="9987" max="9987" width="10.28515625" style="1937" customWidth="1"/>
    <col min="9988" max="9988" width="40.42578125" style="1937" customWidth="1"/>
    <col min="9989" max="9989" width="10.42578125" style="1937" customWidth="1"/>
    <col min="9990" max="9990" width="15.85546875" style="1937" customWidth="1"/>
    <col min="9991" max="9991" width="13.85546875" style="1937" customWidth="1"/>
    <col min="9992" max="9992" width="6.42578125" style="1937" customWidth="1"/>
    <col min="9993" max="9993" width="14.28515625" style="1937" bestFit="1" customWidth="1"/>
    <col min="9994" max="9994" width="9.28515625" style="1937" bestFit="1" customWidth="1"/>
    <col min="9995" max="9995" width="16.140625" style="1937" bestFit="1" customWidth="1"/>
    <col min="9996" max="9996" width="16" style="1937" bestFit="1" customWidth="1"/>
    <col min="9997" max="10240" width="9.140625" style="1937"/>
    <col min="10241" max="10241" width="4.7109375" style="1937" customWidth="1"/>
    <col min="10242" max="10242" width="6.140625" style="1937" customWidth="1"/>
    <col min="10243" max="10243" width="10.28515625" style="1937" customWidth="1"/>
    <col min="10244" max="10244" width="40.42578125" style="1937" customWidth="1"/>
    <col min="10245" max="10245" width="10.42578125" style="1937" customWidth="1"/>
    <col min="10246" max="10246" width="15.85546875" style="1937" customWidth="1"/>
    <col min="10247" max="10247" width="13.85546875" style="1937" customWidth="1"/>
    <col min="10248" max="10248" width="6.42578125" style="1937" customWidth="1"/>
    <col min="10249" max="10249" width="14.28515625" style="1937" bestFit="1" customWidth="1"/>
    <col min="10250" max="10250" width="9.28515625" style="1937" bestFit="1" customWidth="1"/>
    <col min="10251" max="10251" width="16.140625" style="1937" bestFit="1" customWidth="1"/>
    <col min="10252" max="10252" width="16" style="1937" bestFit="1" customWidth="1"/>
    <col min="10253" max="10496" width="9.140625" style="1937"/>
    <col min="10497" max="10497" width="4.7109375" style="1937" customWidth="1"/>
    <col min="10498" max="10498" width="6.140625" style="1937" customWidth="1"/>
    <col min="10499" max="10499" width="10.28515625" style="1937" customWidth="1"/>
    <col min="10500" max="10500" width="40.42578125" style="1937" customWidth="1"/>
    <col min="10501" max="10501" width="10.42578125" style="1937" customWidth="1"/>
    <col min="10502" max="10502" width="15.85546875" style="1937" customWidth="1"/>
    <col min="10503" max="10503" width="13.85546875" style="1937" customWidth="1"/>
    <col min="10504" max="10504" width="6.42578125" style="1937" customWidth="1"/>
    <col min="10505" max="10505" width="14.28515625" style="1937" bestFit="1" customWidth="1"/>
    <col min="10506" max="10506" width="9.28515625" style="1937" bestFit="1" customWidth="1"/>
    <col min="10507" max="10507" width="16.140625" style="1937" bestFit="1" customWidth="1"/>
    <col min="10508" max="10508" width="16" style="1937" bestFit="1" customWidth="1"/>
    <col min="10509" max="10752" width="9.140625" style="1937"/>
    <col min="10753" max="10753" width="4.7109375" style="1937" customWidth="1"/>
    <col min="10754" max="10754" width="6.140625" style="1937" customWidth="1"/>
    <col min="10755" max="10755" width="10.28515625" style="1937" customWidth="1"/>
    <col min="10756" max="10756" width="40.42578125" style="1937" customWidth="1"/>
    <col min="10757" max="10757" width="10.42578125" style="1937" customWidth="1"/>
    <col min="10758" max="10758" width="15.85546875" style="1937" customWidth="1"/>
    <col min="10759" max="10759" width="13.85546875" style="1937" customWidth="1"/>
    <col min="10760" max="10760" width="6.42578125" style="1937" customWidth="1"/>
    <col min="10761" max="10761" width="14.28515625" style="1937" bestFit="1" customWidth="1"/>
    <col min="10762" max="10762" width="9.28515625" style="1937" bestFit="1" customWidth="1"/>
    <col min="10763" max="10763" width="16.140625" style="1937" bestFit="1" customWidth="1"/>
    <col min="10764" max="10764" width="16" style="1937" bestFit="1" customWidth="1"/>
    <col min="10765" max="11008" width="9.140625" style="1937"/>
    <col min="11009" max="11009" width="4.7109375" style="1937" customWidth="1"/>
    <col min="11010" max="11010" width="6.140625" style="1937" customWidth="1"/>
    <col min="11011" max="11011" width="10.28515625" style="1937" customWidth="1"/>
    <col min="11012" max="11012" width="40.42578125" style="1937" customWidth="1"/>
    <col min="11013" max="11013" width="10.42578125" style="1937" customWidth="1"/>
    <col min="11014" max="11014" width="15.85546875" style="1937" customWidth="1"/>
    <col min="11015" max="11015" width="13.85546875" style="1937" customWidth="1"/>
    <col min="11016" max="11016" width="6.42578125" style="1937" customWidth="1"/>
    <col min="11017" max="11017" width="14.28515625" style="1937" bestFit="1" customWidth="1"/>
    <col min="11018" max="11018" width="9.28515625" style="1937" bestFit="1" customWidth="1"/>
    <col min="11019" max="11019" width="16.140625" style="1937" bestFit="1" customWidth="1"/>
    <col min="11020" max="11020" width="16" style="1937" bestFit="1" customWidth="1"/>
    <col min="11021" max="11264" width="9.140625" style="1937"/>
    <col min="11265" max="11265" width="4.7109375" style="1937" customWidth="1"/>
    <col min="11266" max="11266" width="6.140625" style="1937" customWidth="1"/>
    <col min="11267" max="11267" width="10.28515625" style="1937" customWidth="1"/>
    <col min="11268" max="11268" width="40.42578125" style="1937" customWidth="1"/>
    <col min="11269" max="11269" width="10.42578125" style="1937" customWidth="1"/>
    <col min="11270" max="11270" width="15.85546875" style="1937" customWidth="1"/>
    <col min="11271" max="11271" width="13.85546875" style="1937" customWidth="1"/>
    <col min="11272" max="11272" width="6.42578125" style="1937" customWidth="1"/>
    <col min="11273" max="11273" width="14.28515625" style="1937" bestFit="1" customWidth="1"/>
    <col min="11274" max="11274" width="9.28515625" style="1937" bestFit="1" customWidth="1"/>
    <col min="11275" max="11275" width="16.140625" style="1937" bestFit="1" customWidth="1"/>
    <col min="11276" max="11276" width="16" style="1937" bestFit="1" customWidth="1"/>
    <col min="11277" max="11520" width="9.140625" style="1937"/>
    <col min="11521" max="11521" width="4.7109375" style="1937" customWidth="1"/>
    <col min="11522" max="11522" width="6.140625" style="1937" customWidth="1"/>
    <col min="11523" max="11523" width="10.28515625" style="1937" customWidth="1"/>
    <col min="11524" max="11524" width="40.42578125" style="1937" customWidth="1"/>
    <col min="11525" max="11525" width="10.42578125" style="1937" customWidth="1"/>
    <col min="11526" max="11526" width="15.85546875" style="1937" customWidth="1"/>
    <col min="11527" max="11527" width="13.85546875" style="1937" customWidth="1"/>
    <col min="11528" max="11528" width="6.42578125" style="1937" customWidth="1"/>
    <col min="11529" max="11529" width="14.28515625" style="1937" bestFit="1" customWidth="1"/>
    <col min="11530" max="11530" width="9.28515625" style="1937" bestFit="1" customWidth="1"/>
    <col min="11531" max="11531" width="16.140625" style="1937" bestFit="1" customWidth="1"/>
    <col min="11532" max="11532" width="16" style="1937" bestFit="1" customWidth="1"/>
    <col min="11533" max="11776" width="9.140625" style="1937"/>
    <col min="11777" max="11777" width="4.7109375" style="1937" customWidth="1"/>
    <col min="11778" max="11778" width="6.140625" style="1937" customWidth="1"/>
    <col min="11779" max="11779" width="10.28515625" style="1937" customWidth="1"/>
    <col min="11780" max="11780" width="40.42578125" style="1937" customWidth="1"/>
    <col min="11781" max="11781" width="10.42578125" style="1937" customWidth="1"/>
    <col min="11782" max="11782" width="15.85546875" style="1937" customWidth="1"/>
    <col min="11783" max="11783" width="13.85546875" style="1937" customWidth="1"/>
    <col min="11784" max="11784" width="6.42578125" style="1937" customWidth="1"/>
    <col min="11785" max="11785" width="14.28515625" style="1937" bestFit="1" customWidth="1"/>
    <col min="11786" max="11786" width="9.28515625" style="1937" bestFit="1" customWidth="1"/>
    <col min="11787" max="11787" width="16.140625" style="1937" bestFit="1" customWidth="1"/>
    <col min="11788" max="11788" width="16" style="1937" bestFit="1" customWidth="1"/>
    <col min="11789" max="12032" width="9.140625" style="1937"/>
    <col min="12033" max="12033" width="4.7109375" style="1937" customWidth="1"/>
    <col min="12034" max="12034" width="6.140625" style="1937" customWidth="1"/>
    <col min="12035" max="12035" width="10.28515625" style="1937" customWidth="1"/>
    <col min="12036" max="12036" width="40.42578125" style="1937" customWidth="1"/>
    <col min="12037" max="12037" width="10.42578125" style="1937" customWidth="1"/>
    <col min="12038" max="12038" width="15.85546875" style="1937" customWidth="1"/>
    <col min="12039" max="12039" width="13.85546875" style="1937" customWidth="1"/>
    <col min="12040" max="12040" width="6.42578125" style="1937" customWidth="1"/>
    <col min="12041" max="12041" width="14.28515625" style="1937" bestFit="1" customWidth="1"/>
    <col min="12042" max="12042" width="9.28515625" style="1937" bestFit="1" customWidth="1"/>
    <col min="12043" max="12043" width="16.140625" style="1937" bestFit="1" customWidth="1"/>
    <col min="12044" max="12044" width="16" style="1937" bestFit="1" customWidth="1"/>
    <col min="12045" max="12288" width="9.140625" style="1937"/>
    <col min="12289" max="12289" width="4.7109375" style="1937" customWidth="1"/>
    <col min="12290" max="12290" width="6.140625" style="1937" customWidth="1"/>
    <col min="12291" max="12291" width="10.28515625" style="1937" customWidth="1"/>
    <col min="12292" max="12292" width="40.42578125" style="1937" customWidth="1"/>
    <col min="12293" max="12293" width="10.42578125" style="1937" customWidth="1"/>
    <col min="12294" max="12294" width="15.85546875" style="1937" customWidth="1"/>
    <col min="12295" max="12295" width="13.85546875" style="1937" customWidth="1"/>
    <col min="12296" max="12296" width="6.42578125" style="1937" customWidth="1"/>
    <col min="12297" max="12297" width="14.28515625" style="1937" bestFit="1" customWidth="1"/>
    <col min="12298" max="12298" width="9.28515625" style="1937" bestFit="1" customWidth="1"/>
    <col min="12299" max="12299" width="16.140625" style="1937" bestFit="1" customWidth="1"/>
    <col min="12300" max="12300" width="16" style="1937" bestFit="1" customWidth="1"/>
    <col min="12301" max="12544" width="9.140625" style="1937"/>
    <col min="12545" max="12545" width="4.7109375" style="1937" customWidth="1"/>
    <col min="12546" max="12546" width="6.140625" style="1937" customWidth="1"/>
    <col min="12547" max="12547" width="10.28515625" style="1937" customWidth="1"/>
    <col min="12548" max="12548" width="40.42578125" style="1937" customWidth="1"/>
    <col min="12549" max="12549" width="10.42578125" style="1937" customWidth="1"/>
    <col min="12550" max="12550" width="15.85546875" style="1937" customWidth="1"/>
    <col min="12551" max="12551" width="13.85546875" style="1937" customWidth="1"/>
    <col min="12552" max="12552" width="6.42578125" style="1937" customWidth="1"/>
    <col min="12553" max="12553" width="14.28515625" style="1937" bestFit="1" customWidth="1"/>
    <col min="12554" max="12554" width="9.28515625" style="1937" bestFit="1" customWidth="1"/>
    <col min="12555" max="12555" width="16.140625" style="1937" bestFit="1" customWidth="1"/>
    <col min="12556" max="12556" width="16" style="1937" bestFit="1" customWidth="1"/>
    <col min="12557" max="12800" width="9.140625" style="1937"/>
    <col min="12801" max="12801" width="4.7109375" style="1937" customWidth="1"/>
    <col min="12802" max="12802" width="6.140625" style="1937" customWidth="1"/>
    <col min="12803" max="12803" width="10.28515625" style="1937" customWidth="1"/>
    <col min="12804" max="12804" width="40.42578125" style="1937" customWidth="1"/>
    <col min="12805" max="12805" width="10.42578125" style="1937" customWidth="1"/>
    <col min="12806" max="12806" width="15.85546875" style="1937" customWidth="1"/>
    <col min="12807" max="12807" width="13.85546875" style="1937" customWidth="1"/>
    <col min="12808" max="12808" width="6.42578125" style="1937" customWidth="1"/>
    <col min="12809" max="12809" width="14.28515625" style="1937" bestFit="1" customWidth="1"/>
    <col min="12810" max="12810" width="9.28515625" style="1937" bestFit="1" customWidth="1"/>
    <col min="12811" max="12811" width="16.140625" style="1937" bestFit="1" customWidth="1"/>
    <col min="12812" max="12812" width="16" style="1937" bestFit="1" customWidth="1"/>
    <col min="12813" max="13056" width="9.140625" style="1937"/>
    <col min="13057" max="13057" width="4.7109375" style="1937" customWidth="1"/>
    <col min="13058" max="13058" width="6.140625" style="1937" customWidth="1"/>
    <col min="13059" max="13059" width="10.28515625" style="1937" customWidth="1"/>
    <col min="13060" max="13060" width="40.42578125" style="1937" customWidth="1"/>
    <col min="13061" max="13061" width="10.42578125" style="1937" customWidth="1"/>
    <col min="13062" max="13062" width="15.85546875" style="1937" customWidth="1"/>
    <col min="13063" max="13063" width="13.85546875" style="1937" customWidth="1"/>
    <col min="13064" max="13064" width="6.42578125" style="1937" customWidth="1"/>
    <col min="13065" max="13065" width="14.28515625" style="1937" bestFit="1" customWidth="1"/>
    <col min="13066" max="13066" width="9.28515625" style="1937" bestFit="1" customWidth="1"/>
    <col min="13067" max="13067" width="16.140625" style="1937" bestFit="1" customWidth="1"/>
    <col min="13068" max="13068" width="16" style="1937" bestFit="1" customWidth="1"/>
    <col min="13069" max="13312" width="9.140625" style="1937"/>
    <col min="13313" max="13313" width="4.7109375" style="1937" customWidth="1"/>
    <col min="13314" max="13314" width="6.140625" style="1937" customWidth="1"/>
    <col min="13315" max="13315" width="10.28515625" style="1937" customWidth="1"/>
    <col min="13316" max="13316" width="40.42578125" style="1937" customWidth="1"/>
    <col min="13317" max="13317" width="10.42578125" style="1937" customWidth="1"/>
    <col min="13318" max="13318" width="15.85546875" style="1937" customWidth="1"/>
    <col min="13319" max="13319" width="13.85546875" style="1937" customWidth="1"/>
    <col min="13320" max="13320" width="6.42578125" style="1937" customWidth="1"/>
    <col min="13321" max="13321" width="14.28515625" style="1937" bestFit="1" customWidth="1"/>
    <col min="13322" max="13322" width="9.28515625" style="1937" bestFit="1" customWidth="1"/>
    <col min="13323" max="13323" width="16.140625" style="1937" bestFit="1" customWidth="1"/>
    <col min="13324" max="13324" width="16" style="1937" bestFit="1" customWidth="1"/>
    <col min="13325" max="13568" width="9.140625" style="1937"/>
    <col min="13569" max="13569" width="4.7109375" style="1937" customWidth="1"/>
    <col min="13570" max="13570" width="6.140625" style="1937" customWidth="1"/>
    <col min="13571" max="13571" width="10.28515625" style="1937" customWidth="1"/>
    <col min="13572" max="13572" width="40.42578125" style="1937" customWidth="1"/>
    <col min="13573" max="13573" width="10.42578125" style="1937" customWidth="1"/>
    <col min="13574" max="13574" width="15.85546875" style="1937" customWidth="1"/>
    <col min="13575" max="13575" width="13.85546875" style="1937" customWidth="1"/>
    <col min="13576" max="13576" width="6.42578125" style="1937" customWidth="1"/>
    <col min="13577" max="13577" width="14.28515625" style="1937" bestFit="1" customWidth="1"/>
    <col min="13578" max="13578" width="9.28515625" style="1937" bestFit="1" customWidth="1"/>
    <col min="13579" max="13579" width="16.140625" style="1937" bestFit="1" customWidth="1"/>
    <col min="13580" max="13580" width="16" style="1937" bestFit="1" customWidth="1"/>
    <col min="13581" max="13824" width="9.140625" style="1937"/>
    <col min="13825" max="13825" width="4.7109375" style="1937" customWidth="1"/>
    <col min="13826" max="13826" width="6.140625" style="1937" customWidth="1"/>
    <col min="13827" max="13827" width="10.28515625" style="1937" customWidth="1"/>
    <col min="13828" max="13828" width="40.42578125" style="1937" customWidth="1"/>
    <col min="13829" max="13829" width="10.42578125" style="1937" customWidth="1"/>
    <col min="13830" max="13830" width="15.85546875" style="1937" customWidth="1"/>
    <col min="13831" max="13831" width="13.85546875" style="1937" customWidth="1"/>
    <col min="13832" max="13832" width="6.42578125" style="1937" customWidth="1"/>
    <col min="13833" max="13833" width="14.28515625" style="1937" bestFit="1" customWidth="1"/>
    <col min="13834" max="13834" width="9.28515625" style="1937" bestFit="1" customWidth="1"/>
    <col min="13835" max="13835" width="16.140625" style="1937" bestFit="1" customWidth="1"/>
    <col min="13836" max="13836" width="16" style="1937" bestFit="1" customWidth="1"/>
    <col min="13837" max="14080" width="9.140625" style="1937"/>
    <col min="14081" max="14081" width="4.7109375" style="1937" customWidth="1"/>
    <col min="14082" max="14082" width="6.140625" style="1937" customWidth="1"/>
    <col min="14083" max="14083" width="10.28515625" style="1937" customWidth="1"/>
    <col min="14084" max="14084" width="40.42578125" style="1937" customWidth="1"/>
    <col min="14085" max="14085" width="10.42578125" style="1937" customWidth="1"/>
    <col min="14086" max="14086" width="15.85546875" style="1937" customWidth="1"/>
    <col min="14087" max="14087" width="13.85546875" style="1937" customWidth="1"/>
    <col min="14088" max="14088" width="6.42578125" style="1937" customWidth="1"/>
    <col min="14089" max="14089" width="14.28515625" style="1937" bestFit="1" customWidth="1"/>
    <col min="14090" max="14090" width="9.28515625" style="1937" bestFit="1" customWidth="1"/>
    <col min="14091" max="14091" width="16.140625" style="1937" bestFit="1" customWidth="1"/>
    <col min="14092" max="14092" width="16" style="1937" bestFit="1" customWidth="1"/>
    <col min="14093" max="14336" width="9.140625" style="1937"/>
    <col min="14337" max="14337" width="4.7109375" style="1937" customWidth="1"/>
    <col min="14338" max="14338" width="6.140625" style="1937" customWidth="1"/>
    <col min="14339" max="14339" width="10.28515625" style="1937" customWidth="1"/>
    <col min="14340" max="14340" width="40.42578125" style="1937" customWidth="1"/>
    <col min="14341" max="14341" width="10.42578125" style="1937" customWidth="1"/>
    <col min="14342" max="14342" width="15.85546875" style="1937" customWidth="1"/>
    <col min="14343" max="14343" width="13.85546875" style="1937" customWidth="1"/>
    <col min="14344" max="14344" width="6.42578125" style="1937" customWidth="1"/>
    <col min="14345" max="14345" width="14.28515625" style="1937" bestFit="1" customWidth="1"/>
    <col min="14346" max="14346" width="9.28515625" style="1937" bestFit="1" customWidth="1"/>
    <col min="14347" max="14347" width="16.140625" style="1937" bestFit="1" customWidth="1"/>
    <col min="14348" max="14348" width="16" style="1937" bestFit="1" customWidth="1"/>
    <col min="14349" max="14592" width="9.140625" style="1937"/>
    <col min="14593" max="14593" width="4.7109375" style="1937" customWidth="1"/>
    <col min="14594" max="14594" width="6.140625" style="1937" customWidth="1"/>
    <col min="14595" max="14595" width="10.28515625" style="1937" customWidth="1"/>
    <col min="14596" max="14596" width="40.42578125" style="1937" customWidth="1"/>
    <col min="14597" max="14597" width="10.42578125" style="1937" customWidth="1"/>
    <col min="14598" max="14598" width="15.85546875" style="1937" customWidth="1"/>
    <col min="14599" max="14599" width="13.85546875" style="1937" customWidth="1"/>
    <col min="14600" max="14600" width="6.42578125" style="1937" customWidth="1"/>
    <col min="14601" max="14601" width="14.28515625" style="1937" bestFit="1" customWidth="1"/>
    <col min="14602" max="14602" width="9.28515625" style="1937" bestFit="1" customWidth="1"/>
    <col min="14603" max="14603" width="16.140625" style="1937" bestFit="1" customWidth="1"/>
    <col min="14604" max="14604" width="16" style="1937" bestFit="1" customWidth="1"/>
    <col min="14605" max="14848" width="9.140625" style="1937"/>
    <col min="14849" max="14849" width="4.7109375" style="1937" customWidth="1"/>
    <col min="14850" max="14850" width="6.140625" style="1937" customWidth="1"/>
    <col min="14851" max="14851" width="10.28515625" style="1937" customWidth="1"/>
    <col min="14852" max="14852" width="40.42578125" style="1937" customWidth="1"/>
    <col min="14853" max="14853" width="10.42578125" style="1937" customWidth="1"/>
    <col min="14854" max="14854" width="15.85546875" style="1937" customWidth="1"/>
    <col min="14855" max="14855" width="13.85546875" style="1937" customWidth="1"/>
    <col min="14856" max="14856" width="6.42578125" style="1937" customWidth="1"/>
    <col min="14857" max="14857" width="14.28515625" style="1937" bestFit="1" customWidth="1"/>
    <col min="14858" max="14858" width="9.28515625" style="1937" bestFit="1" customWidth="1"/>
    <col min="14859" max="14859" width="16.140625" style="1937" bestFit="1" customWidth="1"/>
    <col min="14860" max="14860" width="16" style="1937" bestFit="1" customWidth="1"/>
    <col min="14861" max="15104" width="9.140625" style="1937"/>
    <col min="15105" max="15105" width="4.7109375" style="1937" customWidth="1"/>
    <col min="15106" max="15106" width="6.140625" style="1937" customWidth="1"/>
    <col min="15107" max="15107" width="10.28515625" style="1937" customWidth="1"/>
    <col min="15108" max="15108" width="40.42578125" style="1937" customWidth="1"/>
    <col min="15109" max="15109" width="10.42578125" style="1937" customWidth="1"/>
    <col min="15110" max="15110" width="15.85546875" style="1937" customWidth="1"/>
    <col min="15111" max="15111" width="13.85546875" style="1937" customWidth="1"/>
    <col min="15112" max="15112" width="6.42578125" style="1937" customWidth="1"/>
    <col min="15113" max="15113" width="14.28515625" style="1937" bestFit="1" customWidth="1"/>
    <col min="15114" max="15114" width="9.28515625" style="1937" bestFit="1" customWidth="1"/>
    <col min="15115" max="15115" width="16.140625" style="1937" bestFit="1" customWidth="1"/>
    <col min="15116" max="15116" width="16" style="1937" bestFit="1" customWidth="1"/>
    <col min="15117" max="15360" width="9.140625" style="1937"/>
    <col min="15361" max="15361" width="4.7109375" style="1937" customWidth="1"/>
    <col min="15362" max="15362" width="6.140625" style="1937" customWidth="1"/>
    <col min="15363" max="15363" width="10.28515625" style="1937" customWidth="1"/>
    <col min="15364" max="15364" width="40.42578125" style="1937" customWidth="1"/>
    <col min="15365" max="15365" width="10.42578125" style="1937" customWidth="1"/>
    <col min="15366" max="15366" width="15.85546875" style="1937" customWidth="1"/>
    <col min="15367" max="15367" width="13.85546875" style="1937" customWidth="1"/>
    <col min="15368" max="15368" width="6.42578125" style="1937" customWidth="1"/>
    <col min="15369" max="15369" width="14.28515625" style="1937" bestFit="1" customWidth="1"/>
    <col min="15370" max="15370" width="9.28515625" style="1937" bestFit="1" customWidth="1"/>
    <col min="15371" max="15371" width="16.140625" style="1937" bestFit="1" customWidth="1"/>
    <col min="15372" max="15372" width="16" style="1937" bestFit="1" customWidth="1"/>
    <col min="15373" max="15616" width="9.140625" style="1937"/>
    <col min="15617" max="15617" width="4.7109375" style="1937" customWidth="1"/>
    <col min="15618" max="15618" width="6.140625" style="1937" customWidth="1"/>
    <col min="15619" max="15619" width="10.28515625" style="1937" customWidth="1"/>
    <col min="15620" max="15620" width="40.42578125" style="1937" customWidth="1"/>
    <col min="15621" max="15621" width="10.42578125" style="1937" customWidth="1"/>
    <col min="15622" max="15622" width="15.85546875" style="1937" customWidth="1"/>
    <col min="15623" max="15623" width="13.85546875" style="1937" customWidth="1"/>
    <col min="15624" max="15624" width="6.42578125" style="1937" customWidth="1"/>
    <col min="15625" max="15625" width="14.28515625" style="1937" bestFit="1" customWidth="1"/>
    <col min="15626" max="15626" width="9.28515625" style="1937" bestFit="1" customWidth="1"/>
    <col min="15627" max="15627" width="16.140625" style="1937" bestFit="1" customWidth="1"/>
    <col min="15628" max="15628" width="16" style="1937" bestFit="1" customWidth="1"/>
    <col min="15629" max="15872" width="9.140625" style="1937"/>
    <col min="15873" max="15873" width="4.7109375" style="1937" customWidth="1"/>
    <col min="15874" max="15874" width="6.140625" style="1937" customWidth="1"/>
    <col min="15875" max="15875" width="10.28515625" style="1937" customWidth="1"/>
    <col min="15876" max="15876" width="40.42578125" style="1937" customWidth="1"/>
    <col min="15877" max="15877" width="10.42578125" style="1937" customWidth="1"/>
    <col min="15878" max="15878" width="15.85546875" style="1937" customWidth="1"/>
    <col min="15879" max="15879" width="13.85546875" style="1937" customWidth="1"/>
    <col min="15880" max="15880" width="6.42578125" style="1937" customWidth="1"/>
    <col min="15881" max="15881" width="14.28515625" style="1937" bestFit="1" customWidth="1"/>
    <col min="15882" max="15882" width="9.28515625" style="1937" bestFit="1" customWidth="1"/>
    <col min="15883" max="15883" width="16.140625" style="1937" bestFit="1" customWidth="1"/>
    <col min="15884" max="15884" width="16" style="1937" bestFit="1" customWidth="1"/>
    <col min="15885" max="16128" width="9.140625" style="1937"/>
    <col min="16129" max="16129" width="4.7109375" style="1937" customWidth="1"/>
    <col min="16130" max="16130" width="6.140625" style="1937" customWidth="1"/>
    <col min="16131" max="16131" width="10.28515625" style="1937" customWidth="1"/>
    <col min="16132" max="16132" width="40.42578125" style="1937" customWidth="1"/>
    <col min="16133" max="16133" width="10.42578125" style="1937" customWidth="1"/>
    <col min="16134" max="16134" width="15.85546875" style="1937" customWidth="1"/>
    <col min="16135" max="16135" width="13.85546875" style="1937" customWidth="1"/>
    <col min="16136" max="16136" width="6.42578125" style="1937" customWidth="1"/>
    <col min="16137" max="16137" width="14.28515625" style="1937" bestFit="1" customWidth="1"/>
    <col min="16138" max="16138" width="9.28515625" style="1937" bestFit="1" customWidth="1"/>
    <col min="16139" max="16139" width="16.140625" style="1937" bestFit="1" customWidth="1"/>
    <col min="16140" max="16140" width="16" style="1937" bestFit="1" customWidth="1"/>
    <col min="16141" max="16384" width="9.140625" style="1937"/>
  </cols>
  <sheetData>
    <row r="1" spans="1:8" ht="38.25" customHeight="1" thickBot="1" x14ac:dyDescent="0.25">
      <c r="A1" s="2762" t="s">
        <v>787</v>
      </c>
      <c r="B1" s="2762"/>
      <c r="C1" s="2762"/>
      <c r="D1" s="2762"/>
      <c r="E1" s="2762"/>
      <c r="F1" s="2762"/>
      <c r="G1" s="2762"/>
      <c r="H1" s="2762"/>
    </row>
    <row r="2" spans="1:8" ht="18" x14ac:dyDescent="0.25">
      <c r="A2" s="1941"/>
      <c r="B2" s="1973"/>
      <c r="C2" s="1973"/>
      <c r="D2" s="1973"/>
      <c r="E2" s="1973"/>
      <c r="F2" s="1973"/>
      <c r="G2" s="1973"/>
      <c r="H2" s="2027" t="s">
        <v>788</v>
      </c>
    </row>
    <row r="3" spans="1:8" ht="18" x14ac:dyDescent="0.25">
      <c r="A3" s="1815" t="s">
        <v>387</v>
      </c>
      <c r="B3" s="1973"/>
      <c r="C3" s="1935" t="s">
        <v>363</v>
      </c>
      <c r="D3" s="1973"/>
      <c r="E3" s="1973"/>
      <c r="F3" s="1973"/>
      <c r="G3" s="1973"/>
      <c r="H3" s="2027"/>
    </row>
    <row r="4" spans="1:8" ht="18" x14ac:dyDescent="0.25">
      <c r="A4" s="1941"/>
      <c r="B4" s="1973"/>
      <c r="C4" s="1935" t="s">
        <v>364</v>
      </c>
      <c r="D4" s="1973"/>
      <c r="E4" s="1973"/>
      <c r="F4" s="1973"/>
      <c r="G4" s="1973"/>
      <c r="H4" s="2027"/>
    </row>
    <row r="5" spans="1:8" ht="18" x14ac:dyDescent="0.25">
      <c r="A5" s="1940" t="s">
        <v>789</v>
      </c>
      <c r="B5" s="1973"/>
      <c r="C5" s="1973"/>
      <c r="D5" s="1973"/>
      <c r="E5" s="1973"/>
      <c r="F5" s="1973"/>
      <c r="G5" s="1973"/>
      <c r="H5" s="2027"/>
    </row>
    <row r="7" spans="1:8" ht="15.75" thickBot="1" x14ac:dyDescent="0.3">
      <c r="A7" s="1942" t="s">
        <v>263</v>
      </c>
      <c r="H7" s="2043" t="s">
        <v>173</v>
      </c>
    </row>
    <row r="8" spans="1:8" s="1735" customFormat="1" ht="25.5" thickTop="1" thickBot="1" x14ac:dyDescent="0.25">
      <c r="A8" s="1943" t="s">
        <v>174</v>
      </c>
      <c r="B8" s="1944" t="s">
        <v>800</v>
      </c>
      <c r="C8" s="1944" t="s">
        <v>397</v>
      </c>
      <c r="D8" s="1945" t="s">
        <v>176</v>
      </c>
      <c r="E8" s="1976" t="s">
        <v>669</v>
      </c>
      <c r="F8" s="1976" t="s">
        <v>670</v>
      </c>
      <c r="G8" s="1977" t="s">
        <v>923</v>
      </c>
      <c r="H8" s="1978" t="s">
        <v>924</v>
      </c>
    </row>
    <row r="9" spans="1:8" s="1735" customFormat="1" ht="13.5" thickTop="1" thickBot="1" x14ac:dyDescent="0.25">
      <c r="A9" s="1740">
        <v>1</v>
      </c>
      <c r="B9" s="1739">
        <v>2</v>
      </c>
      <c r="C9" s="1739">
        <v>3</v>
      </c>
      <c r="D9" s="1739">
        <v>4</v>
      </c>
      <c r="E9" s="1738">
        <v>5</v>
      </c>
      <c r="F9" s="1738">
        <v>6</v>
      </c>
      <c r="G9" s="2028">
        <v>7</v>
      </c>
      <c r="H9" s="2054" t="s">
        <v>61</v>
      </c>
    </row>
    <row r="10" spans="1:8" ht="45.75" thickTop="1" x14ac:dyDescent="0.2">
      <c r="A10" s="2049">
        <v>3299</v>
      </c>
      <c r="B10" s="2056">
        <v>5213</v>
      </c>
      <c r="C10" s="2059">
        <v>32133006</v>
      </c>
      <c r="D10" s="2006" t="s">
        <v>1323</v>
      </c>
      <c r="E10" s="1975">
        <v>0</v>
      </c>
      <c r="F10" s="1975">
        <v>208</v>
      </c>
      <c r="G10" s="1975">
        <v>100</v>
      </c>
      <c r="H10" s="1958">
        <f t="shared" ref="H10:H33" si="0">G10/F10*100</f>
        <v>48.07692307692308</v>
      </c>
    </row>
    <row r="11" spans="1:8" ht="45" x14ac:dyDescent="0.2">
      <c r="A11" s="2049">
        <v>3299</v>
      </c>
      <c r="B11" s="2056">
        <v>5213</v>
      </c>
      <c r="C11" s="2059">
        <v>32533006</v>
      </c>
      <c r="D11" s="1979" t="s">
        <v>1323</v>
      </c>
      <c r="E11" s="1989">
        <v>0</v>
      </c>
      <c r="F11" s="1989">
        <v>1177</v>
      </c>
      <c r="G11" s="1989">
        <v>565</v>
      </c>
      <c r="H11" s="1961">
        <f t="shared" si="0"/>
        <v>48.00339847068819</v>
      </c>
    </row>
    <row r="12" spans="1:8" ht="30" x14ac:dyDescent="0.2">
      <c r="A12" s="2049">
        <v>3299</v>
      </c>
      <c r="B12" s="2056">
        <v>5221</v>
      </c>
      <c r="C12" s="2059">
        <v>32133006</v>
      </c>
      <c r="D12" s="1979" t="s">
        <v>1380</v>
      </c>
      <c r="E12" s="1989">
        <v>0</v>
      </c>
      <c r="F12" s="1989">
        <v>380</v>
      </c>
      <c r="G12" s="1989">
        <v>102</v>
      </c>
      <c r="H12" s="1961">
        <f t="shared" si="0"/>
        <v>26.842105263157894</v>
      </c>
    </row>
    <row r="13" spans="1:8" ht="30" x14ac:dyDescent="0.2">
      <c r="A13" s="2049">
        <v>3299</v>
      </c>
      <c r="B13" s="2056">
        <v>5221</v>
      </c>
      <c r="C13" s="2059">
        <v>32533006</v>
      </c>
      <c r="D13" s="1979" t="s">
        <v>1380</v>
      </c>
      <c r="E13" s="1989">
        <v>0</v>
      </c>
      <c r="F13" s="1989">
        <v>2150</v>
      </c>
      <c r="G13" s="1989">
        <v>580</v>
      </c>
      <c r="H13" s="1961">
        <f t="shared" si="0"/>
        <v>26.976744186046513</v>
      </c>
    </row>
    <row r="14" spans="1:8" ht="30" x14ac:dyDescent="0.2">
      <c r="A14" s="2049">
        <v>3299</v>
      </c>
      <c r="B14" s="2056">
        <v>5222</v>
      </c>
      <c r="C14" s="2059">
        <v>32133006</v>
      </c>
      <c r="D14" s="1979" t="s">
        <v>234</v>
      </c>
      <c r="E14" s="1989">
        <v>0</v>
      </c>
      <c r="F14" s="1989">
        <v>105</v>
      </c>
      <c r="G14" s="1989">
        <v>70</v>
      </c>
      <c r="H14" s="1961">
        <f t="shared" si="0"/>
        <v>66.666666666666657</v>
      </c>
    </row>
    <row r="15" spans="1:8" ht="30" x14ac:dyDescent="0.2">
      <c r="A15" s="2049">
        <v>3299</v>
      </c>
      <c r="B15" s="2056">
        <v>5222</v>
      </c>
      <c r="C15" s="2059">
        <v>32533006</v>
      </c>
      <c r="D15" s="1979" t="s">
        <v>234</v>
      </c>
      <c r="E15" s="1989">
        <v>0</v>
      </c>
      <c r="F15" s="1989">
        <v>595</v>
      </c>
      <c r="G15" s="1989">
        <v>395</v>
      </c>
      <c r="H15" s="1961">
        <f t="shared" si="0"/>
        <v>66.386554621848731</v>
      </c>
    </row>
    <row r="16" spans="1:8" ht="30" x14ac:dyDescent="0.2">
      <c r="A16" s="2049">
        <v>3299</v>
      </c>
      <c r="B16" s="2056">
        <v>5223</v>
      </c>
      <c r="C16" s="2059">
        <v>32133006</v>
      </c>
      <c r="D16" s="1979" t="s">
        <v>869</v>
      </c>
      <c r="E16" s="1989">
        <v>0</v>
      </c>
      <c r="F16" s="1989">
        <v>45</v>
      </c>
      <c r="G16" s="1989">
        <v>40</v>
      </c>
      <c r="H16" s="1961">
        <f t="shared" si="0"/>
        <v>88.888888888888886</v>
      </c>
    </row>
    <row r="17" spans="1:8" ht="30" x14ac:dyDescent="0.2">
      <c r="A17" s="2049">
        <v>3299</v>
      </c>
      <c r="B17" s="2056">
        <v>5223</v>
      </c>
      <c r="C17" s="2059">
        <v>32533006</v>
      </c>
      <c r="D17" s="1979" t="s">
        <v>869</v>
      </c>
      <c r="E17" s="1989">
        <v>0</v>
      </c>
      <c r="F17" s="1989">
        <v>255</v>
      </c>
      <c r="G17" s="1989">
        <v>227</v>
      </c>
      <c r="H17" s="1961">
        <f t="shared" si="0"/>
        <v>89.019607843137251</v>
      </c>
    </row>
    <row r="18" spans="1:8" ht="15.95" customHeight="1" x14ac:dyDescent="0.2">
      <c r="A18" s="2049">
        <v>3299</v>
      </c>
      <c r="B18" s="2056">
        <v>5332</v>
      </c>
      <c r="C18" s="2059">
        <v>32133006</v>
      </c>
      <c r="D18" s="1979" t="s">
        <v>656</v>
      </c>
      <c r="E18" s="1989">
        <v>0</v>
      </c>
      <c r="F18" s="1989">
        <v>216</v>
      </c>
      <c r="G18" s="1989">
        <v>163</v>
      </c>
      <c r="H18" s="1961">
        <f t="shared" si="0"/>
        <v>75.462962962962962</v>
      </c>
    </row>
    <row r="19" spans="1:8" ht="15.95" customHeight="1" x14ac:dyDescent="0.2">
      <c r="A19" s="2049">
        <v>3299</v>
      </c>
      <c r="B19" s="2056">
        <v>5332</v>
      </c>
      <c r="C19" s="2059">
        <v>32533006</v>
      </c>
      <c r="D19" s="1979" t="s">
        <v>656</v>
      </c>
      <c r="E19" s="1989">
        <v>0</v>
      </c>
      <c r="F19" s="1989">
        <v>1225</v>
      </c>
      <c r="G19" s="1989">
        <v>922</v>
      </c>
      <c r="H19" s="1961">
        <f t="shared" si="0"/>
        <v>75.265306122448976</v>
      </c>
    </row>
    <row r="20" spans="1:8" ht="15" x14ac:dyDescent="0.2">
      <c r="A20" s="2049">
        <v>3299</v>
      </c>
      <c r="B20" s="2056">
        <v>5901</v>
      </c>
      <c r="C20" s="2059">
        <v>32133006</v>
      </c>
      <c r="D20" s="1979" t="s">
        <v>639</v>
      </c>
      <c r="E20" s="1989">
        <v>0</v>
      </c>
      <c r="F20" s="1989">
        <v>501</v>
      </c>
      <c r="G20" s="1989">
        <v>0</v>
      </c>
      <c r="H20" s="1961">
        <f t="shared" si="0"/>
        <v>0</v>
      </c>
    </row>
    <row r="21" spans="1:8" ht="15" x14ac:dyDescent="0.2">
      <c r="A21" s="2049">
        <v>3299</v>
      </c>
      <c r="B21" s="2056">
        <v>5901</v>
      </c>
      <c r="C21" s="2059">
        <v>32533006</v>
      </c>
      <c r="D21" s="1979" t="s">
        <v>639</v>
      </c>
      <c r="E21" s="1989">
        <v>0</v>
      </c>
      <c r="F21" s="1989">
        <v>2841</v>
      </c>
      <c r="G21" s="1989">
        <v>0</v>
      </c>
      <c r="H21" s="1961">
        <f t="shared" si="0"/>
        <v>0</v>
      </c>
    </row>
    <row r="22" spans="1:8" ht="45" hidden="1" x14ac:dyDescent="0.2">
      <c r="A22" s="2049">
        <v>3299</v>
      </c>
      <c r="B22" s="2056">
        <v>6313</v>
      </c>
      <c r="C22" s="2059">
        <v>32133006</v>
      </c>
      <c r="D22" s="1979" t="s">
        <v>92</v>
      </c>
      <c r="E22" s="1989">
        <v>0</v>
      </c>
      <c r="F22" s="1989">
        <v>0</v>
      </c>
      <c r="G22" s="1989">
        <v>0</v>
      </c>
      <c r="H22" s="1961" t="e">
        <f t="shared" si="0"/>
        <v>#DIV/0!</v>
      </c>
    </row>
    <row r="23" spans="1:8" ht="45" hidden="1" x14ac:dyDescent="0.2">
      <c r="A23" s="2049">
        <v>3299</v>
      </c>
      <c r="B23" s="2056">
        <v>6313</v>
      </c>
      <c r="C23" s="2059">
        <v>32533006</v>
      </c>
      <c r="D23" s="1979" t="s">
        <v>92</v>
      </c>
      <c r="E23" s="1989">
        <v>0</v>
      </c>
      <c r="F23" s="1989">
        <v>0</v>
      </c>
      <c r="G23" s="1989">
        <v>0</v>
      </c>
      <c r="H23" s="1961" t="e">
        <f t="shared" si="0"/>
        <v>#DIV/0!</v>
      </c>
    </row>
    <row r="24" spans="1:8" ht="30" hidden="1" x14ac:dyDescent="0.2">
      <c r="A24" s="2049">
        <v>3299</v>
      </c>
      <c r="B24" s="2056">
        <v>6321</v>
      </c>
      <c r="C24" s="2059">
        <v>32133006</v>
      </c>
      <c r="D24" s="1979" t="s">
        <v>1199</v>
      </c>
      <c r="E24" s="1989">
        <v>0</v>
      </c>
      <c r="F24" s="1989">
        <v>0</v>
      </c>
      <c r="G24" s="1989">
        <v>0</v>
      </c>
      <c r="H24" s="1961" t="e">
        <f t="shared" si="0"/>
        <v>#DIV/0!</v>
      </c>
    </row>
    <row r="25" spans="1:8" ht="30" hidden="1" x14ac:dyDescent="0.2">
      <c r="A25" s="2049">
        <v>3299</v>
      </c>
      <c r="B25" s="2056">
        <v>6321</v>
      </c>
      <c r="C25" s="2059">
        <v>32533006</v>
      </c>
      <c r="D25" s="1979" t="s">
        <v>1199</v>
      </c>
      <c r="E25" s="1989">
        <v>0</v>
      </c>
      <c r="F25" s="1989">
        <v>0</v>
      </c>
      <c r="G25" s="1989">
        <v>0</v>
      </c>
      <c r="H25" s="1961" t="e">
        <f t="shared" si="0"/>
        <v>#DIV/0!</v>
      </c>
    </row>
    <row r="26" spans="1:8" ht="30" hidden="1" x14ac:dyDescent="0.2">
      <c r="A26" s="2049">
        <v>3299</v>
      </c>
      <c r="B26" s="2056">
        <v>6322</v>
      </c>
      <c r="C26" s="2059">
        <v>32133006</v>
      </c>
      <c r="D26" s="1979" t="s">
        <v>1205</v>
      </c>
      <c r="E26" s="1989">
        <v>0</v>
      </c>
      <c r="F26" s="1989">
        <v>0</v>
      </c>
      <c r="G26" s="1989">
        <v>0</v>
      </c>
      <c r="H26" s="1961" t="e">
        <f t="shared" si="0"/>
        <v>#DIV/0!</v>
      </c>
    </row>
    <row r="27" spans="1:8" ht="30" hidden="1" x14ac:dyDescent="0.2">
      <c r="A27" s="2049">
        <v>3299</v>
      </c>
      <c r="B27" s="2056">
        <v>6322</v>
      </c>
      <c r="C27" s="2059">
        <v>32533006</v>
      </c>
      <c r="D27" s="1979" t="s">
        <v>1205</v>
      </c>
      <c r="E27" s="1989">
        <v>0</v>
      </c>
      <c r="F27" s="1989">
        <v>0</v>
      </c>
      <c r="G27" s="1989">
        <v>0</v>
      </c>
      <c r="H27" s="1961" t="e">
        <f t="shared" si="0"/>
        <v>#DIV/0!</v>
      </c>
    </row>
    <row r="28" spans="1:8" ht="15" hidden="1" x14ac:dyDescent="0.2">
      <c r="A28" s="2049">
        <v>3299</v>
      </c>
      <c r="B28" s="2056">
        <v>6352</v>
      </c>
      <c r="C28" s="2059">
        <v>32133006</v>
      </c>
      <c r="D28" s="1979" t="s">
        <v>200</v>
      </c>
      <c r="E28" s="1989">
        <v>0</v>
      </c>
      <c r="F28" s="1989">
        <v>0</v>
      </c>
      <c r="G28" s="1989">
        <v>0</v>
      </c>
      <c r="H28" s="1961" t="e">
        <f t="shared" si="0"/>
        <v>#DIV/0!</v>
      </c>
    </row>
    <row r="29" spans="1:8" ht="15" hidden="1" x14ac:dyDescent="0.2">
      <c r="A29" s="2049">
        <v>3299</v>
      </c>
      <c r="B29" s="2056">
        <v>6352</v>
      </c>
      <c r="C29" s="2059">
        <v>32533006</v>
      </c>
      <c r="D29" s="1979" t="s">
        <v>200</v>
      </c>
      <c r="E29" s="1989">
        <v>0</v>
      </c>
      <c r="F29" s="1989">
        <v>0</v>
      </c>
      <c r="G29" s="1989">
        <v>0</v>
      </c>
      <c r="H29" s="1961" t="e">
        <f t="shared" si="0"/>
        <v>#DIV/0!</v>
      </c>
    </row>
    <row r="30" spans="1:8" ht="15" x14ac:dyDescent="0.2">
      <c r="A30" s="2049">
        <v>3299</v>
      </c>
      <c r="B30" s="2056">
        <v>6901</v>
      </c>
      <c r="C30" s="2059">
        <v>32133006</v>
      </c>
      <c r="D30" s="1979" t="s">
        <v>449</v>
      </c>
      <c r="E30" s="1989">
        <v>0</v>
      </c>
      <c r="F30" s="1989">
        <v>395</v>
      </c>
      <c r="G30" s="1989">
        <v>0</v>
      </c>
      <c r="H30" s="1961">
        <f t="shared" si="0"/>
        <v>0</v>
      </c>
    </row>
    <row r="31" spans="1:8" ht="15" x14ac:dyDescent="0.2">
      <c r="A31" s="2049">
        <v>3299</v>
      </c>
      <c r="B31" s="2056">
        <v>6901</v>
      </c>
      <c r="C31" s="2059">
        <v>32533006</v>
      </c>
      <c r="D31" s="1979" t="s">
        <v>449</v>
      </c>
      <c r="E31" s="1989">
        <v>0</v>
      </c>
      <c r="F31" s="1989">
        <v>2240</v>
      </c>
      <c r="G31" s="1989">
        <v>0</v>
      </c>
      <c r="H31" s="1961">
        <f t="shared" si="0"/>
        <v>0</v>
      </c>
    </row>
    <row r="32" spans="1:8" ht="15.75" thickBot="1" x14ac:dyDescent="0.25">
      <c r="A32" s="2049">
        <v>6402</v>
      </c>
      <c r="B32" s="2056">
        <v>5363</v>
      </c>
      <c r="C32" s="2059">
        <v>19</v>
      </c>
      <c r="D32" s="1979" t="s">
        <v>1652</v>
      </c>
      <c r="E32" s="1989">
        <v>0</v>
      </c>
      <c r="F32" s="1989">
        <v>188</v>
      </c>
      <c r="G32" s="1989">
        <v>188</v>
      </c>
      <c r="H32" s="1968">
        <f t="shared" si="0"/>
        <v>100</v>
      </c>
    </row>
    <row r="33" spans="1:9" s="1969" customFormat="1" ht="16.5" thickTop="1" thickBot="1" x14ac:dyDescent="0.3">
      <c r="A33" s="2750" t="s">
        <v>802</v>
      </c>
      <c r="B33" s="2751"/>
      <c r="C33" s="2751"/>
      <c r="D33" s="2751"/>
      <c r="E33" s="1957">
        <f>SUM(E10:E31)</f>
        <v>0</v>
      </c>
      <c r="F33" s="1957">
        <f>SUM(F10:F32)</f>
        <v>12521</v>
      </c>
      <c r="G33" s="1957">
        <f>SUM(G10:G32)</f>
        <v>3352</v>
      </c>
      <c r="H33" s="1968">
        <f t="shared" si="0"/>
        <v>26.771024678540051</v>
      </c>
      <c r="I33" s="2063"/>
    </row>
    <row r="34" spans="1:9" ht="13.5" thickTop="1" x14ac:dyDescent="0.2">
      <c r="I34" s="1970"/>
    </row>
    <row r="35" spans="1:9" hidden="1" x14ac:dyDescent="0.2">
      <c r="I35" s="1970"/>
    </row>
    <row r="36" spans="1:9" ht="15" hidden="1" x14ac:dyDescent="0.25">
      <c r="A36" s="1942" t="s">
        <v>1054</v>
      </c>
      <c r="D36" s="1936"/>
      <c r="E36" s="1937"/>
      <c r="H36" s="1970"/>
      <c r="I36" s="1970"/>
    </row>
    <row r="37" spans="1:9" ht="15" hidden="1" x14ac:dyDescent="0.25">
      <c r="A37" s="1942" t="s">
        <v>201</v>
      </c>
      <c r="D37" s="1936"/>
      <c r="E37" s="1937"/>
      <c r="H37" s="2043" t="s">
        <v>173</v>
      </c>
      <c r="I37" s="1970"/>
    </row>
    <row r="38" spans="1:9" ht="25.5" hidden="1" thickTop="1" thickBot="1" x14ac:dyDescent="0.25">
      <c r="A38" s="1943" t="s">
        <v>174</v>
      </c>
      <c r="B38" s="1944" t="s">
        <v>800</v>
      </c>
      <c r="C38" s="1944" t="s">
        <v>397</v>
      </c>
      <c r="D38" s="1945" t="s">
        <v>176</v>
      </c>
      <c r="E38" s="1976" t="s">
        <v>669</v>
      </c>
      <c r="F38" s="1976" t="s">
        <v>670</v>
      </c>
      <c r="G38" s="1977" t="s">
        <v>923</v>
      </c>
      <c r="H38" s="1978" t="s">
        <v>924</v>
      </c>
      <c r="I38" s="1970"/>
    </row>
    <row r="39" spans="1:9" ht="14.25" hidden="1" thickTop="1" thickBot="1" x14ac:dyDescent="0.25">
      <c r="A39" s="1740">
        <v>1</v>
      </c>
      <c r="B39" s="1739">
        <v>2</v>
      </c>
      <c r="C39" s="1739">
        <v>3</v>
      </c>
      <c r="D39" s="1739">
        <v>5</v>
      </c>
      <c r="E39" s="1738">
        <v>6</v>
      </c>
      <c r="F39" s="1738">
        <v>7</v>
      </c>
      <c r="G39" s="2028">
        <v>8</v>
      </c>
      <c r="H39" s="1951" t="s">
        <v>801</v>
      </c>
      <c r="I39" s="1970"/>
    </row>
    <row r="40" spans="1:9" ht="30.75" hidden="1" thickTop="1" x14ac:dyDescent="0.2">
      <c r="A40" s="2049">
        <v>3299</v>
      </c>
      <c r="B40" s="2056">
        <v>5336</v>
      </c>
      <c r="C40" s="2056">
        <v>32133006</v>
      </c>
      <c r="D40" s="1979" t="s">
        <v>1325</v>
      </c>
      <c r="E40" s="1975">
        <v>0</v>
      </c>
      <c r="F40" s="1975"/>
      <c r="G40" s="2039"/>
      <c r="H40" s="1958" t="e">
        <f>G40/F40*100</f>
        <v>#DIV/0!</v>
      </c>
      <c r="I40" s="1970"/>
    </row>
    <row r="41" spans="1:9" ht="30" hidden="1" x14ac:dyDescent="0.2">
      <c r="A41" s="2049">
        <v>3299</v>
      </c>
      <c r="B41" s="2076">
        <v>5336</v>
      </c>
      <c r="C41" s="2056">
        <v>32533006</v>
      </c>
      <c r="D41" s="1979" t="s">
        <v>1325</v>
      </c>
      <c r="E41" s="1989">
        <v>0</v>
      </c>
      <c r="F41" s="1989"/>
      <c r="G41" s="2036"/>
      <c r="H41" s="1961" t="e">
        <f>G41/F41*100</f>
        <v>#DIV/0!</v>
      </c>
      <c r="I41" s="1970"/>
    </row>
    <row r="42" spans="1:9" ht="30" hidden="1" x14ac:dyDescent="0.2">
      <c r="A42" s="2049">
        <v>3299</v>
      </c>
      <c r="B42" s="2056">
        <v>6351</v>
      </c>
      <c r="C42" s="2056">
        <v>32133006</v>
      </c>
      <c r="D42" s="1979" t="s">
        <v>1339</v>
      </c>
      <c r="E42" s="1989">
        <v>0</v>
      </c>
      <c r="F42" s="1989">
        <v>0</v>
      </c>
      <c r="G42" s="2036">
        <v>0</v>
      </c>
      <c r="H42" s="1961" t="e">
        <f>G42/F42*100</f>
        <v>#DIV/0!</v>
      </c>
      <c r="I42" s="1970"/>
    </row>
    <row r="43" spans="1:9" ht="30" hidden="1" x14ac:dyDescent="0.2">
      <c r="A43" s="2049">
        <v>3299</v>
      </c>
      <c r="B43" s="2056">
        <v>6351</v>
      </c>
      <c r="C43" s="2056">
        <v>32533006</v>
      </c>
      <c r="D43" s="1979" t="s">
        <v>1339</v>
      </c>
      <c r="E43" s="1989">
        <v>0</v>
      </c>
      <c r="F43" s="1989">
        <v>0</v>
      </c>
      <c r="G43" s="2036">
        <v>0</v>
      </c>
      <c r="H43" s="1961" t="e">
        <f>G43/F43*100</f>
        <v>#DIV/0!</v>
      </c>
      <c r="I43" s="1970"/>
    </row>
    <row r="44" spans="1:9" ht="16.5" hidden="1" thickTop="1" thickBot="1" x14ac:dyDescent="0.3">
      <c r="A44" s="1980" t="s">
        <v>802</v>
      </c>
      <c r="B44" s="1981"/>
      <c r="C44" s="1981"/>
      <c r="D44" s="1982"/>
      <c r="E44" s="1957">
        <f>SUM(E40:E43)</f>
        <v>0</v>
      </c>
      <c r="F44" s="1957">
        <f>SUM(F40:F43)</f>
        <v>0</v>
      </c>
      <c r="G44" s="1957">
        <f>SUM(G40:G43)</f>
        <v>0</v>
      </c>
      <c r="H44" s="1962" t="e">
        <f>G44/F44*100</f>
        <v>#DIV/0!</v>
      </c>
      <c r="I44" s="1970"/>
    </row>
    <row r="45" spans="1:9" hidden="1" x14ac:dyDescent="0.2">
      <c r="I45" s="1970"/>
    </row>
    <row r="46" spans="1:9" ht="15" x14ac:dyDescent="0.25">
      <c r="A46" s="1942" t="s">
        <v>1367</v>
      </c>
      <c r="D46" s="1936"/>
      <c r="E46" s="1937"/>
      <c r="H46" s="1970"/>
      <c r="I46" s="1970"/>
    </row>
    <row r="47" spans="1:9" ht="15.75" thickBot="1" x14ac:dyDescent="0.3">
      <c r="A47" s="1942" t="s">
        <v>1454</v>
      </c>
      <c r="D47" s="1936"/>
      <c r="E47" s="1937"/>
      <c r="H47" s="2043" t="s">
        <v>173</v>
      </c>
      <c r="I47" s="1970"/>
    </row>
    <row r="48" spans="1:9" ht="25.5" thickTop="1" thickBot="1" x14ac:dyDescent="0.25">
      <c r="A48" s="1943" t="s">
        <v>174</v>
      </c>
      <c r="B48" s="1944" t="s">
        <v>800</v>
      </c>
      <c r="C48" s="1944" t="s">
        <v>397</v>
      </c>
      <c r="D48" s="1945" t="s">
        <v>176</v>
      </c>
      <c r="E48" s="1976" t="s">
        <v>669</v>
      </c>
      <c r="F48" s="1976" t="s">
        <v>670</v>
      </c>
      <c r="G48" s="1977" t="s">
        <v>923</v>
      </c>
      <c r="H48" s="1978" t="s">
        <v>924</v>
      </c>
      <c r="I48" s="1970"/>
    </row>
    <row r="49" spans="1:9" ht="14.25" thickTop="1" thickBot="1" x14ac:dyDescent="0.25">
      <c r="A49" s="1740">
        <v>1</v>
      </c>
      <c r="B49" s="1739">
        <v>2</v>
      </c>
      <c r="C49" s="1739">
        <v>3</v>
      </c>
      <c r="D49" s="1739">
        <v>5</v>
      </c>
      <c r="E49" s="1738">
        <v>6</v>
      </c>
      <c r="F49" s="1738">
        <v>7</v>
      </c>
      <c r="G49" s="2028">
        <v>8</v>
      </c>
      <c r="H49" s="1951" t="s">
        <v>801</v>
      </c>
      <c r="I49" s="1970"/>
    </row>
    <row r="50" spans="1:9" ht="30.75" thickTop="1" x14ac:dyDescent="0.2">
      <c r="A50" s="2049">
        <v>3299</v>
      </c>
      <c r="B50" s="2056">
        <v>5336</v>
      </c>
      <c r="C50" s="2056">
        <v>32133006</v>
      </c>
      <c r="D50" s="1979" t="s">
        <v>1325</v>
      </c>
      <c r="E50" s="1975">
        <v>0</v>
      </c>
      <c r="F50" s="1975">
        <v>177</v>
      </c>
      <c r="G50" s="2039">
        <v>108</v>
      </c>
      <c r="H50" s="1958">
        <f>G50/F50*100</f>
        <v>61.016949152542374</v>
      </c>
      <c r="I50" s="1970"/>
    </row>
    <row r="51" spans="1:9" ht="30.75" thickBot="1" x14ac:dyDescent="0.25">
      <c r="A51" s="2049">
        <v>3299</v>
      </c>
      <c r="B51" s="2076">
        <v>5336</v>
      </c>
      <c r="C51" s="2056">
        <v>32533006</v>
      </c>
      <c r="D51" s="1979" t="s">
        <v>1325</v>
      </c>
      <c r="E51" s="1989">
        <v>0</v>
      </c>
      <c r="F51" s="1989">
        <v>1003</v>
      </c>
      <c r="G51" s="2036">
        <v>611</v>
      </c>
      <c r="H51" s="1961">
        <f>G51/F51*100</f>
        <v>60.917248255234298</v>
      </c>
      <c r="I51" s="1970"/>
    </row>
    <row r="52" spans="1:9" ht="30.75" hidden="1" thickBot="1" x14ac:dyDescent="0.25">
      <c r="A52" s="2049">
        <v>3299</v>
      </c>
      <c r="B52" s="2056">
        <v>6351</v>
      </c>
      <c r="C52" s="2056">
        <v>32133006</v>
      </c>
      <c r="D52" s="1979" t="s">
        <v>1339</v>
      </c>
      <c r="E52" s="1989">
        <v>0</v>
      </c>
      <c r="F52" s="1989">
        <v>0</v>
      </c>
      <c r="G52" s="2036">
        <v>0</v>
      </c>
      <c r="H52" s="1961" t="e">
        <f>G52/F52*100</f>
        <v>#DIV/0!</v>
      </c>
      <c r="I52" s="1970"/>
    </row>
    <row r="53" spans="1:9" ht="30.75" hidden="1" thickBot="1" x14ac:dyDescent="0.25">
      <c r="A53" s="2049">
        <v>3299</v>
      </c>
      <c r="B53" s="2056">
        <v>6351</v>
      </c>
      <c r="C53" s="2056">
        <v>32533006</v>
      </c>
      <c r="D53" s="1979" t="s">
        <v>1339</v>
      </c>
      <c r="E53" s="1989">
        <v>0</v>
      </c>
      <c r="F53" s="1989">
        <v>0</v>
      </c>
      <c r="G53" s="2036">
        <v>0</v>
      </c>
      <c r="H53" s="1961" t="e">
        <f>G53/F53*100</f>
        <v>#DIV/0!</v>
      </c>
      <c r="I53" s="1970"/>
    </row>
    <row r="54" spans="1:9" ht="16.5" thickTop="1" thickBot="1" x14ac:dyDescent="0.3">
      <c r="A54" s="1980" t="s">
        <v>802</v>
      </c>
      <c r="B54" s="1981"/>
      <c r="C54" s="1981"/>
      <c r="D54" s="1982"/>
      <c r="E54" s="1957">
        <f>SUM(E50:E53)</f>
        <v>0</v>
      </c>
      <c r="F54" s="1957">
        <f>SUM(F50:F53)</f>
        <v>1180</v>
      </c>
      <c r="G54" s="1957">
        <f>SUM(G50:G53)</f>
        <v>719</v>
      </c>
      <c r="H54" s="1962">
        <f>G54/F54*100</f>
        <v>60.932203389830505</v>
      </c>
      <c r="I54" s="1970"/>
    </row>
    <row r="55" spans="1:9" ht="13.5" thickTop="1" x14ac:dyDescent="0.2">
      <c r="I55" s="1970"/>
    </row>
    <row r="56" spans="1:9" ht="15" x14ac:dyDescent="0.25">
      <c r="A56" s="1942" t="s">
        <v>1736</v>
      </c>
      <c r="D56" s="1936"/>
      <c r="E56" s="1937"/>
      <c r="H56" s="1970"/>
      <c r="I56" s="1970"/>
    </row>
    <row r="57" spans="1:9" ht="15.75" thickBot="1" x14ac:dyDescent="0.3">
      <c r="A57" s="1942" t="s">
        <v>1324</v>
      </c>
      <c r="D57" s="1936"/>
      <c r="E57" s="1937"/>
      <c r="H57" s="2043" t="s">
        <v>173</v>
      </c>
      <c r="I57" s="1970"/>
    </row>
    <row r="58" spans="1:9" ht="25.5" thickTop="1" thickBot="1" x14ac:dyDescent="0.25">
      <c r="A58" s="1943" t="s">
        <v>174</v>
      </c>
      <c r="B58" s="1944" t="s">
        <v>800</v>
      </c>
      <c r="C58" s="1944" t="s">
        <v>397</v>
      </c>
      <c r="D58" s="1945" t="s">
        <v>176</v>
      </c>
      <c r="E58" s="1976" t="s">
        <v>669</v>
      </c>
      <c r="F58" s="1976" t="s">
        <v>670</v>
      </c>
      <c r="G58" s="1977" t="s">
        <v>923</v>
      </c>
      <c r="H58" s="1978" t="s">
        <v>924</v>
      </c>
      <c r="I58" s="1970"/>
    </row>
    <row r="59" spans="1:9" ht="14.25" thickTop="1" thickBot="1" x14ac:dyDescent="0.25">
      <c r="A59" s="1740">
        <v>1</v>
      </c>
      <c r="B59" s="1739">
        <v>2</v>
      </c>
      <c r="C59" s="1739">
        <v>3</v>
      </c>
      <c r="D59" s="1739">
        <v>5</v>
      </c>
      <c r="E59" s="1738">
        <v>6</v>
      </c>
      <c r="F59" s="1738">
        <v>7</v>
      </c>
      <c r="G59" s="2028">
        <v>8</v>
      </c>
      <c r="H59" s="1951" t="s">
        <v>801</v>
      </c>
      <c r="I59" s="1970"/>
    </row>
    <row r="60" spans="1:9" ht="30.75" thickTop="1" x14ac:dyDescent="0.2">
      <c r="A60" s="2049">
        <v>3299</v>
      </c>
      <c r="B60" s="2076">
        <v>5336</v>
      </c>
      <c r="C60" s="2056">
        <v>32133006</v>
      </c>
      <c r="D60" s="1979" t="s">
        <v>1325</v>
      </c>
      <c r="E60" s="1975">
        <v>0</v>
      </c>
      <c r="F60" s="1975">
        <v>64</v>
      </c>
      <c r="G60" s="2039">
        <v>30</v>
      </c>
      <c r="H60" s="1958">
        <f>G60/F60*100</f>
        <v>46.875</v>
      </c>
      <c r="I60" s="1970"/>
    </row>
    <row r="61" spans="1:9" ht="30.75" thickBot="1" x14ac:dyDescent="0.25">
      <c r="A61" s="2049">
        <v>3299</v>
      </c>
      <c r="B61" s="2076">
        <v>5336</v>
      </c>
      <c r="C61" s="2056">
        <v>32533006</v>
      </c>
      <c r="D61" s="1979" t="s">
        <v>1325</v>
      </c>
      <c r="E61" s="1989">
        <v>0</v>
      </c>
      <c r="F61" s="1989">
        <v>366</v>
      </c>
      <c r="G61" s="2036">
        <v>169</v>
      </c>
      <c r="H61" s="1961">
        <f>G61/F61*100</f>
        <v>46.174863387978142</v>
      </c>
      <c r="I61" s="1970"/>
    </row>
    <row r="62" spans="1:9" ht="30.75" hidden="1" thickBot="1" x14ac:dyDescent="0.25">
      <c r="A62" s="2049">
        <v>3299</v>
      </c>
      <c r="B62" s="2056">
        <v>6351</v>
      </c>
      <c r="C62" s="2056">
        <v>32133006</v>
      </c>
      <c r="D62" s="1979" t="s">
        <v>1339</v>
      </c>
      <c r="E62" s="1989">
        <v>0</v>
      </c>
      <c r="F62" s="1989">
        <v>0</v>
      </c>
      <c r="G62" s="2036">
        <v>0</v>
      </c>
      <c r="H62" s="1961" t="e">
        <f>G62/F62*100</f>
        <v>#DIV/0!</v>
      </c>
      <c r="I62" s="1970"/>
    </row>
    <row r="63" spans="1:9" ht="30.75" hidden="1" thickBot="1" x14ac:dyDescent="0.25">
      <c r="A63" s="2049">
        <v>3299</v>
      </c>
      <c r="B63" s="2056">
        <v>6351</v>
      </c>
      <c r="C63" s="2056">
        <v>32533006</v>
      </c>
      <c r="D63" s="1979" t="s">
        <v>1339</v>
      </c>
      <c r="E63" s="1989">
        <v>0</v>
      </c>
      <c r="F63" s="1989">
        <v>0</v>
      </c>
      <c r="G63" s="2036">
        <v>0</v>
      </c>
      <c r="H63" s="1961" t="e">
        <f>G63/F63*100</f>
        <v>#DIV/0!</v>
      </c>
      <c r="I63" s="1970"/>
    </row>
    <row r="64" spans="1:9" ht="16.5" thickTop="1" thickBot="1" x14ac:dyDescent="0.3">
      <c r="A64" s="1980" t="s">
        <v>802</v>
      </c>
      <c r="B64" s="1981"/>
      <c r="C64" s="1981"/>
      <c r="D64" s="1982"/>
      <c r="E64" s="1957">
        <f>SUM(E60:E63)</f>
        <v>0</v>
      </c>
      <c r="F64" s="1957">
        <f>SUM(F60:F63)</f>
        <v>430</v>
      </c>
      <c r="G64" s="1957">
        <f>SUM(G60:G63)</f>
        <v>199</v>
      </c>
      <c r="H64" s="1962">
        <f>G64/F64*100</f>
        <v>46.279069767441861</v>
      </c>
      <c r="I64" s="1970"/>
    </row>
    <row r="65" spans="1:9" ht="13.5" thickTop="1" x14ac:dyDescent="0.2">
      <c r="I65" s="1970"/>
    </row>
    <row r="66" spans="1:9" ht="15" hidden="1" x14ac:dyDescent="0.25">
      <c r="A66" s="1942" t="s">
        <v>1751</v>
      </c>
      <c r="D66" s="1936"/>
      <c r="E66" s="1937"/>
      <c r="H66" s="1970"/>
      <c r="I66" s="1970"/>
    </row>
    <row r="67" spans="1:9" ht="15" hidden="1" x14ac:dyDescent="0.25">
      <c r="A67" s="1942" t="s">
        <v>1327</v>
      </c>
      <c r="D67" s="1936"/>
      <c r="E67" s="1937"/>
      <c r="H67" s="2043" t="s">
        <v>173</v>
      </c>
      <c r="I67" s="1970"/>
    </row>
    <row r="68" spans="1:9" ht="25.5" hidden="1" thickTop="1" thickBot="1" x14ac:dyDescent="0.25">
      <c r="A68" s="1943" t="s">
        <v>174</v>
      </c>
      <c r="B68" s="1944" t="s">
        <v>800</v>
      </c>
      <c r="C68" s="1944" t="s">
        <v>397</v>
      </c>
      <c r="D68" s="1945" t="s">
        <v>176</v>
      </c>
      <c r="E68" s="1976" t="s">
        <v>669</v>
      </c>
      <c r="F68" s="1976" t="s">
        <v>670</v>
      </c>
      <c r="G68" s="1977" t="s">
        <v>923</v>
      </c>
      <c r="H68" s="1978" t="s">
        <v>924</v>
      </c>
      <c r="I68" s="1970"/>
    </row>
    <row r="69" spans="1:9" ht="14.25" hidden="1" thickTop="1" thickBot="1" x14ac:dyDescent="0.25">
      <c r="A69" s="1740">
        <v>1</v>
      </c>
      <c r="B69" s="1739">
        <v>2</v>
      </c>
      <c r="C69" s="1739">
        <v>3</v>
      </c>
      <c r="D69" s="1739">
        <v>5</v>
      </c>
      <c r="E69" s="1738">
        <v>6</v>
      </c>
      <c r="F69" s="1738">
        <v>7</v>
      </c>
      <c r="G69" s="2028">
        <v>8</v>
      </c>
      <c r="H69" s="1951" t="s">
        <v>801</v>
      </c>
      <c r="I69" s="1970"/>
    </row>
    <row r="70" spans="1:9" ht="30.75" hidden="1" thickTop="1" x14ac:dyDescent="0.2">
      <c r="A70" s="2049">
        <v>3299</v>
      </c>
      <c r="B70" s="2076">
        <v>5336</v>
      </c>
      <c r="C70" s="2056">
        <v>32133006</v>
      </c>
      <c r="D70" s="1979" t="s">
        <v>1325</v>
      </c>
      <c r="E70" s="1975">
        <v>0</v>
      </c>
      <c r="F70" s="1975"/>
      <c r="G70" s="2039"/>
      <c r="H70" s="1958" t="e">
        <f>G70/F70*100</f>
        <v>#DIV/0!</v>
      </c>
      <c r="I70" s="1970"/>
    </row>
    <row r="71" spans="1:9" ht="30" hidden="1" x14ac:dyDescent="0.2">
      <c r="A71" s="2049">
        <v>3299</v>
      </c>
      <c r="B71" s="2076">
        <v>5336</v>
      </c>
      <c r="C71" s="2056">
        <v>32533006</v>
      </c>
      <c r="D71" s="1979" t="s">
        <v>1325</v>
      </c>
      <c r="E71" s="1989">
        <v>0</v>
      </c>
      <c r="F71" s="1989"/>
      <c r="G71" s="2036"/>
      <c r="H71" s="1961" t="e">
        <f>G71/F71*100</f>
        <v>#DIV/0!</v>
      </c>
      <c r="I71" s="1970"/>
    </row>
    <row r="72" spans="1:9" ht="30" hidden="1" x14ac:dyDescent="0.2">
      <c r="A72" s="2049">
        <v>3299</v>
      </c>
      <c r="B72" s="2056">
        <v>6351</v>
      </c>
      <c r="C72" s="2056">
        <v>32133006</v>
      </c>
      <c r="D72" s="1979" t="s">
        <v>1339</v>
      </c>
      <c r="E72" s="1989">
        <v>0</v>
      </c>
      <c r="F72" s="1989">
        <v>0</v>
      </c>
      <c r="G72" s="2036">
        <v>0</v>
      </c>
      <c r="H72" s="1961" t="e">
        <f>G72/F72*100</f>
        <v>#DIV/0!</v>
      </c>
      <c r="I72" s="1970"/>
    </row>
    <row r="73" spans="1:9" ht="30" hidden="1" x14ac:dyDescent="0.2">
      <c r="A73" s="2049">
        <v>3299</v>
      </c>
      <c r="B73" s="2056">
        <v>6351</v>
      </c>
      <c r="C73" s="2056">
        <v>32533006</v>
      </c>
      <c r="D73" s="1979" t="s">
        <v>1339</v>
      </c>
      <c r="E73" s="1989">
        <v>0</v>
      </c>
      <c r="F73" s="1989">
        <v>0</v>
      </c>
      <c r="G73" s="2036">
        <v>0</v>
      </c>
      <c r="H73" s="1961" t="e">
        <f>G73/F73*100</f>
        <v>#DIV/0!</v>
      </c>
      <c r="I73" s="1970"/>
    </row>
    <row r="74" spans="1:9" ht="16.5" hidden="1" thickTop="1" thickBot="1" x14ac:dyDescent="0.3">
      <c r="A74" s="1980" t="s">
        <v>802</v>
      </c>
      <c r="B74" s="1981"/>
      <c r="C74" s="1981"/>
      <c r="D74" s="1982"/>
      <c r="E74" s="1957">
        <f>SUM(E70:E73)</f>
        <v>0</v>
      </c>
      <c r="F74" s="1957">
        <f>SUM(F70:F73)</f>
        <v>0</v>
      </c>
      <c r="G74" s="1957">
        <f>SUM(G70:G73)</f>
        <v>0</v>
      </c>
      <c r="H74" s="1962" t="e">
        <f>G74/F74*100</f>
        <v>#DIV/0!</v>
      </c>
      <c r="I74" s="1970"/>
    </row>
    <row r="75" spans="1:9" hidden="1" x14ac:dyDescent="0.2">
      <c r="I75" s="1970"/>
    </row>
    <row r="76" spans="1:9" ht="15" hidden="1" x14ac:dyDescent="0.25">
      <c r="A76" s="1942" t="s">
        <v>1666</v>
      </c>
      <c r="D76" s="1936"/>
      <c r="E76" s="1937"/>
      <c r="H76" s="1970"/>
      <c r="I76" s="1970"/>
    </row>
    <row r="77" spans="1:9" ht="15" hidden="1" x14ac:dyDescent="0.25">
      <c r="A77" s="1942" t="s">
        <v>1328</v>
      </c>
      <c r="D77" s="1936"/>
      <c r="E77" s="1937"/>
      <c r="H77" s="2043" t="s">
        <v>173</v>
      </c>
      <c r="I77" s="1970"/>
    </row>
    <row r="78" spans="1:9" ht="25.5" hidden="1" thickTop="1" thickBot="1" x14ac:dyDescent="0.25">
      <c r="A78" s="1943" t="s">
        <v>174</v>
      </c>
      <c r="B78" s="1944" t="s">
        <v>800</v>
      </c>
      <c r="C78" s="1944" t="s">
        <v>397</v>
      </c>
      <c r="D78" s="1945" t="s">
        <v>176</v>
      </c>
      <c r="E78" s="1976" t="s">
        <v>669</v>
      </c>
      <c r="F78" s="1976" t="s">
        <v>670</v>
      </c>
      <c r="G78" s="1977" t="s">
        <v>923</v>
      </c>
      <c r="H78" s="1978" t="s">
        <v>924</v>
      </c>
      <c r="I78" s="1970"/>
    </row>
    <row r="79" spans="1:9" ht="14.25" hidden="1" thickTop="1" thickBot="1" x14ac:dyDescent="0.25">
      <c r="A79" s="1740">
        <v>1</v>
      </c>
      <c r="B79" s="1739">
        <v>2</v>
      </c>
      <c r="C79" s="1739">
        <v>3</v>
      </c>
      <c r="D79" s="1739">
        <v>5</v>
      </c>
      <c r="E79" s="1738">
        <v>6</v>
      </c>
      <c r="F79" s="1738">
        <v>7</v>
      </c>
      <c r="G79" s="2028">
        <v>8</v>
      </c>
      <c r="H79" s="1951" t="s">
        <v>801</v>
      </c>
      <c r="I79" s="1970"/>
    </row>
    <row r="80" spans="1:9" ht="30.75" hidden="1" thickTop="1" x14ac:dyDescent="0.2">
      <c r="A80" s="2049">
        <v>3299</v>
      </c>
      <c r="B80" s="2076">
        <v>5336</v>
      </c>
      <c r="C80" s="2056">
        <v>32133006</v>
      </c>
      <c r="D80" s="1979" t="s">
        <v>1325</v>
      </c>
      <c r="E80" s="1975">
        <v>0</v>
      </c>
      <c r="F80" s="1975"/>
      <c r="G80" s="2039"/>
      <c r="H80" s="1958" t="e">
        <f>G80/F80*100</f>
        <v>#DIV/0!</v>
      </c>
      <c r="I80" s="1970"/>
    </row>
    <row r="81" spans="1:9" ht="30" hidden="1" x14ac:dyDescent="0.2">
      <c r="A81" s="2049">
        <v>3299</v>
      </c>
      <c r="B81" s="2076">
        <v>5336</v>
      </c>
      <c r="C81" s="2056">
        <v>32533006</v>
      </c>
      <c r="D81" s="1979" t="s">
        <v>1325</v>
      </c>
      <c r="E81" s="1989">
        <v>0</v>
      </c>
      <c r="F81" s="1989"/>
      <c r="G81" s="2036"/>
      <c r="H81" s="1961" t="e">
        <f>G81/F81*100</f>
        <v>#DIV/0!</v>
      </c>
      <c r="I81" s="1970"/>
    </row>
    <row r="82" spans="1:9" ht="30" hidden="1" x14ac:dyDescent="0.2">
      <c r="A82" s="2049">
        <v>3299</v>
      </c>
      <c r="B82" s="2056">
        <v>6351</v>
      </c>
      <c r="C82" s="2056">
        <v>32133006</v>
      </c>
      <c r="D82" s="1979" t="s">
        <v>1339</v>
      </c>
      <c r="E82" s="1989">
        <v>0</v>
      </c>
      <c r="F82" s="1989">
        <v>0</v>
      </c>
      <c r="G82" s="2036">
        <v>0</v>
      </c>
      <c r="H82" s="1961" t="e">
        <f>G82/F82*100</f>
        <v>#DIV/0!</v>
      </c>
      <c r="I82" s="1970"/>
    </row>
    <row r="83" spans="1:9" ht="30" hidden="1" x14ac:dyDescent="0.2">
      <c r="A83" s="2049">
        <v>3299</v>
      </c>
      <c r="B83" s="2056">
        <v>6351</v>
      </c>
      <c r="C83" s="2056">
        <v>32533006</v>
      </c>
      <c r="D83" s="1979" t="s">
        <v>1339</v>
      </c>
      <c r="E83" s="1989">
        <v>0</v>
      </c>
      <c r="F83" s="1989">
        <v>0</v>
      </c>
      <c r="G83" s="2036">
        <v>0</v>
      </c>
      <c r="H83" s="1961" t="e">
        <f>G83/F83*100</f>
        <v>#DIV/0!</v>
      </c>
      <c r="I83" s="1970"/>
    </row>
    <row r="84" spans="1:9" ht="16.5" hidden="1" thickTop="1" thickBot="1" x14ac:dyDescent="0.3">
      <c r="A84" s="1980" t="s">
        <v>802</v>
      </c>
      <c r="B84" s="1981"/>
      <c r="C84" s="1981"/>
      <c r="D84" s="1982"/>
      <c r="E84" s="1957">
        <f>SUM(E80:E83)</f>
        <v>0</v>
      </c>
      <c r="F84" s="1957">
        <f>SUM(F80:F83)</f>
        <v>0</v>
      </c>
      <c r="G84" s="1957">
        <f>SUM(G80:G83)</f>
        <v>0</v>
      </c>
      <c r="H84" s="1962" t="e">
        <f>G84/F84*100</f>
        <v>#DIV/0!</v>
      </c>
      <c r="I84" s="1970"/>
    </row>
    <row r="85" spans="1:9" hidden="1" x14ac:dyDescent="0.2">
      <c r="I85" s="1970"/>
    </row>
    <row r="86" spans="1:9" hidden="1" x14ac:dyDescent="0.2">
      <c r="I86" s="1970"/>
    </row>
    <row r="87" spans="1:9" ht="15" hidden="1" x14ac:dyDescent="0.25">
      <c r="A87" s="1942" t="s">
        <v>1331</v>
      </c>
      <c r="D87" s="1936"/>
      <c r="E87" s="1937"/>
      <c r="H87" s="1970"/>
      <c r="I87" s="1970"/>
    </row>
    <row r="88" spans="1:9" ht="15" hidden="1" x14ac:dyDescent="0.25">
      <c r="A88" s="1942" t="s">
        <v>1332</v>
      </c>
      <c r="D88" s="1936"/>
      <c r="E88" s="1937"/>
      <c r="H88" s="1970" t="s">
        <v>173</v>
      </c>
      <c r="I88" s="1970"/>
    </row>
    <row r="89" spans="1:9" ht="25.5" hidden="1" thickTop="1" thickBot="1" x14ac:dyDescent="0.25">
      <c r="A89" s="1943" t="s">
        <v>174</v>
      </c>
      <c r="B89" s="1944" t="s">
        <v>800</v>
      </c>
      <c r="C89" s="1944" t="s">
        <v>397</v>
      </c>
      <c r="D89" s="1945" t="s">
        <v>176</v>
      </c>
      <c r="E89" s="1976" t="s">
        <v>669</v>
      </c>
      <c r="F89" s="1976" t="s">
        <v>670</v>
      </c>
      <c r="G89" s="1977" t="s">
        <v>923</v>
      </c>
      <c r="H89" s="1978" t="s">
        <v>924</v>
      </c>
      <c r="I89" s="1970"/>
    </row>
    <row r="90" spans="1:9" ht="14.25" hidden="1" thickTop="1" thickBot="1" x14ac:dyDescent="0.25">
      <c r="A90" s="1740">
        <v>1</v>
      </c>
      <c r="B90" s="1739">
        <v>2</v>
      </c>
      <c r="C90" s="1739">
        <v>3</v>
      </c>
      <c r="D90" s="1739">
        <v>5</v>
      </c>
      <c r="E90" s="1738">
        <v>6</v>
      </c>
      <c r="F90" s="1738">
        <v>7</v>
      </c>
      <c r="G90" s="2028">
        <v>8</v>
      </c>
      <c r="H90" s="1951" t="s">
        <v>801</v>
      </c>
      <c r="I90" s="1970"/>
    </row>
    <row r="91" spans="1:9" ht="30.75" hidden="1" thickTop="1" x14ac:dyDescent="0.2">
      <c r="A91" s="2049">
        <v>3299</v>
      </c>
      <c r="B91" s="2076">
        <v>5336</v>
      </c>
      <c r="C91" s="2056">
        <v>32133006</v>
      </c>
      <c r="D91" s="2072" t="s">
        <v>1453</v>
      </c>
      <c r="E91" s="1975">
        <v>0</v>
      </c>
      <c r="F91" s="1975">
        <v>0</v>
      </c>
      <c r="G91" s="2039">
        <v>0</v>
      </c>
      <c r="H91" s="1958" t="e">
        <f>G91/F91*100</f>
        <v>#DIV/0!</v>
      </c>
      <c r="I91" s="1970"/>
    </row>
    <row r="92" spans="1:9" ht="30" hidden="1" x14ac:dyDescent="0.2">
      <c r="A92" s="2049">
        <v>3299</v>
      </c>
      <c r="B92" s="2076">
        <v>5336</v>
      </c>
      <c r="C92" s="2056">
        <v>32533006</v>
      </c>
      <c r="D92" s="2072" t="s">
        <v>1453</v>
      </c>
      <c r="E92" s="1989">
        <v>0</v>
      </c>
      <c r="F92" s="1989">
        <v>0</v>
      </c>
      <c r="G92" s="2036">
        <v>0</v>
      </c>
      <c r="H92" s="1961" t="e">
        <f>G92/F92*100</f>
        <v>#DIV/0!</v>
      </c>
      <c r="I92" s="1970"/>
    </row>
    <row r="93" spans="1:9" ht="30" hidden="1" x14ac:dyDescent="0.2">
      <c r="A93" s="2049">
        <v>3299</v>
      </c>
      <c r="B93" s="2056">
        <v>6351</v>
      </c>
      <c r="C93" s="2056">
        <v>32133006</v>
      </c>
      <c r="D93" s="1979" t="s">
        <v>1339</v>
      </c>
      <c r="E93" s="1989">
        <v>0</v>
      </c>
      <c r="F93" s="1989">
        <v>0</v>
      </c>
      <c r="G93" s="2036">
        <v>0</v>
      </c>
      <c r="H93" s="1961" t="e">
        <f>G93/F93*100</f>
        <v>#DIV/0!</v>
      </c>
      <c r="I93" s="1970"/>
    </row>
    <row r="94" spans="1:9" ht="30" hidden="1" x14ac:dyDescent="0.2">
      <c r="A94" s="2049">
        <v>3299</v>
      </c>
      <c r="B94" s="2056">
        <v>6351</v>
      </c>
      <c r="C94" s="2056">
        <v>32533006</v>
      </c>
      <c r="D94" s="1979" t="s">
        <v>1339</v>
      </c>
      <c r="E94" s="1989">
        <v>0</v>
      </c>
      <c r="F94" s="1989">
        <v>0</v>
      </c>
      <c r="G94" s="2036">
        <v>0</v>
      </c>
      <c r="H94" s="1961" t="e">
        <f>G94/F94*100</f>
        <v>#DIV/0!</v>
      </c>
      <c r="I94" s="1970"/>
    </row>
    <row r="95" spans="1:9" ht="16.5" hidden="1" thickTop="1" thickBot="1" x14ac:dyDescent="0.3">
      <c r="A95" s="1980" t="s">
        <v>802</v>
      </c>
      <c r="B95" s="1981"/>
      <c r="C95" s="1981"/>
      <c r="D95" s="1982"/>
      <c r="E95" s="1957">
        <f>SUM(E91:E94)</f>
        <v>0</v>
      </c>
      <c r="F95" s="1957">
        <f>SUM(F91:F94)</f>
        <v>0</v>
      </c>
      <c r="G95" s="1957">
        <f>SUM(G91:G94)</f>
        <v>0</v>
      </c>
      <c r="H95" s="1962" t="e">
        <f>G95/F95*100</f>
        <v>#DIV/0!</v>
      </c>
      <c r="I95" s="1970"/>
    </row>
    <row r="96" spans="1:9" hidden="1" x14ac:dyDescent="0.2">
      <c r="I96" s="1970"/>
    </row>
    <row r="97" spans="1:9" ht="15" x14ac:dyDescent="0.25">
      <c r="A97" s="1942" t="s">
        <v>1055</v>
      </c>
      <c r="D97" s="1936"/>
      <c r="E97" s="1937"/>
      <c r="H97" s="1970"/>
      <c r="I97" s="1970"/>
    </row>
    <row r="98" spans="1:9" ht="15.75" thickBot="1" x14ac:dyDescent="0.3">
      <c r="A98" s="1942" t="s">
        <v>1334</v>
      </c>
      <c r="D98" s="1936"/>
      <c r="E98" s="1937"/>
      <c r="H98" s="2043" t="s">
        <v>173</v>
      </c>
      <c r="I98" s="1970"/>
    </row>
    <row r="99" spans="1:9" ht="25.5" thickTop="1" thickBot="1" x14ac:dyDescent="0.25">
      <c r="A99" s="1943" t="s">
        <v>174</v>
      </c>
      <c r="B99" s="1944" t="s">
        <v>800</v>
      </c>
      <c r="C99" s="1944" t="s">
        <v>397</v>
      </c>
      <c r="D99" s="1945" t="s">
        <v>176</v>
      </c>
      <c r="E99" s="1976" t="s">
        <v>669</v>
      </c>
      <c r="F99" s="1976" t="s">
        <v>670</v>
      </c>
      <c r="G99" s="1977" t="s">
        <v>923</v>
      </c>
      <c r="H99" s="1978" t="s">
        <v>924</v>
      </c>
      <c r="I99" s="1970"/>
    </row>
    <row r="100" spans="1:9" ht="14.25" thickTop="1" thickBot="1" x14ac:dyDescent="0.25">
      <c r="A100" s="1740">
        <v>1</v>
      </c>
      <c r="B100" s="1739">
        <v>2</v>
      </c>
      <c r="C100" s="1739">
        <v>3</v>
      </c>
      <c r="D100" s="1739">
        <v>5</v>
      </c>
      <c r="E100" s="1738">
        <v>6</v>
      </c>
      <c r="F100" s="1738">
        <v>7</v>
      </c>
      <c r="G100" s="2028">
        <v>8</v>
      </c>
      <c r="H100" s="1951" t="s">
        <v>801</v>
      </c>
      <c r="I100" s="1970"/>
    </row>
    <row r="101" spans="1:9" ht="30.75" thickTop="1" x14ac:dyDescent="0.2">
      <c r="A101" s="2049">
        <v>3299</v>
      </c>
      <c r="B101" s="2076">
        <v>5336</v>
      </c>
      <c r="C101" s="2056">
        <v>32133006</v>
      </c>
      <c r="D101" s="1979" t="s">
        <v>1325</v>
      </c>
      <c r="E101" s="1975">
        <v>0</v>
      </c>
      <c r="F101" s="1975">
        <v>3</v>
      </c>
      <c r="G101" s="2039">
        <v>3</v>
      </c>
      <c r="H101" s="1958">
        <f>G101/F101*100</f>
        <v>100</v>
      </c>
      <c r="I101" s="1970"/>
    </row>
    <row r="102" spans="1:9" ht="30.75" thickBot="1" x14ac:dyDescent="0.25">
      <c r="A102" s="2049">
        <v>3299</v>
      </c>
      <c r="B102" s="2076">
        <v>5336</v>
      </c>
      <c r="C102" s="2056">
        <v>32533006</v>
      </c>
      <c r="D102" s="1979" t="s">
        <v>1325</v>
      </c>
      <c r="E102" s="1989">
        <v>0</v>
      </c>
      <c r="F102" s="1989">
        <v>17</v>
      </c>
      <c r="G102" s="2036">
        <v>17</v>
      </c>
      <c r="H102" s="1961">
        <f>G102/F102*100</f>
        <v>100</v>
      </c>
      <c r="I102" s="1970"/>
    </row>
    <row r="103" spans="1:9" ht="30.75" hidden="1" thickBot="1" x14ac:dyDescent="0.25">
      <c r="A103" s="2049">
        <v>3299</v>
      </c>
      <c r="B103" s="2056">
        <v>6351</v>
      </c>
      <c r="C103" s="2056">
        <v>32133006</v>
      </c>
      <c r="D103" s="1979" t="s">
        <v>1339</v>
      </c>
      <c r="E103" s="1989">
        <v>0</v>
      </c>
      <c r="F103" s="1989">
        <v>0</v>
      </c>
      <c r="G103" s="2036">
        <v>0</v>
      </c>
      <c r="H103" s="1961" t="e">
        <f>G103/F103*100</f>
        <v>#DIV/0!</v>
      </c>
      <c r="I103" s="1970"/>
    </row>
    <row r="104" spans="1:9" ht="30.75" hidden="1" thickBot="1" x14ac:dyDescent="0.25">
      <c r="A104" s="2049">
        <v>3299</v>
      </c>
      <c r="B104" s="2056">
        <v>6351</v>
      </c>
      <c r="C104" s="2056">
        <v>32533006</v>
      </c>
      <c r="D104" s="1979" t="s">
        <v>1339</v>
      </c>
      <c r="E104" s="1989">
        <v>0</v>
      </c>
      <c r="F104" s="1989">
        <v>0</v>
      </c>
      <c r="G104" s="2036">
        <v>0</v>
      </c>
      <c r="H104" s="1961" t="e">
        <f>G104/F104*100</f>
        <v>#DIV/0!</v>
      </c>
      <c r="I104" s="1970"/>
    </row>
    <row r="105" spans="1:9" ht="16.5" thickTop="1" thickBot="1" x14ac:dyDescent="0.3">
      <c r="A105" s="1980" t="s">
        <v>802</v>
      </c>
      <c r="B105" s="1981"/>
      <c r="C105" s="1981"/>
      <c r="D105" s="1982"/>
      <c r="E105" s="1957">
        <f>SUM(E101:E104)</f>
        <v>0</v>
      </c>
      <c r="F105" s="1957">
        <f>SUM(F101:F104)</f>
        <v>20</v>
      </c>
      <c r="G105" s="1957">
        <f>SUM(G101:G104)</f>
        <v>20</v>
      </c>
      <c r="H105" s="1962">
        <f>G105/F105*100</f>
        <v>100</v>
      </c>
      <c r="I105" s="1970"/>
    </row>
    <row r="106" spans="1:9" ht="13.5" thickTop="1" x14ac:dyDescent="0.2">
      <c r="I106" s="1970"/>
    </row>
    <row r="107" spans="1:9" ht="15" x14ac:dyDescent="0.25">
      <c r="A107" s="2077" t="s">
        <v>1462</v>
      </c>
      <c r="B107" s="2077"/>
      <c r="C107" s="2077"/>
      <c r="D107" s="2077"/>
      <c r="E107" s="2080"/>
      <c r="F107" s="2078"/>
      <c r="G107" s="2078"/>
      <c r="H107" s="2078"/>
      <c r="I107" s="2078"/>
    </row>
    <row r="108" spans="1:9" ht="15.75" thickBot="1" x14ac:dyDescent="0.3">
      <c r="A108" s="2077" t="s">
        <v>1461</v>
      </c>
      <c r="B108" s="2077"/>
      <c r="C108" s="2079"/>
      <c r="D108" s="2079"/>
      <c r="E108" s="2080"/>
      <c r="F108" s="2078"/>
      <c r="G108" s="2078"/>
      <c r="H108" s="2081" t="s">
        <v>173</v>
      </c>
      <c r="I108" s="2078"/>
    </row>
    <row r="109" spans="1:9" ht="25.5" thickTop="1" thickBot="1" x14ac:dyDescent="0.25">
      <c r="A109" s="2082" t="s">
        <v>174</v>
      </c>
      <c r="B109" s="2083" t="s">
        <v>800</v>
      </c>
      <c r="C109" s="2083" t="s">
        <v>397</v>
      </c>
      <c r="D109" s="2084" t="s">
        <v>176</v>
      </c>
      <c r="E109" s="2085" t="s">
        <v>669</v>
      </c>
      <c r="F109" s="2085" t="s">
        <v>670</v>
      </c>
      <c r="G109" s="2086" t="s">
        <v>923</v>
      </c>
      <c r="H109" s="2087" t="s">
        <v>924</v>
      </c>
      <c r="I109" s="2078"/>
    </row>
    <row r="110" spans="1:9" ht="14.25" thickTop="1" thickBot="1" x14ac:dyDescent="0.25">
      <c r="A110" s="2088">
        <v>1</v>
      </c>
      <c r="B110" s="2089">
        <v>2</v>
      </c>
      <c r="C110" s="2089">
        <v>3</v>
      </c>
      <c r="D110" s="2089">
        <v>5</v>
      </c>
      <c r="E110" s="2090">
        <v>6</v>
      </c>
      <c r="F110" s="2090">
        <v>7</v>
      </c>
      <c r="G110" s="2091">
        <v>8</v>
      </c>
      <c r="H110" s="2092" t="s">
        <v>801</v>
      </c>
      <c r="I110" s="2078"/>
    </row>
    <row r="111" spans="1:9" ht="30.75" thickTop="1" x14ac:dyDescent="0.2">
      <c r="A111" s="2093">
        <v>3299</v>
      </c>
      <c r="B111" s="2094">
        <v>5336</v>
      </c>
      <c r="C111" s="2094">
        <v>32133006</v>
      </c>
      <c r="D111" s="1979" t="s">
        <v>1325</v>
      </c>
      <c r="E111" s="2095">
        <v>0</v>
      </c>
      <c r="F111" s="2095">
        <v>26</v>
      </c>
      <c r="G111" s="2096">
        <v>17</v>
      </c>
      <c r="H111" s="2097">
        <v>100</v>
      </c>
      <c r="I111" s="2078"/>
    </row>
    <row r="112" spans="1:9" ht="30.75" thickBot="1" x14ac:dyDescent="0.25">
      <c r="A112" s="2093">
        <v>3299</v>
      </c>
      <c r="B112" s="2076">
        <v>5336</v>
      </c>
      <c r="C112" s="2094">
        <v>32533006</v>
      </c>
      <c r="D112" s="1979" t="s">
        <v>1325</v>
      </c>
      <c r="E112" s="2095">
        <v>0</v>
      </c>
      <c r="F112" s="2095">
        <v>145</v>
      </c>
      <c r="G112" s="2096">
        <v>98</v>
      </c>
      <c r="H112" s="2097">
        <v>99.8</v>
      </c>
      <c r="I112" s="2078"/>
    </row>
    <row r="113" spans="1:9" ht="30.75" hidden="1" thickBot="1" x14ac:dyDescent="0.25">
      <c r="A113" s="2093">
        <v>3299</v>
      </c>
      <c r="B113" s="2076">
        <v>6351</v>
      </c>
      <c r="C113" s="2109">
        <v>32133006</v>
      </c>
      <c r="D113" s="2072" t="s">
        <v>1339</v>
      </c>
      <c r="E113" s="2095">
        <v>0</v>
      </c>
      <c r="F113" s="2095"/>
      <c r="G113" s="2110"/>
      <c r="H113" s="2097">
        <v>99.8</v>
      </c>
      <c r="I113" s="2078"/>
    </row>
    <row r="114" spans="1:9" ht="30.75" hidden="1" thickBot="1" x14ac:dyDescent="0.25">
      <c r="A114" s="2111">
        <v>3299</v>
      </c>
      <c r="B114" s="2112">
        <v>6351</v>
      </c>
      <c r="C114" s="2109">
        <v>32533006</v>
      </c>
      <c r="D114" s="2072" t="s">
        <v>1339</v>
      </c>
      <c r="E114" s="2095">
        <v>0</v>
      </c>
      <c r="F114" s="2095"/>
      <c r="G114" s="2113"/>
      <c r="H114" s="2097">
        <v>99.8</v>
      </c>
      <c r="I114" s="2078"/>
    </row>
    <row r="115" spans="1:9" ht="16.5" thickTop="1" thickBot="1" x14ac:dyDescent="0.3">
      <c r="A115" s="2098" t="s">
        <v>802</v>
      </c>
      <c r="B115" s="2099"/>
      <c r="C115" s="2099"/>
      <c r="D115" s="2100"/>
      <c r="E115" s="2101">
        <v>0</v>
      </c>
      <c r="F115" s="2101">
        <f>SUM(F111:F114)</f>
        <v>171</v>
      </c>
      <c r="G115" s="2101">
        <f>SUM(G111:G114)</f>
        <v>115</v>
      </c>
      <c r="H115" s="2102">
        <v>99.9</v>
      </c>
      <c r="I115" s="2078"/>
    </row>
    <row r="116" spans="1:9" ht="13.5" thickTop="1" x14ac:dyDescent="0.2">
      <c r="I116" s="1970"/>
    </row>
    <row r="117" spans="1:9" ht="15" hidden="1" x14ac:dyDescent="0.25">
      <c r="A117" s="1942" t="s">
        <v>1737</v>
      </c>
      <c r="D117" s="1936"/>
      <c r="E117" s="1937"/>
      <c r="H117" s="1970"/>
      <c r="I117" s="1970"/>
    </row>
    <row r="118" spans="1:9" ht="15" hidden="1" x14ac:dyDescent="0.25">
      <c r="A118" s="1942" t="s">
        <v>202</v>
      </c>
      <c r="D118" s="1936"/>
      <c r="E118" s="1937"/>
      <c r="H118" s="2043" t="s">
        <v>173</v>
      </c>
      <c r="I118" s="1970"/>
    </row>
    <row r="119" spans="1:9" ht="25.5" hidden="1" thickTop="1" thickBot="1" x14ac:dyDescent="0.25">
      <c r="A119" s="1943" t="s">
        <v>174</v>
      </c>
      <c r="B119" s="1944" t="s">
        <v>800</v>
      </c>
      <c r="C119" s="1944" t="s">
        <v>397</v>
      </c>
      <c r="D119" s="1945" t="s">
        <v>176</v>
      </c>
      <c r="E119" s="1976" t="s">
        <v>669</v>
      </c>
      <c r="F119" s="1976" t="s">
        <v>670</v>
      </c>
      <c r="G119" s="1977" t="s">
        <v>923</v>
      </c>
      <c r="H119" s="1978" t="s">
        <v>924</v>
      </c>
      <c r="I119" s="1970"/>
    </row>
    <row r="120" spans="1:9" ht="14.25" hidden="1" thickTop="1" thickBot="1" x14ac:dyDescent="0.25">
      <c r="A120" s="1740">
        <v>1</v>
      </c>
      <c r="B120" s="1739">
        <v>2</v>
      </c>
      <c r="C120" s="1739">
        <v>3</v>
      </c>
      <c r="D120" s="1739">
        <v>5</v>
      </c>
      <c r="E120" s="1738">
        <v>6</v>
      </c>
      <c r="F120" s="1738">
        <v>7</v>
      </c>
      <c r="G120" s="2028">
        <v>8</v>
      </c>
      <c r="H120" s="1951" t="s">
        <v>801</v>
      </c>
      <c r="I120" s="1970"/>
    </row>
    <row r="121" spans="1:9" ht="30.75" hidden="1" thickTop="1" x14ac:dyDescent="0.2">
      <c r="A121" s="2049">
        <v>3299</v>
      </c>
      <c r="B121" s="2076">
        <v>5336</v>
      </c>
      <c r="C121" s="2056">
        <v>32133006</v>
      </c>
      <c r="D121" s="1979" t="s">
        <v>1325</v>
      </c>
      <c r="E121" s="1975">
        <v>0</v>
      </c>
      <c r="F121" s="1975"/>
      <c r="G121" s="2039"/>
      <c r="H121" s="1958" t="e">
        <f>G121/F121*100</f>
        <v>#DIV/0!</v>
      </c>
      <c r="I121" s="1970"/>
    </row>
    <row r="122" spans="1:9" ht="30" hidden="1" x14ac:dyDescent="0.2">
      <c r="A122" s="2049">
        <v>3299</v>
      </c>
      <c r="B122" s="2076">
        <v>5336</v>
      </c>
      <c r="C122" s="2056">
        <v>32533006</v>
      </c>
      <c r="D122" s="1979" t="s">
        <v>1325</v>
      </c>
      <c r="E122" s="1989">
        <v>0</v>
      </c>
      <c r="F122" s="1989"/>
      <c r="G122" s="2036"/>
      <c r="H122" s="1961" t="e">
        <f>G122/F122*100</f>
        <v>#DIV/0!</v>
      </c>
      <c r="I122" s="1970"/>
    </row>
    <row r="123" spans="1:9" ht="30" hidden="1" x14ac:dyDescent="0.2">
      <c r="A123" s="2049">
        <v>3299</v>
      </c>
      <c r="B123" s="2056">
        <v>6351</v>
      </c>
      <c r="C123" s="2056">
        <v>32133006</v>
      </c>
      <c r="D123" s="1979" t="s">
        <v>1339</v>
      </c>
      <c r="E123" s="1989">
        <v>0</v>
      </c>
      <c r="F123" s="1989">
        <v>0</v>
      </c>
      <c r="G123" s="2036">
        <v>0</v>
      </c>
      <c r="H123" s="1961" t="e">
        <f>G123/F123*100</f>
        <v>#DIV/0!</v>
      </c>
      <c r="I123" s="1970"/>
    </row>
    <row r="124" spans="1:9" ht="30" hidden="1" x14ac:dyDescent="0.2">
      <c r="A124" s="2049">
        <v>3299</v>
      </c>
      <c r="B124" s="2056">
        <v>6351</v>
      </c>
      <c r="C124" s="2056">
        <v>32533006</v>
      </c>
      <c r="D124" s="1979" t="s">
        <v>1339</v>
      </c>
      <c r="E124" s="1989">
        <v>0</v>
      </c>
      <c r="F124" s="1989">
        <v>0</v>
      </c>
      <c r="G124" s="2036">
        <v>0</v>
      </c>
      <c r="H124" s="1961" t="e">
        <f>G124/F124*100</f>
        <v>#DIV/0!</v>
      </c>
      <c r="I124" s="1970"/>
    </row>
    <row r="125" spans="1:9" ht="16.5" hidden="1" thickTop="1" thickBot="1" x14ac:dyDescent="0.3">
      <c r="A125" s="1980" t="s">
        <v>802</v>
      </c>
      <c r="B125" s="1981"/>
      <c r="C125" s="1981"/>
      <c r="D125" s="1982"/>
      <c r="E125" s="1957">
        <f>SUM(E121:E124)</f>
        <v>0</v>
      </c>
      <c r="F125" s="1957">
        <f>SUM(F121:F124)</f>
        <v>0</v>
      </c>
      <c r="G125" s="1957">
        <f>SUM(G121:G124)</f>
        <v>0</v>
      </c>
      <c r="H125" s="1962" t="e">
        <f>G125/F125*100</f>
        <v>#DIV/0!</v>
      </c>
      <c r="I125" s="1970"/>
    </row>
    <row r="126" spans="1:9" x14ac:dyDescent="0.2">
      <c r="I126" s="1970"/>
    </row>
    <row r="127" spans="1:9" ht="15" hidden="1" x14ac:dyDescent="0.25">
      <c r="A127" s="1942" t="s">
        <v>203</v>
      </c>
      <c r="D127" s="1936"/>
      <c r="E127" s="1937"/>
      <c r="H127" s="1970"/>
      <c r="I127" s="1970"/>
    </row>
    <row r="128" spans="1:9" ht="15" hidden="1" x14ac:dyDescent="0.25">
      <c r="A128" s="1942" t="s">
        <v>204</v>
      </c>
      <c r="D128" s="1936"/>
      <c r="E128" s="1937"/>
      <c r="H128" s="1970" t="s">
        <v>173</v>
      </c>
      <c r="I128" s="1970"/>
    </row>
    <row r="129" spans="1:9" ht="25.5" hidden="1" thickTop="1" thickBot="1" x14ac:dyDescent="0.25">
      <c r="A129" s="1943" t="s">
        <v>174</v>
      </c>
      <c r="B129" s="1944" t="s">
        <v>800</v>
      </c>
      <c r="C129" s="1944" t="s">
        <v>397</v>
      </c>
      <c r="D129" s="1945" t="s">
        <v>176</v>
      </c>
      <c r="E129" s="1976" t="s">
        <v>669</v>
      </c>
      <c r="F129" s="1976" t="s">
        <v>670</v>
      </c>
      <c r="G129" s="1977" t="s">
        <v>923</v>
      </c>
      <c r="H129" s="1978" t="s">
        <v>924</v>
      </c>
      <c r="I129" s="1970"/>
    </row>
    <row r="130" spans="1:9" ht="14.25" hidden="1" thickTop="1" thickBot="1" x14ac:dyDescent="0.25">
      <c r="A130" s="1740">
        <v>1</v>
      </c>
      <c r="B130" s="1739">
        <v>2</v>
      </c>
      <c r="C130" s="1739">
        <v>3</v>
      </c>
      <c r="D130" s="1739">
        <v>5</v>
      </c>
      <c r="E130" s="1738">
        <v>6</v>
      </c>
      <c r="F130" s="1738">
        <v>7</v>
      </c>
      <c r="G130" s="2028">
        <v>8</v>
      </c>
      <c r="H130" s="1951" t="s">
        <v>801</v>
      </c>
      <c r="I130" s="1970"/>
    </row>
    <row r="131" spans="1:9" ht="30.75" hidden="1" thickTop="1" x14ac:dyDescent="0.2">
      <c r="A131" s="2049">
        <v>3299</v>
      </c>
      <c r="B131" s="2076">
        <v>5336</v>
      </c>
      <c r="C131" s="2056">
        <v>32133006</v>
      </c>
      <c r="D131" s="2072" t="s">
        <v>1453</v>
      </c>
      <c r="E131" s="1975">
        <v>0</v>
      </c>
      <c r="F131" s="1975">
        <v>0</v>
      </c>
      <c r="G131" s="2039">
        <v>0</v>
      </c>
      <c r="H131" s="1958" t="e">
        <f>G131/F131*100</f>
        <v>#DIV/0!</v>
      </c>
      <c r="I131" s="1970"/>
    </row>
    <row r="132" spans="1:9" ht="30" hidden="1" x14ac:dyDescent="0.2">
      <c r="A132" s="2049">
        <v>3299</v>
      </c>
      <c r="B132" s="2076">
        <v>5336</v>
      </c>
      <c r="C132" s="2056">
        <v>32533006</v>
      </c>
      <c r="D132" s="2072" t="s">
        <v>1453</v>
      </c>
      <c r="E132" s="1989">
        <v>0</v>
      </c>
      <c r="F132" s="1989">
        <v>0</v>
      </c>
      <c r="G132" s="2036">
        <v>0</v>
      </c>
      <c r="H132" s="1961" t="e">
        <f>G132/F132*100</f>
        <v>#DIV/0!</v>
      </c>
      <c r="I132" s="1970"/>
    </row>
    <row r="133" spans="1:9" ht="30" hidden="1" x14ac:dyDescent="0.2">
      <c r="A133" s="2049">
        <v>3299</v>
      </c>
      <c r="B133" s="2056">
        <v>6351</v>
      </c>
      <c r="C133" s="2056">
        <v>32133006</v>
      </c>
      <c r="D133" s="1979" t="s">
        <v>1339</v>
      </c>
      <c r="E133" s="1989">
        <v>0</v>
      </c>
      <c r="F133" s="1989">
        <v>0</v>
      </c>
      <c r="G133" s="2036">
        <v>0</v>
      </c>
      <c r="H133" s="1961" t="e">
        <f>G133/F133*100</f>
        <v>#DIV/0!</v>
      </c>
      <c r="I133" s="1970"/>
    </row>
    <row r="134" spans="1:9" ht="30" hidden="1" x14ac:dyDescent="0.2">
      <c r="A134" s="2049">
        <v>3299</v>
      </c>
      <c r="B134" s="2056">
        <v>6351</v>
      </c>
      <c r="C134" s="2056">
        <v>32533006</v>
      </c>
      <c r="D134" s="1979" t="s">
        <v>1339</v>
      </c>
      <c r="E134" s="1989">
        <v>0</v>
      </c>
      <c r="F134" s="1989">
        <v>0</v>
      </c>
      <c r="G134" s="2036">
        <v>0</v>
      </c>
      <c r="H134" s="1961" t="e">
        <f>G134/F134*100</f>
        <v>#DIV/0!</v>
      </c>
      <c r="I134" s="1970"/>
    </row>
    <row r="135" spans="1:9" ht="16.5" hidden="1" thickTop="1" thickBot="1" x14ac:dyDescent="0.3">
      <c r="A135" s="1980" t="s">
        <v>802</v>
      </c>
      <c r="B135" s="1981"/>
      <c r="C135" s="1981"/>
      <c r="D135" s="1982"/>
      <c r="E135" s="1957">
        <f>SUM(E131:E134)</f>
        <v>0</v>
      </c>
      <c r="F135" s="1957">
        <f>SUM(F131:F134)</f>
        <v>0</v>
      </c>
      <c r="G135" s="1957">
        <f>SUM(G131:G134)</f>
        <v>0</v>
      </c>
      <c r="H135" s="1962" t="e">
        <f>G135/F135*100</f>
        <v>#DIV/0!</v>
      </c>
      <c r="I135" s="1970"/>
    </row>
    <row r="136" spans="1:9" hidden="1" x14ac:dyDescent="0.2">
      <c r="I136" s="1970"/>
    </row>
    <row r="137" spans="1:9" ht="15" hidden="1" x14ac:dyDescent="0.25">
      <c r="A137" s="1942" t="s">
        <v>205</v>
      </c>
      <c r="D137" s="1936"/>
      <c r="E137" s="1937"/>
      <c r="H137" s="1970"/>
      <c r="I137" s="1970"/>
    </row>
    <row r="138" spans="1:9" ht="15" hidden="1" x14ac:dyDescent="0.25">
      <c r="A138" s="1942" t="s">
        <v>206</v>
      </c>
      <c r="D138" s="1936"/>
      <c r="E138" s="1937"/>
      <c r="H138" s="1970" t="s">
        <v>173</v>
      </c>
      <c r="I138" s="1970"/>
    </row>
    <row r="139" spans="1:9" ht="25.5" hidden="1" thickTop="1" thickBot="1" x14ac:dyDescent="0.25">
      <c r="A139" s="1943" t="s">
        <v>174</v>
      </c>
      <c r="B139" s="1944" t="s">
        <v>800</v>
      </c>
      <c r="C139" s="1944" t="s">
        <v>397</v>
      </c>
      <c r="D139" s="1945" t="s">
        <v>176</v>
      </c>
      <c r="E139" s="1976" t="s">
        <v>669</v>
      </c>
      <c r="F139" s="1976" t="s">
        <v>670</v>
      </c>
      <c r="G139" s="1977" t="s">
        <v>923</v>
      </c>
      <c r="H139" s="1978" t="s">
        <v>924</v>
      </c>
      <c r="I139" s="1970"/>
    </row>
    <row r="140" spans="1:9" ht="14.25" hidden="1" thickTop="1" thickBot="1" x14ac:dyDescent="0.25">
      <c r="A140" s="1740">
        <v>1</v>
      </c>
      <c r="B140" s="1739">
        <v>2</v>
      </c>
      <c r="C140" s="1739">
        <v>3</v>
      </c>
      <c r="D140" s="1739">
        <v>5</v>
      </c>
      <c r="E140" s="1738">
        <v>6</v>
      </c>
      <c r="F140" s="1738">
        <v>7</v>
      </c>
      <c r="G140" s="2028">
        <v>8</v>
      </c>
      <c r="H140" s="1951" t="s">
        <v>801</v>
      </c>
      <c r="I140" s="1970"/>
    </row>
    <row r="141" spans="1:9" ht="30.75" hidden="1" thickTop="1" x14ac:dyDescent="0.2">
      <c r="A141" s="2049">
        <v>3299</v>
      </c>
      <c r="B141" s="2076">
        <v>5336</v>
      </c>
      <c r="C141" s="2056">
        <v>32133006</v>
      </c>
      <c r="D141" s="2072" t="s">
        <v>1453</v>
      </c>
      <c r="E141" s="1975">
        <v>0</v>
      </c>
      <c r="F141" s="1975">
        <v>0</v>
      </c>
      <c r="G141" s="2039">
        <v>0</v>
      </c>
      <c r="H141" s="1958" t="e">
        <f>G141/F141*100</f>
        <v>#DIV/0!</v>
      </c>
      <c r="I141" s="1970"/>
    </row>
    <row r="142" spans="1:9" ht="30" hidden="1" x14ac:dyDescent="0.2">
      <c r="A142" s="2049">
        <v>3299</v>
      </c>
      <c r="B142" s="2076">
        <v>5336</v>
      </c>
      <c r="C142" s="2056">
        <v>32533006</v>
      </c>
      <c r="D142" s="2072" t="s">
        <v>1453</v>
      </c>
      <c r="E142" s="1989">
        <v>0</v>
      </c>
      <c r="F142" s="1989">
        <v>0</v>
      </c>
      <c r="G142" s="2036">
        <v>0</v>
      </c>
      <c r="H142" s="1961" t="e">
        <f>G142/F142*100</f>
        <v>#DIV/0!</v>
      </c>
      <c r="I142" s="1970"/>
    </row>
    <row r="143" spans="1:9" ht="30" hidden="1" x14ac:dyDescent="0.2">
      <c r="A143" s="2049">
        <v>3299</v>
      </c>
      <c r="B143" s="2056">
        <v>6351</v>
      </c>
      <c r="C143" s="2056">
        <v>32133006</v>
      </c>
      <c r="D143" s="1979" t="s">
        <v>1339</v>
      </c>
      <c r="E143" s="1989">
        <v>0</v>
      </c>
      <c r="F143" s="1989">
        <v>0</v>
      </c>
      <c r="G143" s="2036">
        <v>0</v>
      </c>
      <c r="H143" s="1961" t="e">
        <f>G143/F143*100</f>
        <v>#DIV/0!</v>
      </c>
      <c r="I143" s="1970"/>
    </row>
    <row r="144" spans="1:9" ht="30" hidden="1" x14ac:dyDescent="0.2">
      <c r="A144" s="2049">
        <v>3299</v>
      </c>
      <c r="B144" s="2056">
        <v>6351</v>
      </c>
      <c r="C144" s="2056">
        <v>32533006</v>
      </c>
      <c r="D144" s="1979" t="s">
        <v>1339</v>
      </c>
      <c r="E144" s="1989">
        <v>0</v>
      </c>
      <c r="F144" s="1989">
        <v>0</v>
      </c>
      <c r="G144" s="2036">
        <v>0</v>
      </c>
      <c r="H144" s="1961" t="e">
        <f>G144/F144*100</f>
        <v>#DIV/0!</v>
      </c>
      <c r="I144" s="1970"/>
    </row>
    <row r="145" spans="1:9" ht="16.5" hidden="1" thickTop="1" thickBot="1" x14ac:dyDescent="0.3">
      <c r="A145" s="1980" t="s">
        <v>802</v>
      </c>
      <c r="B145" s="1981"/>
      <c r="C145" s="1981"/>
      <c r="D145" s="1982"/>
      <c r="E145" s="1957">
        <f>SUM(E141:E144)</f>
        <v>0</v>
      </c>
      <c r="F145" s="1957">
        <f>SUM(F141:F144)</f>
        <v>0</v>
      </c>
      <c r="G145" s="1957">
        <f>SUM(G141:G144)</f>
        <v>0</v>
      </c>
      <c r="H145" s="1962" t="e">
        <f>G145/F145*100</f>
        <v>#DIV/0!</v>
      </c>
      <c r="I145" s="1970"/>
    </row>
    <row r="146" spans="1:9" hidden="1" x14ac:dyDescent="0.2">
      <c r="I146" s="1970"/>
    </row>
    <row r="147" spans="1:9" ht="15" hidden="1" x14ac:dyDescent="0.25">
      <c r="A147" s="1942" t="s">
        <v>308</v>
      </c>
      <c r="D147" s="1936"/>
      <c r="E147" s="1937"/>
      <c r="H147" s="1970"/>
      <c r="I147" s="1970"/>
    </row>
    <row r="148" spans="1:9" ht="15" hidden="1" x14ac:dyDescent="0.25">
      <c r="A148" s="1942" t="s">
        <v>1056</v>
      </c>
      <c r="D148" s="1936"/>
      <c r="E148" s="1937"/>
      <c r="H148" s="1970" t="s">
        <v>173</v>
      </c>
      <c r="I148" s="1970"/>
    </row>
    <row r="149" spans="1:9" ht="25.5" hidden="1" thickTop="1" thickBot="1" x14ac:dyDescent="0.25">
      <c r="A149" s="1943" t="s">
        <v>174</v>
      </c>
      <c r="B149" s="1944" t="s">
        <v>800</v>
      </c>
      <c r="C149" s="1944" t="s">
        <v>397</v>
      </c>
      <c r="D149" s="1945" t="s">
        <v>176</v>
      </c>
      <c r="E149" s="1976" t="s">
        <v>669</v>
      </c>
      <c r="F149" s="1976" t="s">
        <v>670</v>
      </c>
      <c r="G149" s="1977" t="s">
        <v>923</v>
      </c>
      <c r="H149" s="1978" t="s">
        <v>924</v>
      </c>
      <c r="I149" s="1970"/>
    </row>
    <row r="150" spans="1:9" ht="14.25" hidden="1" thickTop="1" thickBot="1" x14ac:dyDescent="0.25">
      <c r="A150" s="1740">
        <v>1</v>
      </c>
      <c r="B150" s="1739">
        <v>2</v>
      </c>
      <c r="C150" s="1739">
        <v>3</v>
      </c>
      <c r="D150" s="1739">
        <v>5</v>
      </c>
      <c r="E150" s="1738">
        <v>6</v>
      </c>
      <c r="F150" s="1738">
        <v>7</v>
      </c>
      <c r="G150" s="2028">
        <v>8</v>
      </c>
      <c r="H150" s="1951" t="s">
        <v>801</v>
      </c>
      <c r="I150" s="1970"/>
    </row>
    <row r="151" spans="1:9" ht="30.75" hidden="1" thickTop="1" x14ac:dyDescent="0.2">
      <c r="A151" s="2049">
        <v>3299</v>
      </c>
      <c r="B151" s="2076">
        <v>5336</v>
      </c>
      <c r="C151" s="2056">
        <v>32133006</v>
      </c>
      <c r="D151" s="1979" t="s">
        <v>1325</v>
      </c>
      <c r="E151" s="1975">
        <v>0</v>
      </c>
      <c r="F151" s="1975"/>
      <c r="G151" s="2039"/>
      <c r="H151" s="1958" t="e">
        <f>G151/F151*100</f>
        <v>#DIV/0!</v>
      </c>
      <c r="I151" s="1970"/>
    </row>
    <row r="152" spans="1:9" ht="30" hidden="1" x14ac:dyDescent="0.2">
      <c r="A152" s="2049">
        <v>3299</v>
      </c>
      <c r="B152" s="2076">
        <v>5336</v>
      </c>
      <c r="C152" s="2056">
        <v>32533006</v>
      </c>
      <c r="D152" s="1979" t="s">
        <v>1325</v>
      </c>
      <c r="E152" s="1989">
        <v>0</v>
      </c>
      <c r="F152" s="1989"/>
      <c r="G152" s="2036"/>
      <c r="H152" s="1961" t="e">
        <f>G152/F152*100</f>
        <v>#DIV/0!</v>
      </c>
      <c r="I152" s="1970"/>
    </row>
    <row r="153" spans="1:9" ht="30" hidden="1" x14ac:dyDescent="0.2">
      <c r="A153" s="2049">
        <v>3299</v>
      </c>
      <c r="B153" s="2056">
        <v>6351</v>
      </c>
      <c r="C153" s="2056">
        <v>32133006</v>
      </c>
      <c r="D153" s="1979" t="s">
        <v>1339</v>
      </c>
      <c r="E153" s="1989">
        <v>0</v>
      </c>
      <c r="F153" s="1989">
        <v>0</v>
      </c>
      <c r="G153" s="2036">
        <v>0</v>
      </c>
      <c r="H153" s="1961" t="e">
        <f>G153/F153*100</f>
        <v>#DIV/0!</v>
      </c>
      <c r="I153" s="1970"/>
    </row>
    <row r="154" spans="1:9" ht="30" hidden="1" x14ac:dyDescent="0.2">
      <c r="A154" s="2049">
        <v>3299</v>
      </c>
      <c r="B154" s="2056">
        <v>6351</v>
      </c>
      <c r="C154" s="2056">
        <v>32533006</v>
      </c>
      <c r="D154" s="1979" t="s">
        <v>1339</v>
      </c>
      <c r="E154" s="1989">
        <v>0</v>
      </c>
      <c r="F154" s="1989">
        <v>0</v>
      </c>
      <c r="G154" s="2036">
        <v>0</v>
      </c>
      <c r="H154" s="1961" t="e">
        <f>G154/F154*100</f>
        <v>#DIV/0!</v>
      </c>
      <c r="I154" s="1970"/>
    </row>
    <row r="155" spans="1:9" ht="16.5" hidden="1" thickTop="1" thickBot="1" x14ac:dyDescent="0.3">
      <c r="A155" s="1980" t="s">
        <v>802</v>
      </c>
      <c r="B155" s="1981"/>
      <c r="C155" s="1981"/>
      <c r="D155" s="1982"/>
      <c r="E155" s="1957">
        <f>SUM(E151:E154)</f>
        <v>0</v>
      </c>
      <c r="F155" s="1957">
        <f>SUM(F151:F154)</f>
        <v>0</v>
      </c>
      <c r="G155" s="1957">
        <f>SUM(G151:G154)</f>
        <v>0</v>
      </c>
      <c r="H155" s="1962" t="e">
        <f>G155/F155*100</f>
        <v>#DIV/0!</v>
      </c>
      <c r="I155" s="1970"/>
    </row>
    <row r="156" spans="1:9" hidden="1" x14ac:dyDescent="0.2">
      <c r="I156" s="1970"/>
    </row>
    <row r="157" spans="1:9" ht="15" hidden="1" x14ac:dyDescent="0.25">
      <c r="A157" s="1942" t="s">
        <v>1740</v>
      </c>
      <c r="D157" s="1936"/>
      <c r="E157" s="1937"/>
      <c r="H157" s="1970"/>
      <c r="I157" s="1970"/>
    </row>
    <row r="158" spans="1:9" ht="15" hidden="1" x14ac:dyDescent="0.25">
      <c r="A158" s="1942" t="s">
        <v>1338</v>
      </c>
      <c r="D158" s="1936"/>
      <c r="E158" s="1937"/>
      <c r="H158" s="2043" t="s">
        <v>173</v>
      </c>
      <c r="I158" s="1970"/>
    </row>
    <row r="159" spans="1:9" ht="25.5" hidden="1" thickTop="1" thickBot="1" x14ac:dyDescent="0.25">
      <c r="A159" s="1943" t="s">
        <v>174</v>
      </c>
      <c r="B159" s="1944" t="s">
        <v>800</v>
      </c>
      <c r="C159" s="1944" t="s">
        <v>397</v>
      </c>
      <c r="D159" s="1945" t="s">
        <v>176</v>
      </c>
      <c r="E159" s="1976" t="s">
        <v>669</v>
      </c>
      <c r="F159" s="1976" t="s">
        <v>670</v>
      </c>
      <c r="G159" s="1977" t="s">
        <v>923</v>
      </c>
      <c r="H159" s="1978" t="s">
        <v>924</v>
      </c>
      <c r="I159" s="1970"/>
    </row>
    <row r="160" spans="1:9" ht="14.25" hidden="1" thickTop="1" thickBot="1" x14ac:dyDescent="0.25">
      <c r="A160" s="1740">
        <v>1</v>
      </c>
      <c r="B160" s="1739">
        <v>2</v>
      </c>
      <c r="C160" s="1739">
        <v>3</v>
      </c>
      <c r="D160" s="1739">
        <v>5</v>
      </c>
      <c r="E160" s="1738">
        <v>6</v>
      </c>
      <c r="F160" s="1738">
        <v>7</v>
      </c>
      <c r="G160" s="2028">
        <v>8</v>
      </c>
      <c r="H160" s="1951" t="s">
        <v>801</v>
      </c>
      <c r="I160" s="1970"/>
    </row>
    <row r="161" spans="1:9" ht="30.75" hidden="1" thickTop="1" x14ac:dyDescent="0.2">
      <c r="A161" s="2049">
        <v>3299</v>
      </c>
      <c r="B161" s="2076">
        <v>5336</v>
      </c>
      <c r="C161" s="2056">
        <v>32133006</v>
      </c>
      <c r="D161" s="1979" t="s">
        <v>1325</v>
      </c>
      <c r="E161" s="1975">
        <v>0</v>
      </c>
      <c r="F161" s="1975"/>
      <c r="G161" s="2039"/>
      <c r="H161" s="1958" t="e">
        <f>G161/F161*100</f>
        <v>#DIV/0!</v>
      </c>
      <c r="I161" s="1970"/>
    </row>
    <row r="162" spans="1:9" ht="30" hidden="1" x14ac:dyDescent="0.2">
      <c r="A162" s="2049">
        <v>3299</v>
      </c>
      <c r="B162" s="2076">
        <v>5336</v>
      </c>
      <c r="C162" s="2056">
        <v>32533006</v>
      </c>
      <c r="D162" s="1979" t="s">
        <v>1325</v>
      </c>
      <c r="E162" s="1989">
        <v>0</v>
      </c>
      <c r="F162" s="1989"/>
      <c r="G162" s="2036"/>
      <c r="H162" s="1961" t="e">
        <f>G162/F162*100</f>
        <v>#DIV/0!</v>
      </c>
      <c r="I162" s="1970"/>
    </row>
    <row r="163" spans="1:9" ht="30" hidden="1" x14ac:dyDescent="0.2">
      <c r="A163" s="2049">
        <v>3299</v>
      </c>
      <c r="B163" s="2056">
        <v>6351</v>
      </c>
      <c r="C163" s="2056">
        <v>32133006</v>
      </c>
      <c r="D163" s="1979" t="s">
        <v>1339</v>
      </c>
      <c r="E163" s="1989">
        <v>0</v>
      </c>
      <c r="F163" s="1989">
        <v>0</v>
      </c>
      <c r="G163" s="2036">
        <v>0</v>
      </c>
      <c r="H163" s="1961" t="e">
        <f>G163/F163*100</f>
        <v>#DIV/0!</v>
      </c>
      <c r="I163" s="1970"/>
    </row>
    <row r="164" spans="1:9" ht="30" hidden="1" x14ac:dyDescent="0.2">
      <c r="A164" s="2049">
        <v>3299</v>
      </c>
      <c r="B164" s="2056">
        <v>6351</v>
      </c>
      <c r="C164" s="2056">
        <v>32533006</v>
      </c>
      <c r="D164" s="1979" t="s">
        <v>1339</v>
      </c>
      <c r="E164" s="1989">
        <v>0</v>
      </c>
      <c r="F164" s="1989">
        <v>0</v>
      </c>
      <c r="G164" s="2036">
        <v>0</v>
      </c>
      <c r="H164" s="1961" t="e">
        <f>G164/F164*100</f>
        <v>#DIV/0!</v>
      </c>
      <c r="I164" s="1970"/>
    </row>
    <row r="165" spans="1:9" ht="16.5" hidden="1" thickTop="1" thickBot="1" x14ac:dyDescent="0.3">
      <c r="A165" s="1980" t="s">
        <v>802</v>
      </c>
      <c r="B165" s="1981"/>
      <c r="C165" s="1981"/>
      <c r="D165" s="1982"/>
      <c r="E165" s="1957">
        <f>SUM(E161:E164)</f>
        <v>0</v>
      </c>
      <c r="F165" s="1957">
        <f>SUM(F161:F164)</f>
        <v>0</v>
      </c>
      <c r="G165" s="1957">
        <f>SUM(G161:G164)</f>
        <v>0</v>
      </c>
      <c r="H165" s="1962" t="e">
        <f>G165/F165*100</f>
        <v>#DIV/0!</v>
      </c>
      <c r="I165" s="1970"/>
    </row>
    <row r="166" spans="1:9" hidden="1" x14ac:dyDescent="0.2">
      <c r="I166" s="1970"/>
    </row>
    <row r="167" spans="1:9" ht="15" hidden="1" x14ac:dyDescent="0.25">
      <c r="A167" s="1942" t="s">
        <v>595</v>
      </c>
      <c r="D167" s="1936"/>
      <c r="E167" s="1937"/>
      <c r="H167" s="1970"/>
      <c r="I167" s="1970"/>
    </row>
    <row r="168" spans="1:9" ht="15" hidden="1" x14ac:dyDescent="0.25">
      <c r="A168" s="1942" t="s">
        <v>596</v>
      </c>
      <c r="D168" s="1936"/>
      <c r="E168" s="1937"/>
      <c r="H168" s="2043" t="s">
        <v>173</v>
      </c>
      <c r="I168" s="1970"/>
    </row>
    <row r="169" spans="1:9" ht="25.5" hidden="1" thickTop="1" thickBot="1" x14ac:dyDescent="0.25">
      <c r="A169" s="1943" t="s">
        <v>174</v>
      </c>
      <c r="B169" s="1944" t="s">
        <v>800</v>
      </c>
      <c r="C169" s="1944" t="s">
        <v>397</v>
      </c>
      <c r="D169" s="1945" t="s">
        <v>176</v>
      </c>
      <c r="E169" s="1976" t="s">
        <v>669</v>
      </c>
      <c r="F169" s="1976" t="s">
        <v>670</v>
      </c>
      <c r="G169" s="1977" t="s">
        <v>923</v>
      </c>
      <c r="H169" s="1978" t="s">
        <v>924</v>
      </c>
      <c r="I169" s="1970"/>
    </row>
    <row r="170" spans="1:9" ht="14.25" hidden="1" thickTop="1" thickBot="1" x14ac:dyDescent="0.25">
      <c r="A170" s="1740">
        <v>1</v>
      </c>
      <c r="B170" s="1739">
        <v>2</v>
      </c>
      <c r="C170" s="1739">
        <v>3</v>
      </c>
      <c r="D170" s="1739">
        <v>5</v>
      </c>
      <c r="E170" s="1738">
        <v>6</v>
      </c>
      <c r="F170" s="1738">
        <v>7</v>
      </c>
      <c r="G170" s="2028">
        <v>8</v>
      </c>
      <c r="H170" s="1951" t="s">
        <v>801</v>
      </c>
      <c r="I170" s="1970"/>
    </row>
    <row r="171" spans="1:9" ht="30.75" hidden="1" thickTop="1" x14ac:dyDescent="0.2">
      <c r="A171" s="2049">
        <v>3299</v>
      </c>
      <c r="B171" s="2076">
        <v>5336</v>
      </c>
      <c r="C171" s="2056">
        <v>32133006</v>
      </c>
      <c r="D171" s="1979" t="s">
        <v>1325</v>
      </c>
      <c r="E171" s="1975">
        <v>0</v>
      </c>
      <c r="F171" s="1975"/>
      <c r="G171" s="2039"/>
      <c r="H171" s="1958" t="e">
        <f>G171/F171*100</f>
        <v>#DIV/0!</v>
      </c>
      <c r="I171" s="1970"/>
    </row>
    <row r="172" spans="1:9" ht="30" hidden="1" x14ac:dyDescent="0.2">
      <c r="A172" s="2049">
        <v>3299</v>
      </c>
      <c r="B172" s="2076">
        <v>5336</v>
      </c>
      <c r="C172" s="2056">
        <v>32533006</v>
      </c>
      <c r="D172" s="1979" t="s">
        <v>1325</v>
      </c>
      <c r="E172" s="1989">
        <v>0</v>
      </c>
      <c r="F172" s="1989"/>
      <c r="G172" s="2036"/>
      <c r="H172" s="1961" t="e">
        <f>G172/F172*100</f>
        <v>#DIV/0!</v>
      </c>
      <c r="I172" s="1970"/>
    </row>
    <row r="173" spans="1:9" ht="30" hidden="1" x14ac:dyDescent="0.2">
      <c r="A173" s="2049">
        <v>3299</v>
      </c>
      <c r="B173" s="2056">
        <v>6351</v>
      </c>
      <c r="C173" s="2056">
        <v>32133006</v>
      </c>
      <c r="D173" s="1979" t="s">
        <v>1339</v>
      </c>
      <c r="E173" s="1989">
        <v>0</v>
      </c>
      <c r="F173" s="1989">
        <v>0</v>
      </c>
      <c r="G173" s="2036">
        <v>0</v>
      </c>
      <c r="H173" s="1961" t="e">
        <f>G173/F173*100</f>
        <v>#DIV/0!</v>
      </c>
      <c r="I173" s="1970"/>
    </row>
    <row r="174" spans="1:9" ht="30" hidden="1" x14ac:dyDescent="0.2">
      <c r="A174" s="2049">
        <v>3299</v>
      </c>
      <c r="B174" s="2056">
        <v>6351</v>
      </c>
      <c r="C174" s="2056">
        <v>32533006</v>
      </c>
      <c r="D174" s="1979" t="s">
        <v>1339</v>
      </c>
      <c r="E174" s="1989">
        <v>0</v>
      </c>
      <c r="F174" s="1989">
        <v>0</v>
      </c>
      <c r="G174" s="2036">
        <v>0</v>
      </c>
      <c r="H174" s="1961" t="e">
        <f>G174/F174*100</f>
        <v>#DIV/0!</v>
      </c>
      <c r="I174" s="1970"/>
    </row>
    <row r="175" spans="1:9" ht="16.5" hidden="1" thickTop="1" thickBot="1" x14ac:dyDescent="0.3">
      <c r="A175" s="1980" t="s">
        <v>802</v>
      </c>
      <c r="B175" s="1981"/>
      <c r="C175" s="1981"/>
      <c r="D175" s="1982"/>
      <c r="E175" s="1957">
        <f>SUM(E171:E174)</f>
        <v>0</v>
      </c>
      <c r="F175" s="1957">
        <f>SUM(F171:F174)</f>
        <v>0</v>
      </c>
      <c r="G175" s="1957">
        <f>SUM(G171:G174)</f>
        <v>0</v>
      </c>
      <c r="H175" s="1962" t="e">
        <f>G175/F175*100</f>
        <v>#DIV/0!</v>
      </c>
      <c r="I175" s="1970"/>
    </row>
    <row r="176" spans="1:9" hidden="1" x14ac:dyDescent="0.2">
      <c r="I176" s="1970"/>
    </row>
    <row r="177" spans="1:9" ht="15" x14ac:dyDescent="0.25">
      <c r="A177" s="1942" t="s">
        <v>1752</v>
      </c>
      <c r="D177" s="1936"/>
      <c r="E177" s="1937"/>
      <c r="H177" s="1970"/>
      <c r="I177" s="1970"/>
    </row>
    <row r="178" spans="1:9" ht="15.75" thickBot="1" x14ac:dyDescent="0.3">
      <c r="A178" s="1942" t="s">
        <v>908</v>
      </c>
      <c r="D178" s="1936"/>
      <c r="E178" s="1937"/>
      <c r="H178" s="2043" t="s">
        <v>173</v>
      </c>
      <c r="I178" s="1970"/>
    </row>
    <row r="179" spans="1:9" ht="25.5" thickTop="1" thickBot="1" x14ac:dyDescent="0.25">
      <c r="A179" s="1943" t="s">
        <v>174</v>
      </c>
      <c r="B179" s="1944" t="s">
        <v>800</v>
      </c>
      <c r="C179" s="1944" t="s">
        <v>397</v>
      </c>
      <c r="D179" s="1945" t="s">
        <v>176</v>
      </c>
      <c r="E179" s="1976" t="s">
        <v>669</v>
      </c>
      <c r="F179" s="1976" t="s">
        <v>670</v>
      </c>
      <c r="G179" s="1977" t="s">
        <v>923</v>
      </c>
      <c r="H179" s="1978" t="s">
        <v>924</v>
      </c>
      <c r="I179" s="1970"/>
    </row>
    <row r="180" spans="1:9" ht="14.25" thickTop="1" thickBot="1" x14ac:dyDescent="0.25">
      <c r="A180" s="1740">
        <v>1</v>
      </c>
      <c r="B180" s="1739">
        <v>2</v>
      </c>
      <c r="C180" s="1739">
        <v>3</v>
      </c>
      <c r="D180" s="1739">
        <v>5</v>
      </c>
      <c r="E180" s="1738">
        <v>6</v>
      </c>
      <c r="F180" s="1738">
        <v>7</v>
      </c>
      <c r="G180" s="2028">
        <v>8</v>
      </c>
      <c r="H180" s="1951" t="s">
        <v>801</v>
      </c>
      <c r="I180" s="1970"/>
    </row>
    <row r="181" spans="1:9" ht="30.75" thickTop="1" x14ac:dyDescent="0.2">
      <c r="A181" s="2049">
        <v>3299</v>
      </c>
      <c r="B181" s="2076">
        <v>5336</v>
      </c>
      <c r="C181" s="2056">
        <v>32133006</v>
      </c>
      <c r="D181" s="1979" t="s">
        <v>1325</v>
      </c>
      <c r="E181" s="1975">
        <v>0</v>
      </c>
      <c r="F181" s="1975">
        <v>94</v>
      </c>
      <c r="G181" s="2039">
        <v>9</v>
      </c>
      <c r="H181" s="1958">
        <f>G181/F181*100</f>
        <v>9.5744680851063837</v>
      </c>
      <c r="I181" s="1970"/>
    </row>
    <row r="182" spans="1:9" ht="30.75" thickBot="1" x14ac:dyDescent="0.25">
      <c r="A182" s="2049">
        <v>3299</v>
      </c>
      <c r="B182" s="2076">
        <v>5336</v>
      </c>
      <c r="C182" s="2056">
        <v>32533006</v>
      </c>
      <c r="D182" s="1979" t="s">
        <v>1325</v>
      </c>
      <c r="E182" s="1989">
        <v>0</v>
      </c>
      <c r="F182" s="1989">
        <v>536</v>
      </c>
      <c r="G182" s="2036">
        <v>52</v>
      </c>
      <c r="H182" s="1961">
        <f>G182/F182*100</f>
        <v>9.7014925373134329</v>
      </c>
      <c r="I182" s="1970"/>
    </row>
    <row r="183" spans="1:9" ht="30.75" hidden="1" thickBot="1" x14ac:dyDescent="0.25">
      <c r="A183" s="2049">
        <v>3299</v>
      </c>
      <c r="B183" s="2056">
        <v>6351</v>
      </c>
      <c r="C183" s="2056">
        <v>32133006</v>
      </c>
      <c r="D183" s="1979" t="s">
        <v>1339</v>
      </c>
      <c r="E183" s="1989">
        <v>0</v>
      </c>
      <c r="F183" s="1989">
        <v>0</v>
      </c>
      <c r="G183" s="2036">
        <v>0</v>
      </c>
      <c r="H183" s="1961" t="e">
        <f>G183/F183*100</f>
        <v>#DIV/0!</v>
      </c>
      <c r="I183" s="1970"/>
    </row>
    <row r="184" spans="1:9" ht="30.75" hidden="1" thickBot="1" x14ac:dyDescent="0.25">
      <c r="A184" s="2049">
        <v>3299</v>
      </c>
      <c r="B184" s="2056">
        <v>6351</v>
      </c>
      <c r="C184" s="2056">
        <v>32533006</v>
      </c>
      <c r="D184" s="1979" t="s">
        <v>1339</v>
      </c>
      <c r="E184" s="1989">
        <v>0</v>
      </c>
      <c r="F184" s="1989">
        <v>0</v>
      </c>
      <c r="G184" s="2036">
        <v>0</v>
      </c>
      <c r="H184" s="1961" t="e">
        <f>G184/F184*100</f>
        <v>#DIV/0!</v>
      </c>
      <c r="I184" s="1970"/>
    </row>
    <row r="185" spans="1:9" ht="16.5" thickTop="1" thickBot="1" x14ac:dyDescent="0.3">
      <c r="A185" s="1980" t="s">
        <v>802</v>
      </c>
      <c r="B185" s="1981"/>
      <c r="C185" s="1981"/>
      <c r="D185" s="1982"/>
      <c r="E185" s="1957">
        <f>SUM(E181:E184)</f>
        <v>0</v>
      </c>
      <c r="F185" s="1957">
        <f>SUM(F181:F184)</f>
        <v>630</v>
      </c>
      <c r="G185" s="1957">
        <f>SUM(G181:G184)</f>
        <v>61</v>
      </c>
      <c r="H185" s="1962">
        <f>G185/F185*100</f>
        <v>9.6825396825396837</v>
      </c>
      <c r="I185" s="1970"/>
    </row>
    <row r="186" spans="1:9" ht="13.5" thickTop="1" x14ac:dyDescent="0.2">
      <c r="I186" s="1970"/>
    </row>
    <row r="187" spans="1:9" ht="15" x14ac:dyDescent="0.25">
      <c r="A187" s="1942" t="s">
        <v>1058</v>
      </c>
      <c r="D187" s="1936"/>
      <c r="E187" s="1937"/>
      <c r="H187" s="1970"/>
      <c r="I187" s="1970"/>
    </row>
    <row r="188" spans="1:9" ht="15.75" thickBot="1" x14ac:dyDescent="0.3">
      <c r="A188" s="1942" t="s">
        <v>1059</v>
      </c>
      <c r="D188" s="1936"/>
      <c r="E188" s="1937"/>
      <c r="H188" s="2043" t="s">
        <v>173</v>
      </c>
      <c r="I188" s="1970"/>
    </row>
    <row r="189" spans="1:9" ht="25.5" thickTop="1" thickBot="1" x14ac:dyDescent="0.25">
      <c r="A189" s="1943" t="s">
        <v>174</v>
      </c>
      <c r="B189" s="1944" t="s">
        <v>800</v>
      </c>
      <c r="C189" s="1944" t="s">
        <v>397</v>
      </c>
      <c r="D189" s="1945" t="s">
        <v>176</v>
      </c>
      <c r="E189" s="1976" t="s">
        <v>669</v>
      </c>
      <c r="F189" s="1976" t="s">
        <v>670</v>
      </c>
      <c r="G189" s="1977" t="s">
        <v>923</v>
      </c>
      <c r="H189" s="1978" t="s">
        <v>924</v>
      </c>
      <c r="I189" s="1970"/>
    </row>
    <row r="190" spans="1:9" ht="14.25" thickTop="1" thickBot="1" x14ac:dyDescent="0.25">
      <c r="A190" s="1740">
        <v>1</v>
      </c>
      <c r="B190" s="1739">
        <v>2</v>
      </c>
      <c r="C190" s="1739">
        <v>3</v>
      </c>
      <c r="D190" s="1739">
        <v>5</v>
      </c>
      <c r="E190" s="1738">
        <v>6</v>
      </c>
      <c r="F190" s="1738">
        <v>7</v>
      </c>
      <c r="G190" s="2028">
        <v>8</v>
      </c>
      <c r="H190" s="1951" t="s">
        <v>801</v>
      </c>
      <c r="I190" s="1970"/>
    </row>
    <row r="191" spans="1:9" ht="30.75" thickTop="1" x14ac:dyDescent="0.2">
      <c r="A191" s="2049">
        <v>3299</v>
      </c>
      <c r="B191" s="2076">
        <v>5336</v>
      </c>
      <c r="C191" s="2056">
        <v>32133006</v>
      </c>
      <c r="D191" s="1979" t="s">
        <v>1325</v>
      </c>
      <c r="E191" s="1975">
        <v>0</v>
      </c>
      <c r="F191" s="1975">
        <v>135</v>
      </c>
      <c r="G191" s="2039">
        <v>24</v>
      </c>
      <c r="H191" s="1958">
        <f>G191/F191*100</f>
        <v>17.777777777777779</v>
      </c>
      <c r="I191" s="1970"/>
    </row>
    <row r="192" spans="1:9" ht="30.75" thickBot="1" x14ac:dyDescent="0.25">
      <c r="A192" s="2049">
        <v>3299</v>
      </c>
      <c r="B192" s="2076">
        <v>5336</v>
      </c>
      <c r="C192" s="2056">
        <v>32533006</v>
      </c>
      <c r="D192" s="1979" t="s">
        <v>1325</v>
      </c>
      <c r="E192" s="1989">
        <v>0</v>
      </c>
      <c r="F192" s="1989">
        <v>765</v>
      </c>
      <c r="G192" s="2036">
        <v>134</v>
      </c>
      <c r="H192" s="1961">
        <f>G192/F192*100</f>
        <v>17.516339869281044</v>
      </c>
      <c r="I192" s="1970"/>
    </row>
    <row r="193" spans="1:9" ht="30.75" hidden="1" thickBot="1" x14ac:dyDescent="0.25">
      <c r="A193" s="2049">
        <v>3299</v>
      </c>
      <c r="B193" s="2056">
        <v>6351</v>
      </c>
      <c r="C193" s="2056">
        <v>32133006</v>
      </c>
      <c r="D193" s="1979" t="s">
        <v>1339</v>
      </c>
      <c r="E193" s="1989">
        <v>0</v>
      </c>
      <c r="F193" s="1989">
        <v>0</v>
      </c>
      <c r="G193" s="2036">
        <v>0</v>
      </c>
      <c r="H193" s="1961" t="e">
        <f>G193/F193*100</f>
        <v>#DIV/0!</v>
      </c>
      <c r="I193" s="1970"/>
    </row>
    <row r="194" spans="1:9" ht="30.75" hidden="1" thickBot="1" x14ac:dyDescent="0.25">
      <c r="A194" s="2049">
        <v>3299</v>
      </c>
      <c r="B194" s="2056">
        <v>6351</v>
      </c>
      <c r="C194" s="2056">
        <v>32533006</v>
      </c>
      <c r="D194" s="1979" t="s">
        <v>1339</v>
      </c>
      <c r="E194" s="1989">
        <v>0</v>
      </c>
      <c r="F194" s="1989">
        <v>0</v>
      </c>
      <c r="G194" s="2036">
        <v>0</v>
      </c>
      <c r="H194" s="1961" t="e">
        <f>G194/F194*100</f>
        <v>#DIV/0!</v>
      </c>
      <c r="I194" s="1970"/>
    </row>
    <row r="195" spans="1:9" ht="16.5" thickTop="1" thickBot="1" x14ac:dyDescent="0.3">
      <c r="A195" s="1980" t="s">
        <v>802</v>
      </c>
      <c r="B195" s="1981"/>
      <c r="C195" s="1981"/>
      <c r="D195" s="1982"/>
      <c r="E195" s="1957">
        <f>SUM(E191:E194)</f>
        <v>0</v>
      </c>
      <c r="F195" s="1957">
        <f>SUM(F191:F194)</f>
        <v>900</v>
      </c>
      <c r="G195" s="1957">
        <f>SUM(G191:G194)</f>
        <v>158</v>
      </c>
      <c r="H195" s="1962">
        <f>G195/F195*100</f>
        <v>17.555555555555554</v>
      </c>
      <c r="I195" s="1970"/>
    </row>
    <row r="196" spans="1:9" ht="13.5" thickTop="1" x14ac:dyDescent="0.2">
      <c r="I196" s="1970"/>
    </row>
    <row r="197" spans="1:9" ht="15" x14ac:dyDescent="0.25">
      <c r="A197" s="1942" t="s">
        <v>1741</v>
      </c>
      <c r="D197" s="1936"/>
      <c r="E197" s="1937"/>
      <c r="H197" s="1970"/>
      <c r="I197" s="1970"/>
    </row>
    <row r="198" spans="1:9" ht="15.75" thickBot="1" x14ac:dyDescent="0.3">
      <c r="A198" s="1942" t="s">
        <v>909</v>
      </c>
      <c r="D198" s="1936"/>
      <c r="E198" s="1937"/>
      <c r="H198" s="2043" t="s">
        <v>173</v>
      </c>
      <c r="I198" s="1970"/>
    </row>
    <row r="199" spans="1:9" ht="25.5" thickTop="1" thickBot="1" x14ac:dyDescent="0.25">
      <c r="A199" s="1943" t="s">
        <v>174</v>
      </c>
      <c r="B199" s="1944" t="s">
        <v>800</v>
      </c>
      <c r="C199" s="1944" t="s">
        <v>397</v>
      </c>
      <c r="D199" s="1945" t="s">
        <v>176</v>
      </c>
      <c r="E199" s="1976" t="s">
        <v>669</v>
      </c>
      <c r="F199" s="1976" t="s">
        <v>670</v>
      </c>
      <c r="G199" s="1977" t="s">
        <v>923</v>
      </c>
      <c r="H199" s="1978" t="s">
        <v>924</v>
      </c>
      <c r="I199" s="1970"/>
    </row>
    <row r="200" spans="1:9" ht="14.25" thickTop="1" thickBot="1" x14ac:dyDescent="0.25">
      <c r="A200" s="1740">
        <v>1</v>
      </c>
      <c r="B200" s="1739">
        <v>2</v>
      </c>
      <c r="C200" s="1739">
        <v>3</v>
      </c>
      <c r="D200" s="1739">
        <v>5</v>
      </c>
      <c r="E200" s="1738">
        <v>6</v>
      </c>
      <c r="F200" s="1738">
        <v>7</v>
      </c>
      <c r="G200" s="2028">
        <v>8</v>
      </c>
      <c r="H200" s="1951" t="s">
        <v>801</v>
      </c>
      <c r="I200" s="1970"/>
    </row>
    <row r="201" spans="1:9" ht="30.75" thickTop="1" x14ac:dyDescent="0.2">
      <c r="A201" s="2049">
        <v>3299</v>
      </c>
      <c r="B201" s="2076">
        <v>5336</v>
      </c>
      <c r="C201" s="2056">
        <v>32133006</v>
      </c>
      <c r="D201" s="1979" t="s">
        <v>1325</v>
      </c>
      <c r="E201" s="1975">
        <v>0</v>
      </c>
      <c r="F201" s="1975">
        <v>135</v>
      </c>
      <c r="G201" s="2039">
        <v>30</v>
      </c>
      <c r="H201" s="1958">
        <f>G201/F201*100</f>
        <v>22.222222222222221</v>
      </c>
      <c r="I201" s="1970"/>
    </row>
    <row r="202" spans="1:9" ht="30.75" thickBot="1" x14ac:dyDescent="0.25">
      <c r="A202" s="2049">
        <v>3299</v>
      </c>
      <c r="B202" s="2076">
        <v>5336</v>
      </c>
      <c r="C202" s="2056">
        <v>32533006</v>
      </c>
      <c r="D202" s="1979" t="s">
        <v>1325</v>
      </c>
      <c r="E202" s="1989">
        <v>0</v>
      </c>
      <c r="F202" s="1989">
        <v>765</v>
      </c>
      <c r="G202" s="2036">
        <v>169</v>
      </c>
      <c r="H202" s="1961">
        <f>G202/F202*100</f>
        <v>22.091503267973856</v>
      </c>
      <c r="I202" s="1970"/>
    </row>
    <row r="203" spans="1:9" ht="30.75" hidden="1" thickBot="1" x14ac:dyDescent="0.25">
      <c r="A203" s="2049">
        <v>3299</v>
      </c>
      <c r="B203" s="2056">
        <v>6351</v>
      </c>
      <c r="C203" s="2056">
        <v>32133006</v>
      </c>
      <c r="D203" s="1979" t="s">
        <v>1339</v>
      </c>
      <c r="E203" s="1989">
        <v>0</v>
      </c>
      <c r="F203" s="1989">
        <v>0</v>
      </c>
      <c r="G203" s="2036">
        <v>0</v>
      </c>
      <c r="H203" s="1961" t="e">
        <f>G203/F203*100</f>
        <v>#DIV/0!</v>
      </c>
      <c r="I203" s="1970"/>
    </row>
    <row r="204" spans="1:9" ht="30.75" hidden="1" thickBot="1" x14ac:dyDescent="0.25">
      <c r="A204" s="2049">
        <v>3299</v>
      </c>
      <c r="B204" s="2056">
        <v>6351</v>
      </c>
      <c r="C204" s="2056">
        <v>32533006</v>
      </c>
      <c r="D204" s="1979" t="s">
        <v>1339</v>
      </c>
      <c r="E204" s="1989">
        <v>0</v>
      </c>
      <c r="F204" s="1989">
        <v>0</v>
      </c>
      <c r="G204" s="2036">
        <v>0</v>
      </c>
      <c r="H204" s="1961" t="e">
        <f>G204/F204*100</f>
        <v>#DIV/0!</v>
      </c>
      <c r="I204" s="1970"/>
    </row>
    <row r="205" spans="1:9" ht="16.5" thickTop="1" thickBot="1" x14ac:dyDescent="0.3">
      <c r="A205" s="1980" t="s">
        <v>802</v>
      </c>
      <c r="B205" s="1981"/>
      <c r="C205" s="1981"/>
      <c r="D205" s="1982"/>
      <c r="E205" s="1957">
        <f>SUM(E201:E204)</f>
        <v>0</v>
      </c>
      <c r="F205" s="1957">
        <f>SUM(F201:F204)</f>
        <v>900</v>
      </c>
      <c r="G205" s="1957">
        <f>SUM(G201:G204)</f>
        <v>199</v>
      </c>
      <c r="H205" s="1962">
        <f>G205/F205*100</f>
        <v>22.111111111111111</v>
      </c>
      <c r="I205" s="1970"/>
    </row>
    <row r="206" spans="1:9" ht="13.5" thickTop="1" x14ac:dyDescent="0.2">
      <c r="I206" s="1970"/>
    </row>
    <row r="207" spans="1:9" ht="15" hidden="1" x14ac:dyDescent="0.25">
      <c r="A207" s="1942" t="s">
        <v>281</v>
      </c>
      <c r="D207" s="1936"/>
      <c r="E207" s="1937"/>
      <c r="H207" s="1970"/>
      <c r="I207" s="1970"/>
    </row>
    <row r="208" spans="1:9" ht="15" hidden="1" x14ac:dyDescent="0.25">
      <c r="A208" s="1942" t="s">
        <v>282</v>
      </c>
      <c r="D208" s="1936"/>
      <c r="E208" s="1937"/>
      <c r="H208" s="1970" t="s">
        <v>173</v>
      </c>
      <c r="I208" s="1970"/>
    </row>
    <row r="209" spans="1:12" ht="25.5" hidden="1" thickTop="1" thickBot="1" x14ac:dyDescent="0.25">
      <c r="A209" s="1943" t="s">
        <v>174</v>
      </c>
      <c r="B209" s="1944" t="s">
        <v>800</v>
      </c>
      <c r="C209" s="1944" t="s">
        <v>397</v>
      </c>
      <c r="D209" s="1945" t="s">
        <v>176</v>
      </c>
      <c r="E209" s="1976" t="s">
        <v>669</v>
      </c>
      <c r="F209" s="1976" t="s">
        <v>670</v>
      </c>
      <c r="G209" s="1977" t="s">
        <v>923</v>
      </c>
      <c r="H209" s="1978" t="s">
        <v>924</v>
      </c>
      <c r="I209" s="1970"/>
    </row>
    <row r="210" spans="1:12" ht="14.25" hidden="1" thickTop="1" thickBot="1" x14ac:dyDescent="0.25">
      <c r="A210" s="1740">
        <v>1</v>
      </c>
      <c r="B210" s="1739">
        <v>2</v>
      </c>
      <c r="C210" s="1739">
        <v>3</v>
      </c>
      <c r="D210" s="1739">
        <v>5</v>
      </c>
      <c r="E210" s="1738">
        <v>6</v>
      </c>
      <c r="F210" s="1738">
        <v>7</v>
      </c>
      <c r="G210" s="2028">
        <v>8</v>
      </c>
      <c r="H210" s="1951" t="s">
        <v>801</v>
      </c>
      <c r="I210" s="1970"/>
    </row>
    <row r="211" spans="1:12" ht="30.75" hidden="1" thickTop="1" x14ac:dyDescent="0.2">
      <c r="A211" s="2049">
        <v>3299</v>
      </c>
      <c r="B211" s="2056">
        <v>5222</v>
      </c>
      <c r="C211" s="2056">
        <v>32133006</v>
      </c>
      <c r="D211" s="1979" t="s">
        <v>234</v>
      </c>
      <c r="E211" s="1975">
        <v>0</v>
      </c>
      <c r="F211" s="1975">
        <v>0</v>
      </c>
      <c r="G211" s="2039">
        <v>0</v>
      </c>
      <c r="H211" s="1958" t="e">
        <f>G211/F211*100</f>
        <v>#DIV/0!</v>
      </c>
      <c r="I211" s="1970"/>
    </row>
    <row r="212" spans="1:12" ht="30" hidden="1" x14ac:dyDescent="0.2">
      <c r="A212" s="2049">
        <v>3299</v>
      </c>
      <c r="B212" s="2056">
        <v>5222</v>
      </c>
      <c r="C212" s="2056">
        <v>32533006</v>
      </c>
      <c r="D212" s="1979" t="s">
        <v>234</v>
      </c>
      <c r="E212" s="1989">
        <v>0</v>
      </c>
      <c r="F212" s="1989">
        <v>0</v>
      </c>
      <c r="G212" s="2036">
        <v>0</v>
      </c>
      <c r="H212" s="1961" t="e">
        <f>G212/F212*100</f>
        <v>#DIV/0!</v>
      </c>
      <c r="I212" s="1970"/>
    </row>
    <row r="213" spans="1:12" ht="30" hidden="1" x14ac:dyDescent="0.2">
      <c r="A213" s="2049">
        <v>3299</v>
      </c>
      <c r="B213" s="2056">
        <v>6351</v>
      </c>
      <c r="C213" s="2056">
        <v>32133006</v>
      </c>
      <c r="D213" s="1979" t="s">
        <v>1339</v>
      </c>
      <c r="E213" s="1989">
        <v>0</v>
      </c>
      <c r="F213" s="1989">
        <v>0</v>
      </c>
      <c r="G213" s="2036">
        <v>0</v>
      </c>
      <c r="H213" s="1961" t="e">
        <f>G213/F213*100</f>
        <v>#DIV/0!</v>
      </c>
      <c r="I213" s="1970"/>
    </row>
    <row r="214" spans="1:12" ht="30" hidden="1" x14ac:dyDescent="0.2">
      <c r="A214" s="2049">
        <v>3299</v>
      </c>
      <c r="B214" s="2056">
        <v>6351</v>
      </c>
      <c r="C214" s="2056">
        <v>32533006</v>
      </c>
      <c r="D214" s="1979" t="s">
        <v>1339</v>
      </c>
      <c r="E214" s="1989">
        <v>0</v>
      </c>
      <c r="F214" s="1989">
        <v>0</v>
      </c>
      <c r="G214" s="2036">
        <v>0</v>
      </c>
      <c r="H214" s="1961" t="e">
        <f>G214/F214*100</f>
        <v>#DIV/0!</v>
      </c>
      <c r="I214" s="1970"/>
    </row>
    <row r="215" spans="1:12" ht="16.5" hidden="1" thickTop="1" thickBot="1" x14ac:dyDescent="0.3">
      <c r="A215" s="1980" t="s">
        <v>802</v>
      </c>
      <c r="B215" s="1981"/>
      <c r="C215" s="1981"/>
      <c r="D215" s="1982"/>
      <c r="E215" s="1957">
        <f>SUM(E211:E214)</f>
        <v>0</v>
      </c>
      <c r="F215" s="1957">
        <f>SUM(F211:F214)</f>
        <v>0</v>
      </c>
      <c r="G215" s="1957">
        <f>SUM(G211:G214)</f>
        <v>0</v>
      </c>
      <c r="H215" s="1962" t="e">
        <f>G215/F215*100</f>
        <v>#DIV/0!</v>
      </c>
      <c r="I215" s="1970"/>
    </row>
    <row r="216" spans="1:12" hidden="1" x14ac:dyDescent="0.2">
      <c r="I216" s="1970"/>
    </row>
    <row r="217" spans="1:12" ht="4.5" customHeight="1" x14ac:dyDescent="0.2">
      <c r="I217" s="1970"/>
    </row>
    <row r="218" spans="1:12" hidden="1" x14ac:dyDescent="0.2">
      <c r="I218" s="1970"/>
    </row>
    <row r="219" spans="1:12" hidden="1" x14ac:dyDescent="0.2">
      <c r="I219" s="1970"/>
    </row>
    <row r="221" spans="1:12" ht="16.5" x14ac:dyDescent="0.25">
      <c r="A221" s="2011" t="s">
        <v>487</v>
      </c>
      <c r="B221" s="2012"/>
      <c r="C221" s="2013"/>
      <c r="D221" s="2014"/>
      <c r="E221" s="2015">
        <f>SUM(E222:E224)</f>
        <v>0</v>
      </c>
      <c r="F221" s="2015">
        <f>F222+F223+F224+F225</f>
        <v>16752</v>
      </c>
      <c r="G221" s="2015">
        <f>G222+G223+G224+G225</f>
        <v>4823</v>
      </c>
      <c r="H221" s="2035">
        <f>G221/F221*100</f>
        <v>28.790592168099334</v>
      </c>
      <c r="J221" s="2017">
        <f>J222+J223+J224</f>
        <v>0</v>
      </c>
      <c r="K221" s="2017">
        <f>K222+K223+K224</f>
        <v>16751855.84</v>
      </c>
      <c r="L221" s="2017">
        <f>L222+L223+L224</f>
        <v>4823287.62</v>
      </c>
    </row>
    <row r="222" spans="1:12" ht="15" x14ac:dyDescent="0.2">
      <c r="A222" s="1696" t="s">
        <v>277</v>
      </c>
      <c r="B222" s="1699"/>
      <c r="C222" s="1694"/>
      <c r="D222" s="2018"/>
      <c r="E222" s="1697">
        <f>E10+E11+E12+E13+E14+E15+E16+E17+E18+E19+E20+E21+E32+E50+E51+E60+E61+E101+E102+E111+E112+E121+E122+E181+E182+E191+E192+E201+E202</f>
        <v>0</v>
      </c>
      <c r="F222" s="1697">
        <f>F10+F11+F12+F13+F14+F15+F16+F17+F18+F19+F20+F21+F32+F50+F51+F60+F61+F101+F102+F111+F112+F121+F122+F181+F182+F191+F192+F201+F202</f>
        <v>14117</v>
      </c>
      <c r="G222" s="1697">
        <f>G10+G11+G12+G13+G14+G15+G16+G17+G18+G19+G20+G21+G32+G50+G51+G60+G61+G101+G102+G111+G112+G121+G122+G181+G182+G191+G192+G201+G202</f>
        <v>4823</v>
      </c>
      <c r="H222" s="2034">
        <f>G222/F222*100</f>
        <v>34.164482538783027</v>
      </c>
      <c r="J222" s="2019">
        <v>0</v>
      </c>
      <c r="K222" s="2019">
        <v>14116535.640000001</v>
      </c>
      <c r="L222" s="2019">
        <v>4823287.62</v>
      </c>
    </row>
    <row r="223" spans="1:12" ht="15" x14ac:dyDescent="0.2">
      <c r="A223" s="1696" t="s">
        <v>278</v>
      </c>
      <c r="B223" s="1695"/>
      <c r="C223" s="1694"/>
      <c r="D223" s="2020"/>
      <c r="E223" s="1697">
        <f>E30+E31</f>
        <v>0</v>
      </c>
      <c r="F223" s="1697">
        <f>F30+F31</f>
        <v>2635</v>
      </c>
      <c r="G223" s="1697">
        <f>G30+G31</f>
        <v>0</v>
      </c>
      <c r="H223" s="2034">
        <v>0</v>
      </c>
      <c r="J223" s="2019">
        <v>0</v>
      </c>
      <c r="K223" s="2019">
        <v>2635320.2000000002</v>
      </c>
      <c r="L223" s="2019">
        <v>0</v>
      </c>
    </row>
    <row r="224" spans="1:12" ht="15" x14ac:dyDescent="0.2">
      <c r="A224" s="1696" t="s">
        <v>488</v>
      </c>
      <c r="B224" s="1695"/>
      <c r="C224" s="1694"/>
      <c r="D224" s="2020"/>
      <c r="E224" s="1697">
        <v>0</v>
      </c>
      <c r="F224" s="1697">
        <v>0</v>
      </c>
      <c r="G224" s="1697">
        <v>0</v>
      </c>
      <c r="H224" s="2034">
        <v>0</v>
      </c>
      <c r="J224" s="2019">
        <v>0</v>
      </c>
      <c r="K224" s="2019">
        <v>0</v>
      </c>
      <c r="L224" s="2019">
        <v>0</v>
      </c>
    </row>
    <row r="225" spans="1:8" ht="15" x14ac:dyDescent="0.2">
      <c r="A225" s="1696"/>
      <c r="B225" s="1695"/>
      <c r="C225" s="1694"/>
      <c r="D225" s="2020"/>
      <c r="E225" s="1697"/>
      <c r="F225" s="1697"/>
      <c r="G225" s="1697"/>
      <c r="H225" s="1693"/>
    </row>
    <row r="226" spans="1:8" ht="70.5" customHeight="1" thickBot="1" x14ac:dyDescent="0.4">
      <c r="A226" s="2746" t="s">
        <v>318</v>
      </c>
      <c r="B226" s="2765"/>
      <c r="C226" s="2765"/>
      <c r="D226" s="2765"/>
      <c r="E226" s="1687">
        <f>SUM(E221)</f>
        <v>0</v>
      </c>
      <c r="F226" s="1687">
        <f>SUM(F221)</f>
        <v>16752</v>
      </c>
      <c r="G226" s="1687">
        <f>SUM(G221)</f>
        <v>4823</v>
      </c>
      <c r="H226" s="1686">
        <f>(G226/F226)*100</f>
        <v>28.790592168099334</v>
      </c>
    </row>
    <row r="227" spans="1:8" ht="13.5" thickTop="1" x14ac:dyDescent="0.2"/>
    <row r="347" spans="1:5" ht="13.5" thickBot="1" x14ac:dyDescent="0.25">
      <c r="A347" s="1984"/>
      <c r="B347" s="1984"/>
      <c r="C347" s="1984"/>
      <c r="D347" s="2064"/>
      <c r="E347" s="2065"/>
    </row>
    <row r="348" spans="1:5" ht="13.5" thickTop="1" x14ac:dyDescent="0.2">
      <c r="A348" s="2009"/>
      <c r="B348" s="2009"/>
      <c r="C348" s="2009"/>
      <c r="D348" s="1998"/>
      <c r="E348" s="2066"/>
    </row>
    <row r="349" spans="1:5" x14ac:dyDescent="0.2">
      <c r="D349" s="1937" t="e">
        <f>#REF!+#REF!</f>
        <v>#REF!</v>
      </c>
    </row>
  </sheetData>
  <mergeCells count="3">
    <mergeCell ref="A1:H1"/>
    <mergeCell ref="A33:D33"/>
    <mergeCell ref="A226:D226"/>
  </mergeCells>
  <pageMargins left="0.98425196850393704" right="0.98425196850393704" top="0.98425196850393704" bottom="0.98425196850393704" header="0.51181102362204722" footer="0.51181102362204722"/>
  <pageSetup paperSize="9" scale="68" firstPageNumber="138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1" manualBreakCount="1">
    <brk id="105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92"/>
  <sheetViews>
    <sheetView showGridLines="0" view="pageBreakPreview" topLeftCell="A298" zoomScaleNormal="100" zoomScaleSheetLayoutView="100" workbookViewId="0">
      <selection activeCell="D335" sqref="D335"/>
    </sheetView>
  </sheetViews>
  <sheetFormatPr defaultRowHeight="12.75" x14ac:dyDescent="0.2"/>
  <cols>
    <col min="1" max="1" width="5" style="1936" customWidth="1"/>
    <col min="2" max="2" width="6.140625" style="1936" customWidth="1"/>
    <col min="3" max="3" width="8.7109375" style="1936" customWidth="1"/>
    <col min="4" max="4" width="42.140625" style="1937" customWidth="1"/>
    <col min="5" max="5" width="12.85546875" style="1970" customWidth="1"/>
    <col min="6" max="6" width="15.85546875" style="1970" customWidth="1"/>
    <col min="7" max="7" width="14.5703125" style="1970" customWidth="1"/>
    <col min="8" max="8" width="10" style="1937" customWidth="1"/>
    <col min="9" max="9" width="12.7109375" style="1937" bestFit="1" customWidth="1"/>
    <col min="10" max="10" width="20.7109375" style="1937" customWidth="1"/>
    <col min="11" max="11" width="20.140625" style="1937" customWidth="1"/>
    <col min="12" max="12" width="20.85546875" style="1937" customWidth="1"/>
    <col min="13" max="256" width="9.140625" style="1937"/>
    <col min="257" max="257" width="4.7109375" style="1937" customWidth="1"/>
    <col min="258" max="258" width="6.140625" style="1937" customWidth="1"/>
    <col min="259" max="259" width="8.7109375" style="1937" customWidth="1"/>
    <col min="260" max="260" width="42.140625" style="1937" customWidth="1"/>
    <col min="261" max="261" width="12.85546875" style="1937" customWidth="1"/>
    <col min="262" max="262" width="15.85546875" style="1937" customWidth="1"/>
    <col min="263" max="263" width="14.5703125" style="1937" customWidth="1"/>
    <col min="264" max="264" width="8.28515625" style="1937" customWidth="1"/>
    <col min="265" max="265" width="12.7109375" style="1937" bestFit="1" customWidth="1"/>
    <col min="266" max="266" width="20.7109375" style="1937" customWidth="1"/>
    <col min="267" max="267" width="20.140625" style="1937" customWidth="1"/>
    <col min="268" max="268" width="20.85546875" style="1937" customWidth="1"/>
    <col min="269" max="512" width="9.140625" style="1937"/>
    <col min="513" max="513" width="4.7109375" style="1937" customWidth="1"/>
    <col min="514" max="514" width="6.140625" style="1937" customWidth="1"/>
    <col min="515" max="515" width="8.7109375" style="1937" customWidth="1"/>
    <col min="516" max="516" width="42.140625" style="1937" customWidth="1"/>
    <col min="517" max="517" width="12.85546875" style="1937" customWidth="1"/>
    <col min="518" max="518" width="15.85546875" style="1937" customWidth="1"/>
    <col min="519" max="519" width="14.5703125" style="1937" customWidth="1"/>
    <col min="520" max="520" width="8.28515625" style="1937" customWidth="1"/>
    <col min="521" max="521" width="12.7109375" style="1937" bestFit="1" customWidth="1"/>
    <col min="522" max="522" width="20.7109375" style="1937" customWidth="1"/>
    <col min="523" max="523" width="20.140625" style="1937" customWidth="1"/>
    <col min="524" max="524" width="20.85546875" style="1937" customWidth="1"/>
    <col min="525" max="768" width="9.140625" style="1937"/>
    <col min="769" max="769" width="4.7109375" style="1937" customWidth="1"/>
    <col min="770" max="770" width="6.140625" style="1937" customWidth="1"/>
    <col min="771" max="771" width="8.7109375" style="1937" customWidth="1"/>
    <col min="772" max="772" width="42.140625" style="1937" customWidth="1"/>
    <col min="773" max="773" width="12.85546875" style="1937" customWidth="1"/>
    <col min="774" max="774" width="15.85546875" style="1937" customWidth="1"/>
    <col min="775" max="775" width="14.5703125" style="1937" customWidth="1"/>
    <col min="776" max="776" width="8.28515625" style="1937" customWidth="1"/>
    <col min="777" max="777" width="12.7109375" style="1937" bestFit="1" customWidth="1"/>
    <col min="778" max="778" width="20.7109375" style="1937" customWidth="1"/>
    <col min="779" max="779" width="20.140625" style="1937" customWidth="1"/>
    <col min="780" max="780" width="20.85546875" style="1937" customWidth="1"/>
    <col min="781" max="1024" width="9.140625" style="1937"/>
    <col min="1025" max="1025" width="4.7109375" style="1937" customWidth="1"/>
    <col min="1026" max="1026" width="6.140625" style="1937" customWidth="1"/>
    <col min="1027" max="1027" width="8.7109375" style="1937" customWidth="1"/>
    <col min="1028" max="1028" width="42.140625" style="1937" customWidth="1"/>
    <col min="1029" max="1029" width="12.85546875" style="1937" customWidth="1"/>
    <col min="1030" max="1030" width="15.85546875" style="1937" customWidth="1"/>
    <col min="1031" max="1031" width="14.5703125" style="1937" customWidth="1"/>
    <col min="1032" max="1032" width="8.28515625" style="1937" customWidth="1"/>
    <col min="1033" max="1033" width="12.7109375" style="1937" bestFit="1" customWidth="1"/>
    <col min="1034" max="1034" width="20.7109375" style="1937" customWidth="1"/>
    <col min="1035" max="1035" width="20.140625" style="1937" customWidth="1"/>
    <col min="1036" max="1036" width="20.85546875" style="1937" customWidth="1"/>
    <col min="1037" max="1280" width="9.140625" style="1937"/>
    <col min="1281" max="1281" width="4.7109375" style="1937" customWidth="1"/>
    <col min="1282" max="1282" width="6.140625" style="1937" customWidth="1"/>
    <col min="1283" max="1283" width="8.7109375" style="1937" customWidth="1"/>
    <col min="1284" max="1284" width="42.140625" style="1937" customWidth="1"/>
    <col min="1285" max="1285" width="12.85546875" style="1937" customWidth="1"/>
    <col min="1286" max="1286" width="15.85546875" style="1937" customWidth="1"/>
    <col min="1287" max="1287" width="14.5703125" style="1937" customWidth="1"/>
    <col min="1288" max="1288" width="8.28515625" style="1937" customWidth="1"/>
    <col min="1289" max="1289" width="12.7109375" style="1937" bestFit="1" customWidth="1"/>
    <col min="1290" max="1290" width="20.7109375" style="1937" customWidth="1"/>
    <col min="1291" max="1291" width="20.140625" style="1937" customWidth="1"/>
    <col min="1292" max="1292" width="20.85546875" style="1937" customWidth="1"/>
    <col min="1293" max="1536" width="9.140625" style="1937"/>
    <col min="1537" max="1537" width="4.7109375" style="1937" customWidth="1"/>
    <col min="1538" max="1538" width="6.140625" style="1937" customWidth="1"/>
    <col min="1539" max="1539" width="8.7109375" style="1937" customWidth="1"/>
    <col min="1540" max="1540" width="42.140625" style="1937" customWidth="1"/>
    <col min="1541" max="1541" width="12.85546875" style="1937" customWidth="1"/>
    <col min="1542" max="1542" width="15.85546875" style="1937" customWidth="1"/>
    <col min="1543" max="1543" width="14.5703125" style="1937" customWidth="1"/>
    <col min="1544" max="1544" width="8.28515625" style="1937" customWidth="1"/>
    <col min="1545" max="1545" width="12.7109375" style="1937" bestFit="1" customWidth="1"/>
    <col min="1546" max="1546" width="20.7109375" style="1937" customWidth="1"/>
    <col min="1547" max="1547" width="20.140625" style="1937" customWidth="1"/>
    <col min="1548" max="1548" width="20.85546875" style="1937" customWidth="1"/>
    <col min="1549" max="1792" width="9.140625" style="1937"/>
    <col min="1793" max="1793" width="4.7109375" style="1937" customWidth="1"/>
    <col min="1794" max="1794" width="6.140625" style="1937" customWidth="1"/>
    <col min="1795" max="1795" width="8.7109375" style="1937" customWidth="1"/>
    <col min="1796" max="1796" width="42.140625" style="1937" customWidth="1"/>
    <col min="1797" max="1797" width="12.85546875" style="1937" customWidth="1"/>
    <col min="1798" max="1798" width="15.85546875" style="1937" customWidth="1"/>
    <col min="1799" max="1799" width="14.5703125" style="1937" customWidth="1"/>
    <col min="1800" max="1800" width="8.28515625" style="1937" customWidth="1"/>
    <col min="1801" max="1801" width="12.7109375" style="1937" bestFit="1" customWidth="1"/>
    <col min="1802" max="1802" width="20.7109375" style="1937" customWidth="1"/>
    <col min="1803" max="1803" width="20.140625" style="1937" customWidth="1"/>
    <col min="1804" max="1804" width="20.85546875" style="1937" customWidth="1"/>
    <col min="1805" max="2048" width="9.140625" style="1937"/>
    <col min="2049" max="2049" width="4.7109375" style="1937" customWidth="1"/>
    <col min="2050" max="2050" width="6.140625" style="1937" customWidth="1"/>
    <col min="2051" max="2051" width="8.7109375" style="1937" customWidth="1"/>
    <col min="2052" max="2052" width="42.140625" style="1937" customWidth="1"/>
    <col min="2053" max="2053" width="12.85546875" style="1937" customWidth="1"/>
    <col min="2054" max="2054" width="15.85546875" style="1937" customWidth="1"/>
    <col min="2055" max="2055" width="14.5703125" style="1937" customWidth="1"/>
    <col min="2056" max="2056" width="8.28515625" style="1937" customWidth="1"/>
    <col min="2057" max="2057" width="12.7109375" style="1937" bestFit="1" customWidth="1"/>
    <col min="2058" max="2058" width="20.7109375" style="1937" customWidth="1"/>
    <col min="2059" max="2059" width="20.140625" style="1937" customWidth="1"/>
    <col min="2060" max="2060" width="20.85546875" style="1937" customWidth="1"/>
    <col min="2061" max="2304" width="9.140625" style="1937"/>
    <col min="2305" max="2305" width="4.7109375" style="1937" customWidth="1"/>
    <col min="2306" max="2306" width="6.140625" style="1937" customWidth="1"/>
    <col min="2307" max="2307" width="8.7109375" style="1937" customWidth="1"/>
    <col min="2308" max="2308" width="42.140625" style="1937" customWidth="1"/>
    <col min="2309" max="2309" width="12.85546875" style="1937" customWidth="1"/>
    <col min="2310" max="2310" width="15.85546875" style="1937" customWidth="1"/>
    <col min="2311" max="2311" width="14.5703125" style="1937" customWidth="1"/>
    <col min="2312" max="2312" width="8.28515625" style="1937" customWidth="1"/>
    <col min="2313" max="2313" width="12.7109375" style="1937" bestFit="1" customWidth="1"/>
    <col min="2314" max="2314" width="20.7109375" style="1937" customWidth="1"/>
    <col min="2315" max="2315" width="20.140625" style="1937" customWidth="1"/>
    <col min="2316" max="2316" width="20.85546875" style="1937" customWidth="1"/>
    <col min="2317" max="2560" width="9.140625" style="1937"/>
    <col min="2561" max="2561" width="4.7109375" style="1937" customWidth="1"/>
    <col min="2562" max="2562" width="6.140625" style="1937" customWidth="1"/>
    <col min="2563" max="2563" width="8.7109375" style="1937" customWidth="1"/>
    <col min="2564" max="2564" width="42.140625" style="1937" customWidth="1"/>
    <col min="2565" max="2565" width="12.85546875" style="1937" customWidth="1"/>
    <col min="2566" max="2566" width="15.85546875" style="1937" customWidth="1"/>
    <col min="2567" max="2567" width="14.5703125" style="1937" customWidth="1"/>
    <col min="2568" max="2568" width="8.28515625" style="1937" customWidth="1"/>
    <col min="2569" max="2569" width="12.7109375" style="1937" bestFit="1" customWidth="1"/>
    <col min="2570" max="2570" width="20.7109375" style="1937" customWidth="1"/>
    <col min="2571" max="2571" width="20.140625" style="1937" customWidth="1"/>
    <col min="2572" max="2572" width="20.85546875" style="1937" customWidth="1"/>
    <col min="2573" max="2816" width="9.140625" style="1937"/>
    <col min="2817" max="2817" width="4.7109375" style="1937" customWidth="1"/>
    <col min="2818" max="2818" width="6.140625" style="1937" customWidth="1"/>
    <col min="2819" max="2819" width="8.7109375" style="1937" customWidth="1"/>
    <col min="2820" max="2820" width="42.140625" style="1937" customWidth="1"/>
    <col min="2821" max="2821" width="12.85546875" style="1937" customWidth="1"/>
    <col min="2822" max="2822" width="15.85546875" style="1937" customWidth="1"/>
    <col min="2823" max="2823" width="14.5703125" style="1937" customWidth="1"/>
    <col min="2824" max="2824" width="8.28515625" style="1937" customWidth="1"/>
    <col min="2825" max="2825" width="12.7109375" style="1937" bestFit="1" customWidth="1"/>
    <col min="2826" max="2826" width="20.7109375" style="1937" customWidth="1"/>
    <col min="2827" max="2827" width="20.140625" style="1937" customWidth="1"/>
    <col min="2828" max="2828" width="20.85546875" style="1937" customWidth="1"/>
    <col min="2829" max="3072" width="9.140625" style="1937"/>
    <col min="3073" max="3073" width="4.7109375" style="1937" customWidth="1"/>
    <col min="3074" max="3074" width="6.140625" style="1937" customWidth="1"/>
    <col min="3075" max="3075" width="8.7109375" style="1937" customWidth="1"/>
    <col min="3076" max="3076" width="42.140625" style="1937" customWidth="1"/>
    <col min="3077" max="3077" width="12.85546875" style="1937" customWidth="1"/>
    <col min="3078" max="3078" width="15.85546875" style="1937" customWidth="1"/>
    <col min="3079" max="3079" width="14.5703125" style="1937" customWidth="1"/>
    <col min="3080" max="3080" width="8.28515625" style="1937" customWidth="1"/>
    <col min="3081" max="3081" width="12.7109375" style="1937" bestFit="1" customWidth="1"/>
    <col min="3082" max="3082" width="20.7109375" style="1937" customWidth="1"/>
    <col min="3083" max="3083" width="20.140625" style="1937" customWidth="1"/>
    <col min="3084" max="3084" width="20.85546875" style="1937" customWidth="1"/>
    <col min="3085" max="3328" width="9.140625" style="1937"/>
    <col min="3329" max="3329" width="4.7109375" style="1937" customWidth="1"/>
    <col min="3330" max="3330" width="6.140625" style="1937" customWidth="1"/>
    <col min="3331" max="3331" width="8.7109375" style="1937" customWidth="1"/>
    <col min="3332" max="3332" width="42.140625" style="1937" customWidth="1"/>
    <col min="3333" max="3333" width="12.85546875" style="1937" customWidth="1"/>
    <col min="3334" max="3334" width="15.85546875" style="1937" customWidth="1"/>
    <col min="3335" max="3335" width="14.5703125" style="1937" customWidth="1"/>
    <col min="3336" max="3336" width="8.28515625" style="1937" customWidth="1"/>
    <col min="3337" max="3337" width="12.7109375" style="1937" bestFit="1" customWidth="1"/>
    <col min="3338" max="3338" width="20.7109375" style="1937" customWidth="1"/>
    <col min="3339" max="3339" width="20.140625" style="1937" customWidth="1"/>
    <col min="3340" max="3340" width="20.85546875" style="1937" customWidth="1"/>
    <col min="3341" max="3584" width="9.140625" style="1937"/>
    <col min="3585" max="3585" width="4.7109375" style="1937" customWidth="1"/>
    <col min="3586" max="3586" width="6.140625" style="1937" customWidth="1"/>
    <col min="3587" max="3587" width="8.7109375" style="1937" customWidth="1"/>
    <col min="3588" max="3588" width="42.140625" style="1937" customWidth="1"/>
    <col min="3589" max="3589" width="12.85546875" style="1937" customWidth="1"/>
    <col min="3590" max="3590" width="15.85546875" style="1937" customWidth="1"/>
    <col min="3591" max="3591" width="14.5703125" style="1937" customWidth="1"/>
    <col min="3592" max="3592" width="8.28515625" style="1937" customWidth="1"/>
    <col min="3593" max="3593" width="12.7109375" style="1937" bestFit="1" customWidth="1"/>
    <col min="3594" max="3594" width="20.7109375" style="1937" customWidth="1"/>
    <col min="3595" max="3595" width="20.140625" style="1937" customWidth="1"/>
    <col min="3596" max="3596" width="20.85546875" style="1937" customWidth="1"/>
    <col min="3597" max="3840" width="9.140625" style="1937"/>
    <col min="3841" max="3841" width="4.7109375" style="1937" customWidth="1"/>
    <col min="3842" max="3842" width="6.140625" style="1937" customWidth="1"/>
    <col min="3843" max="3843" width="8.7109375" style="1937" customWidth="1"/>
    <col min="3844" max="3844" width="42.140625" style="1937" customWidth="1"/>
    <col min="3845" max="3845" width="12.85546875" style="1937" customWidth="1"/>
    <col min="3846" max="3846" width="15.85546875" style="1937" customWidth="1"/>
    <col min="3847" max="3847" width="14.5703125" style="1937" customWidth="1"/>
    <col min="3848" max="3848" width="8.28515625" style="1937" customWidth="1"/>
    <col min="3849" max="3849" width="12.7109375" style="1937" bestFit="1" customWidth="1"/>
    <col min="3850" max="3850" width="20.7109375" style="1937" customWidth="1"/>
    <col min="3851" max="3851" width="20.140625" style="1937" customWidth="1"/>
    <col min="3852" max="3852" width="20.85546875" style="1937" customWidth="1"/>
    <col min="3853" max="4096" width="9.140625" style="1937"/>
    <col min="4097" max="4097" width="4.7109375" style="1937" customWidth="1"/>
    <col min="4098" max="4098" width="6.140625" style="1937" customWidth="1"/>
    <col min="4099" max="4099" width="8.7109375" style="1937" customWidth="1"/>
    <col min="4100" max="4100" width="42.140625" style="1937" customWidth="1"/>
    <col min="4101" max="4101" width="12.85546875" style="1937" customWidth="1"/>
    <col min="4102" max="4102" width="15.85546875" style="1937" customWidth="1"/>
    <col min="4103" max="4103" width="14.5703125" style="1937" customWidth="1"/>
    <col min="4104" max="4104" width="8.28515625" style="1937" customWidth="1"/>
    <col min="4105" max="4105" width="12.7109375" style="1937" bestFit="1" customWidth="1"/>
    <col min="4106" max="4106" width="20.7109375" style="1937" customWidth="1"/>
    <col min="4107" max="4107" width="20.140625" style="1937" customWidth="1"/>
    <col min="4108" max="4108" width="20.85546875" style="1937" customWidth="1"/>
    <col min="4109" max="4352" width="9.140625" style="1937"/>
    <col min="4353" max="4353" width="4.7109375" style="1937" customWidth="1"/>
    <col min="4354" max="4354" width="6.140625" style="1937" customWidth="1"/>
    <col min="4355" max="4355" width="8.7109375" style="1937" customWidth="1"/>
    <col min="4356" max="4356" width="42.140625" style="1937" customWidth="1"/>
    <col min="4357" max="4357" width="12.85546875" style="1937" customWidth="1"/>
    <col min="4358" max="4358" width="15.85546875" style="1937" customWidth="1"/>
    <col min="4359" max="4359" width="14.5703125" style="1937" customWidth="1"/>
    <col min="4360" max="4360" width="8.28515625" style="1937" customWidth="1"/>
    <col min="4361" max="4361" width="12.7109375" style="1937" bestFit="1" customWidth="1"/>
    <col min="4362" max="4362" width="20.7109375" style="1937" customWidth="1"/>
    <col min="4363" max="4363" width="20.140625" style="1937" customWidth="1"/>
    <col min="4364" max="4364" width="20.85546875" style="1937" customWidth="1"/>
    <col min="4365" max="4608" width="9.140625" style="1937"/>
    <col min="4609" max="4609" width="4.7109375" style="1937" customWidth="1"/>
    <col min="4610" max="4610" width="6.140625" style="1937" customWidth="1"/>
    <col min="4611" max="4611" width="8.7109375" style="1937" customWidth="1"/>
    <col min="4612" max="4612" width="42.140625" style="1937" customWidth="1"/>
    <col min="4613" max="4613" width="12.85546875" style="1937" customWidth="1"/>
    <col min="4614" max="4614" width="15.85546875" style="1937" customWidth="1"/>
    <col min="4615" max="4615" width="14.5703125" style="1937" customWidth="1"/>
    <col min="4616" max="4616" width="8.28515625" style="1937" customWidth="1"/>
    <col min="4617" max="4617" width="12.7109375" style="1937" bestFit="1" customWidth="1"/>
    <col min="4618" max="4618" width="20.7109375" style="1937" customWidth="1"/>
    <col min="4619" max="4619" width="20.140625" style="1937" customWidth="1"/>
    <col min="4620" max="4620" width="20.85546875" style="1937" customWidth="1"/>
    <col min="4621" max="4864" width="9.140625" style="1937"/>
    <col min="4865" max="4865" width="4.7109375" style="1937" customWidth="1"/>
    <col min="4866" max="4866" width="6.140625" style="1937" customWidth="1"/>
    <col min="4867" max="4867" width="8.7109375" style="1937" customWidth="1"/>
    <col min="4868" max="4868" width="42.140625" style="1937" customWidth="1"/>
    <col min="4869" max="4869" width="12.85546875" style="1937" customWidth="1"/>
    <col min="4870" max="4870" width="15.85546875" style="1937" customWidth="1"/>
    <col min="4871" max="4871" width="14.5703125" style="1937" customWidth="1"/>
    <col min="4872" max="4872" width="8.28515625" style="1937" customWidth="1"/>
    <col min="4873" max="4873" width="12.7109375" style="1937" bestFit="1" customWidth="1"/>
    <col min="4874" max="4874" width="20.7109375" style="1937" customWidth="1"/>
    <col min="4875" max="4875" width="20.140625" style="1937" customWidth="1"/>
    <col min="4876" max="4876" width="20.85546875" style="1937" customWidth="1"/>
    <col min="4877" max="5120" width="9.140625" style="1937"/>
    <col min="5121" max="5121" width="4.7109375" style="1937" customWidth="1"/>
    <col min="5122" max="5122" width="6.140625" style="1937" customWidth="1"/>
    <col min="5123" max="5123" width="8.7109375" style="1937" customWidth="1"/>
    <col min="5124" max="5124" width="42.140625" style="1937" customWidth="1"/>
    <col min="5125" max="5125" width="12.85546875" style="1937" customWidth="1"/>
    <col min="5126" max="5126" width="15.85546875" style="1937" customWidth="1"/>
    <col min="5127" max="5127" width="14.5703125" style="1937" customWidth="1"/>
    <col min="5128" max="5128" width="8.28515625" style="1937" customWidth="1"/>
    <col min="5129" max="5129" width="12.7109375" style="1937" bestFit="1" customWidth="1"/>
    <col min="5130" max="5130" width="20.7109375" style="1937" customWidth="1"/>
    <col min="5131" max="5131" width="20.140625" style="1937" customWidth="1"/>
    <col min="5132" max="5132" width="20.85546875" style="1937" customWidth="1"/>
    <col min="5133" max="5376" width="9.140625" style="1937"/>
    <col min="5377" max="5377" width="4.7109375" style="1937" customWidth="1"/>
    <col min="5378" max="5378" width="6.140625" style="1937" customWidth="1"/>
    <col min="5379" max="5379" width="8.7109375" style="1937" customWidth="1"/>
    <col min="5380" max="5380" width="42.140625" style="1937" customWidth="1"/>
    <col min="5381" max="5381" width="12.85546875" style="1937" customWidth="1"/>
    <col min="5382" max="5382" width="15.85546875" style="1937" customWidth="1"/>
    <col min="5383" max="5383" width="14.5703125" style="1937" customWidth="1"/>
    <col min="5384" max="5384" width="8.28515625" style="1937" customWidth="1"/>
    <col min="5385" max="5385" width="12.7109375" style="1937" bestFit="1" customWidth="1"/>
    <col min="5386" max="5386" width="20.7109375" style="1937" customWidth="1"/>
    <col min="5387" max="5387" width="20.140625" style="1937" customWidth="1"/>
    <col min="5388" max="5388" width="20.85546875" style="1937" customWidth="1"/>
    <col min="5389" max="5632" width="9.140625" style="1937"/>
    <col min="5633" max="5633" width="4.7109375" style="1937" customWidth="1"/>
    <col min="5634" max="5634" width="6.140625" style="1937" customWidth="1"/>
    <col min="5635" max="5635" width="8.7109375" style="1937" customWidth="1"/>
    <col min="5636" max="5636" width="42.140625" style="1937" customWidth="1"/>
    <col min="5637" max="5637" width="12.85546875" style="1937" customWidth="1"/>
    <col min="5638" max="5638" width="15.85546875" style="1937" customWidth="1"/>
    <col min="5639" max="5639" width="14.5703125" style="1937" customWidth="1"/>
    <col min="5640" max="5640" width="8.28515625" style="1937" customWidth="1"/>
    <col min="5641" max="5641" width="12.7109375" style="1937" bestFit="1" customWidth="1"/>
    <col min="5642" max="5642" width="20.7109375" style="1937" customWidth="1"/>
    <col min="5643" max="5643" width="20.140625" style="1937" customWidth="1"/>
    <col min="5644" max="5644" width="20.85546875" style="1937" customWidth="1"/>
    <col min="5645" max="5888" width="9.140625" style="1937"/>
    <col min="5889" max="5889" width="4.7109375" style="1937" customWidth="1"/>
    <col min="5890" max="5890" width="6.140625" style="1937" customWidth="1"/>
    <col min="5891" max="5891" width="8.7109375" style="1937" customWidth="1"/>
    <col min="5892" max="5892" width="42.140625" style="1937" customWidth="1"/>
    <col min="5893" max="5893" width="12.85546875" style="1937" customWidth="1"/>
    <col min="5894" max="5894" width="15.85546875" style="1937" customWidth="1"/>
    <col min="5895" max="5895" width="14.5703125" style="1937" customWidth="1"/>
    <col min="5896" max="5896" width="8.28515625" style="1937" customWidth="1"/>
    <col min="5897" max="5897" width="12.7109375" style="1937" bestFit="1" customWidth="1"/>
    <col min="5898" max="5898" width="20.7109375" style="1937" customWidth="1"/>
    <col min="5899" max="5899" width="20.140625" style="1937" customWidth="1"/>
    <col min="5900" max="5900" width="20.85546875" style="1937" customWidth="1"/>
    <col min="5901" max="6144" width="9.140625" style="1937"/>
    <col min="6145" max="6145" width="4.7109375" style="1937" customWidth="1"/>
    <col min="6146" max="6146" width="6.140625" style="1937" customWidth="1"/>
    <col min="6147" max="6147" width="8.7109375" style="1937" customWidth="1"/>
    <col min="6148" max="6148" width="42.140625" style="1937" customWidth="1"/>
    <col min="6149" max="6149" width="12.85546875" style="1937" customWidth="1"/>
    <col min="6150" max="6150" width="15.85546875" style="1937" customWidth="1"/>
    <col min="6151" max="6151" width="14.5703125" style="1937" customWidth="1"/>
    <col min="6152" max="6152" width="8.28515625" style="1937" customWidth="1"/>
    <col min="6153" max="6153" width="12.7109375" style="1937" bestFit="1" customWidth="1"/>
    <col min="6154" max="6154" width="20.7109375" style="1937" customWidth="1"/>
    <col min="6155" max="6155" width="20.140625" style="1937" customWidth="1"/>
    <col min="6156" max="6156" width="20.85546875" style="1937" customWidth="1"/>
    <col min="6157" max="6400" width="9.140625" style="1937"/>
    <col min="6401" max="6401" width="4.7109375" style="1937" customWidth="1"/>
    <col min="6402" max="6402" width="6.140625" style="1937" customWidth="1"/>
    <col min="6403" max="6403" width="8.7109375" style="1937" customWidth="1"/>
    <col min="6404" max="6404" width="42.140625" style="1937" customWidth="1"/>
    <col min="6405" max="6405" width="12.85546875" style="1937" customWidth="1"/>
    <col min="6406" max="6406" width="15.85546875" style="1937" customWidth="1"/>
    <col min="6407" max="6407" width="14.5703125" style="1937" customWidth="1"/>
    <col min="6408" max="6408" width="8.28515625" style="1937" customWidth="1"/>
    <col min="6409" max="6409" width="12.7109375" style="1937" bestFit="1" customWidth="1"/>
    <col min="6410" max="6410" width="20.7109375" style="1937" customWidth="1"/>
    <col min="6411" max="6411" width="20.140625" style="1937" customWidth="1"/>
    <col min="6412" max="6412" width="20.85546875" style="1937" customWidth="1"/>
    <col min="6413" max="6656" width="9.140625" style="1937"/>
    <col min="6657" max="6657" width="4.7109375" style="1937" customWidth="1"/>
    <col min="6658" max="6658" width="6.140625" style="1937" customWidth="1"/>
    <col min="6659" max="6659" width="8.7109375" style="1937" customWidth="1"/>
    <col min="6660" max="6660" width="42.140625" style="1937" customWidth="1"/>
    <col min="6661" max="6661" width="12.85546875" style="1937" customWidth="1"/>
    <col min="6662" max="6662" width="15.85546875" style="1937" customWidth="1"/>
    <col min="6663" max="6663" width="14.5703125" style="1937" customWidth="1"/>
    <col min="6664" max="6664" width="8.28515625" style="1937" customWidth="1"/>
    <col min="6665" max="6665" width="12.7109375" style="1937" bestFit="1" customWidth="1"/>
    <col min="6666" max="6666" width="20.7109375" style="1937" customWidth="1"/>
    <col min="6667" max="6667" width="20.140625" style="1937" customWidth="1"/>
    <col min="6668" max="6668" width="20.85546875" style="1937" customWidth="1"/>
    <col min="6669" max="6912" width="9.140625" style="1937"/>
    <col min="6913" max="6913" width="4.7109375" style="1937" customWidth="1"/>
    <col min="6914" max="6914" width="6.140625" style="1937" customWidth="1"/>
    <col min="6915" max="6915" width="8.7109375" style="1937" customWidth="1"/>
    <col min="6916" max="6916" width="42.140625" style="1937" customWidth="1"/>
    <col min="6917" max="6917" width="12.85546875" style="1937" customWidth="1"/>
    <col min="6918" max="6918" width="15.85546875" style="1937" customWidth="1"/>
    <col min="6919" max="6919" width="14.5703125" style="1937" customWidth="1"/>
    <col min="6920" max="6920" width="8.28515625" style="1937" customWidth="1"/>
    <col min="6921" max="6921" width="12.7109375" style="1937" bestFit="1" customWidth="1"/>
    <col min="6922" max="6922" width="20.7109375" style="1937" customWidth="1"/>
    <col min="6923" max="6923" width="20.140625" style="1937" customWidth="1"/>
    <col min="6924" max="6924" width="20.85546875" style="1937" customWidth="1"/>
    <col min="6925" max="7168" width="9.140625" style="1937"/>
    <col min="7169" max="7169" width="4.7109375" style="1937" customWidth="1"/>
    <col min="7170" max="7170" width="6.140625" style="1937" customWidth="1"/>
    <col min="7171" max="7171" width="8.7109375" style="1937" customWidth="1"/>
    <col min="7172" max="7172" width="42.140625" style="1937" customWidth="1"/>
    <col min="7173" max="7173" width="12.85546875" style="1937" customWidth="1"/>
    <col min="7174" max="7174" width="15.85546875" style="1937" customWidth="1"/>
    <col min="7175" max="7175" width="14.5703125" style="1937" customWidth="1"/>
    <col min="7176" max="7176" width="8.28515625" style="1937" customWidth="1"/>
    <col min="7177" max="7177" width="12.7109375" style="1937" bestFit="1" customWidth="1"/>
    <col min="7178" max="7178" width="20.7109375" style="1937" customWidth="1"/>
    <col min="7179" max="7179" width="20.140625" style="1937" customWidth="1"/>
    <col min="7180" max="7180" width="20.85546875" style="1937" customWidth="1"/>
    <col min="7181" max="7424" width="9.140625" style="1937"/>
    <col min="7425" max="7425" width="4.7109375" style="1937" customWidth="1"/>
    <col min="7426" max="7426" width="6.140625" style="1937" customWidth="1"/>
    <col min="7427" max="7427" width="8.7109375" style="1937" customWidth="1"/>
    <col min="7428" max="7428" width="42.140625" style="1937" customWidth="1"/>
    <col min="7429" max="7429" width="12.85546875" style="1937" customWidth="1"/>
    <col min="7430" max="7430" width="15.85546875" style="1937" customWidth="1"/>
    <col min="7431" max="7431" width="14.5703125" style="1937" customWidth="1"/>
    <col min="7432" max="7432" width="8.28515625" style="1937" customWidth="1"/>
    <col min="7433" max="7433" width="12.7109375" style="1937" bestFit="1" customWidth="1"/>
    <col min="7434" max="7434" width="20.7109375" style="1937" customWidth="1"/>
    <col min="7435" max="7435" width="20.140625" style="1937" customWidth="1"/>
    <col min="7436" max="7436" width="20.85546875" style="1937" customWidth="1"/>
    <col min="7437" max="7680" width="9.140625" style="1937"/>
    <col min="7681" max="7681" width="4.7109375" style="1937" customWidth="1"/>
    <col min="7682" max="7682" width="6.140625" style="1937" customWidth="1"/>
    <col min="7683" max="7683" width="8.7109375" style="1937" customWidth="1"/>
    <col min="7684" max="7684" width="42.140625" style="1937" customWidth="1"/>
    <col min="7685" max="7685" width="12.85546875" style="1937" customWidth="1"/>
    <col min="7686" max="7686" width="15.85546875" style="1937" customWidth="1"/>
    <col min="7687" max="7687" width="14.5703125" style="1937" customWidth="1"/>
    <col min="7688" max="7688" width="8.28515625" style="1937" customWidth="1"/>
    <col min="7689" max="7689" width="12.7109375" style="1937" bestFit="1" customWidth="1"/>
    <col min="7690" max="7690" width="20.7109375" style="1937" customWidth="1"/>
    <col min="7691" max="7691" width="20.140625" style="1937" customWidth="1"/>
    <col min="7692" max="7692" width="20.85546875" style="1937" customWidth="1"/>
    <col min="7693" max="7936" width="9.140625" style="1937"/>
    <col min="7937" max="7937" width="4.7109375" style="1937" customWidth="1"/>
    <col min="7938" max="7938" width="6.140625" style="1937" customWidth="1"/>
    <col min="7939" max="7939" width="8.7109375" style="1937" customWidth="1"/>
    <col min="7940" max="7940" width="42.140625" style="1937" customWidth="1"/>
    <col min="7941" max="7941" width="12.85546875" style="1937" customWidth="1"/>
    <col min="7942" max="7942" width="15.85546875" style="1937" customWidth="1"/>
    <col min="7943" max="7943" width="14.5703125" style="1937" customWidth="1"/>
    <col min="7944" max="7944" width="8.28515625" style="1937" customWidth="1"/>
    <col min="7945" max="7945" width="12.7109375" style="1937" bestFit="1" customWidth="1"/>
    <col min="7946" max="7946" width="20.7109375" style="1937" customWidth="1"/>
    <col min="7947" max="7947" width="20.140625" style="1937" customWidth="1"/>
    <col min="7948" max="7948" width="20.85546875" style="1937" customWidth="1"/>
    <col min="7949" max="8192" width="9.140625" style="1937"/>
    <col min="8193" max="8193" width="4.7109375" style="1937" customWidth="1"/>
    <col min="8194" max="8194" width="6.140625" style="1937" customWidth="1"/>
    <col min="8195" max="8195" width="8.7109375" style="1937" customWidth="1"/>
    <col min="8196" max="8196" width="42.140625" style="1937" customWidth="1"/>
    <col min="8197" max="8197" width="12.85546875" style="1937" customWidth="1"/>
    <col min="8198" max="8198" width="15.85546875" style="1937" customWidth="1"/>
    <col min="8199" max="8199" width="14.5703125" style="1937" customWidth="1"/>
    <col min="8200" max="8200" width="8.28515625" style="1937" customWidth="1"/>
    <col min="8201" max="8201" width="12.7109375" style="1937" bestFit="1" customWidth="1"/>
    <col min="8202" max="8202" width="20.7109375" style="1937" customWidth="1"/>
    <col min="8203" max="8203" width="20.140625" style="1937" customWidth="1"/>
    <col min="8204" max="8204" width="20.85546875" style="1937" customWidth="1"/>
    <col min="8205" max="8448" width="9.140625" style="1937"/>
    <col min="8449" max="8449" width="4.7109375" style="1937" customWidth="1"/>
    <col min="8450" max="8450" width="6.140625" style="1937" customWidth="1"/>
    <col min="8451" max="8451" width="8.7109375" style="1937" customWidth="1"/>
    <col min="8452" max="8452" width="42.140625" style="1937" customWidth="1"/>
    <col min="8453" max="8453" width="12.85546875" style="1937" customWidth="1"/>
    <col min="8454" max="8454" width="15.85546875" style="1937" customWidth="1"/>
    <col min="8455" max="8455" width="14.5703125" style="1937" customWidth="1"/>
    <col min="8456" max="8456" width="8.28515625" style="1937" customWidth="1"/>
    <col min="8457" max="8457" width="12.7109375" style="1937" bestFit="1" customWidth="1"/>
    <col min="8458" max="8458" width="20.7109375" style="1937" customWidth="1"/>
    <col min="8459" max="8459" width="20.140625" style="1937" customWidth="1"/>
    <col min="8460" max="8460" width="20.85546875" style="1937" customWidth="1"/>
    <col min="8461" max="8704" width="9.140625" style="1937"/>
    <col min="8705" max="8705" width="4.7109375" style="1937" customWidth="1"/>
    <col min="8706" max="8706" width="6.140625" style="1937" customWidth="1"/>
    <col min="8707" max="8707" width="8.7109375" style="1937" customWidth="1"/>
    <col min="8708" max="8708" width="42.140625" style="1937" customWidth="1"/>
    <col min="8709" max="8709" width="12.85546875" style="1937" customWidth="1"/>
    <col min="8710" max="8710" width="15.85546875" style="1937" customWidth="1"/>
    <col min="8711" max="8711" width="14.5703125" style="1937" customWidth="1"/>
    <col min="8712" max="8712" width="8.28515625" style="1937" customWidth="1"/>
    <col min="8713" max="8713" width="12.7109375" style="1937" bestFit="1" customWidth="1"/>
    <col min="8714" max="8714" width="20.7109375" style="1937" customWidth="1"/>
    <col min="8715" max="8715" width="20.140625" style="1937" customWidth="1"/>
    <col min="8716" max="8716" width="20.85546875" style="1937" customWidth="1"/>
    <col min="8717" max="8960" width="9.140625" style="1937"/>
    <col min="8961" max="8961" width="4.7109375" style="1937" customWidth="1"/>
    <col min="8962" max="8962" width="6.140625" style="1937" customWidth="1"/>
    <col min="8963" max="8963" width="8.7109375" style="1937" customWidth="1"/>
    <col min="8964" max="8964" width="42.140625" style="1937" customWidth="1"/>
    <col min="8965" max="8965" width="12.85546875" style="1937" customWidth="1"/>
    <col min="8966" max="8966" width="15.85546875" style="1937" customWidth="1"/>
    <col min="8967" max="8967" width="14.5703125" style="1937" customWidth="1"/>
    <col min="8968" max="8968" width="8.28515625" style="1937" customWidth="1"/>
    <col min="8969" max="8969" width="12.7109375" style="1937" bestFit="1" customWidth="1"/>
    <col min="8970" max="8970" width="20.7109375" style="1937" customWidth="1"/>
    <col min="8971" max="8971" width="20.140625" style="1937" customWidth="1"/>
    <col min="8972" max="8972" width="20.85546875" style="1937" customWidth="1"/>
    <col min="8973" max="9216" width="9.140625" style="1937"/>
    <col min="9217" max="9217" width="4.7109375" style="1937" customWidth="1"/>
    <col min="9218" max="9218" width="6.140625" style="1937" customWidth="1"/>
    <col min="9219" max="9219" width="8.7109375" style="1937" customWidth="1"/>
    <col min="9220" max="9220" width="42.140625" style="1937" customWidth="1"/>
    <col min="9221" max="9221" width="12.85546875" style="1937" customWidth="1"/>
    <col min="9222" max="9222" width="15.85546875" style="1937" customWidth="1"/>
    <col min="9223" max="9223" width="14.5703125" style="1937" customWidth="1"/>
    <col min="9224" max="9224" width="8.28515625" style="1937" customWidth="1"/>
    <col min="9225" max="9225" width="12.7109375" style="1937" bestFit="1" customWidth="1"/>
    <col min="9226" max="9226" width="20.7109375" style="1937" customWidth="1"/>
    <col min="9227" max="9227" width="20.140625" style="1937" customWidth="1"/>
    <col min="9228" max="9228" width="20.85546875" style="1937" customWidth="1"/>
    <col min="9229" max="9472" width="9.140625" style="1937"/>
    <col min="9473" max="9473" width="4.7109375" style="1937" customWidth="1"/>
    <col min="9474" max="9474" width="6.140625" style="1937" customWidth="1"/>
    <col min="9475" max="9475" width="8.7109375" style="1937" customWidth="1"/>
    <col min="9476" max="9476" width="42.140625" style="1937" customWidth="1"/>
    <col min="9477" max="9477" width="12.85546875" style="1937" customWidth="1"/>
    <col min="9478" max="9478" width="15.85546875" style="1937" customWidth="1"/>
    <col min="9479" max="9479" width="14.5703125" style="1937" customWidth="1"/>
    <col min="9480" max="9480" width="8.28515625" style="1937" customWidth="1"/>
    <col min="9481" max="9481" width="12.7109375" style="1937" bestFit="1" customWidth="1"/>
    <col min="9482" max="9482" width="20.7109375" style="1937" customWidth="1"/>
    <col min="9483" max="9483" width="20.140625" style="1937" customWidth="1"/>
    <col min="9484" max="9484" width="20.85546875" style="1937" customWidth="1"/>
    <col min="9485" max="9728" width="9.140625" style="1937"/>
    <col min="9729" max="9729" width="4.7109375" style="1937" customWidth="1"/>
    <col min="9730" max="9730" width="6.140625" style="1937" customWidth="1"/>
    <col min="9731" max="9731" width="8.7109375" style="1937" customWidth="1"/>
    <col min="9732" max="9732" width="42.140625" style="1937" customWidth="1"/>
    <col min="9733" max="9733" width="12.85546875" style="1937" customWidth="1"/>
    <col min="9734" max="9734" width="15.85546875" style="1937" customWidth="1"/>
    <col min="9735" max="9735" width="14.5703125" style="1937" customWidth="1"/>
    <col min="9736" max="9736" width="8.28515625" style="1937" customWidth="1"/>
    <col min="9737" max="9737" width="12.7109375" style="1937" bestFit="1" customWidth="1"/>
    <col min="9738" max="9738" width="20.7109375" style="1937" customWidth="1"/>
    <col min="9739" max="9739" width="20.140625" style="1937" customWidth="1"/>
    <col min="9740" max="9740" width="20.85546875" style="1937" customWidth="1"/>
    <col min="9741" max="9984" width="9.140625" style="1937"/>
    <col min="9985" max="9985" width="4.7109375" style="1937" customWidth="1"/>
    <col min="9986" max="9986" width="6.140625" style="1937" customWidth="1"/>
    <col min="9987" max="9987" width="8.7109375" style="1937" customWidth="1"/>
    <col min="9988" max="9988" width="42.140625" style="1937" customWidth="1"/>
    <col min="9989" max="9989" width="12.85546875" style="1937" customWidth="1"/>
    <col min="9990" max="9990" width="15.85546875" style="1937" customWidth="1"/>
    <col min="9991" max="9991" width="14.5703125" style="1937" customWidth="1"/>
    <col min="9992" max="9992" width="8.28515625" style="1937" customWidth="1"/>
    <col min="9993" max="9993" width="12.7109375" style="1937" bestFit="1" customWidth="1"/>
    <col min="9994" max="9994" width="20.7109375" style="1937" customWidth="1"/>
    <col min="9995" max="9995" width="20.140625" style="1937" customWidth="1"/>
    <col min="9996" max="9996" width="20.85546875" style="1937" customWidth="1"/>
    <col min="9997" max="10240" width="9.140625" style="1937"/>
    <col min="10241" max="10241" width="4.7109375" style="1937" customWidth="1"/>
    <col min="10242" max="10242" width="6.140625" style="1937" customWidth="1"/>
    <col min="10243" max="10243" width="8.7109375" style="1937" customWidth="1"/>
    <col min="10244" max="10244" width="42.140625" style="1937" customWidth="1"/>
    <col min="10245" max="10245" width="12.85546875" style="1937" customWidth="1"/>
    <col min="10246" max="10246" width="15.85546875" style="1937" customWidth="1"/>
    <col min="10247" max="10247" width="14.5703125" style="1937" customWidth="1"/>
    <col min="10248" max="10248" width="8.28515625" style="1937" customWidth="1"/>
    <col min="10249" max="10249" width="12.7109375" style="1937" bestFit="1" customWidth="1"/>
    <col min="10250" max="10250" width="20.7109375" style="1937" customWidth="1"/>
    <col min="10251" max="10251" width="20.140625" style="1937" customWidth="1"/>
    <col min="10252" max="10252" width="20.85546875" style="1937" customWidth="1"/>
    <col min="10253" max="10496" width="9.140625" style="1937"/>
    <col min="10497" max="10497" width="4.7109375" style="1937" customWidth="1"/>
    <col min="10498" max="10498" width="6.140625" style="1937" customWidth="1"/>
    <col min="10499" max="10499" width="8.7109375" style="1937" customWidth="1"/>
    <col min="10500" max="10500" width="42.140625" style="1937" customWidth="1"/>
    <col min="10501" max="10501" width="12.85546875" style="1937" customWidth="1"/>
    <col min="10502" max="10502" width="15.85546875" style="1937" customWidth="1"/>
    <col min="10503" max="10503" width="14.5703125" style="1937" customWidth="1"/>
    <col min="10504" max="10504" width="8.28515625" style="1937" customWidth="1"/>
    <col min="10505" max="10505" width="12.7109375" style="1937" bestFit="1" customWidth="1"/>
    <col min="10506" max="10506" width="20.7109375" style="1937" customWidth="1"/>
    <col min="10507" max="10507" width="20.140625" style="1937" customWidth="1"/>
    <col min="10508" max="10508" width="20.85546875" style="1937" customWidth="1"/>
    <col min="10509" max="10752" width="9.140625" style="1937"/>
    <col min="10753" max="10753" width="4.7109375" style="1937" customWidth="1"/>
    <col min="10754" max="10754" width="6.140625" style="1937" customWidth="1"/>
    <col min="10755" max="10755" width="8.7109375" style="1937" customWidth="1"/>
    <col min="10756" max="10756" width="42.140625" style="1937" customWidth="1"/>
    <col min="10757" max="10757" width="12.85546875" style="1937" customWidth="1"/>
    <col min="10758" max="10758" width="15.85546875" style="1937" customWidth="1"/>
    <col min="10759" max="10759" width="14.5703125" style="1937" customWidth="1"/>
    <col min="10760" max="10760" width="8.28515625" style="1937" customWidth="1"/>
    <col min="10761" max="10761" width="12.7109375" style="1937" bestFit="1" customWidth="1"/>
    <col min="10762" max="10762" width="20.7109375" style="1937" customWidth="1"/>
    <col min="10763" max="10763" width="20.140625" style="1937" customWidth="1"/>
    <col min="10764" max="10764" width="20.85546875" style="1937" customWidth="1"/>
    <col min="10765" max="11008" width="9.140625" style="1937"/>
    <col min="11009" max="11009" width="4.7109375" style="1937" customWidth="1"/>
    <col min="11010" max="11010" width="6.140625" style="1937" customWidth="1"/>
    <col min="11011" max="11011" width="8.7109375" style="1937" customWidth="1"/>
    <col min="11012" max="11012" width="42.140625" style="1937" customWidth="1"/>
    <col min="11013" max="11013" width="12.85546875" style="1937" customWidth="1"/>
    <col min="11014" max="11014" width="15.85546875" style="1937" customWidth="1"/>
    <col min="11015" max="11015" width="14.5703125" style="1937" customWidth="1"/>
    <col min="11016" max="11016" width="8.28515625" style="1937" customWidth="1"/>
    <col min="11017" max="11017" width="12.7109375" style="1937" bestFit="1" customWidth="1"/>
    <col min="11018" max="11018" width="20.7109375" style="1937" customWidth="1"/>
    <col min="11019" max="11019" width="20.140625" style="1937" customWidth="1"/>
    <col min="11020" max="11020" width="20.85546875" style="1937" customWidth="1"/>
    <col min="11021" max="11264" width="9.140625" style="1937"/>
    <col min="11265" max="11265" width="4.7109375" style="1937" customWidth="1"/>
    <col min="11266" max="11266" width="6.140625" style="1937" customWidth="1"/>
    <col min="11267" max="11267" width="8.7109375" style="1937" customWidth="1"/>
    <col min="11268" max="11268" width="42.140625" style="1937" customWidth="1"/>
    <col min="11269" max="11269" width="12.85546875" style="1937" customWidth="1"/>
    <col min="11270" max="11270" width="15.85546875" style="1937" customWidth="1"/>
    <col min="11271" max="11271" width="14.5703125" style="1937" customWidth="1"/>
    <col min="11272" max="11272" width="8.28515625" style="1937" customWidth="1"/>
    <col min="11273" max="11273" width="12.7109375" style="1937" bestFit="1" customWidth="1"/>
    <col min="11274" max="11274" width="20.7109375" style="1937" customWidth="1"/>
    <col min="11275" max="11275" width="20.140625" style="1937" customWidth="1"/>
    <col min="11276" max="11276" width="20.85546875" style="1937" customWidth="1"/>
    <col min="11277" max="11520" width="9.140625" style="1937"/>
    <col min="11521" max="11521" width="4.7109375" style="1937" customWidth="1"/>
    <col min="11522" max="11522" width="6.140625" style="1937" customWidth="1"/>
    <col min="11523" max="11523" width="8.7109375" style="1937" customWidth="1"/>
    <col min="11524" max="11524" width="42.140625" style="1937" customWidth="1"/>
    <col min="11525" max="11525" width="12.85546875" style="1937" customWidth="1"/>
    <col min="11526" max="11526" width="15.85546875" style="1937" customWidth="1"/>
    <col min="11527" max="11527" width="14.5703125" style="1937" customWidth="1"/>
    <col min="11528" max="11528" width="8.28515625" style="1937" customWidth="1"/>
    <col min="11529" max="11529" width="12.7109375" style="1937" bestFit="1" customWidth="1"/>
    <col min="11530" max="11530" width="20.7109375" style="1937" customWidth="1"/>
    <col min="11531" max="11531" width="20.140625" style="1937" customWidth="1"/>
    <col min="11532" max="11532" width="20.85546875" style="1937" customWidth="1"/>
    <col min="11533" max="11776" width="9.140625" style="1937"/>
    <col min="11777" max="11777" width="4.7109375" style="1937" customWidth="1"/>
    <col min="11778" max="11778" width="6.140625" style="1937" customWidth="1"/>
    <col min="11779" max="11779" width="8.7109375" style="1937" customWidth="1"/>
    <col min="11780" max="11780" width="42.140625" style="1937" customWidth="1"/>
    <col min="11781" max="11781" width="12.85546875" style="1937" customWidth="1"/>
    <col min="11782" max="11782" width="15.85546875" style="1937" customWidth="1"/>
    <col min="11783" max="11783" width="14.5703125" style="1937" customWidth="1"/>
    <col min="11784" max="11784" width="8.28515625" style="1937" customWidth="1"/>
    <col min="11785" max="11785" width="12.7109375" style="1937" bestFit="1" customWidth="1"/>
    <col min="11786" max="11786" width="20.7109375" style="1937" customWidth="1"/>
    <col min="11787" max="11787" width="20.140625" style="1937" customWidth="1"/>
    <col min="11788" max="11788" width="20.85546875" style="1937" customWidth="1"/>
    <col min="11789" max="12032" width="9.140625" style="1937"/>
    <col min="12033" max="12033" width="4.7109375" style="1937" customWidth="1"/>
    <col min="12034" max="12034" width="6.140625" style="1937" customWidth="1"/>
    <col min="12035" max="12035" width="8.7109375" style="1937" customWidth="1"/>
    <col min="12036" max="12036" width="42.140625" style="1937" customWidth="1"/>
    <col min="12037" max="12037" width="12.85546875" style="1937" customWidth="1"/>
    <col min="12038" max="12038" width="15.85546875" style="1937" customWidth="1"/>
    <col min="12039" max="12039" width="14.5703125" style="1937" customWidth="1"/>
    <col min="12040" max="12040" width="8.28515625" style="1937" customWidth="1"/>
    <col min="12041" max="12041" width="12.7109375" style="1937" bestFit="1" customWidth="1"/>
    <col min="12042" max="12042" width="20.7109375" style="1937" customWidth="1"/>
    <col min="12043" max="12043" width="20.140625" style="1937" customWidth="1"/>
    <col min="12044" max="12044" width="20.85546875" style="1937" customWidth="1"/>
    <col min="12045" max="12288" width="9.140625" style="1937"/>
    <col min="12289" max="12289" width="4.7109375" style="1937" customWidth="1"/>
    <col min="12290" max="12290" width="6.140625" style="1937" customWidth="1"/>
    <col min="12291" max="12291" width="8.7109375" style="1937" customWidth="1"/>
    <col min="12292" max="12292" width="42.140625" style="1937" customWidth="1"/>
    <col min="12293" max="12293" width="12.85546875" style="1937" customWidth="1"/>
    <col min="12294" max="12294" width="15.85546875" style="1937" customWidth="1"/>
    <col min="12295" max="12295" width="14.5703125" style="1937" customWidth="1"/>
    <col min="12296" max="12296" width="8.28515625" style="1937" customWidth="1"/>
    <col min="12297" max="12297" width="12.7109375" style="1937" bestFit="1" customWidth="1"/>
    <col min="12298" max="12298" width="20.7109375" style="1937" customWidth="1"/>
    <col min="12299" max="12299" width="20.140625" style="1937" customWidth="1"/>
    <col min="12300" max="12300" width="20.85546875" style="1937" customWidth="1"/>
    <col min="12301" max="12544" width="9.140625" style="1937"/>
    <col min="12545" max="12545" width="4.7109375" style="1937" customWidth="1"/>
    <col min="12546" max="12546" width="6.140625" style="1937" customWidth="1"/>
    <col min="12547" max="12547" width="8.7109375" style="1937" customWidth="1"/>
    <col min="12548" max="12548" width="42.140625" style="1937" customWidth="1"/>
    <col min="12549" max="12549" width="12.85546875" style="1937" customWidth="1"/>
    <col min="12550" max="12550" width="15.85546875" style="1937" customWidth="1"/>
    <col min="12551" max="12551" width="14.5703125" style="1937" customWidth="1"/>
    <col min="12552" max="12552" width="8.28515625" style="1937" customWidth="1"/>
    <col min="12553" max="12553" width="12.7109375" style="1937" bestFit="1" customWidth="1"/>
    <col min="12554" max="12554" width="20.7109375" style="1937" customWidth="1"/>
    <col min="12555" max="12555" width="20.140625" style="1937" customWidth="1"/>
    <col min="12556" max="12556" width="20.85546875" style="1937" customWidth="1"/>
    <col min="12557" max="12800" width="9.140625" style="1937"/>
    <col min="12801" max="12801" width="4.7109375" style="1937" customWidth="1"/>
    <col min="12802" max="12802" width="6.140625" style="1937" customWidth="1"/>
    <col min="12803" max="12803" width="8.7109375" style="1937" customWidth="1"/>
    <col min="12804" max="12804" width="42.140625" style="1937" customWidth="1"/>
    <col min="12805" max="12805" width="12.85546875" style="1937" customWidth="1"/>
    <col min="12806" max="12806" width="15.85546875" style="1937" customWidth="1"/>
    <col min="12807" max="12807" width="14.5703125" style="1937" customWidth="1"/>
    <col min="12808" max="12808" width="8.28515625" style="1937" customWidth="1"/>
    <col min="12809" max="12809" width="12.7109375" style="1937" bestFit="1" customWidth="1"/>
    <col min="12810" max="12810" width="20.7109375" style="1937" customWidth="1"/>
    <col min="12811" max="12811" width="20.140625" style="1937" customWidth="1"/>
    <col min="12812" max="12812" width="20.85546875" style="1937" customWidth="1"/>
    <col min="12813" max="13056" width="9.140625" style="1937"/>
    <col min="13057" max="13057" width="4.7109375" style="1937" customWidth="1"/>
    <col min="13058" max="13058" width="6.140625" style="1937" customWidth="1"/>
    <col min="13059" max="13059" width="8.7109375" style="1937" customWidth="1"/>
    <col min="13060" max="13060" width="42.140625" style="1937" customWidth="1"/>
    <col min="13061" max="13061" width="12.85546875" style="1937" customWidth="1"/>
    <col min="13062" max="13062" width="15.85546875" style="1937" customWidth="1"/>
    <col min="13063" max="13063" width="14.5703125" style="1937" customWidth="1"/>
    <col min="13064" max="13064" width="8.28515625" style="1937" customWidth="1"/>
    <col min="13065" max="13065" width="12.7109375" style="1937" bestFit="1" customWidth="1"/>
    <col min="13066" max="13066" width="20.7109375" style="1937" customWidth="1"/>
    <col min="13067" max="13067" width="20.140625" style="1937" customWidth="1"/>
    <col min="13068" max="13068" width="20.85546875" style="1937" customWidth="1"/>
    <col min="13069" max="13312" width="9.140625" style="1937"/>
    <col min="13313" max="13313" width="4.7109375" style="1937" customWidth="1"/>
    <col min="13314" max="13314" width="6.140625" style="1937" customWidth="1"/>
    <col min="13315" max="13315" width="8.7109375" style="1937" customWidth="1"/>
    <col min="13316" max="13316" width="42.140625" style="1937" customWidth="1"/>
    <col min="13317" max="13317" width="12.85546875" style="1937" customWidth="1"/>
    <col min="13318" max="13318" width="15.85546875" style="1937" customWidth="1"/>
    <col min="13319" max="13319" width="14.5703125" style="1937" customWidth="1"/>
    <col min="13320" max="13320" width="8.28515625" style="1937" customWidth="1"/>
    <col min="13321" max="13321" width="12.7109375" style="1937" bestFit="1" customWidth="1"/>
    <col min="13322" max="13322" width="20.7109375" style="1937" customWidth="1"/>
    <col min="13323" max="13323" width="20.140625" style="1937" customWidth="1"/>
    <col min="13324" max="13324" width="20.85546875" style="1937" customWidth="1"/>
    <col min="13325" max="13568" width="9.140625" style="1937"/>
    <col min="13569" max="13569" width="4.7109375" style="1937" customWidth="1"/>
    <col min="13570" max="13570" width="6.140625" style="1937" customWidth="1"/>
    <col min="13571" max="13571" width="8.7109375" style="1937" customWidth="1"/>
    <col min="13572" max="13572" width="42.140625" style="1937" customWidth="1"/>
    <col min="13573" max="13573" width="12.85546875" style="1937" customWidth="1"/>
    <col min="13574" max="13574" width="15.85546875" style="1937" customWidth="1"/>
    <col min="13575" max="13575" width="14.5703125" style="1937" customWidth="1"/>
    <col min="13576" max="13576" width="8.28515625" style="1937" customWidth="1"/>
    <col min="13577" max="13577" width="12.7109375" style="1937" bestFit="1" customWidth="1"/>
    <col min="13578" max="13578" width="20.7109375" style="1937" customWidth="1"/>
    <col min="13579" max="13579" width="20.140625" style="1937" customWidth="1"/>
    <col min="13580" max="13580" width="20.85546875" style="1937" customWidth="1"/>
    <col min="13581" max="13824" width="9.140625" style="1937"/>
    <col min="13825" max="13825" width="4.7109375" style="1937" customWidth="1"/>
    <col min="13826" max="13826" width="6.140625" style="1937" customWidth="1"/>
    <col min="13827" max="13827" width="8.7109375" style="1937" customWidth="1"/>
    <col min="13828" max="13828" width="42.140625" style="1937" customWidth="1"/>
    <col min="13829" max="13829" width="12.85546875" style="1937" customWidth="1"/>
    <col min="13830" max="13830" width="15.85546875" style="1937" customWidth="1"/>
    <col min="13831" max="13831" width="14.5703125" style="1937" customWidth="1"/>
    <col min="13832" max="13832" width="8.28515625" style="1937" customWidth="1"/>
    <col min="13833" max="13833" width="12.7109375" style="1937" bestFit="1" customWidth="1"/>
    <col min="13834" max="13834" width="20.7109375" style="1937" customWidth="1"/>
    <col min="13835" max="13835" width="20.140625" style="1937" customWidth="1"/>
    <col min="13836" max="13836" width="20.85546875" style="1937" customWidth="1"/>
    <col min="13837" max="14080" width="9.140625" style="1937"/>
    <col min="14081" max="14081" width="4.7109375" style="1937" customWidth="1"/>
    <col min="14082" max="14082" width="6.140625" style="1937" customWidth="1"/>
    <col min="14083" max="14083" width="8.7109375" style="1937" customWidth="1"/>
    <col min="14084" max="14084" width="42.140625" style="1937" customWidth="1"/>
    <col min="14085" max="14085" width="12.85546875" style="1937" customWidth="1"/>
    <col min="14086" max="14086" width="15.85546875" style="1937" customWidth="1"/>
    <col min="14087" max="14087" width="14.5703125" style="1937" customWidth="1"/>
    <col min="14088" max="14088" width="8.28515625" style="1937" customWidth="1"/>
    <col min="14089" max="14089" width="12.7109375" style="1937" bestFit="1" customWidth="1"/>
    <col min="14090" max="14090" width="20.7109375" style="1937" customWidth="1"/>
    <col min="14091" max="14091" width="20.140625" style="1937" customWidth="1"/>
    <col min="14092" max="14092" width="20.85546875" style="1937" customWidth="1"/>
    <col min="14093" max="14336" width="9.140625" style="1937"/>
    <col min="14337" max="14337" width="4.7109375" style="1937" customWidth="1"/>
    <col min="14338" max="14338" width="6.140625" style="1937" customWidth="1"/>
    <col min="14339" max="14339" width="8.7109375" style="1937" customWidth="1"/>
    <col min="14340" max="14340" width="42.140625" style="1937" customWidth="1"/>
    <col min="14341" max="14341" width="12.85546875" style="1937" customWidth="1"/>
    <col min="14342" max="14342" width="15.85546875" style="1937" customWidth="1"/>
    <col min="14343" max="14343" width="14.5703125" style="1937" customWidth="1"/>
    <col min="14344" max="14344" width="8.28515625" style="1937" customWidth="1"/>
    <col min="14345" max="14345" width="12.7109375" style="1937" bestFit="1" customWidth="1"/>
    <col min="14346" max="14346" width="20.7109375" style="1937" customWidth="1"/>
    <col min="14347" max="14347" width="20.140625" style="1937" customWidth="1"/>
    <col min="14348" max="14348" width="20.85546875" style="1937" customWidth="1"/>
    <col min="14349" max="14592" width="9.140625" style="1937"/>
    <col min="14593" max="14593" width="4.7109375" style="1937" customWidth="1"/>
    <col min="14594" max="14594" width="6.140625" style="1937" customWidth="1"/>
    <col min="14595" max="14595" width="8.7109375" style="1937" customWidth="1"/>
    <col min="14596" max="14596" width="42.140625" style="1937" customWidth="1"/>
    <col min="14597" max="14597" width="12.85546875" style="1937" customWidth="1"/>
    <col min="14598" max="14598" width="15.85546875" style="1937" customWidth="1"/>
    <col min="14599" max="14599" width="14.5703125" style="1937" customWidth="1"/>
    <col min="14600" max="14600" width="8.28515625" style="1937" customWidth="1"/>
    <col min="14601" max="14601" width="12.7109375" style="1937" bestFit="1" customWidth="1"/>
    <col min="14602" max="14602" width="20.7109375" style="1937" customWidth="1"/>
    <col min="14603" max="14603" width="20.140625" style="1937" customWidth="1"/>
    <col min="14604" max="14604" width="20.85546875" style="1937" customWidth="1"/>
    <col min="14605" max="14848" width="9.140625" style="1937"/>
    <col min="14849" max="14849" width="4.7109375" style="1937" customWidth="1"/>
    <col min="14850" max="14850" width="6.140625" style="1937" customWidth="1"/>
    <col min="14851" max="14851" width="8.7109375" style="1937" customWidth="1"/>
    <col min="14852" max="14852" width="42.140625" style="1937" customWidth="1"/>
    <col min="14853" max="14853" width="12.85546875" style="1937" customWidth="1"/>
    <col min="14854" max="14854" width="15.85546875" style="1937" customWidth="1"/>
    <col min="14855" max="14855" width="14.5703125" style="1937" customWidth="1"/>
    <col min="14856" max="14856" width="8.28515625" style="1937" customWidth="1"/>
    <col min="14857" max="14857" width="12.7109375" style="1937" bestFit="1" customWidth="1"/>
    <col min="14858" max="14858" width="20.7109375" style="1937" customWidth="1"/>
    <col min="14859" max="14859" width="20.140625" style="1937" customWidth="1"/>
    <col min="14860" max="14860" width="20.85546875" style="1937" customWidth="1"/>
    <col min="14861" max="15104" width="9.140625" style="1937"/>
    <col min="15105" max="15105" width="4.7109375" style="1937" customWidth="1"/>
    <col min="15106" max="15106" width="6.140625" style="1937" customWidth="1"/>
    <col min="15107" max="15107" width="8.7109375" style="1937" customWidth="1"/>
    <col min="15108" max="15108" width="42.140625" style="1937" customWidth="1"/>
    <col min="15109" max="15109" width="12.85546875" style="1937" customWidth="1"/>
    <col min="15110" max="15110" width="15.85546875" style="1937" customWidth="1"/>
    <col min="15111" max="15111" width="14.5703125" style="1937" customWidth="1"/>
    <col min="15112" max="15112" width="8.28515625" style="1937" customWidth="1"/>
    <col min="15113" max="15113" width="12.7109375" style="1937" bestFit="1" customWidth="1"/>
    <col min="15114" max="15114" width="20.7109375" style="1937" customWidth="1"/>
    <col min="15115" max="15115" width="20.140625" style="1937" customWidth="1"/>
    <col min="15116" max="15116" width="20.85546875" style="1937" customWidth="1"/>
    <col min="15117" max="15360" width="9.140625" style="1937"/>
    <col min="15361" max="15361" width="4.7109375" style="1937" customWidth="1"/>
    <col min="15362" max="15362" width="6.140625" style="1937" customWidth="1"/>
    <col min="15363" max="15363" width="8.7109375" style="1937" customWidth="1"/>
    <col min="15364" max="15364" width="42.140625" style="1937" customWidth="1"/>
    <col min="15365" max="15365" width="12.85546875" style="1937" customWidth="1"/>
    <col min="15366" max="15366" width="15.85546875" style="1937" customWidth="1"/>
    <col min="15367" max="15367" width="14.5703125" style="1937" customWidth="1"/>
    <col min="15368" max="15368" width="8.28515625" style="1937" customWidth="1"/>
    <col min="15369" max="15369" width="12.7109375" style="1937" bestFit="1" customWidth="1"/>
    <col min="15370" max="15370" width="20.7109375" style="1937" customWidth="1"/>
    <col min="15371" max="15371" width="20.140625" style="1937" customWidth="1"/>
    <col min="15372" max="15372" width="20.85546875" style="1937" customWidth="1"/>
    <col min="15373" max="15616" width="9.140625" style="1937"/>
    <col min="15617" max="15617" width="4.7109375" style="1937" customWidth="1"/>
    <col min="15618" max="15618" width="6.140625" style="1937" customWidth="1"/>
    <col min="15619" max="15619" width="8.7109375" style="1937" customWidth="1"/>
    <col min="15620" max="15620" width="42.140625" style="1937" customWidth="1"/>
    <col min="15621" max="15621" width="12.85546875" style="1937" customWidth="1"/>
    <col min="15622" max="15622" width="15.85546875" style="1937" customWidth="1"/>
    <col min="15623" max="15623" width="14.5703125" style="1937" customWidth="1"/>
    <col min="15624" max="15624" width="8.28515625" style="1937" customWidth="1"/>
    <col min="15625" max="15625" width="12.7109375" style="1937" bestFit="1" customWidth="1"/>
    <col min="15626" max="15626" width="20.7109375" style="1937" customWidth="1"/>
    <col min="15627" max="15627" width="20.140625" style="1937" customWidth="1"/>
    <col min="15628" max="15628" width="20.85546875" style="1937" customWidth="1"/>
    <col min="15629" max="15872" width="9.140625" style="1937"/>
    <col min="15873" max="15873" width="4.7109375" style="1937" customWidth="1"/>
    <col min="15874" max="15874" width="6.140625" style="1937" customWidth="1"/>
    <col min="15875" max="15875" width="8.7109375" style="1937" customWidth="1"/>
    <col min="15876" max="15876" width="42.140625" style="1937" customWidth="1"/>
    <col min="15877" max="15877" width="12.85546875" style="1937" customWidth="1"/>
    <col min="15878" max="15878" width="15.85546875" style="1937" customWidth="1"/>
    <col min="15879" max="15879" width="14.5703125" style="1937" customWidth="1"/>
    <col min="15880" max="15880" width="8.28515625" style="1937" customWidth="1"/>
    <col min="15881" max="15881" width="12.7109375" style="1937" bestFit="1" customWidth="1"/>
    <col min="15882" max="15882" width="20.7109375" style="1937" customWidth="1"/>
    <col min="15883" max="15883" width="20.140625" style="1937" customWidth="1"/>
    <col min="15884" max="15884" width="20.85546875" style="1937" customWidth="1"/>
    <col min="15885" max="16128" width="9.140625" style="1937"/>
    <col min="16129" max="16129" width="4.7109375" style="1937" customWidth="1"/>
    <col min="16130" max="16130" width="6.140625" style="1937" customWidth="1"/>
    <col min="16131" max="16131" width="8.7109375" style="1937" customWidth="1"/>
    <col min="16132" max="16132" width="42.140625" style="1937" customWidth="1"/>
    <col min="16133" max="16133" width="12.85546875" style="1937" customWidth="1"/>
    <col min="16134" max="16134" width="15.85546875" style="1937" customWidth="1"/>
    <col min="16135" max="16135" width="14.5703125" style="1937" customWidth="1"/>
    <col min="16136" max="16136" width="8.28515625" style="1937" customWidth="1"/>
    <col min="16137" max="16137" width="12.7109375" style="1937" bestFit="1" customWidth="1"/>
    <col min="16138" max="16138" width="20.7109375" style="1937" customWidth="1"/>
    <col min="16139" max="16139" width="20.140625" style="1937" customWidth="1"/>
    <col min="16140" max="16140" width="20.85546875" style="1937" customWidth="1"/>
    <col min="16141" max="16384" width="9.140625" style="1937"/>
  </cols>
  <sheetData>
    <row r="1" spans="1:9" ht="18.75" thickBot="1" x14ac:dyDescent="0.25">
      <c r="A1" s="2762" t="s">
        <v>1378</v>
      </c>
      <c r="B1" s="2762"/>
      <c r="C1" s="2762"/>
      <c r="D1" s="2762"/>
      <c r="E1" s="2762"/>
      <c r="F1" s="2762"/>
      <c r="G1" s="2762"/>
      <c r="H1" s="2762" t="s">
        <v>319</v>
      </c>
    </row>
    <row r="2" spans="1:9" ht="18" x14ac:dyDescent="0.25">
      <c r="A2" s="2052"/>
      <c r="H2" s="2027" t="s">
        <v>319</v>
      </c>
    </row>
    <row r="3" spans="1:9" ht="14.25" x14ac:dyDescent="0.2">
      <c r="A3" s="1815" t="s">
        <v>387</v>
      </c>
      <c r="C3" s="1935" t="s">
        <v>363</v>
      </c>
    </row>
    <row r="4" spans="1:9" ht="14.25" x14ac:dyDescent="0.2">
      <c r="A4" s="2052"/>
      <c r="C4" s="1935" t="s">
        <v>364</v>
      </c>
    </row>
    <row r="5" spans="1:9" ht="18" x14ac:dyDescent="0.25">
      <c r="A5" s="1940" t="s">
        <v>320</v>
      </c>
    </row>
    <row r="6" spans="1:9" ht="18" x14ac:dyDescent="0.25">
      <c r="A6" s="1940"/>
    </row>
    <row r="7" spans="1:9" ht="15.75" thickBot="1" x14ac:dyDescent="0.3">
      <c r="A7" s="1942" t="s">
        <v>263</v>
      </c>
      <c r="H7" s="2043" t="s">
        <v>173</v>
      </c>
    </row>
    <row r="8" spans="1:9" s="1735" customFormat="1" ht="25.5" thickTop="1" thickBot="1" x14ac:dyDescent="0.25">
      <c r="A8" s="1943" t="s">
        <v>174</v>
      </c>
      <c r="B8" s="1944" t="s">
        <v>800</v>
      </c>
      <c r="C8" s="1944" t="s">
        <v>397</v>
      </c>
      <c r="D8" s="1945" t="s">
        <v>176</v>
      </c>
      <c r="E8" s="1976" t="s">
        <v>669</v>
      </c>
      <c r="F8" s="1976" t="s">
        <v>670</v>
      </c>
      <c r="G8" s="1977" t="s">
        <v>923</v>
      </c>
      <c r="H8" s="1978" t="s">
        <v>924</v>
      </c>
    </row>
    <row r="9" spans="1:9" s="1735" customFormat="1" ht="13.5" thickTop="1" thickBot="1" x14ac:dyDescent="0.25">
      <c r="A9" s="1740">
        <v>1</v>
      </c>
      <c r="B9" s="1739">
        <v>2</v>
      </c>
      <c r="C9" s="1739">
        <v>3</v>
      </c>
      <c r="D9" s="1739">
        <v>4</v>
      </c>
      <c r="E9" s="1738">
        <v>5</v>
      </c>
      <c r="F9" s="1738">
        <v>6</v>
      </c>
      <c r="G9" s="2028">
        <v>7</v>
      </c>
      <c r="H9" s="2054" t="s">
        <v>61</v>
      </c>
    </row>
    <row r="10" spans="1:9" ht="15.75" hidden="1" thickTop="1" x14ac:dyDescent="0.2">
      <c r="A10" s="2049">
        <v>4351</v>
      </c>
      <c r="B10" s="2056">
        <v>5169</v>
      </c>
      <c r="C10" s="2059"/>
      <c r="D10" s="2006" t="s">
        <v>892</v>
      </c>
      <c r="E10" s="1975">
        <v>0</v>
      </c>
      <c r="F10" s="1975">
        <v>0</v>
      </c>
      <c r="G10" s="1975">
        <v>0</v>
      </c>
      <c r="H10" s="1958">
        <v>0</v>
      </c>
    </row>
    <row r="11" spans="1:9" ht="30" hidden="1" customHeight="1" thickTop="1" x14ac:dyDescent="0.2">
      <c r="A11" s="2049">
        <v>6409</v>
      </c>
      <c r="B11" s="2056">
        <v>5909</v>
      </c>
      <c r="C11" s="2059"/>
      <c r="D11" s="2062" t="s">
        <v>820</v>
      </c>
      <c r="E11" s="1989">
        <v>0</v>
      </c>
      <c r="F11" s="1989">
        <v>0</v>
      </c>
      <c r="G11" s="1989">
        <v>0</v>
      </c>
      <c r="H11" s="1961">
        <v>0</v>
      </c>
    </row>
    <row r="12" spans="1:9" ht="16.5" thickTop="1" thickBot="1" x14ac:dyDescent="0.25">
      <c r="A12" s="2049">
        <v>6330</v>
      </c>
      <c r="B12" s="2056">
        <v>5345</v>
      </c>
      <c r="C12" s="2059"/>
      <c r="D12" s="1979" t="s">
        <v>806</v>
      </c>
      <c r="E12" s="1989">
        <v>0</v>
      </c>
      <c r="F12" s="1989">
        <v>0</v>
      </c>
      <c r="G12" s="1989">
        <v>207865</v>
      </c>
      <c r="H12" s="1961">
        <v>0</v>
      </c>
    </row>
    <row r="13" spans="1:9" s="1969" customFormat="1" ht="16.5" thickTop="1" thickBot="1" x14ac:dyDescent="0.3">
      <c r="A13" s="2750" t="s">
        <v>802</v>
      </c>
      <c r="B13" s="2751"/>
      <c r="C13" s="2751"/>
      <c r="D13" s="2751"/>
      <c r="E13" s="1957">
        <f>SUM(E10:E12)</f>
        <v>0</v>
      </c>
      <c r="F13" s="1957">
        <f>SUM(F10:F12)</f>
        <v>0</v>
      </c>
      <c r="G13" s="1957">
        <f>SUM(G10:G12)</f>
        <v>207865</v>
      </c>
      <c r="H13" s="1962">
        <v>0</v>
      </c>
      <c r="I13" s="2063"/>
    </row>
    <row r="14" spans="1:9" ht="18.75" thickTop="1" x14ac:dyDescent="0.25">
      <c r="A14" s="1940"/>
    </row>
    <row r="15" spans="1:9" s="1735" customFormat="1" ht="15" hidden="1" x14ac:dyDescent="0.25">
      <c r="A15" s="1942" t="s">
        <v>209</v>
      </c>
      <c r="B15" s="1936"/>
      <c r="C15" s="1936"/>
      <c r="D15" s="1937"/>
      <c r="E15" s="1970"/>
      <c r="F15" s="1970"/>
      <c r="G15" s="1970"/>
      <c r="H15" s="1937"/>
    </row>
    <row r="16" spans="1:9" s="1735" customFormat="1" ht="15" hidden="1" x14ac:dyDescent="0.25">
      <c r="A16" s="1942" t="s">
        <v>1218</v>
      </c>
      <c r="B16" s="1936"/>
      <c r="C16" s="1936"/>
      <c r="D16" s="1937"/>
      <c r="E16" s="1970"/>
      <c r="F16" s="1970"/>
      <c r="G16" s="1970"/>
      <c r="H16" s="2043" t="s">
        <v>173</v>
      </c>
    </row>
    <row r="17" spans="1:8" s="1735" customFormat="1" ht="25.5" hidden="1" thickTop="1" thickBot="1" x14ac:dyDescent="0.25">
      <c r="A17" s="1943" t="s">
        <v>174</v>
      </c>
      <c r="B17" s="1944" t="s">
        <v>800</v>
      </c>
      <c r="C17" s="1944" t="s">
        <v>397</v>
      </c>
      <c r="D17" s="1945" t="s">
        <v>176</v>
      </c>
      <c r="E17" s="1976" t="s">
        <v>669</v>
      </c>
      <c r="F17" s="1976" t="s">
        <v>670</v>
      </c>
      <c r="G17" s="1977" t="s">
        <v>923</v>
      </c>
      <c r="H17" s="1978" t="s">
        <v>924</v>
      </c>
    </row>
    <row r="18" spans="1:8" s="1735" customFormat="1" ht="13.5" hidden="1" thickTop="1" thickBot="1" x14ac:dyDescent="0.25">
      <c r="A18" s="1740">
        <v>1</v>
      </c>
      <c r="B18" s="1739">
        <v>2</v>
      </c>
      <c r="C18" s="1739">
        <v>3</v>
      </c>
      <c r="D18" s="1739">
        <v>4</v>
      </c>
      <c r="E18" s="1738">
        <v>5</v>
      </c>
      <c r="F18" s="1738">
        <v>6</v>
      </c>
      <c r="G18" s="2028">
        <v>7</v>
      </c>
      <c r="H18" s="2054" t="s">
        <v>61</v>
      </c>
    </row>
    <row r="19" spans="1:8" s="1735" customFormat="1" ht="15" hidden="1" x14ac:dyDescent="0.2">
      <c r="A19" s="1952">
        <v>3533</v>
      </c>
      <c r="B19" s="1953">
        <v>5139</v>
      </c>
      <c r="C19" s="1953">
        <v>38100870</v>
      </c>
      <c r="D19" s="1979" t="s">
        <v>284</v>
      </c>
      <c r="E19" s="1989">
        <v>0</v>
      </c>
      <c r="F19" s="1989">
        <v>0</v>
      </c>
      <c r="G19" s="1989">
        <v>0</v>
      </c>
      <c r="H19" s="1961" t="e">
        <f>G19/F19*100</f>
        <v>#DIV/0!</v>
      </c>
    </row>
    <row r="20" spans="1:8" s="1735" customFormat="1" ht="15" hidden="1" x14ac:dyDescent="0.2">
      <c r="A20" s="1952">
        <v>3533</v>
      </c>
      <c r="B20" s="1953">
        <v>5139</v>
      </c>
      <c r="C20" s="1953">
        <v>38500871</v>
      </c>
      <c r="D20" s="1979" t="s">
        <v>284</v>
      </c>
      <c r="E20" s="1989">
        <v>0</v>
      </c>
      <c r="F20" s="1989">
        <v>0</v>
      </c>
      <c r="G20" s="1989">
        <v>0</v>
      </c>
      <c r="H20" s="1961" t="e">
        <f>G20/F20*100</f>
        <v>#DIV/0!</v>
      </c>
    </row>
    <row r="21" spans="1:8" s="1735" customFormat="1" ht="15" hidden="1" x14ac:dyDescent="0.2">
      <c r="A21" s="1952">
        <v>3533</v>
      </c>
      <c r="B21" s="1953">
        <v>5169</v>
      </c>
      <c r="C21" s="1953">
        <v>38100874</v>
      </c>
      <c r="D21" s="1979" t="s">
        <v>892</v>
      </c>
      <c r="E21" s="1989">
        <v>0</v>
      </c>
      <c r="F21" s="1989">
        <v>0</v>
      </c>
      <c r="G21" s="1989">
        <v>0</v>
      </c>
      <c r="H21" s="1961" t="e">
        <f>G21/F21*100</f>
        <v>#DIV/0!</v>
      </c>
    </row>
    <row r="22" spans="1:8" s="1735" customFormat="1" ht="16.5" hidden="1" thickTop="1" thickBot="1" x14ac:dyDescent="0.3">
      <c r="A22" s="2750" t="s">
        <v>802</v>
      </c>
      <c r="B22" s="2751"/>
      <c r="C22" s="2751"/>
      <c r="D22" s="2751"/>
      <c r="E22" s="1957">
        <f>SUM(E19:E21)</f>
        <v>0</v>
      </c>
      <c r="F22" s="1957">
        <f>SUM(F19:F21)</f>
        <v>0</v>
      </c>
      <c r="G22" s="1957">
        <f>SUM(G19:G21)</f>
        <v>0</v>
      </c>
      <c r="H22" s="1962" t="e">
        <f>G22/F22*100</f>
        <v>#DIV/0!</v>
      </c>
    </row>
    <row r="23" spans="1:8" s="1735" customFormat="1" ht="15" hidden="1" x14ac:dyDescent="0.25">
      <c r="A23" s="1963"/>
      <c r="B23" s="1963"/>
      <c r="C23" s="1963"/>
      <c r="D23" s="1963"/>
      <c r="E23" s="2114"/>
      <c r="F23" s="2114"/>
      <c r="G23" s="2114"/>
      <c r="H23" s="1995"/>
    </row>
    <row r="24" spans="1:8" s="1735" customFormat="1" ht="15" hidden="1" x14ac:dyDescent="0.25">
      <c r="A24" s="1942" t="s">
        <v>1219</v>
      </c>
      <c r="B24" s="1936"/>
      <c r="C24" s="1936"/>
      <c r="D24" s="1937"/>
      <c r="E24" s="1970"/>
      <c r="F24" s="1970"/>
      <c r="G24" s="1970"/>
      <c r="H24" s="1937"/>
    </row>
    <row r="25" spans="1:8" s="1735" customFormat="1" ht="15" hidden="1" x14ac:dyDescent="0.25">
      <c r="A25" s="1942" t="s">
        <v>1220</v>
      </c>
      <c r="B25" s="1936"/>
      <c r="C25" s="1936"/>
      <c r="D25" s="1937"/>
      <c r="E25" s="1970"/>
      <c r="F25" s="1970"/>
      <c r="G25" s="1970"/>
      <c r="H25" s="2043" t="s">
        <v>173</v>
      </c>
    </row>
    <row r="26" spans="1:8" s="1735" customFormat="1" ht="25.5" hidden="1" thickTop="1" thickBot="1" x14ac:dyDescent="0.25">
      <c r="A26" s="1943" t="s">
        <v>174</v>
      </c>
      <c r="B26" s="1944" t="s">
        <v>800</v>
      </c>
      <c r="C26" s="1944" t="s">
        <v>397</v>
      </c>
      <c r="D26" s="1945" t="s">
        <v>176</v>
      </c>
      <c r="E26" s="1976" t="s">
        <v>669</v>
      </c>
      <c r="F26" s="1976" t="s">
        <v>670</v>
      </c>
      <c r="G26" s="1977" t="s">
        <v>923</v>
      </c>
      <c r="H26" s="1978" t="s">
        <v>924</v>
      </c>
    </row>
    <row r="27" spans="1:8" s="1735" customFormat="1" ht="13.5" hidden="1" thickTop="1" thickBot="1" x14ac:dyDescent="0.25">
      <c r="A27" s="1740">
        <v>1</v>
      </c>
      <c r="B27" s="1739">
        <v>2</v>
      </c>
      <c r="C27" s="1739">
        <v>3</v>
      </c>
      <c r="D27" s="1739">
        <v>4</v>
      </c>
      <c r="E27" s="1738">
        <v>5</v>
      </c>
      <c r="F27" s="1738">
        <v>6</v>
      </c>
      <c r="G27" s="2028">
        <v>7</v>
      </c>
      <c r="H27" s="2054" t="s">
        <v>61</v>
      </c>
    </row>
    <row r="28" spans="1:8" s="1735" customFormat="1" ht="15" hidden="1" x14ac:dyDescent="0.2">
      <c r="A28" s="1952">
        <v>3533</v>
      </c>
      <c r="B28" s="1953">
        <v>5139</v>
      </c>
      <c r="C28" s="1953">
        <v>38100870</v>
      </c>
      <c r="D28" s="1979" t="s">
        <v>284</v>
      </c>
      <c r="E28" s="1989">
        <v>0</v>
      </c>
      <c r="F28" s="1989">
        <v>0</v>
      </c>
      <c r="G28" s="1989">
        <v>0</v>
      </c>
      <c r="H28" s="1961" t="e">
        <f>G28/F28*100</f>
        <v>#DIV/0!</v>
      </c>
    </row>
    <row r="29" spans="1:8" s="1735" customFormat="1" ht="15" hidden="1" x14ac:dyDescent="0.2">
      <c r="A29" s="1952">
        <v>3533</v>
      </c>
      <c r="B29" s="1953">
        <v>5139</v>
      </c>
      <c r="C29" s="1953">
        <v>38500871</v>
      </c>
      <c r="D29" s="1979" t="s">
        <v>284</v>
      </c>
      <c r="E29" s="1989">
        <v>0</v>
      </c>
      <c r="F29" s="1989">
        <v>0</v>
      </c>
      <c r="G29" s="1989">
        <v>0</v>
      </c>
      <c r="H29" s="1961" t="e">
        <f>G29/F29*100</f>
        <v>#DIV/0!</v>
      </c>
    </row>
    <row r="30" spans="1:8" s="1735" customFormat="1" ht="16.5" hidden="1" thickTop="1" thickBot="1" x14ac:dyDescent="0.3">
      <c r="A30" s="2750" t="s">
        <v>802</v>
      </c>
      <c r="B30" s="2751"/>
      <c r="C30" s="2751"/>
      <c r="D30" s="2751"/>
      <c r="E30" s="1957">
        <f>SUM(E28:E29)</f>
        <v>0</v>
      </c>
      <c r="F30" s="1957">
        <f>SUM(F28:F29)</f>
        <v>0</v>
      </c>
      <c r="G30" s="1957">
        <f>SUM(G28:G29)</f>
        <v>0</v>
      </c>
      <c r="H30" s="1962" t="e">
        <f>G30/F30*100</f>
        <v>#DIV/0!</v>
      </c>
    </row>
    <row r="31" spans="1:8" s="1735" customFormat="1" ht="15" hidden="1" x14ac:dyDescent="0.25">
      <c r="A31" s="1963"/>
      <c r="B31" s="1963"/>
      <c r="C31" s="1963"/>
      <c r="D31" s="1963"/>
      <c r="E31" s="2114"/>
      <c r="F31" s="2114"/>
      <c r="G31" s="2114"/>
      <c r="H31" s="1995"/>
    </row>
    <row r="32" spans="1:8" s="1735" customFormat="1" ht="15" hidden="1" x14ac:dyDescent="0.25">
      <c r="A32" s="1942" t="s">
        <v>1471</v>
      </c>
      <c r="B32" s="1936"/>
      <c r="C32" s="1936"/>
      <c r="D32" s="1937"/>
      <c r="E32" s="1970"/>
      <c r="F32" s="1970"/>
      <c r="G32" s="1970"/>
      <c r="H32" s="1937"/>
    </row>
    <row r="33" spans="1:8" s="1735" customFormat="1" ht="15" hidden="1" x14ac:dyDescent="0.25">
      <c r="A33" s="1942" t="s">
        <v>1470</v>
      </c>
      <c r="B33" s="1936"/>
      <c r="C33" s="1936"/>
      <c r="D33" s="1937"/>
      <c r="E33" s="1970"/>
      <c r="F33" s="1970"/>
      <c r="G33" s="1970"/>
      <c r="H33" s="2043" t="s">
        <v>173</v>
      </c>
    </row>
    <row r="34" spans="1:8" s="1735" customFormat="1" ht="25.5" hidden="1" thickTop="1" thickBot="1" x14ac:dyDescent="0.25">
      <c r="A34" s="1943" t="s">
        <v>174</v>
      </c>
      <c r="B34" s="1944" t="s">
        <v>800</v>
      </c>
      <c r="C34" s="1944" t="s">
        <v>397</v>
      </c>
      <c r="D34" s="1945" t="s">
        <v>176</v>
      </c>
      <c r="E34" s="1976" t="s">
        <v>669</v>
      </c>
      <c r="F34" s="1976" t="s">
        <v>670</v>
      </c>
      <c r="G34" s="1977" t="s">
        <v>923</v>
      </c>
      <c r="H34" s="1978" t="s">
        <v>924</v>
      </c>
    </row>
    <row r="35" spans="1:8" s="1735" customFormat="1" ht="13.5" hidden="1" thickTop="1" thickBot="1" x14ac:dyDescent="0.25">
      <c r="A35" s="1740">
        <v>1</v>
      </c>
      <c r="B35" s="1739">
        <v>2</v>
      </c>
      <c r="C35" s="1739">
        <v>3</v>
      </c>
      <c r="D35" s="1739">
        <v>4</v>
      </c>
      <c r="E35" s="1738">
        <v>5</v>
      </c>
      <c r="F35" s="1738">
        <v>6</v>
      </c>
      <c r="G35" s="2028">
        <v>7</v>
      </c>
      <c r="H35" s="2054" t="s">
        <v>61</v>
      </c>
    </row>
    <row r="36" spans="1:8" s="1735" customFormat="1" ht="60" hidden="1" x14ac:dyDescent="0.2">
      <c r="A36" s="2049">
        <v>6402</v>
      </c>
      <c r="B36" s="2056">
        <v>5368</v>
      </c>
      <c r="C36" s="2115" t="s">
        <v>608</v>
      </c>
      <c r="D36" s="1979" t="s">
        <v>582</v>
      </c>
      <c r="E36" s="1989">
        <v>0</v>
      </c>
      <c r="F36" s="1989">
        <v>0</v>
      </c>
      <c r="G36" s="1989">
        <v>0</v>
      </c>
      <c r="H36" s="1961" t="e">
        <f>G36/F36*100</f>
        <v>#DIV/0!</v>
      </c>
    </row>
    <row r="37" spans="1:8" s="1735" customFormat="1" ht="16.5" hidden="1" thickTop="1" thickBot="1" x14ac:dyDescent="0.3">
      <c r="A37" s="2750" t="s">
        <v>802</v>
      </c>
      <c r="B37" s="2751"/>
      <c r="C37" s="2751"/>
      <c r="D37" s="2751"/>
      <c r="E37" s="1957">
        <f>SUM(E36:E36)</f>
        <v>0</v>
      </c>
      <c r="F37" s="1957">
        <f>SUM(F36:F36)</f>
        <v>0</v>
      </c>
      <c r="G37" s="1957">
        <f>SUM(G36:G36)</f>
        <v>0</v>
      </c>
      <c r="H37" s="1962" t="e">
        <f>G37/F37*100</f>
        <v>#DIV/0!</v>
      </c>
    </row>
    <row r="38" spans="1:8" s="1735" customFormat="1" ht="15" hidden="1" x14ac:dyDescent="0.25">
      <c r="A38" s="1963"/>
      <c r="B38" s="1963"/>
      <c r="C38" s="1963"/>
      <c r="D38" s="1963"/>
      <c r="E38" s="2114"/>
      <c r="F38" s="2114"/>
      <c r="G38" s="2114"/>
      <c r="H38" s="1995"/>
    </row>
    <row r="39" spans="1:8" ht="15" hidden="1" x14ac:dyDescent="0.25">
      <c r="A39" s="1942" t="s">
        <v>207</v>
      </c>
    </row>
    <row r="40" spans="1:8" ht="15" hidden="1" x14ac:dyDescent="0.25">
      <c r="A40" s="1942" t="s">
        <v>208</v>
      </c>
      <c r="H40" s="2043" t="s">
        <v>173</v>
      </c>
    </row>
    <row r="41" spans="1:8" s="1735" customFormat="1" ht="25.5" hidden="1" thickTop="1" thickBot="1" x14ac:dyDescent="0.25">
      <c r="A41" s="1943" t="s">
        <v>174</v>
      </c>
      <c r="B41" s="1944" t="s">
        <v>800</v>
      </c>
      <c r="C41" s="1944" t="s">
        <v>397</v>
      </c>
      <c r="D41" s="1945" t="s">
        <v>176</v>
      </c>
      <c r="E41" s="1976" t="s">
        <v>669</v>
      </c>
      <c r="F41" s="1976" t="s">
        <v>670</v>
      </c>
      <c r="G41" s="1977" t="s">
        <v>923</v>
      </c>
      <c r="H41" s="1978" t="s">
        <v>924</v>
      </c>
    </row>
    <row r="42" spans="1:8" s="1735" customFormat="1" ht="13.5" hidden="1" thickTop="1" thickBot="1" x14ac:dyDescent="0.25">
      <c r="A42" s="1740">
        <v>1</v>
      </c>
      <c r="B42" s="1739">
        <v>2</v>
      </c>
      <c r="C42" s="1739">
        <v>3</v>
      </c>
      <c r="D42" s="1739">
        <v>4</v>
      </c>
      <c r="E42" s="1738">
        <v>5</v>
      </c>
      <c r="F42" s="1738">
        <v>6</v>
      </c>
      <c r="G42" s="2028">
        <v>7</v>
      </c>
      <c r="H42" s="2054" t="s">
        <v>61</v>
      </c>
    </row>
    <row r="43" spans="1:8" s="1735" customFormat="1" ht="60" hidden="1" x14ac:dyDescent="0.2">
      <c r="A43" s="2049">
        <v>6402</v>
      </c>
      <c r="B43" s="2056">
        <v>5368</v>
      </c>
      <c r="C43" s="2116" t="s">
        <v>608</v>
      </c>
      <c r="D43" s="1979" t="s">
        <v>582</v>
      </c>
      <c r="E43" s="1989">
        <v>0</v>
      </c>
      <c r="F43" s="1989">
        <v>0</v>
      </c>
      <c r="G43" s="1989">
        <v>0</v>
      </c>
      <c r="H43" s="1961" t="e">
        <f>G43/F43*100</f>
        <v>#DIV/0!</v>
      </c>
    </row>
    <row r="44" spans="1:8" s="1735" customFormat="1" ht="16.5" hidden="1" thickTop="1" thickBot="1" x14ac:dyDescent="0.3">
      <c r="A44" s="2750" t="s">
        <v>802</v>
      </c>
      <c r="B44" s="2751"/>
      <c r="C44" s="2751"/>
      <c r="D44" s="2751"/>
      <c r="E44" s="1957">
        <f>SUM(E43:E43)</f>
        <v>0</v>
      </c>
      <c r="F44" s="1957">
        <f>SUM(F43:F43)</f>
        <v>0</v>
      </c>
      <c r="G44" s="1957">
        <f>SUM(G43:G43)</f>
        <v>0</v>
      </c>
      <c r="H44" s="1962" t="e">
        <f>G44/F44*100</f>
        <v>#DIV/0!</v>
      </c>
    </row>
    <row r="45" spans="1:8" s="1735" customFormat="1" ht="14.25" hidden="1" customHeight="1" thickTop="1" x14ac:dyDescent="0.25">
      <c r="A45" s="1963"/>
      <c r="B45" s="1963"/>
      <c r="C45" s="1963"/>
      <c r="D45" s="1963"/>
      <c r="E45" s="1964"/>
      <c r="F45" s="1964"/>
      <c r="G45" s="1964"/>
      <c r="H45" s="1995"/>
    </row>
    <row r="46" spans="1:8" s="1735" customFormat="1" ht="15" x14ac:dyDescent="0.25">
      <c r="A46" s="1942" t="s">
        <v>1127</v>
      </c>
      <c r="B46" s="1936"/>
      <c r="C46" s="1936"/>
      <c r="D46" s="1937"/>
      <c r="E46" s="1970"/>
      <c r="F46" s="1970"/>
      <c r="G46" s="1970"/>
      <c r="H46" s="1937"/>
    </row>
    <row r="47" spans="1:8" s="1735" customFormat="1" ht="15.75" thickBot="1" x14ac:dyDescent="0.3">
      <c r="A47" s="1942" t="s">
        <v>1128</v>
      </c>
      <c r="B47" s="1936"/>
      <c r="C47" s="1936"/>
      <c r="D47" s="1937"/>
      <c r="E47" s="1970"/>
      <c r="F47" s="1970"/>
      <c r="G47" s="1970"/>
      <c r="H47" s="2043" t="s">
        <v>173</v>
      </c>
    </row>
    <row r="48" spans="1:8" s="1735" customFormat="1" ht="25.5" thickTop="1" thickBot="1" x14ac:dyDescent="0.25">
      <c r="A48" s="1943" t="s">
        <v>174</v>
      </c>
      <c r="B48" s="1944" t="s">
        <v>800</v>
      </c>
      <c r="C48" s="1944" t="s">
        <v>397</v>
      </c>
      <c r="D48" s="1945" t="s">
        <v>176</v>
      </c>
      <c r="E48" s="1976" t="s">
        <v>669</v>
      </c>
      <c r="F48" s="1976" t="s">
        <v>670</v>
      </c>
      <c r="G48" s="1977" t="s">
        <v>923</v>
      </c>
      <c r="H48" s="1978" t="s">
        <v>924</v>
      </c>
    </row>
    <row r="49" spans="1:8" s="1735" customFormat="1" ht="13.5" thickTop="1" thickBot="1" x14ac:dyDescent="0.25">
      <c r="A49" s="1740">
        <v>1</v>
      </c>
      <c r="B49" s="1739">
        <v>2</v>
      </c>
      <c r="C49" s="1739">
        <v>3</v>
      </c>
      <c r="D49" s="1739">
        <v>4</v>
      </c>
      <c r="E49" s="1738">
        <v>5</v>
      </c>
      <c r="F49" s="1738">
        <v>6</v>
      </c>
      <c r="G49" s="2028">
        <v>7</v>
      </c>
      <c r="H49" s="2054" t="s">
        <v>61</v>
      </c>
    </row>
    <row r="50" spans="1:8" ht="16.5" customHeight="1" thickTop="1" x14ac:dyDescent="0.2">
      <c r="A50" s="2049">
        <v>2143</v>
      </c>
      <c r="B50" s="2056">
        <v>5011</v>
      </c>
      <c r="C50" s="2059">
        <v>41100880</v>
      </c>
      <c r="D50" s="1979" t="s">
        <v>283</v>
      </c>
      <c r="E50" s="1989">
        <v>0</v>
      </c>
      <c r="F50" s="1989">
        <v>3</v>
      </c>
      <c r="G50" s="1989">
        <v>3</v>
      </c>
      <c r="H50" s="1961">
        <f t="shared" ref="H50:H62" si="0">G50/F50*100</f>
        <v>100</v>
      </c>
    </row>
    <row r="51" spans="1:8" ht="16.5" customHeight="1" x14ac:dyDescent="0.2">
      <c r="A51" s="2049">
        <v>2143</v>
      </c>
      <c r="B51" s="2056">
        <v>5011</v>
      </c>
      <c r="C51" s="2059">
        <v>41100882</v>
      </c>
      <c r="D51" s="1979" t="s">
        <v>283</v>
      </c>
      <c r="E51" s="1989">
        <v>0</v>
      </c>
      <c r="F51" s="1989">
        <v>2</v>
      </c>
      <c r="G51" s="1989">
        <v>2</v>
      </c>
      <c r="H51" s="1961">
        <f t="shared" si="0"/>
        <v>100</v>
      </c>
    </row>
    <row r="52" spans="1:8" s="1735" customFormat="1" ht="16.5" customHeight="1" x14ac:dyDescent="0.2">
      <c r="A52" s="2049">
        <v>2143</v>
      </c>
      <c r="B52" s="2056">
        <v>5011</v>
      </c>
      <c r="C52" s="2056">
        <v>41500881</v>
      </c>
      <c r="D52" s="1979" t="s">
        <v>283</v>
      </c>
      <c r="E52" s="1989">
        <v>0</v>
      </c>
      <c r="F52" s="1989">
        <v>26</v>
      </c>
      <c r="G52" s="1989">
        <v>26</v>
      </c>
      <c r="H52" s="1961">
        <f t="shared" si="0"/>
        <v>100</v>
      </c>
    </row>
    <row r="53" spans="1:8" s="1735" customFormat="1" ht="45" x14ac:dyDescent="0.2">
      <c r="A53" s="2049">
        <v>2143</v>
      </c>
      <c r="B53" s="2056">
        <v>5031</v>
      </c>
      <c r="C53" s="2056">
        <v>41100880</v>
      </c>
      <c r="D53" s="1979" t="s">
        <v>1362</v>
      </c>
      <c r="E53" s="1989">
        <v>0</v>
      </c>
      <c r="F53" s="1989">
        <v>1</v>
      </c>
      <c r="G53" s="1989">
        <v>1</v>
      </c>
      <c r="H53" s="1961">
        <f t="shared" si="0"/>
        <v>100</v>
      </c>
    </row>
    <row r="54" spans="1:8" s="1735" customFormat="1" ht="45" hidden="1" x14ac:dyDescent="0.2">
      <c r="A54" s="2049">
        <v>2143</v>
      </c>
      <c r="B54" s="2056">
        <v>5031</v>
      </c>
      <c r="C54" s="2056">
        <v>41100882</v>
      </c>
      <c r="D54" s="1979" t="s">
        <v>1362</v>
      </c>
      <c r="E54" s="1989">
        <v>0</v>
      </c>
      <c r="F54" s="1989">
        <v>0</v>
      </c>
      <c r="G54" s="1989">
        <v>0</v>
      </c>
      <c r="H54" s="1961">
        <v>0</v>
      </c>
    </row>
    <row r="55" spans="1:8" s="1735" customFormat="1" ht="45" x14ac:dyDescent="0.2">
      <c r="A55" s="2049">
        <v>2143</v>
      </c>
      <c r="B55" s="2056">
        <v>5031</v>
      </c>
      <c r="C55" s="2056">
        <v>41500881</v>
      </c>
      <c r="D55" s="1979" t="s">
        <v>1362</v>
      </c>
      <c r="E55" s="1989">
        <v>0</v>
      </c>
      <c r="F55" s="1989">
        <v>6</v>
      </c>
      <c r="G55" s="1989">
        <v>6</v>
      </c>
      <c r="H55" s="1961">
        <f t="shared" si="0"/>
        <v>100</v>
      </c>
    </row>
    <row r="56" spans="1:8" s="1735" customFormat="1" ht="30" hidden="1" x14ac:dyDescent="0.2">
      <c r="A56" s="2117">
        <v>2143</v>
      </c>
      <c r="B56" s="2056">
        <v>5032</v>
      </c>
      <c r="C56" s="2056">
        <v>41100880</v>
      </c>
      <c r="D56" s="1979" t="s">
        <v>1236</v>
      </c>
      <c r="E56" s="1989">
        <v>0</v>
      </c>
      <c r="F56" s="1989">
        <v>0</v>
      </c>
      <c r="G56" s="1989">
        <v>0</v>
      </c>
      <c r="H56" s="1961" t="e">
        <f t="shared" si="0"/>
        <v>#DIV/0!</v>
      </c>
    </row>
    <row r="57" spans="1:8" s="1735" customFormat="1" ht="30" hidden="1" x14ac:dyDescent="0.2">
      <c r="A57" s="2117">
        <v>2143</v>
      </c>
      <c r="B57" s="2056">
        <v>5032</v>
      </c>
      <c r="C57" s="2056">
        <v>41100882</v>
      </c>
      <c r="D57" s="1979" t="s">
        <v>1236</v>
      </c>
      <c r="E57" s="1989">
        <v>0</v>
      </c>
      <c r="F57" s="1989">
        <v>0</v>
      </c>
      <c r="G57" s="1989">
        <v>0</v>
      </c>
      <c r="H57" s="1961" t="e">
        <f t="shared" si="0"/>
        <v>#DIV/0!</v>
      </c>
    </row>
    <row r="58" spans="1:8" s="1735" customFormat="1" ht="30" x14ac:dyDescent="0.2">
      <c r="A58" s="2117">
        <v>2143</v>
      </c>
      <c r="B58" s="2056">
        <v>5032</v>
      </c>
      <c r="C58" s="2056">
        <v>41500881</v>
      </c>
      <c r="D58" s="1979" t="s">
        <v>1236</v>
      </c>
      <c r="E58" s="1989">
        <v>0</v>
      </c>
      <c r="F58" s="1989">
        <v>2</v>
      </c>
      <c r="G58" s="1989">
        <v>2</v>
      </c>
      <c r="H58" s="1961">
        <f t="shared" si="0"/>
        <v>100</v>
      </c>
    </row>
    <row r="59" spans="1:8" s="1735" customFormat="1" ht="15" hidden="1" x14ac:dyDescent="0.2">
      <c r="A59" s="1952">
        <v>2143</v>
      </c>
      <c r="B59" s="1953">
        <v>5139</v>
      </c>
      <c r="C59" s="2056">
        <v>41100880</v>
      </c>
      <c r="D59" s="1979" t="s">
        <v>284</v>
      </c>
      <c r="E59" s="1989"/>
      <c r="F59" s="1989"/>
      <c r="G59" s="1989"/>
      <c r="H59" s="1961" t="e">
        <f t="shared" si="0"/>
        <v>#DIV/0!</v>
      </c>
    </row>
    <row r="60" spans="1:8" s="1735" customFormat="1" ht="15" hidden="1" x14ac:dyDescent="0.2">
      <c r="A60" s="1952">
        <v>2143</v>
      </c>
      <c r="B60" s="1953">
        <v>5139</v>
      </c>
      <c r="C60" s="2056">
        <v>41100882</v>
      </c>
      <c r="D60" s="1979" t="s">
        <v>284</v>
      </c>
      <c r="E60" s="1989"/>
      <c r="F60" s="1989"/>
      <c r="G60" s="1989"/>
      <c r="H60" s="1961" t="e">
        <f t="shared" si="0"/>
        <v>#DIV/0!</v>
      </c>
    </row>
    <row r="61" spans="1:8" s="1735" customFormat="1" ht="15" hidden="1" x14ac:dyDescent="0.2">
      <c r="A61" s="1952">
        <v>2143</v>
      </c>
      <c r="B61" s="1953">
        <v>5139</v>
      </c>
      <c r="C61" s="2056">
        <v>41500881</v>
      </c>
      <c r="D61" s="1979" t="s">
        <v>284</v>
      </c>
      <c r="E61" s="1989"/>
      <c r="F61" s="1989"/>
      <c r="G61" s="1989"/>
      <c r="H61" s="1961" t="e">
        <f t="shared" si="0"/>
        <v>#DIV/0!</v>
      </c>
    </row>
    <row r="62" spans="1:8" s="1735" customFormat="1" ht="15" hidden="1" x14ac:dyDescent="0.2">
      <c r="A62" s="1952">
        <v>2143</v>
      </c>
      <c r="B62" s="1953">
        <v>5163</v>
      </c>
      <c r="C62" s="2056">
        <v>41100880</v>
      </c>
      <c r="D62" s="1979" t="s">
        <v>934</v>
      </c>
      <c r="E62" s="1989"/>
      <c r="F62" s="1989"/>
      <c r="G62" s="1989"/>
      <c r="H62" s="1961" t="e">
        <f t="shared" si="0"/>
        <v>#DIV/0!</v>
      </c>
    </row>
    <row r="63" spans="1:8" s="1735" customFormat="1" ht="15" hidden="1" x14ac:dyDescent="0.2">
      <c r="A63" s="1952">
        <v>2143</v>
      </c>
      <c r="B63" s="1953">
        <v>5163</v>
      </c>
      <c r="C63" s="2056">
        <v>41100882</v>
      </c>
      <c r="D63" s="1979" t="s">
        <v>934</v>
      </c>
      <c r="E63" s="1989"/>
      <c r="F63" s="1989"/>
      <c r="G63" s="1989"/>
      <c r="H63" s="1961">
        <v>0</v>
      </c>
    </row>
    <row r="64" spans="1:8" s="1735" customFormat="1" ht="15" hidden="1" customHeight="1" x14ac:dyDescent="0.2">
      <c r="A64" s="1952">
        <v>2143</v>
      </c>
      <c r="B64" s="1953">
        <v>5163</v>
      </c>
      <c r="C64" s="2056">
        <v>41500881</v>
      </c>
      <c r="D64" s="1979" t="s">
        <v>934</v>
      </c>
      <c r="E64" s="1989"/>
      <c r="F64" s="1989"/>
      <c r="G64" s="1989"/>
      <c r="H64" s="1961" t="e">
        <f t="shared" ref="H64:H80" si="1">G64/F64*100</f>
        <v>#DIV/0!</v>
      </c>
    </row>
    <row r="65" spans="1:8" s="1735" customFormat="1" ht="15" hidden="1" customHeight="1" x14ac:dyDescent="0.2">
      <c r="A65" s="1952">
        <v>2143</v>
      </c>
      <c r="B65" s="1953">
        <v>5164</v>
      </c>
      <c r="C65" s="2056">
        <v>41100880</v>
      </c>
      <c r="D65" s="1979" t="s">
        <v>182</v>
      </c>
      <c r="E65" s="1989"/>
      <c r="F65" s="1989"/>
      <c r="G65" s="1989"/>
      <c r="H65" s="1961" t="e">
        <f t="shared" si="1"/>
        <v>#DIV/0!</v>
      </c>
    </row>
    <row r="66" spans="1:8" s="1735" customFormat="1" ht="15" hidden="1" customHeight="1" x14ac:dyDescent="0.2">
      <c r="A66" s="1952">
        <v>2143</v>
      </c>
      <c r="B66" s="1953">
        <v>5164</v>
      </c>
      <c r="C66" s="2056">
        <v>41100882</v>
      </c>
      <c r="D66" s="1979" t="s">
        <v>182</v>
      </c>
      <c r="E66" s="1989"/>
      <c r="F66" s="1989"/>
      <c r="G66" s="1989"/>
      <c r="H66" s="1961" t="e">
        <f t="shared" si="1"/>
        <v>#DIV/0!</v>
      </c>
    </row>
    <row r="67" spans="1:8" s="1735" customFormat="1" ht="15" hidden="1" customHeight="1" x14ac:dyDescent="0.2">
      <c r="A67" s="1952">
        <v>2143</v>
      </c>
      <c r="B67" s="1953">
        <v>5164</v>
      </c>
      <c r="C67" s="2056">
        <v>41500881</v>
      </c>
      <c r="D67" s="1979" t="s">
        <v>182</v>
      </c>
      <c r="E67" s="1989"/>
      <c r="F67" s="1989"/>
      <c r="G67" s="1989"/>
      <c r="H67" s="1961" t="e">
        <f t="shared" si="1"/>
        <v>#DIV/0!</v>
      </c>
    </row>
    <row r="68" spans="1:8" s="1735" customFormat="1" ht="15" hidden="1" customHeight="1" x14ac:dyDescent="0.2">
      <c r="A68" s="2049">
        <v>2143</v>
      </c>
      <c r="B68" s="2056">
        <v>5166</v>
      </c>
      <c r="C68" s="2115" t="s">
        <v>1469</v>
      </c>
      <c r="D68" s="1979" t="s">
        <v>646</v>
      </c>
      <c r="E68" s="1989"/>
      <c r="F68" s="1989"/>
      <c r="G68" s="1989"/>
      <c r="H68" s="1961" t="e">
        <f t="shared" si="1"/>
        <v>#DIV/0!</v>
      </c>
    </row>
    <row r="69" spans="1:8" s="1735" customFormat="1" ht="15" hidden="1" customHeight="1" x14ac:dyDescent="0.2">
      <c r="A69" s="2049">
        <v>2143</v>
      </c>
      <c r="B69" s="2056">
        <v>5166</v>
      </c>
      <c r="C69" s="2056">
        <v>41100882</v>
      </c>
      <c r="D69" s="1979" t="s">
        <v>646</v>
      </c>
      <c r="E69" s="1989"/>
      <c r="F69" s="1989"/>
      <c r="G69" s="1989"/>
      <c r="H69" s="1961" t="e">
        <f t="shared" si="1"/>
        <v>#DIV/0!</v>
      </c>
    </row>
    <row r="70" spans="1:8" s="1735" customFormat="1" ht="15" hidden="1" customHeight="1" x14ac:dyDescent="0.2">
      <c r="A70" s="2049">
        <v>2143</v>
      </c>
      <c r="B70" s="2056">
        <v>5166</v>
      </c>
      <c r="C70" s="2056">
        <v>41500881</v>
      </c>
      <c r="D70" s="1979" t="s">
        <v>646</v>
      </c>
      <c r="E70" s="1989"/>
      <c r="F70" s="1989"/>
      <c r="G70" s="1989"/>
      <c r="H70" s="1961" t="e">
        <f t="shared" si="1"/>
        <v>#DIV/0!</v>
      </c>
    </row>
    <row r="71" spans="1:8" s="1735" customFormat="1" ht="15" hidden="1" x14ac:dyDescent="0.2">
      <c r="A71" s="2049">
        <v>2143</v>
      </c>
      <c r="B71" s="2056">
        <v>5169</v>
      </c>
      <c r="C71" s="2056">
        <v>41100880</v>
      </c>
      <c r="D71" s="1979" t="s">
        <v>892</v>
      </c>
      <c r="E71" s="1989">
        <v>0</v>
      </c>
      <c r="F71" s="1989">
        <v>0</v>
      </c>
      <c r="G71" s="1989">
        <v>0</v>
      </c>
      <c r="H71" s="1961" t="e">
        <f t="shared" si="1"/>
        <v>#DIV/0!</v>
      </c>
    </row>
    <row r="72" spans="1:8" s="1735" customFormat="1" ht="15" hidden="1" x14ac:dyDescent="0.2">
      <c r="A72" s="2049">
        <v>2143</v>
      </c>
      <c r="B72" s="2056">
        <v>5169</v>
      </c>
      <c r="C72" s="2056">
        <v>41100882</v>
      </c>
      <c r="D72" s="1979" t="s">
        <v>892</v>
      </c>
      <c r="E72" s="1989">
        <v>0</v>
      </c>
      <c r="F72" s="1989">
        <v>0</v>
      </c>
      <c r="G72" s="1989">
        <v>0</v>
      </c>
      <c r="H72" s="1961" t="e">
        <f t="shared" si="1"/>
        <v>#DIV/0!</v>
      </c>
    </row>
    <row r="73" spans="1:8" s="1735" customFormat="1" ht="15.75" thickBot="1" x14ac:dyDescent="0.25">
      <c r="A73" s="2049">
        <v>2143</v>
      </c>
      <c r="B73" s="2056">
        <v>5169</v>
      </c>
      <c r="C73" s="2056">
        <v>41500881</v>
      </c>
      <c r="D73" s="1979" t="s">
        <v>892</v>
      </c>
      <c r="E73" s="1989">
        <v>0</v>
      </c>
      <c r="F73" s="1989">
        <v>1</v>
      </c>
      <c r="G73" s="1989">
        <v>1</v>
      </c>
      <c r="H73" s="1961">
        <f t="shared" si="1"/>
        <v>100</v>
      </c>
    </row>
    <row r="74" spans="1:8" s="1735" customFormat="1" ht="15.75" hidden="1" thickBot="1" x14ac:dyDescent="0.25">
      <c r="A74" s="2049">
        <v>2143</v>
      </c>
      <c r="B74" s="2056">
        <v>5173</v>
      </c>
      <c r="C74" s="2056">
        <v>41100880</v>
      </c>
      <c r="D74" s="1979" t="s">
        <v>1211</v>
      </c>
      <c r="E74" s="1989"/>
      <c r="F74" s="1989"/>
      <c r="G74" s="1989"/>
      <c r="H74" s="1961" t="e">
        <f t="shared" si="1"/>
        <v>#DIV/0!</v>
      </c>
    </row>
    <row r="75" spans="1:8" s="1735" customFormat="1" ht="15.75" hidden="1" thickBot="1" x14ac:dyDescent="0.25">
      <c r="A75" s="2049">
        <v>2143</v>
      </c>
      <c r="B75" s="2056">
        <v>5173</v>
      </c>
      <c r="C75" s="2056">
        <v>41100882</v>
      </c>
      <c r="D75" s="1979" t="s">
        <v>1211</v>
      </c>
      <c r="E75" s="1989"/>
      <c r="F75" s="1989"/>
      <c r="G75" s="1989"/>
      <c r="H75" s="1961" t="e">
        <f t="shared" si="1"/>
        <v>#DIV/0!</v>
      </c>
    </row>
    <row r="76" spans="1:8" s="1735" customFormat="1" ht="15.75" hidden="1" thickBot="1" x14ac:dyDescent="0.25">
      <c r="A76" s="2049">
        <v>2143</v>
      </c>
      <c r="B76" s="2056">
        <v>5173</v>
      </c>
      <c r="C76" s="2056">
        <v>41500881</v>
      </c>
      <c r="D76" s="1979" t="s">
        <v>1211</v>
      </c>
      <c r="E76" s="1989"/>
      <c r="F76" s="1989"/>
      <c r="G76" s="1989"/>
      <c r="H76" s="1961" t="e">
        <f t="shared" si="1"/>
        <v>#DIV/0!</v>
      </c>
    </row>
    <row r="77" spans="1:8" s="1735" customFormat="1" ht="15.75" hidden="1" thickBot="1" x14ac:dyDescent="0.25">
      <c r="A77" s="2049">
        <v>2143</v>
      </c>
      <c r="B77" s="2056">
        <v>5175</v>
      </c>
      <c r="C77" s="2056">
        <v>41100880</v>
      </c>
      <c r="D77" s="1979" t="s">
        <v>1565</v>
      </c>
      <c r="E77" s="1989"/>
      <c r="F77" s="1989"/>
      <c r="G77" s="1989"/>
      <c r="H77" s="1961" t="e">
        <f t="shared" si="1"/>
        <v>#DIV/0!</v>
      </c>
    </row>
    <row r="78" spans="1:8" s="1735" customFormat="1" ht="15.75" hidden="1" thickBot="1" x14ac:dyDescent="0.25">
      <c r="A78" s="2049">
        <v>2143</v>
      </c>
      <c r="B78" s="2056">
        <v>5175</v>
      </c>
      <c r="C78" s="2056">
        <v>41100882</v>
      </c>
      <c r="D78" s="1979" t="s">
        <v>1565</v>
      </c>
      <c r="E78" s="1989"/>
      <c r="F78" s="1989"/>
      <c r="G78" s="1989"/>
      <c r="H78" s="1961" t="e">
        <f t="shared" si="1"/>
        <v>#DIV/0!</v>
      </c>
    </row>
    <row r="79" spans="1:8" s="1735" customFormat="1" ht="15.75" hidden="1" thickBot="1" x14ac:dyDescent="0.25">
      <c r="A79" s="2049">
        <v>2143</v>
      </c>
      <c r="B79" s="2056">
        <v>5175</v>
      </c>
      <c r="C79" s="2056">
        <v>41500881</v>
      </c>
      <c r="D79" s="1979" t="s">
        <v>1565</v>
      </c>
      <c r="E79" s="1989"/>
      <c r="F79" s="1989"/>
      <c r="G79" s="1989"/>
      <c r="H79" s="1961" t="e">
        <f t="shared" si="1"/>
        <v>#DIV/0!</v>
      </c>
    </row>
    <row r="80" spans="1:8" s="1735" customFormat="1" ht="16.5" thickTop="1" thickBot="1" x14ac:dyDescent="0.3">
      <c r="A80" s="2750" t="s">
        <v>802</v>
      </c>
      <c r="B80" s="2751"/>
      <c r="C80" s="2751"/>
      <c r="D80" s="2751"/>
      <c r="E80" s="1957">
        <f>SUM(E50:E79)</f>
        <v>0</v>
      </c>
      <c r="F80" s="1957">
        <f>SUM(F50:F79)</f>
        <v>41</v>
      </c>
      <c r="G80" s="1957">
        <f>SUM(G50:G79)</f>
        <v>41</v>
      </c>
      <c r="H80" s="1962">
        <f t="shared" si="1"/>
        <v>100</v>
      </c>
    </row>
    <row r="81" spans="1:10" s="1735" customFormat="1" ht="14.25" customHeight="1" thickTop="1" x14ac:dyDescent="0.25">
      <c r="A81" s="1963"/>
      <c r="B81" s="1963"/>
      <c r="C81" s="1963"/>
      <c r="D81" s="1963"/>
      <c r="E81" s="1964"/>
      <c r="F81" s="1964"/>
      <c r="G81" s="1964"/>
      <c r="H81" s="1995"/>
    </row>
    <row r="82" spans="1:10" ht="15" hidden="1" x14ac:dyDescent="0.25">
      <c r="A82" s="1942" t="s">
        <v>577</v>
      </c>
    </row>
    <row r="83" spans="1:10" ht="15" hidden="1" x14ac:dyDescent="0.25">
      <c r="A83" s="1942" t="s">
        <v>578</v>
      </c>
      <c r="H83" s="2043" t="s">
        <v>173</v>
      </c>
    </row>
    <row r="84" spans="1:10" s="1735" customFormat="1" ht="25.5" hidden="1" thickTop="1" thickBot="1" x14ac:dyDescent="0.25">
      <c r="A84" s="1943" t="s">
        <v>174</v>
      </c>
      <c r="B84" s="1944" t="s">
        <v>800</v>
      </c>
      <c r="C84" s="1944" t="s">
        <v>397</v>
      </c>
      <c r="D84" s="1945" t="s">
        <v>176</v>
      </c>
      <c r="E84" s="1976" t="s">
        <v>669</v>
      </c>
      <c r="F84" s="1976" t="s">
        <v>670</v>
      </c>
      <c r="G84" s="1977" t="s">
        <v>923</v>
      </c>
      <c r="H84" s="1978" t="s">
        <v>924</v>
      </c>
    </row>
    <row r="85" spans="1:10" s="1735" customFormat="1" ht="13.5" hidden="1" thickTop="1" thickBot="1" x14ac:dyDescent="0.25">
      <c r="A85" s="1740">
        <v>1</v>
      </c>
      <c r="B85" s="1739">
        <v>2</v>
      </c>
      <c r="C85" s="1739">
        <v>3</v>
      </c>
      <c r="D85" s="1739">
        <v>4</v>
      </c>
      <c r="E85" s="1738">
        <v>5</v>
      </c>
      <c r="F85" s="1738">
        <v>6</v>
      </c>
      <c r="G85" s="2028">
        <v>7</v>
      </c>
      <c r="H85" s="2054" t="s">
        <v>61</v>
      </c>
    </row>
    <row r="86" spans="1:10" s="1735" customFormat="1" ht="15" hidden="1" x14ac:dyDescent="0.2">
      <c r="A86" s="1952">
        <v>2143</v>
      </c>
      <c r="B86" s="1953">
        <v>5137</v>
      </c>
      <c r="C86" s="2118" t="s">
        <v>1468</v>
      </c>
      <c r="D86" s="1979" t="s">
        <v>167</v>
      </c>
      <c r="E86" s="1989">
        <v>0</v>
      </c>
      <c r="F86" s="1989">
        <v>0</v>
      </c>
      <c r="G86" s="1989">
        <v>0</v>
      </c>
      <c r="H86" s="1961" t="e">
        <f t="shared" ref="H86:H94" si="2">G86/F86*100</f>
        <v>#DIV/0!</v>
      </c>
    </row>
    <row r="87" spans="1:10" s="1735" customFormat="1" ht="15" hidden="1" x14ac:dyDescent="0.2">
      <c r="A87" s="1952">
        <v>2143</v>
      </c>
      <c r="B87" s="1953">
        <v>5137</v>
      </c>
      <c r="C87" s="2118" t="s">
        <v>1467</v>
      </c>
      <c r="D87" s="1979" t="s">
        <v>167</v>
      </c>
      <c r="E87" s="1989">
        <v>0</v>
      </c>
      <c r="F87" s="1989">
        <v>0</v>
      </c>
      <c r="G87" s="1989">
        <v>0</v>
      </c>
      <c r="H87" s="1961" t="e">
        <f t="shared" si="2"/>
        <v>#DIV/0!</v>
      </c>
    </row>
    <row r="88" spans="1:10" s="1735" customFormat="1" ht="15" hidden="1" x14ac:dyDescent="0.2">
      <c r="A88" s="1952">
        <v>2143</v>
      </c>
      <c r="B88" s="1953">
        <v>5137</v>
      </c>
      <c r="C88" s="2118" t="s">
        <v>1466</v>
      </c>
      <c r="D88" s="1979" t="s">
        <v>167</v>
      </c>
      <c r="E88" s="1989">
        <v>0</v>
      </c>
      <c r="F88" s="1989">
        <v>0</v>
      </c>
      <c r="G88" s="1989">
        <v>0</v>
      </c>
      <c r="H88" s="1961" t="e">
        <f t="shared" si="2"/>
        <v>#DIV/0!</v>
      </c>
    </row>
    <row r="89" spans="1:10" s="1735" customFormat="1" ht="15" hidden="1" x14ac:dyDescent="0.2">
      <c r="A89" s="1952">
        <v>2143</v>
      </c>
      <c r="B89" s="1953">
        <v>5139</v>
      </c>
      <c r="C89" s="2118" t="s">
        <v>1468</v>
      </c>
      <c r="D89" s="1979" t="s">
        <v>284</v>
      </c>
      <c r="E89" s="1989">
        <v>0</v>
      </c>
      <c r="F89" s="1989">
        <v>0</v>
      </c>
      <c r="G89" s="1989">
        <v>0</v>
      </c>
      <c r="H89" s="1961" t="e">
        <f t="shared" si="2"/>
        <v>#DIV/0!</v>
      </c>
    </row>
    <row r="90" spans="1:10" s="1735" customFormat="1" ht="15" hidden="1" customHeight="1" x14ac:dyDescent="0.2">
      <c r="A90" s="1952">
        <v>2143</v>
      </c>
      <c r="B90" s="1953">
        <v>5139</v>
      </c>
      <c r="C90" s="2118" t="s">
        <v>1467</v>
      </c>
      <c r="D90" s="1979" t="s">
        <v>284</v>
      </c>
      <c r="E90" s="1989">
        <v>0</v>
      </c>
      <c r="F90" s="1989">
        <v>0</v>
      </c>
      <c r="G90" s="1989">
        <v>0</v>
      </c>
      <c r="H90" s="1961" t="e">
        <f t="shared" si="2"/>
        <v>#DIV/0!</v>
      </c>
      <c r="J90" s="1735">
        <v>0.16</v>
      </c>
    </row>
    <row r="91" spans="1:10" s="1735" customFormat="1" ht="15" hidden="1" x14ac:dyDescent="0.2">
      <c r="A91" s="1952">
        <v>2143</v>
      </c>
      <c r="B91" s="1953">
        <v>5139</v>
      </c>
      <c r="C91" s="2118" t="s">
        <v>1466</v>
      </c>
      <c r="D91" s="1979" t="s">
        <v>284</v>
      </c>
      <c r="E91" s="1989">
        <v>0</v>
      </c>
      <c r="F91" s="1989">
        <v>0</v>
      </c>
      <c r="G91" s="1989">
        <v>0</v>
      </c>
      <c r="H91" s="1961" t="e">
        <f t="shared" si="2"/>
        <v>#DIV/0!</v>
      </c>
    </row>
    <row r="92" spans="1:10" s="1735" customFormat="1" ht="15" hidden="1" x14ac:dyDescent="0.2">
      <c r="A92" s="1952">
        <v>2143</v>
      </c>
      <c r="B92" s="1953">
        <v>5169</v>
      </c>
      <c r="C92" s="2118" t="s">
        <v>1468</v>
      </c>
      <c r="D92" s="1979" t="s">
        <v>1465</v>
      </c>
      <c r="E92" s="1989">
        <v>0</v>
      </c>
      <c r="F92" s="1989">
        <v>0</v>
      </c>
      <c r="G92" s="1989">
        <v>0</v>
      </c>
      <c r="H92" s="1961" t="e">
        <f t="shared" si="2"/>
        <v>#DIV/0!</v>
      </c>
    </row>
    <row r="93" spans="1:10" s="1735" customFormat="1" ht="15" hidden="1" x14ac:dyDescent="0.2">
      <c r="A93" s="1952">
        <v>2143</v>
      </c>
      <c r="B93" s="1953">
        <v>5169</v>
      </c>
      <c r="C93" s="2118" t="s">
        <v>1467</v>
      </c>
      <c r="D93" s="1979" t="s">
        <v>1465</v>
      </c>
      <c r="E93" s="1989">
        <v>0</v>
      </c>
      <c r="F93" s="1989">
        <v>0</v>
      </c>
      <c r="G93" s="1989">
        <v>0</v>
      </c>
      <c r="H93" s="1961" t="e">
        <f t="shared" si="2"/>
        <v>#DIV/0!</v>
      </c>
    </row>
    <row r="94" spans="1:10" s="1735" customFormat="1" ht="15" hidden="1" x14ac:dyDescent="0.2">
      <c r="A94" s="1952">
        <v>2143</v>
      </c>
      <c r="B94" s="1953">
        <v>5169</v>
      </c>
      <c r="C94" s="2118" t="s">
        <v>1466</v>
      </c>
      <c r="D94" s="1979" t="s">
        <v>1465</v>
      </c>
      <c r="E94" s="1989">
        <v>0</v>
      </c>
      <c r="F94" s="1989">
        <v>0</v>
      </c>
      <c r="G94" s="1989">
        <v>0</v>
      </c>
      <c r="H94" s="1961" t="e">
        <f t="shared" si="2"/>
        <v>#DIV/0!</v>
      </c>
    </row>
    <row r="95" spans="1:10" s="1735" customFormat="1" ht="15" hidden="1" x14ac:dyDescent="0.2">
      <c r="A95" s="1952">
        <v>2143</v>
      </c>
      <c r="B95" s="1953">
        <v>6121</v>
      </c>
      <c r="C95" s="2118" t="s">
        <v>792</v>
      </c>
      <c r="D95" s="1979" t="s">
        <v>640</v>
      </c>
      <c r="E95" s="1989">
        <v>0</v>
      </c>
      <c r="F95" s="1989">
        <v>0</v>
      </c>
      <c r="G95" s="1989">
        <v>0</v>
      </c>
      <c r="H95" s="1961">
        <v>0</v>
      </c>
    </row>
    <row r="96" spans="1:10" s="1735" customFormat="1" ht="16.5" hidden="1" thickTop="1" thickBot="1" x14ac:dyDescent="0.3">
      <c r="A96" s="2750" t="s">
        <v>802</v>
      </c>
      <c r="B96" s="2751"/>
      <c r="C96" s="2751"/>
      <c r="D96" s="2751"/>
      <c r="E96" s="1957">
        <f>SUM(E86:E95)</f>
        <v>0</v>
      </c>
      <c r="F96" s="1957">
        <f>SUM(F86:F95)</f>
        <v>0</v>
      </c>
      <c r="G96" s="1957">
        <f>SUM(G86:G95)</f>
        <v>0</v>
      </c>
      <c r="H96" s="1958" t="e">
        <f>G96/F96*100</f>
        <v>#DIV/0!</v>
      </c>
    </row>
    <row r="97" spans="1:8" s="1735" customFormat="1" ht="14.25" hidden="1" customHeight="1" thickTop="1" x14ac:dyDescent="0.25">
      <c r="A97" s="1942"/>
      <c r="B97" s="1963"/>
      <c r="C97" s="1963"/>
      <c r="D97" s="1963"/>
      <c r="E97" s="1964"/>
      <c r="F97" s="1964"/>
      <c r="G97" s="1964"/>
      <c r="H97" s="2119"/>
    </row>
    <row r="98" spans="1:8" ht="15" x14ac:dyDescent="0.25">
      <c r="A98" s="1942" t="s">
        <v>1874</v>
      </c>
    </row>
    <row r="99" spans="1:8" ht="15.75" thickBot="1" x14ac:dyDescent="0.3">
      <c r="A99" s="1942" t="s">
        <v>126</v>
      </c>
      <c r="H99" s="2043" t="s">
        <v>173</v>
      </c>
    </row>
    <row r="100" spans="1:8" s="1735" customFormat="1" ht="25.5" thickTop="1" thickBot="1" x14ac:dyDescent="0.25">
      <c r="A100" s="1943" t="s">
        <v>174</v>
      </c>
      <c r="B100" s="1944" t="s">
        <v>800</v>
      </c>
      <c r="C100" s="1944" t="s">
        <v>397</v>
      </c>
      <c r="D100" s="1945" t="s">
        <v>176</v>
      </c>
      <c r="E100" s="1976" t="s">
        <v>669</v>
      </c>
      <c r="F100" s="1976" t="s">
        <v>670</v>
      </c>
      <c r="G100" s="1977" t="s">
        <v>923</v>
      </c>
      <c r="H100" s="1978" t="s">
        <v>924</v>
      </c>
    </row>
    <row r="101" spans="1:8" s="1735" customFormat="1" ht="13.5" thickTop="1" thickBot="1" x14ac:dyDescent="0.25">
      <c r="A101" s="1740">
        <v>1</v>
      </c>
      <c r="B101" s="1739">
        <v>2</v>
      </c>
      <c r="C101" s="1739">
        <v>3</v>
      </c>
      <c r="D101" s="1739">
        <v>4</v>
      </c>
      <c r="E101" s="1738">
        <v>5</v>
      </c>
      <c r="F101" s="1738">
        <v>6</v>
      </c>
      <c r="G101" s="2028">
        <v>7</v>
      </c>
      <c r="H101" s="2054" t="s">
        <v>61</v>
      </c>
    </row>
    <row r="102" spans="1:8" s="1735" customFormat="1" ht="15.75" thickTop="1" x14ac:dyDescent="0.2">
      <c r="A102" s="1952">
        <v>3122</v>
      </c>
      <c r="B102" s="1953">
        <v>5137</v>
      </c>
      <c r="C102" s="1953">
        <v>38100870</v>
      </c>
      <c r="D102" s="1979" t="s">
        <v>167</v>
      </c>
      <c r="E102" s="1989">
        <v>0</v>
      </c>
      <c r="F102" s="1989">
        <v>300</v>
      </c>
      <c r="G102" s="1989">
        <v>0</v>
      </c>
      <c r="H102" s="1961">
        <f t="shared" ref="H102:H111" si="3">G102/F102*100</f>
        <v>0</v>
      </c>
    </row>
    <row r="103" spans="1:8" s="1735" customFormat="1" ht="15" x14ac:dyDescent="0.2">
      <c r="A103" s="1952">
        <v>3122</v>
      </c>
      <c r="B103" s="1953">
        <v>5137</v>
      </c>
      <c r="C103" s="1953">
        <v>38587005</v>
      </c>
      <c r="D103" s="1979" t="s">
        <v>167</v>
      </c>
      <c r="E103" s="1989">
        <v>0</v>
      </c>
      <c r="F103" s="1989">
        <v>1699</v>
      </c>
      <c r="G103" s="1989">
        <v>0</v>
      </c>
      <c r="H103" s="1961">
        <f t="shared" si="3"/>
        <v>0</v>
      </c>
    </row>
    <row r="104" spans="1:8" s="1735" customFormat="1" ht="15" x14ac:dyDescent="0.2">
      <c r="A104" s="1952">
        <v>3122</v>
      </c>
      <c r="B104" s="1953">
        <v>6121</v>
      </c>
      <c r="C104" s="1953">
        <v>38100870</v>
      </c>
      <c r="D104" s="1979" t="s">
        <v>640</v>
      </c>
      <c r="E104" s="1989">
        <v>0</v>
      </c>
      <c r="F104" s="1989">
        <v>553</v>
      </c>
      <c r="G104" s="1989">
        <v>4</v>
      </c>
      <c r="H104" s="1961">
        <f t="shared" si="3"/>
        <v>0.72332730560578662</v>
      </c>
    </row>
    <row r="105" spans="1:8" s="1735" customFormat="1" ht="15" x14ac:dyDescent="0.2">
      <c r="A105" s="1952">
        <v>3122</v>
      </c>
      <c r="B105" s="1953">
        <v>6121</v>
      </c>
      <c r="C105" s="1953">
        <v>38100874</v>
      </c>
      <c r="D105" s="1979" t="s">
        <v>640</v>
      </c>
      <c r="E105" s="1989">
        <v>0</v>
      </c>
      <c r="F105" s="1989">
        <v>416</v>
      </c>
      <c r="G105" s="1989">
        <v>0</v>
      </c>
      <c r="H105" s="1961">
        <f t="shared" si="3"/>
        <v>0</v>
      </c>
    </row>
    <row r="106" spans="1:8" s="1735" customFormat="1" ht="15" x14ac:dyDescent="0.2">
      <c r="A106" s="1952">
        <v>3122</v>
      </c>
      <c r="B106" s="1953">
        <v>6121</v>
      </c>
      <c r="C106" s="1953">
        <v>38500871</v>
      </c>
      <c r="D106" s="1979" t="s">
        <v>640</v>
      </c>
      <c r="E106" s="1989">
        <v>0</v>
      </c>
      <c r="F106" s="1989">
        <v>1862</v>
      </c>
      <c r="G106" s="1989">
        <v>20</v>
      </c>
      <c r="H106" s="1961">
        <f t="shared" si="3"/>
        <v>1.0741138560687433</v>
      </c>
    </row>
    <row r="107" spans="1:8" s="1735" customFormat="1" ht="15" x14ac:dyDescent="0.2">
      <c r="A107" s="1952">
        <v>3122</v>
      </c>
      <c r="B107" s="1953">
        <v>6121</v>
      </c>
      <c r="C107" s="1953">
        <v>38587505</v>
      </c>
      <c r="D107" s="1979" t="s">
        <v>640</v>
      </c>
      <c r="E107" s="1989">
        <v>0</v>
      </c>
      <c r="F107" s="1989">
        <v>2349</v>
      </c>
      <c r="G107" s="1989">
        <v>0</v>
      </c>
      <c r="H107" s="1961">
        <f t="shared" si="3"/>
        <v>0</v>
      </c>
    </row>
    <row r="108" spans="1:8" s="1735" customFormat="1" ht="15" x14ac:dyDescent="0.2">
      <c r="A108" s="1952">
        <v>3122</v>
      </c>
      <c r="B108" s="1953">
        <v>6122</v>
      </c>
      <c r="C108" s="1953">
        <v>38100870</v>
      </c>
      <c r="D108" s="1979" t="s">
        <v>641</v>
      </c>
      <c r="E108" s="1989">
        <v>0</v>
      </c>
      <c r="F108" s="1989">
        <v>150</v>
      </c>
      <c r="G108" s="1989">
        <v>0</v>
      </c>
      <c r="H108" s="1961">
        <f t="shared" si="3"/>
        <v>0</v>
      </c>
    </row>
    <row r="109" spans="1:8" s="1735" customFormat="1" ht="15" x14ac:dyDescent="0.2">
      <c r="A109" s="1952">
        <v>3122</v>
      </c>
      <c r="B109" s="1953">
        <v>6122</v>
      </c>
      <c r="C109" s="1953">
        <v>38500871</v>
      </c>
      <c r="D109" s="1979" t="s">
        <v>641</v>
      </c>
      <c r="E109" s="1989">
        <v>0</v>
      </c>
      <c r="F109" s="1989">
        <v>19</v>
      </c>
      <c r="G109" s="1989">
        <v>0</v>
      </c>
      <c r="H109" s="1961">
        <f t="shared" si="3"/>
        <v>0</v>
      </c>
    </row>
    <row r="110" spans="1:8" s="1735" customFormat="1" ht="15.75" thickBot="1" x14ac:dyDescent="0.25">
      <c r="A110" s="1952">
        <v>3122</v>
      </c>
      <c r="B110" s="1953">
        <v>6122</v>
      </c>
      <c r="C110" s="1953">
        <v>38587505</v>
      </c>
      <c r="D110" s="1979" t="s">
        <v>641</v>
      </c>
      <c r="E110" s="1989">
        <v>0</v>
      </c>
      <c r="F110" s="1989">
        <v>831</v>
      </c>
      <c r="G110" s="1989">
        <v>0</v>
      </c>
      <c r="H110" s="1961">
        <f t="shared" si="3"/>
        <v>0</v>
      </c>
    </row>
    <row r="111" spans="1:8" s="1735" customFormat="1" ht="16.5" thickTop="1" thickBot="1" x14ac:dyDescent="0.3">
      <c r="A111" s="2750" t="s">
        <v>802</v>
      </c>
      <c r="B111" s="2751"/>
      <c r="C111" s="2751"/>
      <c r="D111" s="2751"/>
      <c r="E111" s="1957">
        <f>SUM(E102:E110)</f>
        <v>0</v>
      </c>
      <c r="F111" s="1957">
        <f>SUM(F102:F110)</f>
        <v>8179</v>
      </c>
      <c r="G111" s="1957">
        <f>SUM(G102:G110)</f>
        <v>24</v>
      </c>
      <c r="H111" s="1962">
        <f t="shared" si="3"/>
        <v>0.29343440518400782</v>
      </c>
    </row>
    <row r="112" spans="1:8" s="1735" customFormat="1" ht="14.25" customHeight="1" thickTop="1" x14ac:dyDescent="0.25">
      <c r="A112" s="1963"/>
      <c r="B112" s="1963"/>
      <c r="C112" s="1963"/>
      <c r="D112" s="1963"/>
      <c r="E112" s="1964"/>
      <c r="F112" s="1964"/>
      <c r="G112" s="1964"/>
      <c r="H112" s="1995"/>
    </row>
    <row r="113" spans="1:8" ht="15" x14ac:dyDescent="0.25">
      <c r="A113" s="1942" t="s">
        <v>1865</v>
      </c>
    </row>
    <row r="114" spans="1:8" ht="15.75" thickBot="1" x14ac:dyDescent="0.3">
      <c r="A114" s="1942" t="s">
        <v>1866</v>
      </c>
      <c r="H114" s="2043" t="s">
        <v>173</v>
      </c>
    </row>
    <row r="115" spans="1:8" s="1735" customFormat="1" ht="25.5" thickTop="1" thickBot="1" x14ac:dyDescent="0.25">
      <c r="A115" s="1943" t="s">
        <v>174</v>
      </c>
      <c r="B115" s="1944" t="s">
        <v>800</v>
      </c>
      <c r="C115" s="1944" t="s">
        <v>397</v>
      </c>
      <c r="D115" s="1945" t="s">
        <v>176</v>
      </c>
      <c r="E115" s="1976" t="s">
        <v>669</v>
      </c>
      <c r="F115" s="1976" t="s">
        <v>670</v>
      </c>
      <c r="G115" s="1977" t="s">
        <v>923</v>
      </c>
      <c r="H115" s="1978" t="s">
        <v>924</v>
      </c>
    </row>
    <row r="116" spans="1:8" s="1735" customFormat="1" ht="13.5" thickTop="1" thickBot="1" x14ac:dyDescent="0.25">
      <c r="A116" s="1740">
        <v>1</v>
      </c>
      <c r="B116" s="1739">
        <v>2</v>
      </c>
      <c r="C116" s="1739">
        <v>3</v>
      </c>
      <c r="D116" s="1739">
        <v>4</v>
      </c>
      <c r="E116" s="1738">
        <v>5</v>
      </c>
      <c r="F116" s="1738">
        <v>6</v>
      </c>
      <c r="G116" s="2028">
        <v>7</v>
      </c>
      <c r="H116" s="2054" t="s">
        <v>61</v>
      </c>
    </row>
    <row r="117" spans="1:8" s="1735" customFormat="1" ht="18" customHeight="1" thickTop="1" thickBot="1" x14ac:dyDescent="0.3">
      <c r="A117" s="1952">
        <v>3522</v>
      </c>
      <c r="B117" s="1953">
        <v>6121</v>
      </c>
      <c r="C117" s="1953">
        <v>0</v>
      </c>
      <c r="D117" s="2075" t="s">
        <v>640</v>
      </c>
      <c r="E117" s="1989">
        <v>0</v>
      </c>
      <c r="F117" s="1989">
        <v>1388</v>
      </c>
      <c r="G117" s="1989">
        <v>132</v>
      </c>
      <c r="H117" s="1961">
        <f>G117/F117*100</f>
        <v>9.5100864553314128</v>
      </c>
    </row>
    <row r="118" spans="1:8" s="1735" customFormat="1" ht="15.75" hidden="1" thickBot="1" x14ac:dyDescent="0.25">
      <c r="A118" s="1952">
        <v>3122</v>
      </c>
      <c r="B118" s="1953">
        <v>6121</v>
      </c>
      <c r="C118" s="1953">
        <v>53100874</v>
      </c>
      <c r="D118" s="1979" t="s">
        <v>640</v>
      </c>
      <c r="E118" s="1989">
        <v>0</v>
      </c>
      <c r="F118" s="1989"/>
      <c r="G118" s="1989"/>
      <c r="H118" s="1961" t="e">
        <f>G118/F118*100</f>
        <v>#DIV/0!</v>
      </c>
    </row>
    <row r="119" spans="1:8" s="1735" customFormat="1" ht="15.75" hidden="1" thickBot="1" x14ac:dyDescent="0.25">
      <c r="A119" s="1952">
        <v>3122</v>
      </c>
      <c r="B119" s="1953">
        <v>6121</v>
      </c>
      <c r="C119" s="1953">
        <v>53190877</v>
      </c>
      <c r="D119" s="1979" t="s">
        <v>640</v>
      </c>
      <c r="E119" s="1989">
        <v>0</v>
      </c>
      <c r="F119" s="1989"/>
      <c r="G119" s="1989"/>
      <c r="H119" s="1961" t="e">
        <f>G119/F119*100</f>
        <v>#DIV/0!</v>
      </c>
    </row>
    <row r="120" spans="1:8" s="1735" customFormat="1" ht="15.75" hidden="1" thickBot="1" x14ac:dyDescent="0.25">
      <c r="A120" s="1952">
        <v>3122</v>
      </c>
      <c r="B120" s="1953">
        <v>6121</v>
      </c>
      <c r="C120" s="1953">
        <v>53515835</v>
      </c>
      <c r="D120" s="1979" t="s">
        <v>640</v>
      </c>
      <c r="E120" s="1989">
        <v>0</v>
      </c>
      <c r="F120" s="1989"/>
      <c r="G120" s="1989"/>
      <c r="H120" s="1961" t="e">
        <f>G120/F120*100</f>
        <v>#DIV/0!</v>
      </c>
    </row>
    <row r="121" spans="1:8" s="1735" customFormat="1" ht="16.5" thickTop="1" thickBot="1" x14ac:dyDescent="0.3">
      <c r="A121" s="2750" t="s">
        <v>802</v>
      </c>
      <c r="B121" s="2751"/>
      <c r="C121" s="2751"/>
      <c r="D121" s="2751"/>
      <c r="E121" s="1957">
        <f>SUM(E117:E120)</f>
        <v>0</v>
      </c>
      <c r="F121" s="1957">
        <f>SUM(F117:F120)</f>
        <v>1388</v>
      </c>
      <c r="G121" s="1957">
        <f>SUM(G117:G120)</f>
        <v>132</v>
      </c>
      <c r="H121" s="1962">
        <f>G121/F121*100</f>
        <v>9.5100864553314128</v>
      </c>
    </row>
    <row r="122" spans="1:8" s="1735" customFormat="1" ht="14.25" customHeight="1" thickTop="1" x14ac:dyDescent="0.25">
      <c r="A122" s="1963"/>
      <c r="B122" s="1963"/>
      <c r="C122" s="1963"/>
      <c r="D122" s="1963"/>
      <c r="E122" s="1964"/>
      <c r="F122" s="1964"/>
      <c r="G122" s="1964"/>
      <c r="H122" s="1995"/>
    </row>
    <row r="123" spans="1:8" ht="15" x14ac:dyDescent="0.25">
      <c r="A123" s="1942" t="s">
        <v>1644</v>
      </c>
    </row>
    <row r="124" spans="1:8" ht="15.75" thickBot="1" x14ac:dyDescent="0.3">
      <c r="A124" s="1942" t="s">
        <v>1645</v>
      </c>
      <c r="H124" s="2043" t="s">
        <v>173</v>
      </c>
    </row>
    <row r="125" spans="1:8" s="1735" customFormat="1" ht="25.5" thickTop="1" thickBot="1" x14ac:dyDescent="0.25">
      <c r="A125" s="1943" t="s">
        <v>174</v>
      </c>
      <c r="B125" s="1944" t="s">
        <v>800</v>
      </c>
      <c r="C125" s="1944" t="s">
        <v>397</v>
      </c>
      <c r="D125" s="1945" t="s">
        <v>176</v>
      </c>
      <c r="E125" s="1976" t="s">
        <v>669</v>
      </c>
      <c r="F125" s="1976" t="s">
        <v>670</v>
      </c>
      <c r="G125" s="1977" t="s">
        <v>923</v>
      </c>
      <c r="H125" s="1978" t="s">
        <v>924</v>
      </c>
    </row>
    <row r="126" spans="1:8" s="1735" customFormat="1" ht="13.5" thickTop="1" thickBot="1" x14ac:dyDescent="0.25">
      <c r="A126" s="1740">
        <v>1</v>
      </c>
      <c r="B126" s="1739">
        <v>2</v>
      </c>
      <c r="C126" s="1739">
        <v>3</v>
      </c>
      <c r="D126" s="1739">
        <v>4</v>
      </c>
      <c r="E126" s="1738">
        <v>5</v>
      </c>
      <c r="F126" s="1738">
        <v>6</v>
      </c>
      <c r="G126" s="2028">
        <v>7</v>
      </c>
      <c r="H126" s="2054" t="s">
        <v>61</v>
      </c>
    </row>
    <row r="127" spans="1:8" s="1735" customFormat="1" ht="15.75" thickTop="1" x14ac:dyDescent="0.2">
      <c r="A127" s="2049">
        <v>2143</v>
      </c>
      <c r="B127" s="2056">
        <v>5139</v>
      </c>
      <c r="C127" s="2056">
        <v>38100880</v>
      </c>
      <c r="D127" s="1979" t="s">
        <v>662</v>
      </c>
      <c r="E127" s="1989">
        <v>7</v>
      </c>
      <c r="F127" s="1989">
        <v>0</v>
      </c>
      <c r="G127" s="1989">
        <v>0</v>
      </c>
      <c r="H127" s="1961">
        <v>0</v>
      </c>
    </row>
    <row r="128" spans="1:8" s="1735" customFormat="1" ht="15" x14ac:dyDescent="0.2">
      <c r="A128" s="2049">
        <v>2143</v>
      </c>
      <c r="B128" s="2056">
        <v>5139</v>
      </c>
      <c r="C128" s="2056">
        <v>38500881</v>
      </c>
      <c r="D128" s="1979" t="s">
        <v>662</v>
      </c>
      <c r="E128" s="1989">
        <v>43</v>
      </c>
      <c r="F128" s="1989">
        <v>0</v>
      </c>
      <c r="G128" s="1989">
        <v>0</v>
      </c>
      <c r="H128" s="1961">
        <v>0</v>
      </c>
    </row>
    <row r="129" spans="1:8" s="1735" customFormat="1" ht="15" x14ac:dyDescent="0.2">
      <c r="A129" s="2049">
        <v>2143</v>
      </c>
      <c r="B129" s="2056">
        <v>5163</v>
      </c>
      <c r="C129" s="2056">
        <v>38100880</v>
      </c>
      <c r="D129" s="1979" t="s">
        <v>934</v>
      </c>
      <c r="E129" s="1989">
        <v>1</v>
      </c>
      <c r="F129" s="1989">
        <v>0</v>
      </c>
      <c r="G129" s="1989">
        <v>0</v>
      </c>
      <c r="H129" s="1961">
        <v>0</v>
      </c>
    </row>
    <row r="130" spans="1:8" s="1735" customFormat="1" ht="15" x14ac:dyDescent="0.2">
      <c r="A130" s="2049">
        <v>2143</v>
      </c>
      <c r="B130" s="2056">
        <v>5163</v>
      </c>
      <c r="C130" s="2056">
        <v>38500881</v>
      </c>
      <c r="D130" s="1979" t="s">
        <v>934</v>
      </c>
      <c r="E130" s="1989">
        <v>9</v>
      </c>
      <c r="F130" s="1989">
        <v>0</v>
      </c>
      <c r="G130" s="1989">
        <v>0</v>
      </c>
      <c r="H130" s="1961">
        <v>0</v>
      </c>
    </row>
    <row r="131" spans="1:8" s="1735" customFormat="1" ht="15" x14ac:dyDescent="0.2">
      <c r="A131" s="2049">
        <v>2143</v>
      </c>
      <c r="B131" s="2056">
        <v>5169</v>
      </c>
      <c r="C131" s="2056">
        <v>38100880</v>
      </c>
      <c r="D131" s="1979" t="s">
        <v>892</v>
      </c>
      <c r="E131" s="1989">
        <v>75</v>
      </c>
      <c r="F131" s="1989">
        <v>27</v>
      </c>
      <c r="G131" s="1989">
        <v>27</v>
      </c>
      <c r="H131" s="1961">
        <f>G131/F131*100</f>
        <v>100</v>
      </c>
    </row>
    <row r="132" spans="1:8" s="1735" customFormat="1" ht="15" x14ac:dyDescent="0.2">
      <c r="A132" s="2049">
        <v>2143</v>
      </c>
      <c r="B132" s="2056">
        <v>5169</v>
      </c>
      <c r="C132" s="2056">
        <v>38500881</v>
      </c>
      <c r="D132" s="1979" t="s">
        <v>892</v>
      </c>
      <c r="E132" s="1989">
        <v>425</v>
      </c>
      <c r="F132" s="1989">
        <v>152</v>
      </c>
      <c r="G132" s="1989">
        <v>152</v>
      </c>
      <c r="H132" s="1961">
        <f>G132/F132*100</f>
        <v>100</v>
      </c>
    </row>
    <row r="133" spans="1:8" s="1735" customFormat="1" ht="15" x14ac:dyDescent="0.2">
      <c r="A133" s="2049">
        <v>2143</v>
      </c>
      <c r="B133" s="2056">
        <v>5173</v>
      </c>
      <c r="C133" s="2056">
        <v>38100880</v>
      </c>
      <c r="D133" s="1979" t="s">
        <v>1211</v>
      </c>
      <c r="E133" s="1989">
        <v>15</v>
      </c>
      <c r="F133" s="1989">
        <v>0</v>
      </c>
      <c r="G133" s="1989">
        <v>0</v>
      </c>
      <c r="H133" s="1961">
        <v>0</v>
      </c>
    </row>
    <row r="134" spans="1:8" s="1735" customFormat="1" ht="15.75" thickBot="1" x14ac:dyDescent="0.25">
      <c r="A134" s="2049">
        <v>2143</v>
      </c>
      <c r="B134" s="2056">
        <v>5173</v>
      </c>
      <c r="C134" s="2056">
        <v>38500881</v>
      </c>
      <c r="D134" s="1979" t="s">
        <v>1211</v>
      </c>
      <c r="E134" s="1989">
        <v>85</v>
      </c>
      <c r="F134" s="1989">
        <v>0</v>
      </c>
      <c r="G134" s="1989">
        <v>0</v>
      </c>
      <c r="H134" s="1961">
        <v>0</v>
      </c>
    </row>
    <row r="135" spans="1:8" s="1735" customFormat="1" ht="16.5" thickTop="1" thickBot="1" x14ac:dyDescent="0.3">
      <c r="A135" s="2750" t="s">
        <v>802</v>
      </c>
      <c r="B135" s="2751"/>
      <c r="C135" s="2751"/>
      <c r="D135" s="2751"/>
      <c r="E135" s="1957">
        <f>SUM(E127:E134)</f>
        <v>660</v>
      </c>
      <c r="F135" s="1957">
        <f>SUM(F127:F134)</f>
        <v>179</v>
      </c>
      <c r="G135" s="1957">
        <f>SUM(G127:G134)</f>
        <v>179</v>
      </c>
      <c r="H135" s="1962">
        <f>G135/F135*100</f>
        <v>100</v>
      </c>
    </row>
    <row r="136" spans="1:8" s="1735" customFormat="1" ht="14.25" customHeight="1" thickTop="1" x14ac:dyDescent="0.25">
      <c r="A136" s="1963"/>
      <c r="B136" s="1963"/>
      <c r="C136" s="1963"/>
      <c r="D136" s="1963"/>
      <c r="E136" s="1964"/>
      <c r="F136" s="1964"/>
      <c r="G136" s="1964"/>
      <c r="H136" s="1995"/>
    </row>
    <row r="137" spans="1:8" s="1735" customFormat="1" ht="15" x14ac:dyDescent="0.25">
      <c r="A137" s="1942" t="s">
        <v>1629</v>
      </c>
      <c r="B137" s="1936"/>
      <c r="C137" s="1936"/>
      <c r="D137" s="1937"/>
      <c r="E137" s="1970"/>
      <c r="F137" s="1970"/>
      <c r="G137" s="1970"/>
      <c r="H137" s="1937"/>
    </row>
    <row r="138" spans="1:8" s="1735" customFormat="1" ht="15.75" thickBot="1" x14ac:dyDescent="0.3">
      <c r="A138" s="1942" t="s">
        <v>1630</v>
      </c>
      <c r="B138" s="1936"/>
      <c r="C138" s="1936"/>
      <c r="D138" s="1937"/>
      <c r="E138" s="1970"/>
      <c r="F138" s="1970"/>
      <c r="G138" s="1970"/>
      <c r="H138" s="2043" t="s">
        <v>173</v>
      </c>
    </row>
    <row r="139" spans="1:8" s="1735" customFormat="1" ht="25.5" thickTop="1" thickBot="1" x14ac:dyDescent="0.25">
      <c r="A139" s="1943" t="s">
        <v>174</v>
      </c>
      <c r="B139" s="1944" t="s">
        <v>800</v>
      </c>
      <c r="C139" s="1944" t="s">
        <v>397</v>
      </c>
      <c r="D139" s="1945" t="s">
        <v>176</v>
      </c>
      <c r="E139" s="1976" t="s">
        <v>669</v>
      </c>
      <c r="F139" s="1976" t="s">
        <v>670</v>
      </c>
      <c r="G139" s="1977" t="s">
        <v>923</v>
      </c>
      <c r="H139" s="1978" t="s">
        <v>924</v>
      </c>
    </row>
    <row r="140" spans="1:8" s="1735" customFormat="1" ht="13.5" thickTop="1" thickBot="1" x14ac:dyDescent="0.25">
      <c r="A140" s="1740">
        <v>1</v>
      </c>
      <c r="B140" s="1739">
        <v>2</v>
      </c>
      <c r="C140" s="1739">
        <v>3</v>
      </c>
      <c r="D140" s="1739">
        <v>4</v>
      </c>
      <c r="E140" s="1738">
        <v>5</v>
      </c>
      <c r="F140" s="1738">
        <v>6</v>
      </c>
      <c r="G140" s="2028">
        <v>7</v>
      </c>
      <c r="H140" s="2054" t="s">
        <v>61</v>
      </c>
    </row>
    <row r="141" spans="1:8" s="1735" customFormat="1" ht="15" customHeight="1" thickTop="1" x14ac:dyDescent="0.2">
      <c r="A141" s="1987">
        <v>4357</v>
      </c>
      <c r="B141" s="1988">
        <v>5137</v>
      </c>
      <c r="C141" s="1988">
        <v>38100870</v>
      </c>
      <c r="D141" s="1979" t="s">
        <v>167</v>
      </c>
      <c r="E141" s="1975">
        <v>0</v>
      </c>
      <c r="F141" s="1975">
        <v>172</v>
      </c>
      <c r="G141" s="1975">
        <v>172</v>
      </c>
      <c r="H141" s="1961">
        <f t="shared" ref="H141:H156" si="4">G141/F141*100</f>
        <v>100</v>
      </c>
    </row>
    <row r="142" spans="1:8" s="1735" customFormat="1" ht="15" customHeight="1" x14ac:dyDescent="0.2">
      <c r="A142" s="2049">
        <v>4357</v>
      </c>
      <c r="B142" s="2056">
        <v>5137</v>
      </c>
      <c r="C142" s="2056">
        <v>38500871</v>
      </c>
      <c r="D142" s="1979" t="s">
        <v>167</v>
      </c>
      <c r="E142" s="1989">
        <v>0</v>
      </c>
      <c r="F142" s="1989">
        <v>439</v>
      </c>
      <c r="G142" s="1989">
        <v>439</v>
      </c>
      <c r="H142" s="1961">
        <f t="shared" si="4"/>
        <v>100</v>
      </c>
    </row>
    <row r="143" spans="1:8" s="1735" customFormat="1" ht="15" customHeight="1" x14ac:dyDescent="0.2">
      <c r="A143" s="2049">
        <v>4357</v>
      </c>
      <c r="B143" s="2056">
        <v>5137</v>
      </c>
      <c r="C143" s="2056">
        <v>38587005</v>
      </c>
      <c r="D143" s="1979" t="s">
        <v>167</v>
      </c>
      <c r="E143" s="1989">
        <v>0</v>
      </c>
      <c r="F143" s="1989">
        <v>76</v>
      </c>
      <c r="G143" s="1989">
        <v>76</v>
      </c>
      <c r="H143" s="1961">
        <f t="shared" si="4"/>
        <v>100</v>
      </c>
    </row>
    <row r="144" spans="1:8" s="1735" customFormat="1" ht="15" x14ac:dyDescent="0.2">
      <c r="A144" s="2049">
        <v>4357</v>
      </c>
      <c r="B144" s="2056">
        <v>6121</v>
      </c>
      <c r="C144" s="2056">
        <v>38100870</v>
      </c>
      <c r="D144" s="1979" t="s">
        <v>640</v>
      </c>
      <c r="E144" s="1989">
        <v>0</v>
      </c>
      <c r="F144" s="1989">
        <v>837</v>
      </c>
      <c r="G144" s="1989">
        <v>837</v>
      </c>
      <c r="H144" s="1961">
        <v>0</v>
      </c>
    </row>
    <row r="145" spans="1:8" s="1735" customFormat="1" ht="15" x14ac:dyDescent="0.2">
      <c r="A145" s="2049">
        <v>4357</v>
      </c>
      <c r="B145" s="2056">
        <v>6121</v>
      </c>
      <c r="C145" s="2056">
        <v>38100874</v>
      </c>
      <c r="D145" s="1979" t="s">
        <v>640</v>
      </c>
      <c r="E145" s="1989">
        <v>0</v>
      </c>
      <c r="F145" s="1989">
        <v>61</v>
      </c>
      <c r="G145" s="1989">
        <v>61</v>
      </c>
      <c r="H145" s="1961">
        <v>0</v>
      </c>
    </row>
    <row r="146" spans="1:8" s="1735" customFormat="1" ht="15" x14ac:dyDescent="0.2">
      <c r="A146" s="2049">
        <v>4357</v>
      </c>
      <c r="B146" s="2056">
        <v>6121</v>
      </c>
      <c r="C146" s="2056">
        <v>38500871</v>
      </c>
      <c r="D146" s="1979" t="s">
        <v>640</v>
      </c>
      <c r="E146" s="1989">
        <v>0</v>
      </c>
      <c r="F146" s="1989">
        <v>1182</v>
      </c>
      <c r="G146" s="1989">
        <v>1182</v>
      </c>
      <c r="H146" s="1961">
        <f t="shared" si="4"/>
        <v>100</v>
      </c>
    </row>
    <row r="147" spans="1:8" s="1735" customFormat="1" ht="15" x14ac:dyDescent="0.2">
      <c r="A147" s="2049">
        <v>4357</v>
      </c>
      <c r="B147" s="2056">
        <v>6121</v>
      </c>
      <c r="C147" s="2056">
        <v>38587505</v>
      </c>
      <c r="D147" s="1979" t="s">
        <v>640</v>
      </c>
      <c r="E147" s="1989">
        <v>0</v>
      </c>
      <c r="F147" s="1989">
        <v>1334</v>
      </c>
      <c r="G147" s="1989">
        <v>1334</v>
      </c>
      <c r="H147" s="1961">
        <v>0</v>
      </c>
    </row>
    <row r="148" spans="1:8" s="1735" customFormat="1" ht="15" x14ac:dyDescent="0.2">
      <c r="A148" s="2049">
        <v>4357</v>
      </c>
      <c r="B148" s="2056">
        <v>6122</v>
      </c>
      <c r="C148" s="2056">
        <v>38100870</v>
      </c>
      <c r="D148" s="1979" t="s">
        <v>641</v>
      </c>
      <c r="E148" s="1989">
        <v>0</v>
      </c>
      <c r="F148" s="1989">
        <v>265</v>
      </c>
      <c r="G148" s="1989">
        <v>265</v>
      </c>
      <c r="H148" s="1961">
        <v>0</v>
      </c>
    </row>
    <row r="149" spans="1:8" s="1735" customFormat="1" ht="15.75" thickBot="1" x14ac:dyDescent="0.25">
      <c r="A149" s="2049">
        <v>4357</v>
      </c>
      <c r="B149" s="2056">
        <v>6122</v>
      </c>
      <c r="C149" s="2056">
        <v>38587505</v>
      </c>
      <c r="D149" s="1979" t="s">
        <v>641</v>
      </c>
      <c r="E149" s="1989">
        <v>0</v>
      </c>
      <c r="F149" s="1989">
        <v>794</v>
      </c>
      <c r="G149" s="1989">
        <v>794</v>
      </c>
      <c r="H149" s="1961">
        <v>0</v>
      </c>
    </row>
    <row r="150" spans="1:8" s="1735" customFormat="1" ht="15.75" hidden="1" thickBot="1" x14ac:dyDescent="0.25">
      <c r="A150" s="2049">
        <v>5273</v>
      </c>
      <c r="B150" s="2056">
        <v>5137</v>
      </c>
      <c r="C150" s="2056">
        <v>41100880</v>
      </c>
      <c r="D150" s="1979" t="s">
        <v>167</v>
      </c>
      <c r="E150" s="1989">
        <v>0</v>
      </c>
      <c r="F150" s="1989">
        <v>0</v>
      </c>
      <c r="G150" s="1989">
        <v>0</v>
      </c>
      <c r="H150" s="1961" t="e">
        <f t="shared" si="4"/>
        <v>#DIV/0!</v>
      </c>
    </row>
    <row r="151" spans="1:8" s="1735" customFormat="1" ht="15.75" hidden="1" thickBot="1" x14ac:dyDescent="0.25">
      <c r="A151" s="2049">
        <v>5273</v>
      </c>
      <c r="B151" s="2056">
        <v>5137</v>
      </c>
      <c r="C151" s="2056">
        <v>41100882</v>
      </c>
      <c r="D151" s="1979" t="s">
        <v>167</v>
      </c>
      <c r="E151" s="1989">
        <v>0</v>
      </c>
      <c r="F151" s="1989">
        <v>0</v>
      </c>
      <c r="G151" s="1989">
        <v>0</v>
      </c>
      <c r="H151" s="1961" t="e">
        <f t="shared" si="4"/>
        <v>#DIV/0!</v>
      </c>
    </row>
    <row r="152" spans="1:8" s="1735" customFormat="1" ht="15.75" hidden="1" thickBot="1" x14ac:dyDescent="0.25">
      <c r="A152" s="2049">
        <v>5273</v>
      </c>
      <c r="B152" s="2056">
        <v>5137</v>
      </c>
      <c r="C152" s="2056">
        <v>41500881</v>
      </c>
      <c r="D152" s="1979" t="s">
        <v>167</v>
      </c>
      <c r="E152" s="1989">
        <v>0</v>
      </c>
      <c r="F152" s="1989">
        <v>0</v>
      </c>
      <c r="G152" s="1989">
        <v>0</v>
      </c>
      <c r="H152" s="1961" t="e">
        <f t="shared" si="4"/>
        <v>#DIV/0!</v>
      </c>
    </row>
    <row r="153" spans="1:8" s="1735" customFormat="1" ht="15.75" hidden="1" thickBot="1" x14ac:dyDescent="0.25">
      <c r="A153" s="2049">
        <v>5273</v>
      </c>
      <c r="B153" s="1953">
        <v>5139</v>
      </c>
      <c r="C153" s="2056">
        <v>41100880</v>
      </c>
      <c r="D153" s="1979" t="s">
        <v>284</v>
      </c>
      <c r="E153" s="1989">
        <v>0</v>
      </c>
      <c r="F153" s="1989">
        <v>0</v>
      </c>
      <c r="G153" s="1989">
        <v>0</v>
      </c>
      <c r="H153" s="1961" t="e">
        <f t="shared" si="4"/>
        <v>#DIV/0!</v>
      </c>
    </row>
    <row r="154" spans="1:8" s="1735" customFormat="1" ht="15.75" hidden="1" thickBot="1" x14ac:dyDescent="0.25">
      <c r="A154" s="2049">
        <v>5273</v>
      </c>
      <c r="B154" s="1953">
        <v>5139</v>
      </c>
      <c r="C154" s="2056">
        <v>41100882</v>
      </c>
      <c r="D154" s="1979" t="s">
        <v>284</v>
      </c>
      <c r="E154" s="1989">
        <v>0</v>
      </c>
      <c r="F154" s="1989">
        <v>0</v>
      </c>
      <c r="G154" s="1989">
        <v>0</v>
      </c>
      <c r="H154" s="1961" t="e">
        <f t="shared" si="4"/>
        <v>#DIV/0!</v>
      </c>
    </row>
    <row r="155" spans="1:8" s="1735" customFormat="1" ht="15.75" hidden="1" thickBot="1" x14ac:dyDescent="0.25">
      <c r="A155" s="2049">
        <v>5273</v>
      </c>
      <c r="B155" s="1953">
        <v>5139</v>
      </c>
      <c r="C155" s="2056">
        <v>41500881</v>
      </c>
      <c r="D155" s="1979" t="s">
        <v>284</v>
      </c>
      <c r="E155" s="1989">
        <v>0</v>
      </c>
      <c r="F155" s="1989">
        <v>0</v>
      </c>
      <c r="G155" s="1989">
        <v>0</v>
      </c>
      <c r="H155" s="1961" t="e">
        <f t="shared" si="4"/>
        <v>#DIV/0!</v>
      </c>
    </row>
    <row r="156" spans="1:8" s="1735" customFormat="1" ht="15.75" hidden="1" thickBot="1" x14ac:dyDescent="0.25">
      <c r="A156" s="2049">
        <v>5273</v>
      </c>
      <c r="B156" s="1953">
        <v>5163</v>
      </c>
      <c r="C156" s="2056">
        <v>41100880</v>
      </c>
      <c r="D156" s="1979" t="s">
        <v>934</v>
      </c>
      <c r="E156" s="1989">
        <v>0</v>
      </c>
      <c r="F156" s="1989">
        <v>0</v>
      </c>
      <c r="G156" s="1989">
        <v>0</v>
      </c>
      <c r="H156" s="1961" t="e">
        <f t="shared" si="4"/>
        <v>#DIV/0!</v>
      </c>
    </row>
    <row r="157" spans="1:8" s="1735" customFormat="1" ht="15.75" hidden="1" thickBot="1" x14ac:dyDescent="0.25">
      <c r="A157" s="2049">
        <v>5273</v>
      </c>
      <c r="B157" s="1953">
        <v>5163</v>
      </c>
      <c r="C157" s="2056">
        <v>41100882</v>
      </c>
      <c r="D157" s="1979" t="s">
        <v>934</v>
      </c>
      <c r="E157" s="1989">
        <v>0</v>
      </c>
      <c r="F157" s="1989">
        <v>0</v>
      </c>
      <c r="G157" s="1989">
        <v>0</v>
      </c>
      <c r="H157" s="1961">
        <v>0</v>
      </c>
    </row>
    <row r="158" spans="1:8" s="1735" customFormat="1" ht="15.75" hidden="1" thickBot="1" x14ac:dyDescent="0.25">
      <c r="A158" s="2049">
        <v>5273</v>
      </c>
      <c r="B158" s="1953">
        <v>5163</v>
      </c>
      <c r="C158" s="2056">
        <v>41500881</v>
      </c>
      <c r="D158" s="1979" t="s">
        <v>934</v>
      </c>
      <c r="E158" s="1989">
        <v>0</v>
      </c>
      <c r="F158" s="1989">
        <v>0</v>
      </c>
      <c r="G158" s="1989">
        <v>0</v>
      </c>
      <c r="H158" s="1961">
        <v>0</v>
      </c>
    </row>
    <row r="159" spans="1:8" s="1735" customFormat="1" ht="15.75" hidden="1" thickBot="1" x14ac:dyDescent="0.25">
      <c r="A159" s="2049">
        <v>5273</v>
      </c>
      <c r="B159" s="1953">
        <v>5164</v>
      </c>
      <c r="C159" s="2056">
        <v>41100880</v>
      </c>
      <c r="D159" s="1979" t="s">
        <v>182</v>
      </c>
      <c r="E159" s="1989">
        <v>0</v>
      </c>
      <c r="F159" s="1989">
        <v>0</v>
      </c>
      <c r="G159" s="1989">
        <v>0</v>
      </c>
      <c r="H159" s="1961" t="e">
        <f>G159/F159*100</f>
        <v>#DIV/0!</v>
      </c>
    </row>
    <row r="160" spans="1:8" s="1735" customFormat="1" ht="15.75" hidden="1" thickBot="1" x14ac:dyDescent="0.25">
      <c r="A160" s="2049">
        <v>5273</v>
      </c>
      <c r="B160" s="1953">
        <v>5164</v>
      </c>
      <c r="C160" s="2056">
        <v>41100882</v>
      </c>
      <c r="D160" s="1979" t="s">
        <v>182</v>
      </c>
      <c r="E160" s="1989">
        <v>0</v>
      </c>
      <c r="F160" s="1989">
        <v>0</v>
      </c>
      <c r="G160" s="1989">
        <v>0</v>
      </c>
      <c r="H160" s="1961">
        <v>0</v>
      </c>
    </row>
    <row r="161" spans="1:8" s="1735" customFormat="1" ht="15.75" hidden="1" thickBot="1" x14ac:dyDescent="0.25">
      <c r="A161" s="2049">
        <v>5273</v>
      </c>
      <c r="B161" s="2056">
        <v>5164</v>
      </c>
      <c r="C161" s="2056">
        <v>41500881</v>
      </c>
      <c r="D161" s="1979" t="s">
        <v>182</v>
      </c>
      <c r="E161" s="1989">
        <v>0</v>
      </c>
      <c r="F161" s="1989">
        <v>0</v>
      </c>
      <c r="G161" s="1989">
        <v>0</v>
      </c>
      <c r="H161" s="1961" t="e">
        <f t="shared" ref="H161:H171" si="5">G161/F161*100</f>
        <v>#DIV/0!</v>
      </c>
    </row>
    <row r="162" spans="1:8" s="1735" customFormat="1" ht="15" hidden="1" customHeight="1" x14ac:dyDescent="0.2">
      <c r="A162" s="2049">
        <v>5273</v>
      </c>
      <c r="B162" s="2056">
        <v>5166</v>
      </c>
      <c r="C162" s="2056">
        <v>41100880</v>
      </c>
      <c r="D162" s="1979" t="s">
        <v>646</v>
      </c>
      <c r="E162" s="1989">
        <v>0</v>
      </c>
      <c r="F162" s="1989">
        <v>0</v>
      </c>
      <c r="G162" s="1989">
        <v>0</v>
      </c>
      <c r="H162" s="1961" t="e">
        <f t="shared" si="5"/>
        <v>#DIV/0!</v>
      </c>
    </row>
    <row r="163" spans="1:8" s="1735" customFormat="1" ht="15" hidden="1" customHeight="1" x14ac:dyDescent="0.2">
      <c r="A163" s="2049">
        <v>5273</v>
      </c>
      <c r="B163" s="2056">
        <v>5166</v>
      </c>
      <c r="C163" s="2056">
        <v>41100882</v>
      </c>
      <c r="D163" s="1979" t="s">
        <v>646</v>
      </c>
      <c r="E163" s="1989">
        <v>0</v>
      </c>
      <c r="F163" s="1989">
        <v>0</v>
      </c>
      <c r="G163" s="1989">
        <v>0</v>
      </c>
      <c r="H163" s="1961" t="e">
        <f t="shared" si="5"/>
        <v>#DIV/0!</v>
      </c>
    </row>
    <row r="164" spans="1:8" s="1735" customFormat="1" ht="15" hidden="1" customHeight="1" x14ac:dyDescent="0.2">
      <c r="A164" s="2049">
        <v>5273</v>
      </c>
      <c r="B164" s="2056">
        <v>5166</v>
      </c>
      <c r="C164" s="2056">
        <v>41500881</v>
      </c>
      <c r="D164" s="1979" t="s">
        <v>646</v>
      </c>
      <c r="E164" s="1989">
        <v>0</v>
      </c>
      <c r="F164" s="1989">
        <v>0</v>
      </c>
      <c r="G164" s="1989">
        <v>0</v>
      </c>
      <c r="H164" s="1961" t="e">
        <f t="shared" si="5"/>
        <v>#DIV/0!</v>
      </c>
    </row>
    <row r="165" spans="1:8" s="1735" customFormat="1" ht="15.75" hidden="1" thickBot="1" x14ac:dyDescent="0.25">
      <c r="A165" s="2049">
        <v>5273</v>
      </c>
      <c r="B165" s="2056">
        <v>5169</v>
      </c>
      <c r="C165" s="2056">
        <v>41100880</v>
      </c>
      <c r="D165" s="1979" t="s">
        <v>892</v>
      </c>
      <c r="E165" s="1989">
        <v>0</v>
      </c>
      <c r="F165" s="1989">
        <v>0</v>
      </c>
      <c r="G165" s="1989">
        <v>0</v>
      </c>
      <c r="H165" s="1961" t="e">
        <f t="shared" si="5"/>
        <v>#DIV/0!</v>
      </c>
    </row>
    <row r="166" spans="1:8" s="1735" customFormat="1" ht="15.75" hidden="1" thickBot="1" x14ac:dyDescent="0.25">
      <c r="A166" s="2049">
        <v>5273</v>
      </c>
      <c r="B166" s="2056">
        <v>5169</v>
      </c>
      <c r="C166" s="2056">
        <v>41100882</v>
      </c>
      <c r="D166" s="1979" t="s">
        <v>892</v>
      </c>
      <c r="E166" s="1989">
        <v>0</v>
      </c>
      <c r="F166" s="1989">
        <v>0</v>
      </c>
      <c r="G166" s="1989">
        <v>0</v>
      </c>
      <c r="H166" s="1961" t="e">
        <f t="shared" si="5"/>
        <v>#DIV/0!</v>
      </c>
    </row>
    <row r="167" spans="1:8" s="1735" customFormat="1" ht="15.75" hidden="1" thickBot="1" x14ac:dyDescent="0.25">
      <c r="A167" s="2049">
        <v>5273</v>
      </c>
      <c r="B167" s="2056">
        <v>5169</v>
      </c>
      <c r="C167" s="2056">
        <v>41500881</v>
      </c>
      <c r="D167" s="1979" t="s">
        <v>892</v>
      </c>
      <c r="E167" s="1989">
        <v>0</v>
      </c>
      <c r="F167" s="1989">
        <v>0</v>
      </c>
      <c r="G167" s="1989">
        <v>0</v>
      </c>
      <c r="H167" s="1961" t="e">
        <f t="shared" si="5"/>
        <v>#DIV/0!</v>
      </c>
    </row>
    <row r="168" spans="1:8" s="1735" customFormat="1" ht="15.75" hidden="1" thickBot="1" x14ac:dyDescent="0.25">
      <c r="A168" s="2049">
        <v>5273</v>
      </c>
      <c r="B168" s="2056">
        <v>5175</v>
      </c>
      <c r="C168" s="2056">
        <v>41100880</v>
      </c>
      <c r="D168" s="1979" t="s">
        <v>707</v>
      </c>
      <c r="E168" s="1989">
        <v>0</v>
      </c>
      <c r="F168" s="1989">
        <v>0</v>
      </c>
      <c r="G168" s="1989">
        <v>0</v>
      </c>
      <c r="H168" s="1961" t="e">
        <f t="shared" si="5"/>
        <v>#DIV/0!</v>
      </c>
    </row>
    <row r="169" spans="1:8" s="1735" customFormat="1" ht="15.75" hidden="1" thickBot="1" x14ac:dyDescent="0.25">
      <c r="A169" s="2049">
        <v>5273</v>
      </c>
      <c r="B169" s="2056">
        <v>5175</v>
      </c>
      <c r="C169" s="2056">
        <v>41100882</v>
      </c>
      <c r="D169" s="1979" t="s">
        <v>707</v>
      </c>
      <c r="E169" s="1989">
        <v>0</v>
      </c>
      <c r="F169" s="1989">
        <v>0</v>
      </c>
      <c r="G169" s="1989">
        <v>0</v>
      </c>
      <c r="H169" s="1961" t="e">
        <f t="shared" si="5"/>
        <v>#DIV/0!</v>
      </c>
    </row>
    <row r="170" spans="1:8" s="1735" customFormat="1" ht="15.75" hidden="1" thickBot="1" x14ac:dyDescent="0.25">
      <c r="A170" s="2049">
        <v>5273</v>
      </c>
      <c r="B170" s="2056">
        <v>5175</v>
      </c>
      <c r="C170" s="2056">
        <v>41500881</v>
      </c>
      <c r="D170" s="1979" t="s">
        <v>707</v>
      </c>
      <c r="E170" s="1989">
        <v>0</v>
      </c>
      <c r="F170" s="1989">
        <v>0</v>
      </c>
      <c r="G170" s="1989">
        <v>0</v>
      </c>
      <c r="H170" s="1961" t="e">
        <f t="shared" si="5"/>
        <v>#DIV/0!</v>
      </c>
    </row>
    <row r="171" spans="1:8" s="1735" customFormat="1" ht="16.5" thickTop="1" thickBot="1" x14ac:dyDescent="0.3">
      <c r="A171" s="2750" t="s">
        <v>802</v>
      </c>
      <c r="B171" s="2751"/>
      <c r="C171" s="2751"/>
      <c r="D171" s="2751"/>
      <c r="E171" s="1957">
        <f>SUM(E141:E170)</f>
        <v>0</v>
      </c>
      <c r="F171" s="1957">
        <f>SUM(F141:F170)</f>
        <v>5160</v>
      </c>
      <c r="G171" s="1957">
        <f>SUM(G141:G170)</f>
        <v>5160</v>
      </c>
      <c r="H171" s="1962">
        <f t="shared" si="5"/>
        <v>100</v>
      </c>
    </row>
    <row r="172" spans="1:8" s="1735" customFormat="1" ht="15.75" thickTop="1" x14ac:dyDescent="0.25">
      <c r="A172" s="1963"/>
      <c r="B172" s="1963"/>
      <c r="C172" s="1963"/>
      <c r="D172" s="1963"/>
      <c r="E172" s="1964"/>
      <c r="F172" s="1964"/>
      <c r="G172" s="1964"/>
      <c r="H172" s="1995"/>
    </row>
    <row r="173" spans="1:8" ht="15" customHeight="1" x14ac:dyDescent="0.25">
      <c r="A173" s="1942" t="s">
        <v>1464</v>
      </c>
    </row>
    <row r="174" spans="1:8" s="1677" customFormat="1" ht="15.75" thickBot="1" x14ac:dyDescent="0.3">
      <c r="A174" s="1942" t="s">
        <v>1463</v>
      </c>
      <c r="B174" s="1683"/>
      <c r="C174" s="1683"/>
      <c r="E174" s="2120"/>
      <c r="F174" s="2120"/>
      <c r="G174" s="2120"/>
      <c r="H174" s="2121" t="s">
        <v>173</v>
      </c>
    </row>
    <row r="175" spans="1:8" s="1735" customFormat="1" ht="25.5" thickTop="1" thickBot="1" x14ac:dyDescent="0.25">
      <c r="A175" s="1943" t="s">
        <v>174</v>
      </c>
      <c r="B175" s="1944" t="s">
        <v>800</v>
      </c>
      <c r="C175" s="1944" t="s">
        <v>397</v>
      </c>
      <c r="D175" s="1945" t="s">
        <v>176</v>
      </c>
      <c r="E175" s="1976" t="s">
        <v>669</v>
      </c>
      <c r="F175" s="1976" t="s">
        <v>670</v>
      </c>
      <c r="G175" s="1977" t="s">
        <v>923</v>
      </c>
      <c r="H175" s="1978" t="s">
        <v>924</v>
      </c>
    </row>
    <row r="176" spans="1:8" s="1735" customFormat="1" ht="13.5" thickTop="1" thickBot="1" x14ac:dyDescent="0.25">
      <c r="A176" s="1740">
        <v>1</v>
      </c>
      <c r="B176" s="1739">
        <v>2</v>
      </c>
      <c r="C176" s="1739">
        <v>3</v>
      </c>
      <c r="D176" s="1739">
        <v>4</v>
      </c>
      <c r="E176" s="1738">
        <v>5</v>
      </c>
      <c r="F176" s="1738">
        <v>6</v>
      </c>
      <c r="G176" s="2028">
        <v>7</v>
      </c>
      <c r="H176" s="2054" t="s">
        <v>61</v>
      </c>
    </row>
    <row r="177" spans="1:8" s="2123" customFormat="1" ht="16.5" hidden="1" customHeight="1" thickTop="1" x14ac:dyDescent="0.2">
      <c r="A177" s="2049">
        <v>4357</v>
      </c>
      <c r="B177" s="2056">
        <v>5166</v>
      </c>
      <c r="C177" s="2115" t="s">
        <v>793</v>
      </c>
      <c r="D177" s="2122" t="s">
        <v>646</v>
      </c>
      <c r="E177" s="2001">
        <v>0</v>
      </c>
      <c r="F177" s="2001">
        <v>0</v>
      </c>
      <c r="G177" s="2001">
        <v>0</v>
      </c>
      <c r="H177" s="1961" t="e">
        <f t="shared" ref="H177:H183" si="6">G177/F177*100</f>
        <v>#DIV/0!</v>
      </c>
    </row>
    <row r="178" spans="1:8" s="1735" customFormat="1" ht="15.75" thickTop="1" x14ac:dyDescent="0.2">
      <c r="A178" s="1952">
        <v>4357</v>
      </c>
      <c r="B178" s="1953">
        <v>5169</v>
      </c>
      <c r="C178" s="2115">
        <v>53100880</v>
      </c>
      <c r="D178" s="1979" t="s">
        <v>892</v>
      </c>
      <c r="E178" s="1989">
        <v>0</v>
      </c>
      <c r="F178" s="1989">
        <v>458</v>
      </c>
      <c r="G178" s="1989">
        <v>458</v>
      </c>
      <c r="H178" s="1961">
        <f t="shared" si="6"/>
        <v>100</v>
      </c>
    </row>
    <row r="179" spans="1:8" s="1735" customFormat="1" ht="15" x14ac:dyDescent="0.2">
      <c r="A179" s="1952">
        <v>4357</v>
      </c>
      <c r="B179" s="1953">
        <v>5169</v>
      </c>
      <c r="C179" s="2115">
        <v>53100884</v>
      </c>
      <c r="D179" s="1979" t="s">
        <v>892</v>
      </c>
      <c r="E179" s="1989">
        <v>0</v>
      </c>
      <c r="F179" s="1989">
        <v>178</v>
      </c>
      <c r="G179" s="1989">
        <v>178</v>
      </c>
      <c r="H179" s="1961">
        <f t="shared" si="6"/>
        <v>100</v>
      </c>
    </row>
    <row r="180" spans="1:8" s="1735" customFormat="1" ht="15" x14ac:dyDescent="0.2">
      <c r="A180" s="1952">
        <v>4357</v>
      </c>
      <c r="B180" s="1953">
        <v>5169</v>
      </c>
      <c r="C180" s="2115">
        <v>53190001</v>
      </c>
      <c r="D180" s="1979" t="s">
        <v>892</v>
      </c>
      <c r="E180" s="1989">
        <v>0</v>
      </c>
      <c r="F180" s="1989">
        <v>91</v>
      </c>
      <c r="G180" s="1989">
        <v>91</v>
      </c>
      <c r="H180" s="1961">
        <f t="shared" si="6"/>
        <v>100</v>
      </c>
    </row>
    <row r="181" spans="1:8" s="1735" customFormat="1" ht="15" x14ac:dyDescent="0.2">
      <c r="A181" s="1952">
        <v>4357</v>
      </c>
      <c r="B181" s="1953">
        <v>5169</v>
      </c>
      <c r="C181" s="2115">
        <v>53515319</v>
      </c>
      <c r="D181" s="1979" t="s">
        <v>892</v>
      </c>
      <c r="E181" s="1989">
        <v>0</v>
      </c>
      <c r="F181" s="1989">
        <v>1282</v>
      </c>
      <c r="G181" s="1989">
        <v>1282</v>
      </c>
      <c r="H181" s="1961">
        <f t="shared" si="6"/>
        <v>100</v>
      </c>
    </row>
    <row r="182" spans="1:8" s="1735" customFormat="1" ht="15" hidden="1" x14ac:dyDescent="0.2">
      <c r="A182" s="1952"/>
      <c r="B182" s="1953"/>
      <c r="C182" s="2007"/>
      <c r="D182" s="2007"/>
      <c r="E182" s="1989"/>
      <c r="F182" s="1989"/>
      <c r="G182" s="1989"/>
      <c r="H182" s="1961" t="e">
        <f t="shared" si="6"/>
        <v>#DIV/0!</v>
      </c>
    </row>
    <row r="183" spans="1:8" s="1735" customFormat="1" ht="15" hidden="1" x14ac:dyDescent="0.2">
      <c r="A183" s="1952"/>
      <c r="B183" s="1953"/>
      <c r="C183" s="2007"/>
      <c r="D183" s="2007"/>
      <c r="E183" s="1989"/>
      <c r="F183" s="1989"/>
      <c r="G183" s="1989"/>
      <c r="H183" s="1961" t="e">
        <f t="shared" si="6"/>
        <v>#DIV/0!</v>
      </c>
    </row>
    <row r="184" spans="1:8" s="1735" customFormat="1" ht="15" hidden="1" x14ac:dyDescent="0.2">
      <c r="A184" s="1952">
        <v>4357</v>
      </c>
      <c r="B184" s="1953">
        <v>5171</v>
      </c>
      <c r="C184" s="2115" t="s">
        <v>792</v>
      </c>
      <c r="D184" s="1979" t="s">
        <v>938</v>
      </c>
      <c r="E184" s="1989">
        <v>0</v>
      </c>
      <c r="F184" s="1989">
        <v>0</v>
      </c>
      <c r="G184" s="1989">
        <v>0</v>
      </c>
      <c r="H184" s="1961">
        <v>0</v>
      </c>
    </row>
    <row r="185" spans="1:8" s="1735" customFormat="1" ht="15.75" thickBot="1" x14ac:dyDescent="0.25">
      <c r="A185" s="1952">
        <v>4357</v>
      </c>
      <c r="B185" s="1953">
        <v>6121</v>
      </c>
      <c r="C185" s="2115" t="s">
        <v>793</v>
      </c>
      <c r="D185" s="1979" t="s">
        <v>640</v>
      </c>
      <c r="E185" s="1989">
        <v>0</v>
      </c>
      <c r="F185" s="1989">
        <v>134</v>
      </c>
      <c r="G185" s="1989">
        <v>123</v>
      </c>
      <c r="H185" s="1961">
        <v>0</v>
      </c>
    </row>
    <row r="186" spans="1:8" s="1735" customFormat="1" ht="16.5" thickTop="1" thickBot="1" x14ac:dyDescent="0.3">
      <c r="A186" s="2750" t="s">
        <v>802</v>
      </c>
      <c r="B186" s="2751"/>
      <c r="C186" s="2751"/>
      <c r="D186" s="2751"/>
      <c r="E186" s="1957">
        <f>SUM(E177:E185)</f>
        <v>0</v>
      </c>
      <c r="F186" s="1957">
        <f>SUM(F177:F185)</f>
        <v>2143</v>
      </c>
      <c r="G186" s="1957">
        <f>SUM(G177:G185)</f>
        <v>2132</v>
      </c>
      <c r="H186" s="1962">
        <f>G186/F186*100</f>
        <v>99.486700886607565</v>
      </c>
    </row>
    <row r="187" spans="1:8" s="1735" customFormat="1" ht="15.75" thickTop="1" x14ac:dyDescent="0.25">
      <c r="A187" s="1963"/>
      <c r="B187" s="1963"/>
      <c r="C187" s="1963"/>
      <c r="D187" s="1963"/>
      <c r="E187" s="1964"/>
      <c r="F187" s="1964"/>
      <c r="G187" s="1964"/>
      <c r="H187" s="1995"/>
    </row>
    <row r="188" spans="1:8" ht="15" customHeight="1" x14ac:dyDescent="0.25">
      <c r="A188" s="1942" t="s">
        <v>521</v>
      </c>
    </row>
    <row r="189" spans="1:8" ht="15.75" thickBot="1" x14ac:dyDescent="0.3">
      <c r="A189" s="1942" t="s">
        <v>522</v>
      </c>
      <c r="H189" s="2043" t="s">
        <v>173</v>
      </c>
    </row>
    <row r="190" spans="1:8" s="1735" customFormat="1" ht="25.5" thickTop="1" thickBot="1" x14ac:dyDescent="0.25">
      <c r="A190" s="1943" t="s">
        <v>174</v>
      </c>
      <c r="B190" s="1944" t="s">
        <v>800</v>
      </c>
      <c r="C190" s="1944" t="s">
        <v>397</v>
      </c>
      <c r="D190" s="1945" t="s">
        <v>176</v>
      </c>
      <c r="E190" s="1976" t="s">
        <v>669</v>
      </c>
      <c r="F190" s="1976" t="s">
        <v>670</v>
      </c>
      <c r="G190" s="1977" t="s">
        <v>923</v>
      </c>
      <c r="H190" s="1978" t="s">
        <v>924</v>
      </c>
    </row>
    <row r="191" spans="1:8" s="1735" customFormat="1" ht="13.5" thickTop="1" thickBot="1" x14ac:dyDescent="0.25">
      <c r="A191" s="1740">
        <v>1</v>
      </c>
      <c r="B191" s="1739">
        <v>2</v>
      </c>
      <c r="C191" s="1739">
        <v>3</v>
      </c>
      <c r="D191" s="1739">
        <v>4</v>
      </c>
      <c r="E191" s="1738">
        <v>5</v>
      </c>
      <c r="F191" s="1738">
        <v>6</v>
      </c>
      <c r="G191" s="2028">
        <v>7</v>
      </c>
      <c r="H191" s="2054" t="s">
        <v>61</v>
      </c>
    </row>
    <row r="192" spans="1:8" s="1735" customFormat="1" ht="16.5" thickTop="1" thickBot="1" x14ac:dyDescent="0.25">
      <c r="A192" s="1952">
        <v>4357</v>
      </c>
      <c r="B192" s="1953">
        <v>5169</v>
      </c>
      <c r="C192" s="2124" t="s">
        <v>792</v>
      </c>
      <c r="D192" s="1979" t="s">
        <v>892</v>
      </c>
      <c r="E192" s="1989">
        <v>2000</v>
      </c>
      <c r="F192" s="1989">
        <v>242</v>
      </c>
      <c r="G192" s="1989">
        <v>0</v>
      </c>
      <c r="H192" s="1961">
        <v>0</v>
      </c>
    </row>
    <row r="193" spans="1:8" s="1735" customFormat="1" ht="16.5" thickTop="1" thickBot="1" x14ac:dyDescent="0.3">
      <c r="A193" s="2750" t="s">
        <v>802</v>
      </c>
      <c r="B193" s="2751"/>
      <c r="C193" s="2751"/>
      <c r="D193" s="2751"/>
      <c r="E193" s="1957">
        <f>SUM(E192:E192)</f>
        <v>2000</v>
      </c>
      <c r="F193" s="1957">
        <f>SUM(F192:F192)</f>
        <v>242</v>
      </c>
      <c r="G193" s="1957">
        <f>SUM(G192:G192)</f>
        <v>0</v>
      </c>
      <c r="H193" s="1962">
        <v>0</v>
      </c>
    </row>
    <row r="194" spans="1:8" s="1735" customFormat="1" ht="15.75" thickTop="1" x14ac:dyDescent="0.25">
      <c r="A194" s="1963"/>
      <c r="B194" s="1963"/>
      <c r="C194" s="1963"/>
      <c r="D194" s="1963"/>
      <c r="E194" s="1964"/>
      <c r="F194" s="1964"/>
      <c r="G194" s="1964"/>
      <c r="H194" s="1995"/>
    </row>
    <row r="195" spans="1:8" ht="15" hidden="1" x14ac:dyDescent="0.25">
      <c r="A195" s="1942" t="s">
        <v>199</v>
      </c>
    </row>
    <row r="196" spans="1:8" ht="15" hidden="1" x14ac:dyDescent="0.25">
      <c r="A196" s="1942" t="s">
        <v>374</v>
      </c>
      <c r="H196" s="2043" t="s">
        <v>173</v>
      </c>
    </row>
    <row r="197" spans="1:8" s="1735" customFormat="1" ht="25.5" hidden="1" thickTop="1" thickBot="1" x14ac:dyDescent="0.25">
      <c r="A197" s="1943" t="s">
        <v>174</v>
      </c>
      <c r="B197" s="1944" t="s">
        <v>800</v>
      </c>
      <c r="C197" s="1944" t="s">
        <v>397</v>
      </c>
      <c r="D197" s="1945" t="s">
        <v>176</v>
      </c>
      <c r="E197" s="1976" t="s">
        <v>669</v>
      </c>
      <c r="F197" s="1976" t="s">
        <v>670</v>
      </c>
      <c r="G197" s="1977" t="s">
        <v>923</v>
      </c>
      <c r="H197" s="1978" t="s">
        <v>924</v>
      </c>
    </row>
    <row r="198" spans="1:8" s="1735" customFormat="1" ht="13.5" hidden="1" thickTop="1" thickBot="1" x14ac:dyDescent="0.25">
      <c r="A198" s="1740">
        <v>1</v>
      </c>
      <c r="B198" s="1739">
        <v>2</v>
      </c>
      <c r="C198" s="1739">
        <v>3</v>
      </c>
      <c r="D198" s="1739">
        <v>4</v>
      </c>
      <c r="E198" s="1738">
        <v>5</v>
      </c>
      <c r="F198" s="1738">
        <v>6</v>
      </c>
      <c r="G198" s="2028">
        <v>7</v>
      </c>
      <c r="H198" s="2054" t="s">
        <v>61</v>
      </c>
    </row>
    <row r="199" spans="1:8" s="1735" customFormat="1" ht="15" hidden="1" x14ac:dyDescent="0.2">
      <c r="A199" s="1952">
        <v>4357</v>
      </c>
      <c r="B199" s="1953">
        <v>6121</v>
      </c>
      <c r="C199" s="1953">
        <v>38100870</v>
      </c>
      <c r="D199" s="1979" t="s">
        <v>640</v>
      </c>
      <c r="E199" s="1989">
        <v>0</v>
      </c>
      <c r="F199" s="1989">
        <v>0</v>
      </c>
      <c r="G199" s="1989">
        <v>0</v>
      </c>
      <c r="H199" s="1961" t="e">
        <f>G199/F199*100</f>
        <v>#DIV/0!</v>
      </c>
    </row>
    <row r="200" spans="1:8" s="1735" customFormat="1" ht="15" hidden="1" x14ac:dyDescent="0.2">
      <c r="A200" s="1952">
        <v>4357</v>
      </c>
      <c r="B200" s="1953">
        <v>6121</v>
      </c>
      <c r="C200" s="1953">
        <v>38100872</v>
      </c>
      <c r="D200" s="1979" t="s">
        <v>640</v>
      </c>
      <c r="E200" s="1989">
        <v>0</v>
      </c>
      <c r="F200" s="1989">
        <v>0</v>
      </c>
      <c r="G200" s="1989">
        <v>0</v>
      </c>
      <c r="H200" s="1961" t="e">
        <f>G200/F200*100</f>
        <v>#DIV/0!</v>
      </c>
    </row>
    <row r="201" spans="1:8" s="1735" customFormat="1" ht="15" hidden="1" x14ac:dyDescent="0.2">
      <c r="A201" s="1952">
        <v>4357</v>
      </c>
      <c r="B201" s="1953">
        <v>6121</v>
      </c>
      <c r="C201" s="1953">
        <v>38100874</v>
      </c>
      <c r="D201" s="1979" t="s">
        <v>640</v>
      </c>
      <c r="E201" s="1989">
        <v>0</v>
      </c>
      <c r="F201" s="1989">
        <v>0</v>
      </c>
      <c r="G201" s="1989">
        <v>0</v>
      </c>
      <c r="H201" s="1961" t="e">
        <f>G201/F201*100</f>
        <v>#DIV/0!</v>
      </c>
    </row>
    <row r="202" spans="1:8" s="1735" customFormat="1" ht="15" hidden="1" x14ac:dyDescent="0.2">
      <c r="A202" s="2049">
        <v>4357</v>
      </c>
      <c r="B202" s="2056">
        <v>6121</v>
      </c>
      <c r="C202" s="2125">
        <v>38500871</v>
      </c>
      <c r="D202" s="1979" t="s">
        <v>640</v>
      </c>
      <c r="E202" s="1989">
        <v>0</v>
      </c>
      <c r="F202" s="1989">
        <v>0</v>
      </c>
      <c r="G202" s="1989">
        <v>0</v>
      </c>
      <c r="H202" s="1961" t="e">
        <f>G202/F202*100</f>
        <v>#DIV/0!</v>
      </c>
    </row>
    <row r="203" spans="1:8" s="1735" customFormat="1" ht="16.5" hidden="1" thickTop="1" thickBot="1" x14ac:dyDescent="0.3">
      <c r="A203" s="2750" t="s">
        <v>802</v>
      </c>
      <c r="B203" s="2751"/>
      <c r="C203" s="2751"/>
      <c r="D203" s="2751"/>
      <c r="E203" s="1957">
        <f>SUM(E199:E202)</f>
        <v>0</v>
      </c>
      <c r="F203" s="1957">
        <f>SUM(F199:F202)</f>
        <v>0</v>
      </c>
      <c r="G203" s="1957">
        <f>SUM(G199:G202)</f>
        <v>0</v>
      </c>
      <c r="H203" s="1962" t="e">
        <f>G203/F203*100</f>
        <v>#DIV/0!</v>
      </c>
    </row>
    <row r="204" spans="1:8" s="1735" customFormat="1" ht="15" hidden="1" x14ac:dyDescent="0.25">
      <c r="A204" s="1963"/>
      <c r="B204" s="1963"/>
      <c r="C204" s="1963"/>
      <c r="D204" s="1963"/>
      <c r="E204" s="1964"/>
      <c r="F204" s="1964"/>
      <c r="G204" s="1964"/>
      <c r="H204" s="1995"/>
    </row>
    <row r="205" spans="1:8" ht="15" customHeight="1" x14ac:dyDescent="0.25">
      <c r="A205" s="1942" t="s">
        <v>526</v>
      </c>
    </row>
    <row r="206" spans="1:8" ht="15.75" thickBot="1" x14ac:dyDescent="0.3">
      <c r="A206" s="1942" t="s">
        <v>527</v>
      </c>
      <c r="H206" s="2043" t="s">
        <v>173</v>
      </c>
    </row>
    <row r="207" spans="1:8" s="1735" customFormat="1" ht="25.5" thickTop="1" thickBot="1" x14ac:dyDescent="0.25">
      <c r="A207" s="1943" t="s">
        <v>174</v>
      </c>
      <c r="B207" s="1944" t="s">
        <v>800</v>
      </c>
      <c r="C207" s="1944" t="s">
        <v>397</v>
      </c>
      <c r="D207" s="1945" t="s">
        <v>176</v>
      </c>
      <c r="E207" s="1976" t="s">
        <v>669</v>
      </c>
      <c r="F207" s="1976" t="s">
        <v>670</v>
      </c>
      <c r="G207" s="1977" t="s">
        <v>923</v>
      </c>
      <c r="H207" s="1978" t="s">
        <v>924</v>
      </c>
    </row>
    <row r="208" spans="1:8" s="1735" customFormat="1" ht="13.5" thickTop="1" thickBot="1" x14ac:dyDescent="0.25">
      <c r="A208" s="1740">
        <v>1</v>
      </c>
      <c r="B208" s="1739">
        <v>2</v>
      </c>
      <c r="C208" s="1739">
        <v>3</v>
      </c>
      <c r="D208" s="1739">
        <v>4</v>
      </c>
      <c r="E208" s="1738">
        <v>5</v>
      </c>
      <c r="F208" s="1738">
        <v>6</v>
      </c>
      <c r="G208" s="2028">
        <v>7</v>
      </c>
      <c r="H208" s="2054" t="s">
        <v>61</v>
      </c>
    </row>
    <row r="209" spans="1:8" s="1735" customFormat="1" ht="15.75" thickTop="1" x14ac:dyDescent="0.2">
      <c r="A209" s="1952">
        <v>4357</v>
      </c>
      <c r="B209" s="1953">
        <v>5169</v>
      </c>
      <c r="C209" s="2124">
        <v>53100880</v>
      </c>
      <c r="D209" s="1979" t="s">
        <v>892</v>
      </c>
      <c r="E209" s="1989">
        <v>263</v>
      </c>
      <c r="F209" s="1989">
        <v>126</v>
      </c>
      <c r="G209" s="1989">
        <v>123</v>
      </c>
      <c r="H209" s="1961">
        <f>G209/F209*100</f>
        <v>97.61904761904762</v>
      </c>
    </row>
    <row r="210" spans="1:8" s="1735" customFormat="1" ht="15" x14ac:dyDescent="0.2">
      <c r="A210" s="1952">
        <v>4357</v>
      </c>
      <c r="B210" s="1953">
        <v>5169</v>
      </c>
      <c r="C210" s="2124">
        <v>53100882</v>
      </c>
      <c r="D210" s="1979" t="s">
        <v>892</v>
      </c>
      <c r="E210" s="1989">
        <v>53</v>
      </c>
      <c r="F210" s="1989">
        <v>25</v>
      </c>
      <c r="G210" s="1989">
        <v>25</v>
      </c>
      <c r="H210" s="1961">
        <f>G210/F210*100</f>
        <v>100</v>
      </c>
    </row>
    <row r="211" spans="1:8" s="1735" customFormat="1" ht="15" x14ac:dyDescent="0.2">
      <c r="A211" s="1952">
        <v>4357</v>
      </c>
      <c r="B211" s="1953">
        <v>5169</v>
      </c>
      <c r="C211" s="2124">
        <v>53100884</v>
      </c>
      <c r="D211" s="1979" t="s">
        <v>892</v>
      </c>
      <c r="E211" s="1989">
        <v>200</v>
      </c>
      <c r="F211" s="1989">
        <v>0</v>
      </c>
      <c r="G211" s="1989">
        <v>0</v>
      </c>
      <c r="H211" s="1961">
        <v>0</v>
      </c>
    </row>
    <row r="212" spans="1:8" s="1735" customFormat="1" ht="15.75" thickBot="1" x14ac:dyDescent="0.25">
      <c r="A212" s="1952">
        <v>4357</v>
      </c>
      <c r="B212" s="1953">
        <v>5169</v>
      </c>
      <c r="C212" s="2124" t="s">
        <v>1875</v>
      </c>
      <c r="D212" s="1979" t="s">
        <v>892</v>
      </c>
      <c r="E212" s="1989">
        <v>738</v>
      </c>
      <c r="F212" s="1989">
        <v>354</v>
      </c>
      <c r="G212" s="1989">
        <v>346</v>
      </c>
      <c r="H212" s="1961">
        <f>G212/F212*100</f>
        <v>97.740112994350284</v>
      </c>
    </row>
    <row r="213" spans="1:8" s="1735" customFormat="1" ht="16.5" thickTop="1" thickBot="1" x14ac:dyDescent="0.3">
      <c r="A213" s="2750" t="s">
        <v>802</v>
      </c>
      <c r="B213" s="2751"/>
      <c r="C213" s="2751"/>
      <c r="D213" s="2751"/>
      <c r="E213" s="1957">
        <f>SUM(E209:E212)</f>
        <v>1254</v>
      </c>
      <c r="F213" s="1957">
        <f>SUM(F209:F212)</f>
        <v>505</v>
      </c>
      <c r="G213" s="1957">
        <f>SUM(G209:G212)</f>
        <v>494</v>
      </c>
      <c r="H213" s="1962">
        <f>G213/F213*100</f>
        <v>97.821782178217816</v>
      </c>
    </row>
    <row r="214" spans="1:8" s="1735" customFormat="1" ht="15.75" thickTop="1" x14ac:dyDescent="0.25">
      <c r="A214" s="1963"/>
      <c r="B214" s="1963"/>
      <c r="C214" s="1963"/>
      <c r="D214" s="1963"/>
      <c r="E214" s="1964"/>
      <c r="F214" s="1964"/>
      <c r="G214" s="1964"/>
      <c r="H214" s="2119"/>
    </row>
    <row r="215" spans="1:8" ht="15" hidden="1" x14ac:dyDescent="0.25">
      <c r="A215" s="1942" t="s">
        <v>285</v>
      </c>
    </row>
    <row r="216" spans="1:8" ht="15" hidden="1" x14ac:dyDescent="0.25">
      <c r="A216" s="1942" t="s">
        <v>248</v>
      </c>
      <c r="H216" s="2043" t="s">
        <v>173</v>
      </c>
    </row>
    <row r="217" spans="1:8" s="1735" customFormat="1" ht="25.5" hidden="1" thickTop="1" thickBot="1" x14ac:dyDescent="0.25">
      <c r="A217" s="1943" t="s">
        <v>174</v>
      </c>
      <c r="B217" s="1944" t="s">
        <v>800</v>
      </c>
      <c r="C217" s="1944" t="s">
        <v>397</v>
      </c>
      <c r="D217" s="1945" t="s">
        <v>176</v>
      </c>
      <c r="E217" s="1976" t="s">
        <v>669</v>
      </c>
      <c r="F217" s="1976" t="s">
        <v>670</v>
      </c>
      <c r="G217" s="1977" t="s">
        <v>923</v>
      </c>
      <c r="H217" s="1978" t="s">
        <v>924</v>
      </c>
    </row>
    <row r="218" spans="1:8" s="1735" customFormat="1" ht="13.5" hidden="1" thickTop="1" thickBot="1" x14ac:dyDescent="0.25">
      <c r="A218" s="1740">
        <v>1</v>
      </c>
      <c r="B218" s="1739">
        <v>2</v>
      </c>
      <c r="C218" s="1739">
        <v>3</v>
      </c>
      <c r="D218" s="1739">
        <v>4</v>
      </c>
      <c r="E218" s="1738">
        <v>5</v>
      </c>
      <c r="F218" s="1738">
        <v>6</v>
      </c>
      <c r="G218" s="2028">
        <v>7</v>
      </c>
      <c r="H218" s="2054" t="s">
        <v>61</v>
      </c>
    </row>
    <row r="219" spans="1:8" s="1735" customFormat="1" ht="15" hidden="1" x14ac:dyDescent="0.2">
      <c r="A219" s="1952">
        <v>3122</v>
      </c>
      <c r="B219" s="1953">
        <v>5137</v>
      </c>
      <c r="C219" s="1953">
        <v>38100874</v>
      </c>
      <c r="D219" s="1979" t="s">
        <v>167</v>
      </c>
      <c r="E219" s="1989">
        <v>0</v>
      </c>
      <c r="F219" s="1989">
        <v>0</v>
      </c>
      <c r="G219" s="1989">
        <v>0</v>
      </c>
      <c r="H219" s="1961" t="e">
        <f t="shared" ref="H219:H224" si="7">G219/F219*100</f>
        <v>#DIV/0!</v>
      </c>
    </row>
    <row r="220" spans="1:8" s="1735" customFormat="1" ht="15" hidden="1" x14ac:dyDescent="0.2">
      <c r="A220" s="1952">
        <v>3122</v>
      </c>
      <c r="B220" s="1953">
        <v>6121</v>
      </c>
      <c r="C220" s="1953">
        <v>38100870</v>
      </c>
      <c r="D220" s="1979" t="s">
        <v>640</v>
      </c>
      <c r="E220" s="1989">
        <v>0</v>
      </c>
      <c r="F220" s="1989">
        <v>0</v>
      </c>
      <c r="G220" s="1989">
        <v>0</v>
      </c>
      <c r="H220" s="1961" t="e">
        <f t="shared" si="7"/>
        <v>#DIV/0!</v>
      </c>
    </row>
    <row r="221" spans="1:8" s="1735" customFormat="1" ht="15" hidden="1" x14ac:dyDescent="0.2">
      <c r="A221" s="1952">
        <v>3122</v>
      </c>
      <c r="B221" s="1953">
        <v>6121</v>
      </c>
      <c r="C221" s="1953">
        <v>38100872</v>
      </c>
      <c r="D221" s="1979" t="s">
        <v>640</v>
      </c>
      <c r="E221" s="1989">
        <v>0</v>
      </c>
      <c r="F221" s="1989">
        <v>0</v>
      </c>
      <c r="G221" s="1989">
        <v>0</v>
      </c>
      <c r="H221" s="1961" t="e">
        <f t="shared" si="7"/>
        <v>#DIV/0!</v>
      </c>
    </row>
    <row r="222" spans="1:8" s="1735" customFormat="1" ht="15" hidden="1" x14ac:dyDescent="0.2">
      <c r="A222" s="1952">
        <v>3122</v>
      </c>
      <c r="B222" s="1953">
        <v>6121</v>
      </c>
      <c r="C222" s="1953">
        <v>38100874</v>
      </c>
      <c r="D222" s="1979" t="s">
        <v>640</v>
      </c>
      <c r="E222" s="1989">
        <v>0</v>
      </c>
      <c r="F222" s="1989">
        <v>0</v>
      </c>
      <c r="G222" s="1989">
        <v>0</v>
      </c>
      <c r="H222" s="1961" t="e">
        <f t="shared" si="7"/>
        <v>#DIV/0!</v>
      </c>
    </row>
    <row r="223" spans="1:8" s="1735" customFormat="1" ht="15" hidden="1" x14ac:dyDescent="0.2">
      <c r="A223" s="1952">
        <v>3122</v>
      </c>
      <c r="B223" s="1953">
        <v>6121</v>
      </c>
      <c r="C223" s="1953">
        <v>38500871</v>
      </c>
      <c r="D223" s="1979" t="s">
        <v>640</v>
      </c>
      <c r="E223" s="1989">
        <v>0</v>
      </c>
      <c r="F223" s="1989">
        <v>0</v>
      </c>
      <c r="G223" s="1989">
        <v>0</v>
      </c>
      <c r="H223" s="1961" t="e">
        <f t="shared" si="7"/>
        <v>#DIV/0!</v>
      </c>
    </row>
    <row r="224" spans="1:8" s="1735" customFormat="1" ht="16.5" hidden="1" thickTop="1" thickBot="1" x14ac:dyDescent="0.3">
      <c r="A224" s="2750" t="s">
        <v>802</v>
      </c>
      <c r="B224" s="2751"/>
      <c r="C224" s="2751"/>
      <c r="D224" s="2751"/>
      <c r="E224" s="1957">
        <f>SUM(E223:E223)</f>
        <v>0</v>
      </c>
      <c r="F224" s="1957">
        <f>SUM(F219:F223)</f>
        <v>0</v>
      </c>
      <c r="G224" s="1957">
        <f>SUM(G219:G223)</f>
        <v>0</v>
      </c>
      <c r="H224" s="1962" t="e">
        <f t="shared" si="7"/>
        <v>#DIV/0!</v>
      </c>
    </row>
    <row r="225" spans="1:8" s="1735" customFormat="1" ht="15" hidden="1" x14ac:dyDescent="0.25">
      <c r="A225" s="1963"/>
      <c r="B225" s="1963"/>
      <c r="C225" s="1963"/>
      <c r="D225" s="1963"/>
      <c r="E225" s="1964"/>
      <c r="F225" s="1964"/>
      <c r="G225" s="1964"/>
      <c r="H225" s="1995"/>
    </row>
    <row r="226" spans="1:8" ht="15" x14ac:dyDescent="0.25">
      <c r="A226" s="1942" t="s">
        <v>1646</v>
      </c>
    </row>
    <row r="227" spans="1:8" ht="15.75" thickBot="1" x14ac:dyDescent="0.3">
      <c r="A227" s="1942" t="s">
        <v>1647</v>
      </c>
      <c r="H227" s="2043" t="s">
        <v>173</v>
      </c>
    </row>
    <row r="228" spans="1:8" s="1735" customFormat="1" ht="25.5" thickTop="1" thickBot="1" x14ac:dyDescent="0.25">
      <c r="A228" s="1943" t="s">
        <v>174</v>
      </c>
      <c r="B228" s="1944" t="s">
        <v>800</v>
      </c>
      <c r="C228" s="1944" t="s">
        <v>397</v>
      </c>
      <c r="D228" s="1945" t="s">
        <v>176</v>
      </c>
      <c r="E228" s="1976" t="s">
        <v>669</v>
      </c>
      <c r="F228" s="1976" t="s">
        <v>670</v>
      </c>
      <c r="G228" s="1977" t="s">
        <v>923</v>
      </c>
      <c r="H228" s="1978" t="s">
        <v>924</v>
      </c>
    </row>
    <row r="229" spans="1:8" s="1735" customFormat="1" ht="13.5" thickTop="1" thickBot="1" x14ac:dyDescent="0.25">
      <c r="A229" s="1740">
        <v>1</v>
      </c>
      <c r="B229" s="1739">
        <v>2</v>
      </c>
      <c r="C229" s="1739">
        <v>3</v>
      </c>
      <c r="D229" s="1739">
        <v>4</v>
      </c>
      <c r="E229" s="1738">
        <v>5</v>
      </c>
      <c r="F229" s="1738">
        <v>6</v>
      </c>
      <c r="G229" s="2028">
        <v>7</v>
      </c>
      <c r="H229" s="2054" t="s">
        <v>61</v>
      </c>
    </row>
    <row r="230" spans="1:8" s="1735" customFormat="1" ht="15.75" thickTop="1" x14ac:dyDescent="0.2">
      <c r="A230" s="1952">
        <v>6172</v>
      </c>
      <c r="B230" s="2056">
        <v>5011</v>
      </c>
      <c r="C230" s="2125">
        <v>0</v>
      </c>
      <c r="D230" s="1979" t="s">
        <v>219</v>
      </c>
      <c r="E230" s="1989">
        <v>0</v>
      </c>
      <c r="F230" s="1989">
        <v>593</v>
      </c>
      <c r="G230" s="1989">
        <v>593</v>
      </c>
      <c r="H230" s="1961">
        <f t="shared" ref="H230:H259" si="8">G230/F230*100</f>
        <v>100</v>
      </c>
    </row>
    <row r="231" spans="1:8" s="1735" customFormat="1" ht="45" x14ac:dyDescent="0.2">
      <c r="A231" s="1952">
        <v>6172</v>
      </c>
      <c r="B231" s="2056">
        <v>5031</v>
      </c>
      <c r="C231" s="2125">
        <v>0</v>
      </c>
      <c r="D231" s="1979" t="s">
        <v>1362</v>
      </c>
      <c r="E231" s="1989">
        <v>0</v>
      </c>
      <c r="F231" s="1989">
        <v>148</v>
      </c>
      <c r="G231" s="1989">
        <v>148</v>
      </c>
      <c r="H231" s="1961">
        <f t="shared" si="8"/>
        <v>100</v>
      </c>
    </row>
    <row r="232" spans="1:8" s="1735" customFormat="1" ht="28.5" customHeight="1" x14ac:dyDescent="0.2">
      <c r="A232" s="1952">
        <v>6172</v>
      </c>
      <c r="B232" s="2056">
        <v>5032</v>
      </c>
      <c r="C232" s="2125">
        <v>0</v>
      </c>
      <c r="D232" s="1979" t="s">
        <v>1363</v>
      </c>
      <c r="E232" s="1989">
        <v>0</v>
      </c>
      <c r="F232" s="1989">
        <v>53</v>
      </c>
      <c r="G232" s="1989">
        <v>53</v>
      </c>
      <c r="H232" s="1961">
        <f t="shared" si="8"/>
        <v>100</v>
      </c>
    </row>
    <row r="233" spans="1:8" s="1735" customFormat="1" ht="15" x14ac:dyDescent="0.2">
      <c r="A233" s="1952">
        <v>6172</v>
      </c>
      <c r="B233" s="2056">
        <v>5137</v>
      </c>
      <c r="C233" s="2125">
        <v>36100870</v>
      </c>
      <c r="D233" s="1979" t="s">
        <v>167</v>
      </c>
      <c r="E233" s="1989">
        <v>0</v>
      </c>
      <c r="F233" s="1989">
        <v>80</v>
      </c>
      <c r="G233" s="1989">
        <v>80</v>
      </c>
      <c r="H233" s="1961">
        <f t="shared" si="8"/>
        <v>100</v>
      </c>
    </row>
    <row r="234" spans="1:8" s="1735" customFormat="1" ht="15" x14ac:dyDescent="0.2">
      <c r="A234" s="1952">
        <v>6172</v>
      </c>
      <c r="B234" s="2056">
        <v>5137</v>
      </c>
      <c r="C234" s="2125">
        <v>36500871</v>
      </c>
      <c r="D234" s="1979" t="s">
        <v>167</v>
      </c>
      <c r="E234" s="1989">
        <v>0</v>
      </c>
      <c r="F234" s="1989">
        <v>456</v>
      </c>
      <c r="G234" s="1989">
        <v>456</v>
      </c>
      <c r="H234" s="1961">
        <f t="shared" si="8"/>
        <v>100</v>
      </c>
    </row>
    <row r="235" spans="1:8" s="1735" customFormat="1" ht="15" x14ac:dyDescent="0.2">
      <c r="A235" s="1952">
        <v>6172</v>
      </c>
      <c r="B235" s="2056">
        <v>5139</v>
      </c>
      <c r="C235" s="2125">
        <v>36100870</v>
      </c>
      <c r="D235" s="1979" t="s">
        <v>181</v>
      </c>
      <c r="E235" s="1989">
        <v>0</v>
      </c>
      <c r="F235" s="1989">
        <v>1</v>
      </c>
      <c r="G235" s="1989">
        <v>1</v>
      </c>
      <c r="H235" s="1961">
        <f t="shared" si="8"/>
        <v>100</v>
      </c>
    </row>
    <row r="236" spans="1:8" s="1735" customFormat="1" ht="15" x14ac:dyDescent="0.2">
      <c r="A236" s="1952">
        <v>6172</v>
      </c>
      <c r="B236" s="2056">
        <v>5139</v>
      </c>
      <c r="C236" s="2125">
        <v>36500871</v>
      </c>
      <c r="D236" s="1979" t="s">
        <v>181</v>
      </c>
      <c r="E236" s="1989">
        <v>0</v>
      </c>
      <c r="F236" s="1989">
        <v>8</v>
      </c>
      <c r="G236" s="1989">
        <v>8</v>
      </c>
      <c r="H236" s="1961">
        <f t="shared" si="8"/>
        <v>100</v>
      </c>
    </row>
    <row r="237" spans="1:8" s="1735" customFormat="1" ht="30" x14ac:dyDescent="0.2">
      <c r="A237" s="1952">
        <v>6172</v>
      </c>
      <c r="B237" s="2056">
        <v>5166</v>
      </c>
      <c r="C237" s="2125">
        <v>36100870</v>
      </c>
      <c r="D237" s="1979" t="s">
        <v>646</v>
      </c>
      <c r="E237" s="1989">
        <v>0</v>
      </c>
      <c r="F237" s="1989">
        <v>3041</v>
      </c>
      <c r="G237" s="1989">
        <v>3041</v>
      </c>
      <c r="H237" s="1961">
        <f t="shared" si="8"/>
        <v>100</v>
      </c>
    </row>
    <row r="238" spans="1:8" s="1735" customFormat="1" ht="30" x14ac:dyDescent="0.2">
      <c r="A238" s="1952">
        <v>6172</v>
      </c>
      <c r="B238" s="2056">
        <v>5166</v>
      </c>
      <c r="C238" s="2125">
        <v>36500871</v>
      </c>
      <c r="D238" s="1979" t="s">
        <v>646</v>
      </c>
      <c r="E238" s="1989">
        <v>0</v>
      </c>
      <c r="F238" s="1989">
        <v>17235</v>
      </c>
      <c r="G238" s="1989">
        <v>17235</v>
      </c>
      <c r="H238" s="1961">
        <f t="shared" si="8"/>
        <v>100</v>
      </c>
    </row>
    <row r="239" spans="1:8" s="1735" customFormat="1" ht="15" x14ac:dyDescent="0.2">
      <c r="A239" s="1952">
        <v>6172</v>
      </c>
      <c r="B239" s="2056">
        <v>5168</v>
      </c>
      <c r="C239" s="2125">
        <v>36100870</v>
      </c>
      <c r="D239" s="1979" t="s">
        <v>185</v>
      </c>
      <c r="E239" s="1989">
        <v>0</v>
      </c>
      <c r="F239" s="1989">
        <v>1288</v>
      </c>
      <c r="G239" s="1989">
        <v>1288</v>
      </c>
      <c r="H239" s="1961">
        <f t="shared" si="8"/>
        <v>100</v>
      </c>
    </row>
    <row r="240" spans="1:8" s="1735" customFormat="1" ht="15" x14ac:dyDescent="0.2">
      <c r="A240" s="1952">
        <v>6172</v>
      </c>
      <c r="B240" s="2056">
        <v>5168</v>
      </c>
      <c r="C240" s="2125">
        <v>36100874</v>
      </c>
      <c r="D240" s="1979" t="s">
        <v>185</v>
      </c>
      <c r="E240" s="1989">
        <v>0</v>
      </c>
      <c r="F240" s="1989">
        <v>2571</v>
      </c>
      <c r="G240" s="1989">
        <v>2571</v>
      </c>
      <c r="H240" s="1961">
        <f t="shared" si="8"/>
        <v>100</v>
      </c>
    </row>
    <row r="241" spans="1:8" s="1735" customFormat="1" ht="15" x14ac:dyDescent="0.2">
      <c r="A241" s="1952">
        <v>6172</v>
      </c>
      <c r="B241" s="2056">
        <v>5168</v>
      </c>
      <c r="C241" s="2125">
        <v>36500871</v>
      </c>
      <c r="D241" s="1979" t="s">
        <v>185</v>
      </c>
      <c r="E241" s="1989">
        <v>0</v>
      </c>
      <c r="F241" s="1989">
        <v>7298</v>
      </c>
      <c r="G241" s="1989">
        <v>7298</v>
      </c>
      <c r="H241" s="1961">
        <f t="shared" si="8"/>
        <v>100</v>
      </c>
    </row>
    <row r="242" spans="1:8" s="1735" customFormat="1" ht="15" x14ac:dyDescent="0.2">
      <c r="A242" s="1952">
        <v>6172</v>
      </c>
      <c r="B242" s="2056">
        <v>5169</v>
      </c>
      <c r="C242" s="2125">
        <v>36100870</v>
      </c>
      <c r="D242" s="1979" t="s">
        <v>892</v>
      </c>
      <c r="E242" s="1989">
        <v>0</v>
      </c>
      <c r="F242" s="1989">
        <v>4081</v>
      </c>
      <c r="G242" s="1989">
        <v>4081</v>
      </c>
      <c r="H242" s="1961">
        <f t="shared" si="8"/>
        <v>100</v>
      </c>
    </row>
    <row r="243" spans="1:8" s="1735" customFormat="1" ht="15" x14ac:dyDescent="0.2">
      <c r="A243" s="1952">
        <v>6172</v>
      </c>
      <c r="B243" s="2056">
        <v>5169</v>
      </c>
      <c r="C243" s="2125">
        <v>36100874</v>
      </c>
      <c r="D243" s="1979" t="s">
        <v>892</v>
      </c>
      <c r="E243" s="1989">
        <v>0</v>
      </c>
      <c r="F243" s="1989">
        <v>1536</v>
      </c>
      <c r="G243" s="1989">
        <v>1536</v>
      </c>
      <c r="H243" s="1961">
        <f t="shared" si="8"/>
        <v>100</v>
      </c>
    </row>
    <row r="244" spans="1:8" s="1735" customFormat="1" ht="15.75" thickBot="1" x14ac:dyDescent="0.25">
      <c r="A244" s="1991">
        <v>6172</v>
      </c>
      <c r="B244" s="2070">
        <v>5169</v>
      </c>
      <c r="C244" s="2407">
        <v>36500871</v>
      </c>
      <c r="D244" s="1985" t="s">
        <v>892</v>
      </c>
      <c r="E244" s="1986">
        <v>0</v>
      </c>
      <c r="F244" s="1986">
        <v>23124</v>
      </c>
      <c r="G244" s="1986">
        <v>23124</v>
      </c>
      <c r="H244" s="1968">
        <f t="shared" si="8"/>
        <v>100</v>
      </c>
    </row>
    <row r="245" spans="1:8" s="1735" customFormat="1" ht="15.75" thickTop="1" x14ac:dyDescent="0.2">
      <c r="A245" s="1952">
        <v>6172</v>
      </c>
      <c r="B245" s="2056">
        <v>5172</v>
      </c>
      <c r="C245" s="2125">
        <v>36100870</v>
      </c>
      <c r="D245" s="1979" t="s">
        <v>939</v>
      </c>
      <c r="E245" s="1989">
        <v>0</v>
      </c>
      <c r="F245" s="1989">
        <v>107</v>
      </c>
      <c r="G245" s="1989">
        <v>107</v>
      </c>
      <c r="H245" s="1961">
        <f t="shared" si="8"/>
        <v>100</v>
      </c>
    </row>
    <row r="246" spans="1:8" s="1735" customFormat="1" ht="15" x14ac:dyDescent="0.2">
      <c r="A246" s="1952">
        <v>6172</v>
      </c>
      <c r="B246" s="2056">
        <v>5172</v>
      </c>
      <c r="C246" s="2125">
        <v>36500871</v>
      </c>
      <c r="D246" s="1979" t="s">
        <v>939</v>
      </c>
      <c r="E246" s="1989">
        <v>0</v>
      </c>
      <c r="F246" s="1989">
        <v>606</v>
      </c>
      <c r="G246" s="1989">
        <v>606</v>
      </c>
      <c r="H246" s="1961">
        <f t="shared" si="8"/>
        <v>100</v>
      </c>
    </row>
    <row r="247" spans="1:8" s="1735" customFormat="1" ht="15" x14ac:dyDescent="0.2">
      <c r="A247" s="1952">
        <v>6172</v>
      </c>
      <c r="B247" s="2056">
        <v>5175</v>
      </c>
      <c r="C247" s="2125">
        <v>36100870</v>
      </c>
      <c r="D247" s="1979" t="s">
        <v>707</v>
      </c>
      <c r="E247" s="1989">
        <v>0</v>
      </c>
      <c r="F247" s="1989">
        <v>1</v>
      </c>
      <c r="G247" s="1989">
        <v>1</v>
      </c>
      <c r="H247" s="1961">
        <f t="shared" si="8"/>
        <v>100</v>
      </c>
    </row>
    <row r="248" spans="1:8" s="1735" customFormat="1" ht="15" x14ac:dyDescent="0.2">
      <c r="A248" s="1952">
        <v>6172</v>
      </c>
      <c r="B248" s="2056">
        <v>5175</v>
      </c>
      <c r="C248" s="2125">
        <v>36500871</v>
      </c>
      <c r="D248" s="1979" t="s">
        <v>707</v>
      </c>
      <c r="E248" s="1989">
        <v>0</v>
      </c>
      <c r="F248" s="1989">
        <v>6</v>
      </c>
      <c r="G248" s="1989">
        <v>6</v>
      </c>
      <c r="H248" s="1961">
        <f t="shared" si="8"/>
        <v>100</v>
      </c>
    </row>
    <row r="249" spans="1:8" s="1735" customFormat="1" ht="15" x14ac:dyDescent="0.2">
      <c r="A249" s="1952">
        <v>6172</v>
      </c>
      <c r="B249" s="2056">
        <v>5424</v>
      </c>
      <c r="C249" s="2125">
        <v>0</v>
      </c>
      <c r="D249" s="1979" t="s">
        <v>688</v>
      </c>
      <c r="E249" s="1989">
        <v>0</v>
      </c>
      <c r="F249" s="1989">
        <v>3</v>
      </c>
      <c r="G249" s="1989">
        <v>3</v>
      </c>
      <c r="H249" s="1961">
        <f t="shared" si="8"/>
        <v>100</v>
      </c>
    </row>
    <row r="250" spans="1:8" s="1735" customFormat="1" ht="15" x14ac:dyDescent="0.2">
      <c r="A250" s="1952">
        <v>6172</v>
      </c>
      <c r="B250" s="2056">
        <v>6111</v>
      </c>
      <c r="C250" s="2125">
        <v>36100870</v>
      </c>
      <c r="D250" s="1979" t="s">
        <v>939</v>
      </c>
      <c r="E250" s="1989">
        <v>0</v>
      </c>
      <c r="F250" s="1989">
        <v>5085</v>
      </c>
      <c r="G250" s="1989">
        <v>5085</v>
      </c>
      <c r="H250" s="1961">
        <f t="shared" si="8"/>
        <v>100</v>
      </c>
    </row>
    <row r="251" spans="1:8" s="1735" customFormat="1" ht="15" x14ac:dyDescent="0.2">
      <c r="A251" s="1952">
        <v>6172</v>
      </c>
      <c r="B251" s="2056">
        <v>6111</v>
      </c>
      <c r="C251" s="2125">
        <v>36500871</v>
      </c>
      <c r="D251" s="1979" t="s">
        <v>939</v>
      </c>
      <c r="E251" s="1989">
        <v>0</v>
      </c>
      <c r="F251" s="1989">
        <v>28815</v>
      </c>
      <c r="G251" s="1989">
        <v>28815</v>
      </c>
      <c r="H251" s="1961">
        <f t="shared" si="8"/>
        <v>100</v>
      </c>
    </row>
    <row r="252" spans="1:8" s="1735" customFormat="1" ht="15" x14ac:dyDescent="0.2">
      <c r="A252" s="1952">
        <v>6172</v>
      </c>
      <c r="B252" s="2056">
        <v>6121</v>
      </c>
      <c r="C252" s="2125">
        <v>36100870</v>
      </c>
      <c r="D252" s="1979" t="s">
        <v>640</v>
      </c>
      <c r="E252" s="1989">
        <v>0</v>
      </c>
      <c r="F252" s="1989">
        <v>635</v>
      </c>
      <c r="G252" s="1989">
        <v>635</v>
      </c>
      <c r="H252" s="1961">
        <f t="shared" si="8"/>
        <v>100</v>
      </c>
    </row>
    <row r="253" spans="1:8" s="1735" customFormat="1" ht="15" x14ac:dyDescent="0.2">
      <c r="A253" s="1952">
        <v>6172</v>
      </c>
      <c r="B253" s="2056">
        <v>6121</v>
      </c>
      <c r="C253" s="2125">
        <v>36100874</v>
      </c>
      <c r="D253" s="1979" t="s">
        <v>640</v>
      </c>
      <c r="E253" s="1989">
        <v>0</v>
      </c>
      <c r="F253" s="1989">
        <v>35</v>
      </c>
      <c r="G253" s="1989">
        <v>35</v>
      </c>
      <c r="H253" s="1961">
        <f t="shared" si="8"/>
        <v>100</v>
      </c>
    </row>
    <row r="254" spans="1:8" s="1735" customFormat="1" ht="15" x14ac:dyDescent="0.2">
      <c r="A254" s="1952">
        <v>6172</v>
      </c>
      <c r="B254" s="2056">
        <v>6121</v>
      </c>
      <c r="C254" s="2125">
        <v>36500871</v>
      </c>
      <c r="D254" s="1979" t="s">
        <v>640</v>
      </c>
      <c r="E254" s="1989">
        <v>0</v>
      </c>
      <c r="F254" s="1989">
        <v>3598</v>
      </c>
      <c r="G254" s="1989">
        <v>3598</v>
      </c>
      <c r="H254" s="1961">
        <f t="shared" si="8"/>
        <v>100</v>
      </c>
    </row>
    <row r="255" spans="1:8" s="1735" customFormat="1" ht="15" x14ac:dyDescent="0.2">
      <c r="A255" s="1952">
        <v>6172</v>
      </c>
      <c r="B255" s="2056">
        <v>6122</v>
      </c>
      <c r="C255" s="2125">
        <v>36100870</v>
      </c>
      <c r="D255" s="1979" t="s">
        <v>641</v>
      </c>
      <c r="E255" s="1989">
        <v>0</v>
      </c>
      <c r="F255" s="1989">
        <v>367</v>
      </c>
      <c r="G255" s="1989">
        <v>367</v>
      </c>
      <c r="H255" s="1961">
        <f t="shared" si="8"/>
        <v>100</v>
      </c>
    </row>
    <row r="256" spans="1:8" s="1735" customFormat="1" ht="15" x14ac:dyDescent="0.2">
      <c r="A256" s="1952">
        <v>6172</v>
      </c>
      <c r="B256" s="2056">
        <v>6122</v>
      </c>
      <c r="C256" s="2125">
        <v>36500871</v>
      </c>
      <c r="D256" s="1979" t="s">
        <v>641</v>
      </c>
      <c r="E256" s="1989">
        <v>0</v>
      </c>
      <c r="F256" s="1989">
        <v>2080</v>
      </c>
      <c r="G256" s="1989">
        <v>2080</v>
      </c>
      <c r="H256" s="1961">
        <f t="shared" si="8"/>
        <v>100</v>
      </c>
    </row>
    <row r="257" spans="1:8" s="1735" customFormat="1" ht="15" x14ac:dyDescent="0.2">
      <c r="A257" s="1952">
        <v>6172</v>
      </c>
      <c r="B257" s="2056">
        <v>6125</v>
      </c>
      <c r="C257" s="2125">
        <v>36100870</v>
      </c>
      <c r="D257" s="1979" t="s">
        <v>187</v>
      </c>
      <c r="E257" s="1989">
        <v>0</v>
      </c>
      <c r="F257" s="1989">
        <v>6152</v>
      </c>
      <c r="G257" s="1989">
        <v>6152</v>
      </c>
      <c r="H257" s="1961">
        <f t="shared" si="8"/>
        <v>100</v>
      </c>
    </row>
    <row r="258" spans="1:8" s="1735" customFormat="1" ht="15.75" thickBot="1" x14ac:dyDescent="0.25">
      <c r="A258" s="1952">
        <v>6172</v>
      </c>
      <c r="B258" s="2056">
        <v>6125</v>
      </c>
      <c r="C258" s="2125">
        <v>36500871</v>
      </c>
      <c r="D258" s="1979" t="s">
        <v>187</v>
      </c>
      <c r="E258" s="1989">
        <v>0</v>
      </c>
      <c r="F258" s="1989">
        <v>34863</v>
      </c>
      <c r="G258" s="1989">
        <v>34863</v>
      </c>
      <c r="H258" s="1961">
        <f t="shared" si="8"/>
        <v>100</v>
      </c>
    </row>
    <row r="259" spans="1:8" s="1735" customFormat="1" ht="16.5" thickTop="1" thickBot="1" x14ac:dyDescent="0.3">
      <c r="A259" s="2750" t="s">
        <v>802</v>
      </c>
      <c r="B259" s="2751"/>
      <c r="C259" s="2751"/>
      <c r="D259" s="2751"/>
      <c r="E259" s="1957">
        <f>SUM(E230:E258)</f>
        <v>0</v>
      </c>
      <c r="F259" s="1957">
        <f>SUM(F230:F258)</f>
        <v>143866</v>
      </c>
      <c r="G259" s="1957">
        <f>SUM(G230:G258)</f>
        <v>143866</v>
      </c>
      <c r="H259" s="1962">
        <f t="shared" si="8"/>
        <v>100</v>
      </c>
    </row>
    <row r="260" spans="1:8" s="1735" customFormat="1" ht="15.75" thickTop="1" x14ac:dyDescent="0.25">
      <c r="A260" s="1963"/>
      <c r="B260" s="1963"/>
      <c r="C260" s="1963"/>
      <c r="D260" s="1963"/>
      <c r="E260" s="1964"/>
      <c r="F260" s="1964"/>
      <c r="G260" s="1964"/>
      <c r="H260" s="1995"/>
    </row>
    <row r="261" spans="1:8" ht="15" x14ac:dyDescent="0.25">
      <c r="A261" s="1942" t="s">
        <v>1653</v>
      </c>
    </row>
    <row r="262" spans="1:8" ht="15.75" thickBot="1" x14ac:dyDescent="0.3">
      <c r="A262" s="1942" t="s">
        <v>530</v>
      </c>
      <c r="H262" s="2043" t="s">
        <v>173</v>
      </c>
    </row>
    <row r="263" spans="1:8" s="1735" customFormat="1" ht="25.5" thickTop="1" thickBot="1" x14ac:dyDescent="0.25">
      <c r="A263" s="1943" t="s">
        <v>174</v>
      </c>
      <c r="B263" s="1944" t="s">
        <v>800</v>
      </c>
      <c r="C263" s="1944" t="s">
        <v>397</v>
      </c>
      <c r="D263" s="1945" t="s">
        <v>176</v>
      </c>
      <c r="E263" s="1976" t="s">
        <v>669</v>
      </c>
      <c r="F263" s="1976" t="s">
        <v>670</v>
      </c>
      <c r="G263" s="1977" t="s">
        <v>923</v>
      </c>
      <c r="H263" s="1978" t="s">
        <v>924</v>
      </c>
    </row>
    <row r="264" spans="1:8" s="1735" customFormat="1" ht="13.5" thickTop="1" thickBot="1" x14ac:dyDescent="0.25">
      <c r="A264" s="1740">
        <v>1</v>
      </c>
      <c r="B264" s="1739">
        <v>2</v>
      </c>
      <c r="C264" s="1739">
        <v>3</v>
      </c>
      <c r="D264" s="1739">
        <v>4</v>
      </c>
      <c r="E264" s="1738">
        <v>5</v>
      </c>
      <c r="F264" s="1738">
        <v>6</v>
      </c>
      <c r="G264" s="2028">
        <v>7</v>
      </c>
      <c r="H264" s="2054" t="s">
        <v>61</v>
      </c>
    </row>
    <row r="265" spans="1:8" s="1735" customFormat="1" ht="15.75" customHeight="1" thickTop="1" x14ac:dyDescent="0.2">
      <c r="A265" s="1952">
        <v>4357</v>
      </c>
      <c r="B265" s="1953">
        <v>6121</v>
      </c>
      <c r="C265" s="2125">
        <v>36100874</v>
      </c>
      <c r="D265" s="1979" t="s">
        <v>640</v>
      </c>
      <c r="E265" s="1989">
        <v>0</v>
      </c>
      <c r="F265" s="1989">
        <v>4639</v>
      </c>
      <c r="G265" s="1989">
        <v>147</v>
      </c>
      <c r="H265" s="1961">
        <f t="shared" ref="H265:H271" si="9">G265/F265*100</f>
        <v>3.1687863763742183</v>
      </c>
    </row>
    <row r="266" spans="1:8" s="1735" customFormat="1" ht="15.75" customHeight="1" x14ac:dyDescent="0.2">
      <c r="A266" s="1952">
        <v>4357</v>
      </c>
      <c r="B266" s="1953">
        <v>6121</v>
      </c>
      <c r="C266" s="2125">
        <v>36113899</v>
      </c>
      <c r="D266" s="1979" t="s">
        <v>640</v>
      </c>
      <c r="E266" s="1989">
        <v>0</v>
      </c>
      <c r="F266" s="1989">
        <v>103</v>
      </c>
      <c r="G266" s="1989">
        <v>103</v>
      </c>
      <c r="H266" s="1961">
        <f t="shared" si="9"/>
        <v>100</v>
      </c>
    </row>
    <row r="267" spans="1:8" s="1735" customFormat="1" ht="15.75" customHeight="1" x14ac:dyDescent="0.2">
      <c r="A267" s="1952">
        <v>4357</v>
      </c>
      <c r="B267" s="1953">
        <v>6121</v>
      </c>
      <c r="C267" s="2125">
        <v>36513899</v>
      </c>
      <c r="D267" s="1979" t="s">
        <v>640</v>
      </c>
      <c r="E267" s="1989">
        <v>0</v>
      </c>
      <c r="F267" s="1989">
        <v>585</v>
      </c>
      <c r="G267" s="1989">
        <v>585</v>
      </c>
      <c r="H267" s="1961">
        <f t="shared" si="9"/>
        <v>100</v>
      </c>
    </row>
    <row r="268" spans="1:8" s="1735" customFormat="1" ht="15.75" customHeight="1" x14ac:dyDescent="0.2">
      <c r="A268" s="1952">
        <v>4357</v>
      </c>
      <c r="B268" s="1953">
        <v>6130</v>
      </c>
      <c r="C268" s="2125">
        <v>36100874</v>
      </c>
      <c r="D268" s="1979" t="s">
        <v>896</v>
      </c>
      <c r="E268" s="1989">
        <v>0</v>
      </c>
      <c r="F268" s="1989">
        <v>2312</v>
      </c>
      <c r="G268" s="1989">
        <v>2312</v>
      </c>
      <c r="H268" s="1961">
        <f t="shared" si="9"/>
        <v>100</v>
      </c>
    </row>
    <row r="269" spans="1:8" s="1735" customFormat="1" ht="15.75" customHeight="1" x14ac:dyDescent="0.2">
      <c r="A269" s="1952">
        <v>4357</v>
      </c>
      <c r="B269" s="1953">
        <v>6130</v>
      </c>
      <c r="C269" s="2125">
        <v>36113899</v>
      </c>
      <c r="D269" s="1979" t="s">
        <v>896</v>
      </c>
      <c r="E269" s="1989">
        <v>0</v>
      </c>
      <c r="F269" s="1989">
        <v>326</v>
      </c>
      <c r="G269" s="1989">
        <v>326</v>
      </c>
      <c r="H269" s="1961">
        <f t="shared" si="9"/>
        <v>100</v>
      </c>
    </row>
    <row r="270" spans="1:8" s="1735" customFormat="1" ht="15.75" customHeight="1" thickBot="1" x14ac:dyDescent="0.25">
      <c r="A270" s="1952">
        <v>4357</v>
      </c>
      <c r="B270" s="1953">
        <v>6130</v>
      </c>
      <c r="C270" s="2125">
        <v>36513899</v>
      </c>
      <c r="D270" s="1979" t="s">
        <v>896</v>
      </c>
      <c r="E270" s="1989">
        <v>0</v>
      </c>
      <c r="F270" s="1989">
        <v>1846</v>
      </c>
      <c r="G270" s="1989">
        <v>1846</v>
      </c>
      <c r="H270" s="1961">
        <f t="shared" si="9"/>
        <v>100</v>
      </c>
    </row>
    <row r="271" spans="1:8" s="1735" customFormat="1" ht="16.5" thickTop="1" thickBot="1" x14ac:dyDescent="0.3">
      <c r="A271" s="2750" t="s">
        <v>802</v>
      </c>
      <c r="B271" s="2751"/>
      <c r="C271" s="2751"/>
      <c r="D271" s="2751"/>
      <c r="E271" s="1957">
        <f>SUM(E265:E270)</f>
        <v>0</v>
      </c>
      <c r="F271" s="1957">
        <f>SUM(F265:F270)</f>
        <v>9811</v>
      </c>
      <c r="G271" s="1957">
        <f>SUM(G265:G270)</f>
        <v>5319</v>
      </c>
      <c r="H271" s="1962">
        <f t="shared" si="9"/>
        <v>54.214657017633272</v>
      </c>
    </row>
    <row r="272" spans="1:8" s="1735" customFormat="1" ht="14.25" customHeight="1" thickTop="1" x14ac:dyDescent="0.25">
      <c r="A272" s="1940"/>
      <c r="B272" s="1936"/>
      <c r="C272" s="1936"/>
      <c r="D272" s="1937"/>
      <c r="E272" s="1970"/>
      <c r="F272" s="1970"/>
      <c r="G272" s="1970"/>
      <c r="H272" s="1937"/>
    </row>
    <row r="273" spans="1:8" ht="15" x14ac:dyDescent="0.25">
      <c r="A273" s="1942" t="s">
        <v>1876</v>
      </c>
    </row>
    <row r="274" spans="1:8" ht="15.75" thickBot="1" x14ac:dyDescent="0.3">
      <c r="A274" s="1942" t="s">
        <v>1877</v>
      </c>
      <c r="H274" s="2043" t="s">
        <v>173</v>
      </c>
    </row>
    <row r="275" spans="1:8" s="1735" customFormat="1" ht="25.5" thickTop="1" thickBot="1" x14ac:dyDescent="0.25">
      <c r="A275" s="1943" t="s">
        <v>174</v>
      </c>
      <c r="B275" s="1944" t="s">
        <v>800</v>
      </c>
      <c r="C275" s="1944" t="s">
        <v>397</v>
      </c>
      <c r="D275" s="1945" t="s">
        <v>176</v>
      </c>
      <c r="E275" s="1976" t="s">
        <v>669</v>
      </c>
      <c r="F275" s="1976" t="s">
        <v>670</v>
      </c>
      <c r="G275" s="1977" t="s">
        <v>923</v>
      </c>
      <c r="H275" s="1978" t="s">
        <v>924</v>
      </c>
    </row>
    <row r="276" spans="1:8" s="1735" customFormat="1" ht="13.5" thickTop="1" thickBot="1" x14ac:dyDescent="0.25">
      <c r="A276" s="1740">
        <v>1</v>
      </c>
      <c r="B276" s="1739">
        <v>2</v>
      </c>
      <c r="C276" s="1739">
        <v>3</v>
      </c>
      <c r="D276" s="1739">
        <v>4</v>
      </c>
      <c r="E276" s="1738">
        <v>5</v>
      </c>
      <c r="F276" s="1738">
        <v>6</v>
      </c>
      <c r="G276" s="2028">
        <v>7</v>
      </c>
      <c r="H276" s="2054" t="s">
        <v>61</v>
      </c>
    </row>
    <row r="277" spans="1:8" s="1735" customFormat="1" ht="15.75" customHeight="1" thickTop="1" x14ac:dyDescent="0.2">
      <c r="A277" s="1952">
        <v>2143</v>
      </c>
      <c r="B277" s="1953">
        <v>5169</v>
      </c>
      <c r="C277" s="1953">
        <v>53100870</v>
      </c>
      <c r="D277" s="1979" t="s">
        <v>640</v>
      </c>
      <c r="E277" s="1989">
        <v>0</v>
      </c>
      <c r="F277" s="1989">
        <v>89</v>
      </c>
      <c r="G277" s="1989">
        <v>89</v>
      </c>
      <c r="H277" s="1961">
        <f>G277/F277*100</f>
        <v>100</v>
      </c>
    </row>
    <row r="278" spans="1:8" s="1735" customFormat="1" ht="15.75" customHeight="1" x14ac:dyDescent="0.2">
      <c r="A278" s="1952">
        <v>2143</v>
      </c>
      <c r="B278" s="1953">
        <v>5169</v>
      </c>
      <c r="C278" s="1953">
        <v>53100874</v>
      </c>
      <c r="D278" s="1979" t="s">
        <v>640</v>
      </c>
      <c r="E278" s="1989">
        <v>0</v>
      </c>
      <c r="F278" s="1989">
        <v>44</v>
      </c>
      <c r="G278" s="1989">
        <v>44</v>
      </c>
      <c r="H278" s="1961">
        <f>G278/F278*100</f>
        <v>100</v>
      </c>
    </row>
    <row r="279" spans="1:8" s="1735" customFormat="1" ht="15.75" customHeight="1" thickBot="1" x14ac:dyDescent="0.25">
      <c r="A279" s="1952">
        <v>2143</v>
      </c>
      <c r="B279" s="1953">
        <v>5169</v>
      </c>
      <c r="C279" s="1953">
        <v>53190877</v>
      </c>
      <c r="D279" s="1979" t="s">
        <v>640</v>
      </c>
      <c r="E279" s="1989">
        <v>0</v>
      </c>
      <c r="F279" s="1989">
        <v>755</v>
      </c>
      <c r="G279" s="1989">
        <v>755</v>
      </c>
      <c r="H279" s="1961">
        <f>G279/F279*100</f>
        <v>100</v>
      </c>
    </row>
    <row r="280" spans="1:8" s="1735" customFormat="1" ht="15.75" hidden="1" customHeight="1" thickBot="1" x14ac:dyDescent="0.25">
      <c r="A280" s="1952">
        <v>3122</v>
      </c>
      <c r="B280" s="1953">
        <v>6121</v>
      </c>
      <c r="C280" s="1953">
        <v>83515835</v>
      </c>
      <c r="D280" s="1979" t="s">
        <v>640</v>
      </c>
      <c r="E280" s="1989">
        <v>0</v>
      </c>
      <c r="F280" s="1989"/>
      <c r="G280" s="1989"/>
      <c r="H280" s="1961" t="e">
        <f>G280/F280*100</f>
        <v>#DIV/0!</v>
      </c>
    </row>
    <row r="281" spans="1:8" s="1735" customFormat="1" ht="16.5" thickTop="1" thickBot="1" x14ac:dyDescent="0.3">
      <c r="A281" s="2750" t="s">
        <v>802</v>
      </c>
      <c r="B281" s="2751"/>
      <c r="C281" s="2751"/>
      <c r="D281" s="2751"/>
      <c r="E281" s="1957">
        <f>SUM(E277:E280)</f>
        <v>0</v>
      </c>
      <c r="F281" s="1957">
        <f>SUM(F277:F280)</f>
        <v>888</v>
      </c>
      <c r="G281" s="1957">
        <f>SUM(G277:G280)</f>
        <v>888</v>
      </c>
      <c r="H281" s="1962">
        <f>G281/F281*100</f>
        <v>100</v>
      </c>
    </row>
    <row r="282" spans="1:8" s="1735" customFormat="1" ht="14.25" customHeight="1" thickTop="1" x14ac:dyDescent="0.25">
      <c r="A282" s="1940"/>
      <c r="B282" s="1936"/>
      <c r="C282" s="1936"/>
      <c r="D282" s="1937"/>
      <c r="E282" s="1970"/>
      <c r="F282" s="1970"/>
      <c r="G282" s="1970"/>
      <c r="H282" s="1937"/>
    </row>
    <row r="283" spans="1:8" ht="15" x14ac:dyDescent="0.25">
      <c r="A283" s="1942" t="s">
        <v>1617</v>
      </c>
    </row>
    <row r="284" spans="1:8" ht="15.75" thickBot="1" x14ac:dyDescent="0.3">
      <c r="A284" s="1942" t="s">
        <v>1618</v>
      </c>
      <c r="H284" s="2043" t="s">
        <v>173</v>
      </c>
    </row>
    <row r="285" spans="1:8" s="1735" customFormat="1" ht="25.5" thickTop="1" thickBot="1" x14ac:dyDescent="0.25">
      <c r="A285" s="1943" t="s">
        <v>174</v>
      </c>
      <c r="B285" s="1944" t="s">
        <v>800</v>
      </c>
      <c r="C285" s="1944" t="s">
        <v>397</v>
      </c>
      <c r="D285" s="1945" t="s">
        <v>176</v>
      </c>
      <c r="E285" s="1976" t="s">
        <v>669</v>
      </c>
      <c r="F285" s="1976" t="s">
        <v>670</v>
      </c>
      <c r="G285" s="1977" t="s">
        <v>923</v>
      </c>
      <c r="H285" s="1978" t="s">
        <v>924</v>
      </c>
    </row>
    <row r="286" spans="1:8" s="1735" customFormat="1" ht="13.5" thickTop="1" thickBot="1" x14ac:dyDescent="0.25">
      <c r="A286" s="1740">
        <v>1</v>
      </c>
      <c r="B286" s="1739">
        <v>2</v>
      </c>
      <c r="C286" s="1739">
        <v>3</v>
      </c>
      <c r="D286" s="1739">
        <v>4</v>
      </c>
      <c r="E286" s="1738">
        <v>5</v>
      </c>
      <c r="F286" s="1738">
        <v>6</v>
      </c>
      <c r="G286" s="2028">
        <v>7</v>
      </c>
      <c r="H286" s="2054" t="s">
        <v>61</v>
      </c>
    </row>
    <row r="287" spans="1:8" s="1735" customFormat="1" ht="15.75" customHeight="1" thickTop="1" x14ac:dyDescent="0.2">
      <c r="A287" s="1952">
        <v>3122</v>
      </c>
      <c r="B287" s="1953">
        <v>6121</v>
      </c>
      <c r="C287" s="1953">
        <v>38100870</v>
      </c>
      <c r="D287" s="1979" t="s">
        <v>640</v>
      </c>
      <c r="E287" s="1989">
        <v>0</v>
      </c>
      <c r="F287" s="1989">
        <v>140</v>
      </c>
      <c r="G287" s="1989">
        <v>140</v>
      </c>
      <c r="H287" s="1961">
        <f>G287/F287*100</f>
        <v>100</v>
      </c>
    </row>
    <row r="288" spans="1:8" s="1735" customFormat="1" ht="15.75" customHeight="1" thickBot="1" x14ac:dyDescent="0.25">
      <c r="A288" s="1952">
        <v>3122</v>
      </c>
      <c r="B288" s="1953">
        <v>6121</v>
      </c>
      <c r="C288" s="1953">
        <v>38500871</v>
      </c>
      <c r="D288" s="1979" t="s">
        <v>640</v>
      </c>
      <c r="E288" s="1989">
        <v>0</v>
      </c>
      <c r="F288" s="1989">
        <v>791</v>
      </c>
      <c r="G288" s="1989">
        <v>790</v>
      </c>
      <c r="H288" s="1961">
        <f>G288/F288*100</f>
        <v>99.873577749683946</v>
      </c>
    </row>
    <row r="289" spans="1:8" s="1735" customFormat="1" ht="15.75" hidden="1" customHeight="1" x14ac:dyDescent="0.2">
      <c r="A289" s="1952">
        <v>3114</v>
      </c>
      <c r="B289" s="1953">
        <v>6121</v>
      </c>
      <c r="C289" s="1953">
        <v>53190877</v>
      </c>
      <c r="D289" s="1979" t="s">
        <v>640</v>
      </c>
      <c r="E289" s="1989">
        <v>0</v>
      </c>
      <c r="F289" s="1989"/>
      <c r="G289" s="1989"/>
      <c r="H289" s="1961" t="e">
        <f>G289/F289*100</f>
        <v>#DIV/0!</v>
      </c>
    </row>
    <row r="290" spans="1:8" s="1735" customFormat="1" ht="15.75" hidden="1" customHeight="1" thickBot="1" x14ac:dyDescent="0.25">
      <c r="A290" s="1952">
        <v>3114</v>
      </c>
      <c r="B290" s="2056">
        <v>6121</v>
      </c>
      <c r="C290" s="2125">
        <v>53115835</v>
      </c>
      <c r="D290" s="1979" t="s">
        <v>640</v>
      </c>
      <c r="E290" s="1989">
        <v>0</v>
      </c>
      <c r="F290" s="1989"/>
      <c r="G290" s="1989"/>
      <c r="H290" s="1961" t="e">
        <f>G290/F290*100</f>
        <v>#DIV/0!</v>
      </c>
    </row>
    <row r="291" spans="1:8" s="1735" customFormat="1" ht="16.5" thickTop="1" thickBot="1" x14ac:dyDescent="0.3">
      <c r="A291" s="2750" t="s">
        <v>802</v>
      </c>
      <c r="B291" s="2751"/>
      <c r="C291" s="2751"/>
      <c r="D291" s="2751"/>
      <c r="E291" s="1957">
        <f>SUM(E287:E290)</f>
        <v>0</v>
      </c>
      <c r="F291" s="1957">
        <f>SUM(F287:F290)</f>
        <v>931</v>
      </c>
      <c r="G291" s="1957">
        <f>SUM(G287:G290)</f>
        <v>930</v>
      </c>
      <c r="H291" s="1962">
        <f>G291/F291*100</f>
        <v>99.892588614393134</v>
      </c>
    </row>
    <row r="292" spans="1:8" s="1735" customFormat="1" ht="14.25" customHeight="1" thickTop="1" x14ac:dyDescent="0.25">
      <c r="A292" s="1940"/>
      <c r="B292" s="1936"/>
      <c r="C292" s="1936"/>
      <c r="D292" s="1937"/>
      <c r="E292" s="1970"/>
      <c r="F292" s="1970"/>
      <c r="G292" s="1970"/>
      <c r="H292" s="1937"/>
    </row>
    <row r="293" spans="1:8" ht="15" x14ac:dyDescent="0.25">
      <c r="A293" s="1942" t="s">
        <v>1625</v>
      </c>
    </row>
    <row r="294" spans="1:8" ht="15.75" thickBot="1" x14ac:dyDescent="0.3">
      <c r="A294" s="1942" t="s">
        <v>1626</v>
      </c>
      <c r="H294" s="2043" t="s">
        <v>173</v>
      </c>
    </row>
    <row r="295" spans="1:8" s="1735" customFormat="1" ht="25.5" thickTop="1" thickBot="1" x14ac:dyDescent="0.25">
      <c r="A295" s="1943" t="s">
        <v>174</v>
      </c>
      <c r="B295" s="1944" t="s">
        <v>800</v>
      </c>
      <c r="C295" s="1944" t="s">
        <v>397</v>
      </c>
      <c r="D295" s="1945" t="s">
        <v>176</v>
      </c>
      <c r="E295" s="1976" t="s">
        <v>669</v>
      </c>
      <c r="F295" s="1976" t="s">
        <v>670</v>
      </c>
      <c r="G295" s="1977" t="s">
        <v>923</v>
      </c>
      <c r="H295" s="1978" t="s">
        <v>924</v>
      </c>
    </row>
    <row r="296" spans="1:8" s="1735" customFormat="1" ht="13.5" thickTop="1" thickBot="1" x14ac:dyDescent="0.25">
      <c r="A296" s="1740">
        <v>1</v>
      </c>
      <c r="B296" s="1739">
        <v>2</v>
      </c>
      <c r="C296" s="1739">
        <v>3</v>
      </c>
      <c r="D296" s="1739">
        <v>4</v>
      </c>
      <c r="E296" s="1738">
        <v>5</v>
      </c>
      <c r="F296" s="1738">
        <v>6</v>
      </c>
      <c r="G296" s="2028">
        <v>7</v>
      </c>
      <c r="H296" s="2054" t="s">
        <v>61</v>
      </c>
    </row>
    <row r="297" spans="1:8" s="1735" customFormat="1" ht="15.75" hidden="1" thickTop="1" x14ac:dyDescent="0.2">
      <c r="A297" s="1952">
        <v>5273</v>
      </c>
      <c r="B297" s="1953">
        <v>5169</v>
      </c>
      <c r="C297" s="1953">
        <v>38100874</v>
      </c>
      <c r="D297" s="1979" t="s">
        <v>892</v>
      </c>
      <c r="E297" s="1989">
        <v>0</v>
      </c>
      <c r="F297" s="1989"/>
      <c r="G297" s="1989"/>
      <c r="H297" s="1961" t="e">
        <f>G297/F297*100</f>
        <v>#DIV/0!</v>
      </c>
    </row>
    <row r="298" spans="1:8" s="1735" customFormat="1" ht="15.75" customHeight="1" thickTop="1" x14ac:dyDescent="0.2">
      <c r="A298" s="1952">
        <v>4357</v>
      </c>
      <c r="B298" s="1953">
        <v>6121</v>
      </c>
      <c r="C298" s="1953">
        <v>38100870</v>
      </c>
      <c r="D298" s="1979" t="s">
        <v>640</v>
      </c>
      <c r="E298" s="1989">
        <v>0</v>
      </c>
      <c r="F298" s="1989">
        <v>37</v>
      </c>
      <c r="G298" s="1989">
        <v>19</v>
      </c>
      <c r="H298" s="1961">
        <f>G298/F298*100</f>
        <v>51.351351351351347</v>
      </c>
    </row>
    <row r="299" spans="1:8" s="1735" customFormat="1" ht="15.75" hidden="1" customHeight="1" x14ac:dyDescent="0.2">
      <c r="A299" s="1952">
        <v>5273</v>
      </c>
      <c r="B299" s="1953">
        <v>6121</v>
      </c>
      <c r="C299" s="1953">
        <v>38100874</v>
      </c>
      <c r="D299" s="1979" t="s">
        <v>640</v>
      </c>
      <c r="E299" s="1989">
        <v>0</v>
      </c>
      <c r="F299" s="1989"/>
      <c r="G299" s="1989"/>
      <c r="H299" s="1961" t="e">
        <f>G299/F299*100</f>
        <v>#DIV/0!</v>
      </c>
    </row>
    <row r="300" spans="1:8" s="1735" customFormat="1" ht="15.75" customHeight="1" thickBot="1" x14ac:dyDescent="0.25">
      <c r="A300" s="1952">
        <v>4357</v>
      </c>
      <c r="B300" s="1953">
        <v>6121</v>
      </c>
      <c r="C300" s="1953">
        <v>38500871</v>
      </c>
      <c r="D300" s="1979" t="s">
        <v>640</v>
      </c>
      <c r="E300" s="1989">
        <v>0</v>
      </c>
      <c r="F300" s="1989">
        <v>109</v>
      </c>
      <c r="G300" s="1989">
        <v>56</v>
      </c>
      <c r="H300" s="1961">
        <f>G300/F300*100</f>
        <v>51.37614678899083</v>
      </c>
    </row>
    <row r="301" spans="1:8" s="1735" customFormat="1" ht="16.5" thickTop="1" thickBot="1" x14ac:dyDescent="0.3">
      <c r="A301" s="2750" t="s">
        <v>802</v>
      </c>
      <c r="B301" s="2751"/>
      <c r="C301" s="2751"/>
      <c r="D301" s="2751"/>
      <c r="E301" s="1957">
        <f>SUM(E298:E300)</f>
        <v>0</v>
      </c>
      <c r="F301" s="1957">
        <f>SUM(F297:F300)</f>
        <v>146</v>
      </c>
      <c r="G301" s="1957">
        <f>SUM(G297:G300)</f>
        <v>75</v>
      </c>
      <c r="H301" s="1962">
        <f>G301/F301*100</f>
        <v>51.369863013698634</v>
      </c>
    </row>
    <row r="302" spans="1:8" s="1735" customFormat="1" ht="15.75" thickTop="1" x14ac:dyDescent="0.25">
      <c r="A302" s="1963"/>
      <c r="B302" s="1963"/>
      <c r="C302" s="1963"/>
      <c r="D302" s="1963"/>
      <c r="E302" s="1964"/>
      <c r="F302" s="1964"/>
      <c r="G302" s="1964"/>
      <c r="H302" s="1995"/>
    </row>
    <row r="303" spans="1:8" ht="15" customHeight="1" x14ac:dyDescent="0.25">
      <c r="A303" s="1942" t="s">
        <v>541</v>
      </c>
    </row>
    <row r="304" spans="1:8" ht="15.75" thickBot="1" x14ac:dyDescent="0.3">
      <c r="A304" s="1942" t="s">
        <v>542</v>
      </c>
      <c r="H304" s="2043" t="s">
        <v>173</v>
      </c>
    </row>
    <row r="305" spans="1:8" s="1735" customFormat="1" ht="25.5" thickTop="1" thickBot="1" x14ac:dyDescent="0.25">
      <c r="A305" s="1943" t="s">
        <v>174</v>
      </c>
      <c r="B305" s="1944" t="s">
        <v>800</v>
      </c>
      <c r="C305" s="1944" t="s">
        <v>397</v>
      </c>
      <c r="D305" s="1945" t="s">
        <v>176</v>
      </c>
      <c r="E305" s="1976" t="s">
        <v>669</v>
      </c>
      <c r="F305" s="1976" t="s">
        <v>670</v>
      </c>
      <c r="G305" s="1977" t="s">
        <v>923</v>
      </c>
      <c r="H305" s="1978" t="s">
        <v>924</v>
      </c>
    </row>
    <row r="306" spans="1:8" s="1735" customFormat="1" ht="13.5" thickTop="1" thickBot="1" x14ac:dyDescent="0.25">
      <c r="A306" s="1740">
        <v>1</v>
      </c>
      <c r="B306" s="1739">
        <v>2</v>
      </c>
      <c r="C306" s="1739">
        <v>3</v>
      </c>
      <c r="D306" s="1739">
        <v>4</v>
      </c>
      <c r="E306" s="1738">
        <v>5</v>
      </c>
      <c r="F306" s="1738">
        <v>6</v>
      </c>
      <c r="G306" s="2028">
        <v>7</v>
      </c>
      <c r="H306" s="2054" t="s">
        <v>61</v>
      </c>
    </row>
    <row r="307" spans="1:8" s="1735" customFormat="1" ht="15.75" customHeight="1" thickTop="1" x14ac:dyDescent="0.2">
      <c r="A307" s="1952">
        <v>4357</v>
      </c>
      <c r="B307" s="1953">
        <v>5166</v>
      </c>
      <c r="C307" s="1953">
        <v>53100884</v>
      </c>
      <c r="D307" s="1979" t="s">
        <v>646</v>
      </c>
      <c r="E307" s="1989">
        <v>0</v>
      </c>
      <c r="F307" s="1989">
        <v>2</v>
      </c>
      <c r="G307" s="1989">
        <v>2</v>
      </c>
      <c r="H307" s="1961">
        <f t="shared" ref="H307:H312" si="10">G307/F307*100</f>
        <v>100</v>
      </c>
    </row>
    <row r="308" spans="1:8" s="1735" customFormat="1" ht="15.75" customHeight="1" x14ac:dyDescent="0.2">
      <c r="A308" s="1952">
        <v>4357</v>
      </c>
      <c r="B308" s="1953">
        <v>5169</v>
      </c>
      <c r="C308" s="1953">
        <v>53100880</v>
      </c>
      <c r="D308" s="1979" t="s">
        <v>892</v>
      </c>
      <c r="E308" s="1989">
        <v>550</v>
      </c>
      <c r="F308" s="1989">
        <v>328</v>
      </c>
      <c r="G308" s="1989">
        <v>253</v>
      </c>
      <c r="H308" s="1961">
        <f t="shared" si="10"/>
        <v>77.134146341463421</v>
      </c>
    </row>
    <row r="309" spans="1:8" s="1735" customFormat="1" ht="15.75" customHeight="1" x14ac:dyDescent="0.2">
      <c r="A309" s="1952">
        <v>4357</v>
      </c>
      <c r="B309" s="1953">
        <v>5169</v>
      </c>
      <c r="C309" s="1953">
        <v>53100882</v>
      </c>
      <c r="D309" s="1979" t="s">
        <v>892</v>
      </c>
      <c r="E309" s="1989">
        <v>110</v>
      </c>
      <c r="F309" s="1989">
        <v>65</v>
      </c>
      <c r="G309" s="1989">
        <v>51</v>
      </c>
      <c r="H309" s="1961">
        <f t="shared" si="10"/>
        <v>78.461538461538467</v>
      </c>
    </row>
    <row r="310" spans="1:8" s="1735" customFormat="1" ht="15.75" customHeight="1" x14ac:dyDescent="0.2">
      <c r="A310" s="1952">
        <v>4357</v>
      </c>
      <c r="B310" s="1953">
        <v>5169</v>
      </c>
      <c r="C310" s="1953">
        <v>53100884</v>
      </c>
      <c r="D310" s="1979" t="s">
        <v>892</v>
      </c>
      <c r="E310" s="1989">
        <v>3025</v>
      </c>
      <c r="F310" s="1989">
        <v>120</v>
      </c>
      <c r="G310" s="1989">
        <v>0</v>
      </c>
      <c r="H310" s="1961">
        <f t="shared" si="10"/>
        <v>0</v>
      </c>
    </row>
    <row r="311" spans="1:8" s="1735" customFormat="1" ht="15.75" customHeight="1" x14ac:dyDescent="0.2">
      <c r="A311" s="1952">
        <v>4357</v>
      </c>
      <c r="B311" s="1953">
        <v>5169</v>
      </c>
      <c r="C311" s="1953">
        <v>53500881</v>
      </c>
      <c r="D311" s="1979" t="s">
        <v>892</v>
      </c>
      <c r="E311" s="1989">
        <v>1540</v>
      </c>
      <c r="F311" s="1989">
        <v>919</v>
      </c>
      <c r="G311" s="1989">
        <v>709</v>
      </c>
      <c r="H311" s="1961">
        <f t="shared" si="10"/>
        <v>77.149075081610448</v>
      </c>
    </row>
    <row r="312" spans="1:8" s="1735" customFormat="1" ht="15.75" customHeight="1" thickBot="1" x14ac:dyDescent="0.25">
      <c r="A312" s="1952">
        <v>4357</v>
      </c>
      <c r="B312" s="1953">
        <v>6121</v>
      </c>
      <c r="C312" s="1953">
        <v>53100884</v>
      </c>
      <c r="D312" s="1979" t="s">
        <v>640</v>
      </c>
      <c r="E312" s="1989">
        <v>0</v>
      </c>
      <c r="F312" s="1989">
        <v>3369</v>
      </c>
      <c r="G312" s="1989">
        <v>2989</v>
      </c>
      <c r="H312" s="1968">
        <f t="shared" si="10"/>
        <v>88.720688631641437</v>
      </c>
    </row>
    <row r="313" spans="1:8" s="1735" customFormat="1" ht="13.5" hidden="1" thickTop="1" thickBot="1" x14ac:dyDescent="0.25">
      <c r="A313" s="2349"/>
      <c r="B313" s="2007"/>
      <c r="C313" s="2007"/>
      <c r="D313" s="2007"/>
      <c r="E313" s="2350"/>
      <c r="F313" s="2350"/>
      <c r="G313" s="2351"/>
      <c r="H313" s="2352"/>
    </row>
    <row r="314" spans="1:8" s="1735" customFormat="1" ht="16.5" thickTop="1" thickBot="1" x14ac:dyDescent="0.3">
      <c r="A314" s="2750" t="s">
        <v>802</v>
      </c>
      <c r="B314" s="2751"/>
      <c r="C314" s="2751"/>
      <c r="D314" s="2751"/>
      <c r="E314" s="1957">
        <f>SUM(E307:E313)</f>
        <v>5225</v>
      </c>
      <c r="F314" s="1957">
        <f>SUM(F307:F313)</f>
        <v>4803</v>
      </c>
      <c r="G314" s="1957">
        <f>SUM(G307:G313)</f>
        <v>4004</v>
      </c>
      <c r="H314" s="1968">
        <f>G314/F314*100</f>
        <v>83.364563814282747</v>
      </c>
    </row>
    <row r="315" spans="1:8" s="1735" customFormat="1" ht="14.25" customHeight="1" thickTop="1" x14ac:dyDescent="0.25">
      <c r="A315" s="1940"/>
      <c r="B315" s="1936"/>
      <c r="C315" s="1936"/>
      <c r="D315" s="1937"/>
      <c r="E315" s="1970"/>
      <c r="F315" s="1970"/>
      <c r="G315" s="1970"/>
      <c r="H315" s="1937"/>
    </row>
    <row r="316" spans="1:8" ht="15.75" thickTop="1" x14ac:dyDescent="0.25">
      <c r="A316" s="1942" t="s">
        <v>286</v>
      </c>
    </row>
    <row r="317" spans="1:8" ht="15.75" thickBot="1" x14ac:dyDescent="0.3">
      <c r="A317" s="1942" t="s">
        <v>579</v>
      </c>
      <c r="H317" s="2043" t="s">
        <v>173</v>
      </c>
    </row>
    <row r="318" spans="1:8" s="1735" customFormat="1" ht="25.5" thickTop="1" thickBot="1" x14ac:dyDescent="0.25">
      <c r="A318" s="1943" t="s">
        <v>174</v>
      </c>
      <c r="B318" s="1944" t="s">
        <v>800</v>
      </c>
      <c r="C318" s="1944" t="s">
        <v>397</v>
      </c>
      <c r="D318" s="1945" t="s">
        <v>176</v>
      </c>
      <c r="E318" s="1976" t="s">
        <v>669</v>
      </c>
      <c r="F318" s="1976" t="s">
        <v>670</v>
      </c>
      <c r="G318" s="1977" t="s">
        <v>923</v>
      </c>
      <c r="H318" s="1978" t="s">
        <v>924</v>
      </c>
    </row>
    <row r="319" spans="1:8" s="1735" customFormat="1" ht="13.5" thickTop="1" thickBot="1" x14ac:dyDescent="0.25">
      <c r="A319" s="1740">
        <v>1</v>
      </c>
      <c r="B319" s="1739">
        <v>2</v>
      </c>
      <c r="C319" s="1739">
        <v>3</v>
      </c>
      <c r="D319" s="1739">
        <v>4</v>
      </c>
      <c r="E319" s="1738">
        <v>5</v>
      </c>
      <c r="F319" s="1738">
        <v>6</v>
      </c>
      <c r="G319" s="2028">
        <v>7</v>
      </c>
      <c r="H319" s="2054" t="s">
        <v>61</v>
      </c>
    </row>
    <row r="320" spans="1:8" s="1735" customFormat="1" ht="15.75" customHeight="1" thickTop="1" x14ac:dyDescent="0.2">
      <c r="A320" s="1952">
        <v>2143</v>
      </c>
      <c r="B320" s="1953">
        <v>5139</v>
      </c>
      <c r="C320" s="1953">
        <v>38100880</v>
      </c>
      <c r="D320" s="1979" t="s">
        <v>284</v>
      </c>
      <c r="E320" s="1989">
        <v>29</v>
      </c>
      <c r="F320" s="1989">
        <v>34</v>
      </c>
      <c r="G320" s="1989">
        <v>34</v>
      </c>
      <c r="H320" s="1961">
        <v>0</v>
      </c>
    </row>
    <row r="321" spans="1:8" s="1735" customFormat="1" ht="15.75" customHeight="1" x14ac:dyDescent="0.2">
      <c r="A321" s="1952">
        <v>2143</v>
      </c>
      <c r="B321" s="1953">
        <v>5139</v>
      </c>
      <c r="C321" s="1953">
        <v>38500881</v>
      </c>
      <c r="D321" s="1979" t="s">
        <v>284</v>
      </c>
      <c r="E321" s="1989">
        <v>161</v>
      </c>
      <c r="F321" s="1989">
        <v>192</v>
      </c>
      <c r="G321" s="1989">
        <v>192</v>
      </c>
      <c r="H321" s="1961">
        <f>G321/F321*100</f>
        <v>100</v>
      </c>
    </row>
    <row r="322" spans="1:8" s="1735" customFormat="1" ht="15.75" customHeight="1" x14ac:dyDescent="0.2">
      <c r="A322" s="1952">
        <v>2143</v>
      </c>
      <c r="B322" s="1953">
        <v>5163</v>
      </c>
      <c r="C322" s="1953">
        <v>38100880</v>
      </c>
      <c r="D322" s="1979" t="s">
        <v>934</v>
      </c>
      <c r="E322" s="1989">
        <v>1</v>
      </c>
      <c r="F322" s="1989">
        <v>0</v>
      </c>
      <c r="G322" s="1989">
        <v>0</v>
      </c>
      <c r="H322" s="1961">
        <v>0</v>
      </c>
    </row>
    <row r="323" spans="1:8" s="1735" customFormat="1" ht="15.75" customHeight="1" x14ac:dyDescent="0.2">
      <c r="A323" s="1952">
        <v>2143</v>
      </c>
      <c r="B323" s="1953">
        <v>5163</v>
      </c>
      <c r="C323" s="1953">
        <v>38500881</v>
      </c>
      <c r="D323" s="1979" t="s">
        <v>934</v>
      </c>
      <c r="E323" s="1989">
        <v>9</v>
      </c>
      <c r="F323" s="1989">
        <v>2</v>
      </c>
      <c r="G323" s="1989">
        <v>2</v>
      </c>
      <c r="H323" s="1961">
        <f>G323/F323*100</f>
        <v>100</v>
      </c>
    </row>
    <row r="324" spans="1:8" s="1735" customFormat="1" ht="15.75" hidden="1" customHeight="1" x14ac:dyDescent="0.2">
      <c r="A324" s="1952">
        <v>2143</v>
      </c>
      <c r="B324" s="1953">
        <v>5166</v>
      </c>
      <c r="C324" s="1953">
        <v>38100880</v>
      </c>
      <c r="D324" s="1979" t="s">
        <v>646</v>
      </c>
      <c r="E324" s="1989"/>
      <c r="F324" s="1989"/>
      <c r="G324" s="1989"/>
      <c r="H324" s="1961">
        <v>0</v>
      </c>
    </row>
    <row r="325" spans="1:8" s="1735" customFormat="1" ht="15.75" hidden="1" customHeight="1" x14ac:dyDescent="0.2">
      <c r="A325" s="1952">
        <v>2143</v>
      </c>
      <c r="B325" s="1953">
        <v>5166</v>
      </c>
      <c r="C325" s="1953">
        <v>38500881</v>
      </c>
      <c r="D325" s="1979" t="s">
        <v>646</v>
      </c>
      <c r="E325" s="1989"/>
      <c r="F325" s="1989"/>
      <c r="G325" s="1989"/>
      <c r="H325" s="1961">
        <v>0</v>
      </c>
    </row>
    <row r="326" spans="1:8" s="1735" customFormat="1" ht="15.75" customHeight="1" x14ac:dyDescent="0.2">
      <c r="A326" s="1952">
        <v>2143</v>
      </c>
      <c r="B326" s="1953">
        <v>5169</v>
      </c>
      <c r="C326" s="1953">
        <v>38100880</v>
      </c>
      <c r="D326" s="1979" t="s">
        <v>892</v>
      </c>
      <c r="E326" s="1989">
        <v>1695</v>
      </c>
      <c r="F326" s="1989">
        <v>953</v>
      </c>
      <c r="G326" s="1989">
        <v>904</v>
      </c>
      <c r="H326" s="1961">
        <v>0</v>
      </c>
    </row>
    <row r="327" spans="1:8" s="1735" customFormat="1" ht="15.75" customHeight="1" x14ac:dyDescent="0.2">
      <c r="A327" s="1952">
        <v>2143</v>
      </c>
      <c r="B327" s="1953">
        <v>5169</v>
      </c>
      <c r="C327" s="1953">
        <v>38500881</v>
      </c>
      <c r="D327" s="1979" t="s">
        <v>892</v>
      </c>
      <c r="E327" s="1989">
        <v>9605</v>
      </c>
      <c r="F327" s="1989">
        <v>5274</v>
      </c>
      <c r="G327" s="1989">
        <v>5120</v>
      </c>
      <c r="H327" s="1961">
        <f>G327/F327*100</f>
        <v>97.080015168752368</v>
      </c>
    </row>
    <row r="328" spans="1:8" s="1735" customFormat="1" ht="15.75" customHeight="1" x14ac:dyDescent="0.2">
      <c r="A328" s="1952">
        <v>2143</v>
      </c>
      <c r="B328" s="1953">
        <v>5173</v>
      </c>
      <c r="C328" s="1953">
        <v>38100880</v>
      </c>
      <c r="D328" s="1979" t="s">
        <v>1211</v>
      </c>
      <c r="E328" s="1989">
        <v>75</v>
      </c>
      <c r="F328" s="1989">
        <v>36</v>
      </c>
      <c r="G328" s="1989">
        <v>35</v>
      </c>
      <c r="H328" s="1961">
        <f>G328/F328*100</f>
        <v>97.222222222222214</v>
      </c>
    </row>
    <row r="329" spans="1:8" s="1735" customFormat="1" ht="15.75" customHeight="1" thickBot="1" x14ac:dyDescent="0.25">
      <c r="A329" s="1952">
        <v>2143</v>
      </c>
      <c r="B329" s="1953">
        <v>5173</v>
      </c>
      <c r="C329" s="1953">
        <v>38500881</v>
      </c>
      <c r="D329" s="1979" t="s">
        <v>1211</v>
      </c>
      <c r="E329" s="1989">
        <v>425</v>
      </c>
      <c r="F329" s="1989">
        <v>206</v>
      </c>
      <c r="G329" s="1989">
        <v>200</v>
      </c>
      <c r="H329" s="1961">
        <f>G329/F329*100</f>
        <v>97.087378640776706</v>
      </c>
    </row>
    <row r="330" spans="1:8" s="1735" customFormat="1" ht="16.5" thickTop="1" thickBot="1" x14ac:dyDescent="0.3">
      <c r="A330" s="2750" t="s">
        <v>802</v>
      </c>
      <c r="B330" s="2751"/>
      <c r="C330" s="2751"/>
      <c r="D330" s="2751"/>
      <c r="E330" s="1957">
        <f>SUM(E320:E329)</f>
        <v>12000</v>
      </c>
      <c r="F330" s="1957">
        <f>SUM(F320:F329)</f>
        <v>6697</v>
      </c>
      <c r="G330" s="1957">
        <f>SUM(G320:G329)</f>
        <v>6487</v>
      </c>
      <c r="H330" s="1962">
        <f>G330/F330*100</f>
        <v>96.864267582499636</v>
      </c>
    </row>
    <row r="331" spans="1:8" s="1735" customFormat="1" ht="14.25" customHeight="1" thickTop="1" x14ac:dyDescent="0.25">
      <c r="A331" s="1940"/>
      <c r="B331" s="1936"/>
      <c r="C331" s="1936"/>
      <c r="D331" s="1937"/>
      <c r="E331" s="1970"/>
      <c r="F331" s="1970"/>
      <c r="G331" s="1970"/>
      <c r="H331" s="1937"/>
    </row>
    <row r="332" spans="1:8" ht="15" customHeight="1" x14ac:dyDescent="0.25">
      <c r="A332" s="1942" t="s">
        <v>1352</v>
      </c>
    </row>
    <row r="333" spans="1:8" ht="15.75" thickBot="1" x14ac:dyDescent="0.3">
      <c r="A333" s="1942" t="s">
        <v>1353</v>
      </c>
      <c r="H333" s="2043" t="s">
        <v>173</v>
      </c>
    </row>
    <row r="334" spans="1:8" s="1735" customFormat="1" ht="25.5" thickTop="1" thickBot="1" x14ac:dyDescent="0.25">
      <c r="A334" s="1943" t="s">
        <v>174</v>
      </c>
      <c r="B334" s="1944" t="s">
        <v>800</v>
      </c>
      <c r="C334" s="1944" t="s">
        <v>397</v>
      </c>
      <c r="D334" s="1945" t="s">
        <v>176</v>
      </c>
      <c r="E334" s="1976" t="s">
        <v>669</v>
      </c>
      <c r="F334" s="1976" t="s">
        <v>670</v>
      </c>
      <c r="G334" s="1977" t="s">
        <v>923</v>
      </c>
      <c r="H334" s="1978" t="s">
        <v>924</v>
      </c>
    </row>
    <row r="335" spans="1:8" s="1735" customFormat="1" ht="13.5" thickTop="1" thickBot="1" x14ac:dyDescent="0.25">
      <c r="A335" s="1740">
        <v>1</v>
      </c>
      <c r="B335" s="1739">
        <v>2</v>
      </c>
      <c r="C335" s="1739">
        <v>3</v>
      </c>
      <c r="D335" s="1739">
        <v>4</v>
      </c>
      <c r="E335" s="1738">
        <v>5</v>
      </c>
      <c r="F335" s="1738">
        <v>6</v>
      </c>
      <c r="G335" s="2028">
        <v>7</v>
      </c>
      <c r="H335" s="2054" t="s">
        <v>61</v>
      </c>
    </row>
    <row r="336" spans="1:8" s="1735" customFormat="1" ht="15.75" thickTop="1" x14ac:dyDescent="0.2">
      <c r="A336" s="1952">
        <v>3315</v>
      </c>
      <c r="B336" s="1953">
        <v>5169</v>
      </c>
      <c r="C336" s="2124" t="s">
        <v>1878</v>
      </c>
      <c r="D336" s="1979" t="s">
        <v>892</v>
      </c>
      <c r="E336" s="1989">
        <v>399</v>
      </c>
      <c r="F336" s="1989">
        <v>399</v>
      </c>
      <c r="G336" s="1989">
        <v>308</v>
      </c>
      <c r="H336" s="1961">
        <f>G336/F336*100</f>
        <v>77.192982456140342</v>
      </c>
    </row>
    <row r="337" spans="1:8" s="1735" customFormat="1" ht="15" x14ac:dyDescent="0.2">
      <c r="A337" s="1952">
        <v>3315</v>
      </c>
      <c r="B337" s="1953">
        <v>5169</v>
      </c>
      <c r="C337" s="2124" t="s">
        <v>1879</v>
      </c>
      <c r="D337" s="1979" t="s">
        <v>892</v>
      </c>
      <c r="E337" s="1989">
        <v>79</v>
      </c>
      <c r="F337" s="1989">
        <v>79</v>
      </c>
      <c r="G337" s="1989">
        <v>62</v>
      </c>
      <c r="H337" s="1961">
        <f>G337/F337*100</f>
        <v>78.48101265822784</v>
      </c>
    </row>
    <row r="338" spans="1:8" s="1735" customFormat="1" ht="15" x14ac:dyDescent="0.2">
      <c r="A338" s="1952">
        <v>3315</v>
      </c>
      <c r="B338" s="1953">
        <v>5169</v>
      </c>
      <c r="C338" s="2124" t="s">
        <v>1880</v>
      </c>
      <c r="D338" s="1979" t="s">
        <v>892</v>
      </c>
      <c r="E338" s="1989">
        <v>406</v>
      </c>
      <c r="F338" s="1989">
        <v>406</v>
      </c>
      <c r="G338" s="1989">
        <v>406</v>
      </c>
      <c r="H338" s="1961">
        <f>G338/F338*100</f>
        <v>100</v>
      </c>
    </row>
    <row r="339" spans="1:8" s="1735" customFormat="1" ht="15.75" thickBot="1" x14ac:dyDescent="0.25">
      <c r="A339" s="1952">
        <v>3315</v>
      </c>
      <c r="B339" s="1953">
        <v>5169</v>
      </c>
      <c r="C339" s="2124" t="s">
        <v>1875</v>
      </c>
      <c r="D339" s="1979" t="s">
        <v>892</v>
      </c>
      <c r="E339" s="1989">
        <v>1116</v>
      </c>
      <c r="F339" s="1989">
        <v>1116</v>
      </c>
      <c r="G339" s="1989">
        <v>862</v>
      </c>
      <c r="H339" s="1961">
        <f>G339/F339*100</f>
        <v>77.240143369175627</v>
      </c>
    </row>
    <row r="340" spans="1:8" s="1735" customFormat="1" ht="16.5" thickTop="1" thickBot="1" x14ac:dyDescent="0.3">
      <c r="A340" s="2750" t="s">
        <v>802</v>
      </c>
      <c r="B340" s="2751"/>
      <c r="C340" s="2751"/>
      <c r="D340" s="2751"/>
      <c r="E340" s="1957">
        <f>SUM(E336:E339)</f>
        <v>2000</v>
      </c>
      <c r="F340" s="1957">
        <f>SUM(F336:F339)</f>
        <v>2000</v>
      </c>
      <c r="G340" s="1957">
        <f>SUM(G336:G339)</f>
        <v>1638</v>
      </c>
      <c r="H340" s="1958">
        <f>G340/F340*100</f>
        <v>81.899999999999991</v>
      </c>
    </row>
    <row r="341" spans="1:8" s="1735" customFormat="1" ht="15.75" thickTop="1" x14ac:dyDescent="0.25">
      <c r="A341" s="1963"/>
      <c r="B341" s="1963"/>
      <c r="C341" s="1963"/>
      <c r="D341" s="1963"/>
      <c r="E341" s="1964"/>
      <c r="F341" s="1964"/>
      <c r="G341" s="1964"/>
      <c r="H341" s="2119"/>
    </row>
    <row r="342" spans="1:8" ht="15" hidden="1" x14ac:dyDescent="0.25">
      <c r="A342" s="1942" t="s">
        <v>1654</v>
      </c>
    </row>
    <row r="343" spans="1:8" ht="15" hidden="1" x14ac:dyDescent="0.25">
      <c r="A343" s="1942" t="s">
        <v>576</v>
      </c>
      <c r="H343" s="2043" t="s">
        <v>173</v>
      </c>
    </row>
    <row r="344" spans="1:8" s="1735" customFormat="1" ht="25.5" hidden="1" thickTop="1" thickBot="1" x14ac:dyDescent="0.25">
      <c r="A344" s="1943" t="s">
        <v>174</v>
      </c>
      <c r="B344" s="1944" t="s">
        <v>800</v>
      </c>
      <c r="C344" s="1944" t="s">
        <v>397</v>
      </c>
      <c r="D344" s="1945" t="s">
        <v>176</v>
      </c>
      <c r="E344" s="1976" t="s">
        <v>669</v>
      </c>
      <c r="F344" s="1976" t="s">
        <v>670</v>
      </c>
      <c r="G344" s="1977" t="s">
        <v>923</v>
      </c>
      <c r="H344" s="1978" t="s">
        <v>924</v>
      </c>
    </row>
    <row r="345" spans="1:8" s="1735" customFormat="1" ht="13.5" hidden="1" thickTop="1" thickBot="1" x14ac:dyDescent="0.25">
      <c r="A345" s="1740">
        <v>1</v>
      </c>
      <c r="B345" s="1739">
        <v>2</v>
      </c>
      <c r="C345" s="1739">
        <v>3</v>
      </c>
      <c r="D345" s="1739">
        <v>4</v>
      </c>
      <c r="E345" s="1738">
        <v>5</v>
      </c>
      <c r="F345" s="1738">
        <v>6</v>
      </c>
      <c r="G345" s="2028">
        <v>7</v>
      </c>
      <c r="H345" s="2054" t="s">
        <v>61</v>
      </c>
    </row>
    <row r="346" spans="1:8" s="1735" customFormat="1" ht="15.75" hidden="1" customHeight="1" thickTop="1" x14ac:dyDescent="0.2">
      <c r="A346" s="1952">
        <v>3522</v>
      </c>
      <c r="B346" s="1953">
        <v>6121</v>
      </c>
      <c r="C346" s="2124" t="s">
        <v>1655</v>
      </c>
      <c r="D346" s="1979" t="s">
        <v>640</v>
      </c>
      <c r="E346" s="1989">
        <v>0</v>
      </c>
      <c r="F346" s="1989"/>
      <c r="G346" s="1989"/>
      <c r="H346" s="1961" t="e">
        <f>G346/F346*100</f>
        <v>#DIV/0!</v>
      </c>
    </row>
    <row r="347" spans="1:8" s="1735" customFormat="1" ht="15.75" hidden="1" customHeight="1" x14ac:dyDescent="0.2">
      <c r="A347" s="1952">
        <v>3522</v>
      </c>
      <c r="B347" s="1953">
        <v>6121</v>
      </c>
      <c r="C347" s="1953">
        <v>38100870</v>
      </c>
      <c r="D347" s="1979" t="s">
        <v>640</v>
      </c>
      <c r="E347" s="1989">
        <v>0</v>
      </c>
      <c r="F347" s="1989"/>
      <c r="G347" s="1989"/>
      <c r="H347" s="1961" t="e">
        <f>G347/F347*100</f>
        <v>#DIV/0!</v>
      </c>
    </row>
    <row r="348" spans="1:8" s="1735" customFormat="1" ht="15.75" hidden="1" customHeight="1" x14ac:dyDescent="0.2">
      <c r="A348" s="1952">
        <v>3522</v>
      </c>
      <c r="B348" s="1953">
        <v>6121</v>
      </c>
      <c r="C348" s="1953">
        <v>38100874</v>
      </c>
      <c r="D348" s="1979" t="s">
        <v>640</v>
      </c>
      <c r="E348" s="1989">
        <v>0</v>
      </c>
      <c r="F348" s="1989"/>
      <c r="G348" s="1989"/>
      <c r="H348" s="1961" t="e">
        <f>G348/F348*100</f>
        <v>#DIV/0!</v>
      </c>
    </row>
    <row r="349" spans="1:8" s="1735" customFormat="1" ht="15.75" hidden="1" customHeight="1" thickBot="1" x14ac:dyDescent="0.25">
      <c r="A349" s="1952">
        <v>3522</v>
      </c>
      <c r="B349" s="2056">
        <v>6121</v>
      </c>
      <c r="C349" s="2125">
        <v>38500871</v>
      </c>
      <c r="D349" s="1979" t="s">
        <v>640</v>
      </c>
      <c r="E349" s="1989">
        <v>0</v>
      </c>
      <c r="F349" s="1989"/>
      <c r="G349" s="1989"/>
      <c r="H349" s="1961" t="e">
        <f>G349/F349*100</f>
        <v>#DIV/0!</v>
      </c>
    </row>
    <row r="350" spans="1:8" s="1735" customFormat="1" ht="16.5" hidden="1" thickTop="1" thickBot="1" x14ac:dyDescent="0.3">
      <c r="A350" s="2750" t="s">
        <v>802</v>
      </c>
      <c r="B350" s="2751"/>
      <c r="C350" s="2751"/>
      <c r="D350" s="2751"/>
      <c r="E350" s="1957">
        <f>SUM(E346:E349)</f>
        <v>0</v>
      </c>
      <c r="F350" s="1957">
        <f>SUM(F346:F349)</f>
        <v>0</v>
      </c>
      <c r="G350" s="1957">
        <f>SUM(G346:G349)</f>
        <v>0</v>
      </c>
      <c r="H350" s="1962" t="e">
        <f>G350/F350*100</f>
        <v>#DIV/0!</v>
      </c>
    </row>
    <row r="351" spans="1:8" s="1735" customFormat="1" ht="8.25" customHeight="1" x14ac:dyDescent="0.25">
      <c r="A351" s="1963"/>
      <c r="B351" s="1963"/>
      <c r="C351" s="1963"/>
      <c r="D351" s="1963"/>
      <c r="E351" s="1964"/>
      <c r="F351" s="1964"/>
      <c r="G351" s="1964"/>
      <c r="H351" s="1995"/>
    </row>
    <row r="352" spans="1:8" ht="15" x14ac:dyDescent="0.25">
      <c r="A352" s="1942" t="s">
        <v>1433</v>
      </c>
    </row>
    <row r="353" spans="1:8" ht="15.75" thickBot="1" x14ac:dyDescent="0.3">
      <c r="A353" s="1942" t="s">
        <v>1432</v>
      </c>
      <c r="H353" s="2043" t="s">
        <v>173</v>
      </c>
    </row>
    <row r="354" spans="1:8" s="1735" customFormat="1" ht="25.5" thickTop="1" thickBot="1" x14ac:dyDescent="0.25">
      <c r="A354" s="1943" t="s">
        <v>174</v>
      </c>
      <c r="B354" s="1944" t="s">
        <v>800</v>
      </c>
      <c r="C354" s="1944" t="s">
        <v>397</v>
      </c>
      <c r="D354" s="1945" t="s">
        <v>176</v>
      </c>
      <c r="E354" s="1976" t="s">
        <v>669</v>
      </c>
      <c r="F354" s="1976" t="s">
        <v>670</v>
      </c>
      <c r="G354" s="1977" t="s">
        <v>923</v>
      </c>
      <c r="H354" s="1978" t="s">
        <v>924</v>
      </c>
    </row>
    <row r="355" spans="1:8" s="1735" customFormat="1" ht="13.5" thickTop="1" thickBot="1" x14ac:dyDescent="0.25">
      <c r="A355" s="1740">
        <v>1</v>
      </c>
      <c r="B355" s="1739">
        <v>2</v>
      </c>
      <c r="C355" s="1739">
        <v>3</v>
      </c>
      <c r="D355" s="1739">
        <v>4</v>
      </c>
      <c r="E355" s="1738">
        <v>5</v>
      </c>
      <c r="F355" s="1738">
        <v>6</v>
      </c>
      <c r="G355" s="2028">
        <v>7</v>
      </c>
      <c r="H355" s="2054" t="s">
        <v>61</v>
      </c>
    </row>
    <row r="356" spans="1:8" s="1735" customFormat="1" ht="15.75" customHeight="1" thickTop="1" x14ac:dyDescent="0.2">
      <c r="A356" s="1952">
        <v>3522</v>
      </c>
      <c r="B356" s="2056">
        <v>6121</v>
      </c>
      <c r="C356" s="2124" t="s">
        <v>468</v>
      </c>
      <c r="D356" s="1979" t="s">
        <v>640</v>
      </c>
      <c r="E356" s="1989">
        <v>0</v>
      </c>
      <c r="F356" s="1989">
        <v>4517</v>
      </c>
      <c r="G356" s="1989">
        <v>4517</v>
      </c>
      <c r="H356" s="1961">
        <f t="shared" ref="H356:H361" si="11">G356/F356*100</f>
        <v>100</v>
      </c>
    </row>
    <row r="357" spans="1:8" s="1735" customFormat="1" ht="15.75" customHeight="1" x14ac:dyDescent="0.2">
      <c r="A357" s="1952">
        <v>3522</v>
      </c>
      <c r="B357" s="1953">
        <v>6121</v>
      </c>
      <c r="C357" s="2124" t="s">
        <v>1655</v>
      </c>
      <c r="D357" s="1979" t="s">
        <v>640</v>
      </c>
      <c r="E357" s="1989">
        <v>100</v>
      </c>
      <c r="F357" s="1989">
        <v>122</v>
      </c>
      <c r="G357" s="1989">
        <v>108</v>
      </c>
      <c r="H357" s="1961">
        <f t="shared" si="11"/>
        <v>88.52459016393442</v>
      </c>
    </row>
    <row r="358" spans="1:8" s="1735" customFormat="1" ht="15.75" customHeight="1" x14ac:dyDescent="0.2">
      <c r="A358" s="1952">
        <v>3522</v>
      </c>
      <c r="B358" s="1953">
        <v>6121</v>
      </c>
      <c r="C358" s="1953">
        <v>38100870</v>
      </c>
      <c r="D358" s="1979" t="s">
        <v>640</v>
      </c>
      <c r="E358" s="1989">
        <v>0</v>
      </c>
      <c r="F358" s="1989">
        <v>13895</v>
      </c>
      <c r="G358" s="1989">
        <v>13895</v>
      </c>
      <c r="H358" s="1961">
        <f t="shared" si="11"/>
        <v>100</v>
      </c>
    </row>
    <row r="359" spans="1:8" s="1735" customFormat="1" ht="15.75" customHeight="1" x14ac:dyDescent="0.2">
      <c r="A359" s="1952">
        <v>3522</v>
      </c>
      <c r="B359" s="1953">
        <v>6121</v>
      </c>
      <c r="C359" s="1953">
        <v>38100874</v>
      </c>
      <c r="D359" s="1979" t="s">
        <v>640</v>
      </c>
      <c r="E359" s="1989">
        <v>0</v>
      </c>
      <c r="F359" s="1989">
        <v>12485</v>
      </c>
      <c r="G359" s="1989">
        <v>12418</v>
      </c>
      <c r="H359" s="1961">
        <f t="shared" si="11"/>
        <v>99.463356027232678</v>
      </c>
    </row>
    <row r="360" spans="1:8" s="1735" customFormat="1" ht="15.75" customHeight="1" thickBot="1" x14ac:dyDescent="0.25">
      <c r="A360" s="1952">
        <v>3522</v>
      </c>
      <c r="B360" s="2056">
        <v>6121</v>
      </c>
      <c r="C360" s="2125">
        <v>38500871</v>
      </c>
      <c r="D360" s="1979" t="s">
        <v>640</v>
      </c>
      <c r="E360" s="1989">
        <v>0</v>
      </c>
      <c r="F360" s="1989">
        <v>41685</v>
      </c>
      <c r="G360" s="1989">
        <v>41685</v>
      </c>
      <c r="H360" s="1961">
        <f t="shared" si="11"/>
        <v>100</v>
      </c>
    </row>
    <row r="361" spans="1:8" s="1735" customFormat="1" ht="16.5" thickTop="1" thickBot="1" x14ac:dyDescent="0.3">
      <c r="A361" s="2750" t="s">
        <v>802</v>
      </c>
      <c r="B361" s="2751"/>
      <c r="C361" s="2751"/>
      <c r="D361" s="2751"/>
      <c r="E361" s="1957">
        <f>SUM(E356:E360)</f>
        <v>100</v>
      </c>
      <c r="F361" s="1957">
        <f>SUM(F356:F360)</f>
        <v>72704</v>
      </c>
      <c r="G361" s="1957">
        <f>SUM(G356:G360)</f>
        <v>72623</v>
      </c>
      <c r="H361" s="1962">
        <f t="shared" si="11"/>
        <v>99.888589348591552</v>
      </c>
    </row>
    <row r="362" spans="1:8" s="1735" customFormat="1" ht="15.75" thickTop="1" x14ac:dyDescent="0.25">
      <c r="A362" s="1963"/>
      <c r="B362" s="1963"/>
      <c r="C362" s="1963"/>
      <c r="D362" s="1963"/>
      <c r="E362" s="1964"/>
      <c r="F362" s="1964"/>
      <c r="G362" s="1964"/>
      <c r="H362" s="1995"/>
    </row>
    <row r="363" spans="1:8" ht="15" x14ac:dyDescent="0.25">
      <c r="A363" s="1942" t="s">
        <v>1881</v>
      </c>
    </row>
    <row r="364" spans="1:8" ht="1.5" customHeight="1" thickBot="1" x14ac:dyDescent="0.3">
      <c r="A364" s="1942"/>
      <c r="H364" s="2043" t="s">
        <v>173</v>
      </c>
    </row>
    <row r="365" spans="1:8" s="1735" customFormat="1" ht="25.5" thickTop="1" thickBot="1" x14ac:dyDescent="0.25">
      <c r="A365" s="1943" t="s">
        <v>174</v>
      </c>
      <c r="B365" s="1944" t="s">
        <v>800</v>
      </c>
      <c r="C365" s="1944" t="s">
        <v>397</v>
      </c>
      <c r="D365" s="1945" t="s">
        <v>176</v>
      </c>
      <c r="E365" s="1976" t="s">
        <v>669</v>
      </c>
      <c r="F365" s="1976" t="s">
        <v>670</v>
      </c>
      <c r="G365" s="1977" t="s">
        <v>923</v>
      </c>
      <c r="H365" s="1978" t="s">
        <v>924</v>
      </c>
    </row>
    <row r="366" spans="1:8" s="1735" customFormat="1" ht="13.5" thickTop="1" thickBot="1" x14ac:dyDescent="0.25">
      <c r="A366" s="1740">
        <v>1</v>
      </c>
      <c r="B366" s="1739">
        <v>2</v>
      </c>
      <c r="C366" s="1739">
        <v>3</v>
      </c>
      <c r="D366" s="1739">
        <v>4</v>
      </c>
      <c r="E366" s="1738">
        <v>5</v>
      </c>
      <c r="F366" s="1738">
        <v>6</v>
      </c>
      <c r="G366" s="2028">
        <v>7</v>
      </c>
      <c r="H366" s="2054" t="s">
        <v>61</v>
      </c>
    </row>
    <row r="367" spans="1:8" s="1735" customFormat="1" ht="16.5" thickTop="1" thickBot="1" x14ac:dyDescent="0.25">
      <c r="A367" s="1952">
        <v>2143</v>
      </c>
      <c r="B367" s="1953">
        <v>5169</v>
      </c>
      <c r="C367" s="1953"/>
      <c r="D367" s="1979" t="s">
        <v>892</v>
      </c>
      <c r="E367" s="1989">
        <v>1283</v>
      </c>
      <c r="F367" s="1989">
        <v>0</v>
      </c>
      <c r="G367" s="1989">
        <v>0</v>
      </c>
      <c r="H367" s="1961">
        <v>0</v>
      </c>
    </row>
    <row r="368" spans="1:8" s="1735" customFormat="1" ht="15.75" hidden="1" thickBot="1" x14ac:dyDescent="0.25">
      <c r="A368" s="1952">
        <v>3122</v>
      </c>
      <c r="B368" s="1953">
        <v>6122</v>
      </c>
      <c r="C368" s="1953"/>
      <c r="D368" s="1979" t="s">
        <v>641</v>
      </c>
      <c r="E368" s="1989">
        <v>0</v>
      </c>
      <c r="F368" s="1989"/>
      <c r="G368" s="1989"/>
      <c r="H368" s="1961" t="e">
        <f>G368/F368*100</f>
        <v>#DIV/0!</v>
      </c>
    </row>
    <row r="369" spans="1:11" s="1735" customFormat="1" ht="16.5" thickTop="1" thickBot="1" x14ac:dyDescent="0.3">
      <c r="A369" s="2750" t="s">
        <v>802</v>
      </c>
      <c r="B369" s="2751"/>
      <c r="C369" s="2751"/>
      <c r="D369" s="2751"/>
      <c r="E369" s="1957">
        <f>SUM(E367:E368)</f>
        <v>1283</v>
      </c>
      <c r="F369" s="1957">
        <f>SUM(F367:F368)</f>
        <v>0</v>
      </c>
      <c r="G369" s="1957">
        <f>SUM(G367:G368)</f>
        <v>0</v>
      </c>
      <c r="H369" s="1962">
        <v>0</v>
      </c>
    </row>
    <row r="370" spans="1:11" s="1735" customFormat="1" ht="14.25" customHeight="1" thickTop="1" x14ac:dyDescent="0.25">
      <c r="A370" s="1940"/>
      <c r="B370" s="1936"/>
      <c r="C370" s="1936"/>
      <c r="D370" s="1937"/>
      <c r="E370" s="1970"/>
      <c r="F370" s="1970"/>
      <c r="G370" s="1970"/>
      <c r="H370" s="1937"/>
    </row>
    <row r="371" spans="1:11" ht="15" x14ac:dyDescent="0.25">
      <c r="A371" s="1942" t="s">
        <v>1656</v>
      </c>
    </row>
    <row r="372" spans="1:11" ht="15.75" thickBot="1" x14ac:dyDescent="0.3">
      <c r="A372" s="1942" t="s">
        <v>1657</v>
      </c>
      <c r="H372" s="2043" t="s">
        <v>173</v>
      </c>
    </row>
    <row r="373" spans="1:11" s="1735" customFormat="1" ht="25.5" thickTop="1" thickBot="1" x14ac:dyDescent="0.25">
      <c r="A373" s="1943" t="s">
        <v>174</v>
      </c>
      <c r="B373" s="1944" t="s">
        <v>800</v>
      </c>
      <c r="C373" s="1944" t="s">
        <v>397</v>
      </c>
      <c r="D373" s="1945" t="s">
        <v>176</v>
      </c>
      <c r="E373" s="1976" t="s">
        <v>669</v>
      </c>
      <c r="F373" s="1976" t="s">
        <v>670</v>
      </c>
      <c r="G373" s="1977" t="s">
        <v>923</v>
      </c>
      <c r="H373" s="1978" t="s">
        <v>924</v>
      </c>
    </row>
    <row r="374" spans="1:11" s="1735" customFormat="1" ht="13.5" thickTop="1" thickBot="1" x14ac:dyDescent="0.25">
      <c r="A374" s="1740">
        <v>1</v>
      </c>
      <c r="B374" s="1739">
        <v>2</v>
      </c>
      <c r="C374" s="1739">
        <v>3</v>
      </c>
      <c r="D374" s="1739">
        <v>4</v>
      </c>
      <c r="E374" s="1738">
        <v>5</v>
      </c>
      <c r="F374" s="1738">
        <v>6</v>
      </c>
      <c r="G374" s="2028">
        <v>7</v>
      </c>
      <c r="H374" s="2054" t="s">
        <v>61</v>
      </c>
    </row>
    <row r="375" spans="1:11" s="1735" customFormat="1" ht="15.75" thickTop="1" x14ac:dyDescent="0.2">
      <c r="A375" s="1952">
        <v>4357</v>
      </c>
      <c r="B375" s="1953">
        <v>5137</v>
      </c>
      <c r="C375" s="1953">
        <v>36113003</v>
      </c>
      <c r="D375" s="1979" t="s">
        <v>167</v>
      </c>
      <c r="E375" s="1989">
        <v>0</v>
      </c>
      <c r="F375" s="1989">
        <v>32</v>
      </c>
      <c r="G375" s="1989">
        <v>32</v>
      </c>
      <c r="H375" s="1961">
        <f t="shared" ref="H375:H380" si="12">G375/F375*100</f>
        <v>100</v>
      </c>
    </row>
    <row r="376" spans="1:11" s="1735" customFormat="1" ht="15" x14ac:dyDescent="0.2">
      <c r="A376" s="1952">
        <v>4357</v>
      </c>
      <c r="B376" s="1953">
        <v>5137</v>
      </c>
      <c r="C376" s="1953">
        <v>36513003</v>
      </c>
      <c r="D376" s="1979"/>
      <c r="E376" s="1989">
        <v>0</v>
      </c>
      <c r="F376" s="1989">
        <v>184</v>
      </c>
      <c r="G376" s="1989">
        <v>184</v>
      </c>
      <c r="H376" s="1961">
        <f t="shared" si="12"/>
        <v>100</v>
      </c>
    </row>
    <row r="377" spans="1:11" s="1735" customFormat="1" ht="15" x14ac:dyDescent="0.2">
      <c r="A377" s="1952">
        <v>4357</v>
      </c>
      <c r="B377" s="1953">
        <v>6121</v>
      </c>
      <c r="C377" s="1953">
        <v>36100874</v>
      </c>
      <c r="D377" s="1979" t="s">
        <v>640</v>
      </c>
      <c r="E377" s="1989">
        <v>0</v>
      </c>
      <c r="F377" s="1989">
        <v>429</v>
      </c>
      <c r="G377" s="1989">
        <v>425</v>
      </c>
      <c r="H377" s="1961">
        <f t="shared" si="12"/>
        <v>99.067599067599062</v>
      </c>
      <c r="K377" s="1735">
        <v>207865</v>
      </c>
    </row>
    <row r="378" spans="1:11" s="1735" customFormat="1" ht="15" x14ac:dyDescent="0.2">
      <c r="A378" s="1952">
        <v>4357</v>
      </c>
      <c r="B378" s="1953">
        <v>6121</v>
      </c>
      <c r="C378" s="1953">
        <v>36113899</v>
      </c>
      <c r="D378" s="1979" t="s">
        <v>640</v>
      </c>
      <c r="E378" s="1989">
        <v>0</v>
      </c>
      <c r="F378" s="1989">
        <v>349</v>
      </c>
      <c r="G378" s="1989">
        <v>349</v>
      </c>
      <c r="H378" s="1961">
        <f t="shared" si="12"/>
        <v>100</v>
      </c>
      <c r="I378" s="2353">
        <f>E50+E51+E52+E53+E55+E58+E73+E102+E103+E127+E128+E129+E130+E131+E132+E133+E134+E141+E142+E143+E178+E179+E180+E181+E192+E209+E210+E211+E212+E230+E231+E232+E233+E234+E235+E236+E237+E238+E239+E240+E241+E242+E243+E244+E245+E246+E247+E248+E249+E307+E308+E309+E310+E311+E320+E321+E322+E323+E326+E327+E328+E329+E367+E375+E376+E336+E337+E338+E339</f>
        <v>24422</v>
      </c>
      <c r="J378" s="2353">
        <f>F50+F51+F52+F53+F55+F58+F73+F102+F103+F127+F128+F129+F130+F131+F132+F133+F134+F141+F142+F143+F178+F179+F180+F181+F192+F209+F210+F211+F212+F230+F231+F232+F233+F234+F235+F236+F237+F238+F239+F240+F241+F242+F243+F244+F245+F246+F247+F248+F249+F307+F308+F309+F310+F311+F320+F321+F322+F323+F326+F327+F328+F329+F367+F375+F376+F336+F337+F338+F339</f>
        <v>78245</v>
      </c>
      <c r="K378" s="2353">
        <f>G50+G51+G52+G53+G55+G58+G73+G102+G103+G127+G128+G129+G130+G131+G132+G133+G134+G141+G142+G143+G178+G179+G180+G181+G192+G209+G210+G211+G212+G230+G231+G232+G233+G234+G235+G236+G237+G238+G239+G240+G241+G242+G243+G244+G245+G246+G247+G248+G249+G307+G308+G309+G310+G311+G320+G321+G322+G323+G326+G327+G328+G329+G367+G375+G376+G336+G337+G338+G339</f>
        <v>75002</v>
      </c>
    </row>
    <row r="379" spans="1:11" s="1735" customFormat="1" ht="15.75" thickBot="1" x14ac:dyDescent="0.25">
      <c r="A379" s="1952">
        <v>4357</v>
      </c>
      <c r="B379" s="1953">
        <v>6121</v>
      </c>
      <c r="C379" s="1953">
        <v>36513899</v>
      </c>
      <c r="D379" s="1979" t="s">
        <v>640</v>
      </c>
      <c r="E379" s="1989">
        <v>0</v>
      </c>
      <c r="F379" s="1989">
        <v>1979</v>
      </c>
      <c r="G379" s="1989">
        <v>1979</v>
      </c>
      <c r="H379" s="1961">
        <f t="shared" si="12"/>
        <v>100</v>
      </c>
      <c r="J379" s="2353">
        <f>F104+F105+F106+F107+F108+F109+F110+F117+F144+F145+F146+F147+F148+F149+F185+F250+F251+F252+F253+F254+F255+F256+F257+F258+F265+F266+F267+F268+F269+F270+F277+F278+F279+F287+F288+F298+F300+F312+F356+F357+F358+F359+F360+F377+F378+F379</f>
        <v>184411</v>
      </c>
      <c r="K379" s="2353">
        <f>G104+G105+G106+G107+G108+G109+G110+G117+G144+G145+G146+G147+G148+G149+G185+G250+G251+G252+G253+G254+G255+G256+G257+G258+G265+G266+G267+G268+G269+G270+G277+G278+G279+G287+G288+G298+G300+G312+G356+G357+G358+G359+G360+G377+G378+G379</f>
        <v>171959</v>
      </c>
    </row>
    <row r="380" spans="1:11" s="1735" customFormat="1" ht="16.5" thickTop="1" thickBot="1" x14ac:dyDescent="0.3">
      <c r="A380" s="2750" t="s">
        <v>802</v>
      </c>
      <c r="B380" s="2751"/>
      <c r="C380" s="2751"/>
      <c r="D380" s="2751"/>
      <c r="E380" s="1957">
        <f>SUM(E375:E379)</f>
        <v>0</v>
      </c>
      <c r="F380" s="1957">
        <f>SUM(F375:F379)</f>
        <v>2973</v>
      </c>
      <c r="G380" s="1957">
        <f>SUM(G375:G379)</f>
        <v>2969</v>
      </c>
      <c r="H380" s="1962">
        <f t="shared" si="12"/>
        <v>99.865455768583928</v>
      </c>
      <c r="J380" s="2353">
        <f>F380+F369+F361+F340+F330+F314+F301+F291+F281+F271+F259+F213+F193+F186+F171+F135+F121+F111+F80+F13</f>
        <v>262656</v>
      </c>
      <c r="K380" s="2353">
        <f>G380+G369+G361+G340+G330+G314+G301+G291+G281+G271+G259+G213+G193+G186+G171+G135+G121+G111+G80+G13</f>
        <v>454826</v>
      </c>
    </row>
    <row r="381" spans="1:11" s="1735" customFormat="1" ht="14.25" customHeight="1" thickTop="1" x14ac:dyDescent="0.25">
      <c r="A381" s="1940"/>
      <c r="B381" s="1936"/>
      <c r="C381" s="1936"/>
      <c r="D381" s="1937"/>
      <c r="E381" s="1970"/>
      <c r="F381" s="1970"/>
      <c r="G381" s="1970"/>
      <c r="H381" s="1937"/>
    </row>
    <row r="382" spans="1:11" s="1735" customFormat="1" ht="14.25" customHeight="1" x14ac:dyDescent="0.25">
      <c r="A382" s="1940"/>
      <c r="B382" s="1936"/>
      <c r="C382" s="1936"/>
      <c r="D382" s="1937"/>
      <c r="E382" s="1970"/>
      <c r="F382" s="1970"/>
      <c r="G382" s="1970"/>
      <c r="H382" s="1937"/>
    </row>
    <row r="383" spans="1:11" s="1735" customFormat="1" ht="13.5" customHeight="1" x14ac:dyDescent="0.25">
      <c r="A383" s="1940"/>
      <c r="B383" s="1936"/>
      <c r="C383" s="1936"/>
      <c r="D383" s="1937"/>
      <c r="E383" s="1970"/>
      <c r="F383" s="1970"/>
      <c r="G383" s="1970"/>
      <c r="H383" s="1937"/>
    </row>
    <row r="384" spans="1:11" s="1735" customFormat="1" ht="6.75" customHeight="1" x14ac:dyDescent="0.25">
      <c r="A384" s="1940"/>
      <c r="B384" s="1936"/>
      <c r="C384" s="1936"/>
      <c r="D384" s="1937"/>
      <c r="E384" s="1970"/>
      <c r="F384" s="1970"/>
      <c r="G384" s="1970"/>
      <c r="H384" s="1937"/>
    </row>
    <row r="385" spans="1:13" ht="6.75" customHeight="1" x14ac:dyDescent="0.2"/>
    <row r="386" spans="1:13" ht="16.5" x14ac:dyDescent="0.25">
      <c r="A386" s="2011" t="s">
        <v>487</v>
      </c>
      <c r="B386" s="2012"/>
      <c r="C386" s="2013"/>
      <c r="D386" s="2014"/>
      <c r="E386" s="2015">
        <f>SUM(E387:E389)</f>
        <v>24522</v>
      </c>
      <c r="F386" s="2015">
        <f>F387+F388+F389+F390</f>
        <v>262656</v>
      </c>
      <c r="G386" s="2015">
        <f>G387+G388+G389+G390</f>
        <v>454826</v>
      </c>
      <c r="H386" s="2035">
        <f>G386/F386*100</f>
        <v>173.16413864522417</v>
      </c>
      <c r="J386" s="2017">
        <f>J387+J388+J389</f>
        <v>24522000</v>
      </c>
      <c r="K386" s="2017">
        <f>K387+K388+K389</f>
        <v>262656088.76999998</v>
      </c>
      <c r="L386" s="2017">
        <f>L387+L388+L389</f>
        <v>454825876.74000001</v>
      </c>
    </row>
    <row r="387" spans="1:13" ht="15" x14ac:dyDescent="0.2">
      <c r="A387" s="1696" t="s">
        <v>277</v>
      </c>
      <c r="B387" s="1699"/>
      <c r="C387" s="1694"/>
      <c r="D387" s="2018"/>
      <c r="E387" s="1697">
        <f>E50+E51+E52+E53+E55+E58+E73+E102+E103+E127+E128+E129+E130+E131+E132+E133+E134+E141+E142+E143+E178+E179+E180+E181+E192+E209+E210+E211+E212+E230+E231+E232+E233+E234+E235+E236+E237+E238+E239+E240+E241+E242+E243+E244+E245+E246+E247+E248+E249+E307+E308+E309+E310+E311+E320+E321+E322+E323+E326+E327+E328+E329+E336+E337+E338+E339+E367+E375+E376</f>
        <v>24422</v>
      </c>
      <c r="F387" s="1697">
        <f>F50+F51+F52+F53+F55+F58+F73+F102+F103+F127+F128+F129+F130+F131+F132+F133+F134+F141+F142+F143+F178+F179+F180+F181+F192+F209+F210+F211+F212+F230+F231+F232+F233+F234+F235+F236+F237+F238+F239+F240+F241+F242+F243+F244+F245+F246+F247+F248+F249+F307+F308+F309+F310+F311+F320+F321+F322+F323+F326+F327+F328+F329+F336+F337+F338+F339+F367+F375+F376+F277+F278+F279</f>
        <v>79133</v>
      </c>
      <c r="G387" s="1697">
        <f>G50+G51+G52+G53+G55+G58+G73+G102+G103+G127+G128+G129+G130+G131+G132+G133+G134+G141+G142+G143+G178+G179+G180+G181+G192+G209+G210+G211+G212+G230+G231+G232+G233+G234+G235+G236+G237+G238+G239+G240+G241+G242+G243+G244+G245+G246+G247+G248+G249+G307+G308+G309+G310+G311+G320+G321+G322+G323+G326+G327+G328+G329+G336+G337+G338+G339+G367+G375+G376+G277+G278+G279</f>
        <v>75890</v>
      </c>
      <c r="H387" s="2034">
        <f>G387/F387*100</f>
        <v>95.901836149267695</v>
      </c>
      <c r="J387" s="2019">
        <v>24422000</v>
      </c>
      <c r="K387" s="2019">
        <v>79134129.379999995</v>
      </c>
      <c r="L387" s="2019">
        <v>75889168.680000007</v>
      </c>
      <c r="M387" s="1938"/>
    </row>
    <row r="388" spans="1:13" ht="15" x14ac:dyDescent="0.2">
      <c r="A388" s="1696" t="s">
        <v>278</v>
      </c>
      <c r="B388" s="1695"/>
      <c r="C388" s="1694"/>
      <c r="D388" s="2020"/>
      <c r="E388" s="1697">
        <f>E104+E105+E106+E107+E108+E109+E110+E117+E144+E145+E146+E147+E148+E149+E250+E251+E252+E253+E254+E255+E256+E257+E258+E265+E266+E267+E268+E269+E270+E277+E278+E279+E287+E288+E298+E300+E312+E356+E357+E358+E359+E360+E377+E378+E379+E185</f>
        <v>100</v>
      </c>
      <c r="F388" s="1697">
        <f>F104+F105+F106+F107+F108+F109+F110+F117+F144+F145+F146+F147+F148+F149+F250+F251+F252+F253+F254+F255+F256+F257+F258+F265+F266+F267+F268+F269+F270+F287+F288+F298+F300+F312+F356+F357+F358+F359+F360+F377+F378+F379+F185</f>
        <v>183523</v>
      </c>
      <c r="G388" s="1697">
        <f>G104+G105+G106+G107+G108+G109+G110+G117+G144+G145+G146+G147+G148+G149+G250+G251+G252+G253+G254+G255+G256+G257+G258+G265+G266+G267+G268+G269+G270+G287+G288+G298+G300+G312+G356+G357+G358+G359+G360+G377+G378+G379+G185</f>
        <v>171071</v>
      </c>
      <c r="H388" s="2034">
        <f>G388/F388*100</f>
        <v>93.215019370869044</v>
      </c>
      <c r="J388" s="2019">
        <v>100000</v>
      </c>
      <c r="K388" s="2019">
        <v>183521959.38999999</v>
      </c>
      <c r="L388" s="2019">
        <v>171071592.11000001</v>
      </c>
      <c r="M388" s="1938"/>
    </row>
    <row r="389" spans="1:13" ht="15" x14ac:dyDescent="0.2">
      <c r="A389" s="1696" t="s">
        <v>488</v>
      </c>
      <c r="B389" s="1695"/>
      <c r="C389" s="1694"/>
      <c r="D389" s="2020"/>
      <c r="E389" s="1697">
        <f>E12</f>
        <v>0</v>
      </c>
      <c r="F389" s="1697">
        <f>F12</f>
        <v>0</v>
      </c>
      <c r="G389" s="1697">
        <f>G12</f>
        <v>207865</v>
      </c>
      <c r="H389" s="2034">
        <v>0</v>
      </c>
      <c r="J389" s="2019">
        <v>0</v>
      </c>
      <c r="K389" s="2019">
        <v>0</v>
      </c>
      <c r="L389" s="2019">
        <v>207865115.94999999</v>
      </c>
    </row>
    <row r="390" spans="1:13" ht="15" x14ac:dyDescent="0.2">
      <c r="A390" s="1696"/>
      <c r="B390" s="1695"/>
      <c r="C390" s="1694"/>
      <c r="D390" s="2020"/>
      <c r="E390" s="1697"/>
      <c r="F390" s="1697"/>
      <c r="G390" s="1697"/>
      <c r="H390" s="1693"/>
    </row>
    <row r="391" spans="1:13" ht="24" customHeight="1" thickBot="1" x14ac:dyDescent="0.4">
      <c r="A391" s="2746" t="s">
        <v>321</v>
      </c>
      <c r="B391" s="2746"/>
      <c r="C391" s="2746"/>
      <c r="D391" s="2746"/>
      <c r="E391" s="1687">
        <f>SUM(E386)</f>
        <v>24522</v>
      </c>
      <c r="F391" s="1687">
        <f>SUM(F386)</f>
        <v>262656</v>
      </c>
      <c r="G391" s="1687">
        <f>SUM(G386)</f>
        <v>454826</v>
      </c>
      <c r="H391" s="1686">
        <f>(G391/F391)*100</f>
        <v>173.16413864522417</v>
      </c>
    </row>
    <row r="392" spans="1:13" ht="13.5" thickTop="1" x14ac:dyDescent="0.2"/>
  </sheetData>
  <mergeCells count="30">
    <mergeCell ref="A44:D44"/>
    <mergeCell ref="A1:H1"/>
    <mergeCell ref="A13:D13"/>
    <mergeCell ref="A22:D22"/>
    <mergeCell ref="A30:D30"/>
    <mergeCell ref="A37:D37"/>
    <mergeCell ref="A259:D259"/>
    <mergeCell ref="A80:D80"/>
    <mergeCell ref="A96:D96"/>
    <mergeCell ref="A111:D111"/>
    <mergeCell ref="A121:D121"/>
    <mergeCell ref="A135:D135"/>
    <mergeCell ref="A171:D171"/>
    <mergeCell ref="A186:D186"/>
    <mergeCell ref="A193:D193"/>
    <mergeCell ref="A203:D203"/>
    <mergeCell ref="A213:D213"/>
    <mergeCell ref="A224:D224"/>
    <mergeCell ref="A391:D391"/>
    <mergeCell ref="A271:D271"/>
    <mergeCell ref="A281:D281"/>
    <mergeCell ref="A291:D291"/>
    <mergeCell ref="A301:D301"/>
    <mergeCell ref="A314:D314"/>
    <mergeCell ref="A330:D330"/>
    <mergeCell ref="A340:D340"/>
    <mergeCell ref="A350:D350"/>
    <mergeCell ref="A361:D361"/>
    <mergeCell ref="A369:D369"/>
    <mergeCell ref="A380:D380"/>
  </mergeCells>
  <pageMargins left="0.98425196850393704" right="0.78740157480314965" top="0.98425196850393704" bottom="0.98425196850393704" header="0.51181102362204722" footer="0.51181102362204722"/>
  <pageSetup paperSize="9" scale="64" firstPageNumber="140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3" manualBreakCount="3">
    <brk id="135" max="7" man="1"/>
    <brk id="244" max="7" man="1"/>
    <brk id="314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40"/>
  <sheetViews>
    <sheetView showGridLines="0" view="pageBreakPreview" zoomScaleNormal="100" zoomScaleSheetLayoutView="100" workbookViewId="0">
      <selection activeCell="J113" sqref="J113:L115"/>
    </sheetView>
  </sheetViews>
  <sheetFormatPr defaultRowHeight="12.75" x14ac:dyDescent="0.2"/>
  <cols>
    <col min="1" max="1" width="4.7109375" style="1936" customWidth="1"/>
    <col min="2" max="2" width="6.140625" style="1936" customWidth="1"/>
    <col min="3" max="3" width="8.7109375" style="1936" customWidth="1"/>
    <col min="4" max="4" width="42" style="1937" customWidth="1"/>
    <col min="5" max="5" width="10.42578125" style="1970" customWidth="1"/>
    <col min="6" max="6" width="15.85546875" style="1970" customWidth="1"/>
    <col min="7" max="7" width="14.42578125" style="1970" customWidth="1"/>
    <col min="8" max="8" width="8.140625" style="1937" customWidth="1"/>
    <col min="9" max="9" width="14.28515625" style="1937" bestFit="1" customWidth="1"/>
    <col min="10" max="10" width="9.140625" style="1937"/>
    <col min="11" max="12" width="17.28515625" style="1937" bestFit="1" customWidth="1"/>
    <col min="13" max="256" width="9.140625" style="1937"/>
    <col min="257" max="257" width="4.7109375" style="1937" customWidth="1"/>
    <col min="258" max="258" width="6.140625" style="1937" customWidth="1"/>
    <col min="259" max="259" width="8.7109375" style="1937" customWidth="1"/>
    <col min="260" max="260" width="42" style="1937" customWidth="1"/>
    <col min="261" max="261" width="10.42578125" style="1937" customWidth="1"/>
    <col min="262" max="262" width="15.85546875" style="1937" customWidth="1"/>
    <col min="263" max="263" width="14.42578125" style="1937" customWidth="1"/>
    <col min="264" max="264" width="6.42578125" style="1937" customWidth="1"/>
    <col min="265" max="265" width="14.28515625" style="1937" bestFit="1" customWidth="1"/>
    <col min="266" max="266" width="9.140625" style="1937"/>
    <col min="267" max="268" width="17.28515625" style="1937" bestFit="1" customWidth="1"/>
    <col min="269" max="512" width="9.140625" style="1937"/>
    <col min="513" max="513" width="4.7109375" style="1937" customWidth="1"/>
    <col min="514" max="514" width="6.140625" style="1937" customWidth="1"/>
    <col min="515" max="515" width="8.7109375" style="1937" customWidth="1"/>
    <col min="516" max="516" width="42" style="1937" customWidth="1"/>
    <col min="517" max="517" width="10.42578125" style="1937" customWidth="1"/>
    <col min="518" max="518" width="15.85546875" style="1937" customWidth="1"/>
    <col min="519" max="519" width="14.42578125" style="1937" customWidth="1"/>
    <col min="520" max="520" width="6.42578125" style="1937" customWidth="1"/>
    <col min="521" max="521" width="14.28515625" style="1937" bestFit="1" customWidth="1"/>
    <col min="522" max="522" width="9.140625" style="1937"/>
    <col min="523" max="524" width="17.28515625" style="1937" bestFit="1" customWidth="1"/>
    <col min="525" max="768" width="9.140625" style="1937"/>
    <col min="769" max="769" width="4.7109375" style="1937" customWidth="1"/>
    <col min="770" max="770" width="6.140625" style="1937" customWidth="1"/>
    <col min="771" max="771" width="8.7109375" style="1937" customWidth="1"/>
    <col min="772" max="772" width="42" style="1937" customWidth="1"/>
    <col min="773" max="773" width="10.42578125" style="1937" customWidth="1"/>
    <col min="774" max="774" width="15.85546875" style="1937" customWidth="1"/>
    <col min="775" max="775" width="14.42578125" style="1937" customWidth="1"/>
    <col min="776" max="776" width="6.42578125" style="1937" customWidth="1"/>
    <col min="777" max="777" width="14.28515625" style="1937" bestFit="1" customWidth="1"/>
    <col min="778" max="778" width="9.140625" style="1937"/>
    <col min="779" max="780" width="17.28515625" style="1937" bestFit="1" customWidth="1"/>
    <col min="781" max="1024" width="9.140625" style="1937"/>
    <col min="1025" max="1025" width="4.7109375" style="1937" customWidth="1"/>
    <col min="1026" max="1026" width="6.140625" style="1937" customWidth="1"/>
    <col min="1027" max="1027" width="8.7109375" style="1937" customWidth="1"/>
    <col min="1028" max="1028" width="42" style="1937" customWidth="1"/>
    <col min="1029" max="1029" width="10.42578125" style="1937" customWidth="1"/>
    <col min="1030" max="1030" width="15.85546875" style="1937" customWidth="1"/>
    <col min="1031" max="1031" width="14.42578125" style="1937" customWidth="1"/>
    <col min="1032" max="1032" width="6.42578125" style="1937" customWidth="1"/>
    <col min="1033" max="1033" width="14.28515625" style="1937" bestFit="1" customWidth="1"/>
    <col min="1034" max="1034" width="9.140625" style="1937"/>
    <col min="1035" max="1036" width="17.28515625" style="1937" bestFit="1" customWidth="1"/>
    <col min="1037" max="1280" width="9.140625" style="1937"/>
    <col min="1281" max="1281" width="4.7109375" style="1937" customWidth="1"/>
    <col min="1282" max="1282" width="6.140625" style="1937" customWidth="1"/>
    <col min="1283" max="1283" width="8.7109375" style="1937" customWidth="1"/>
    <col min="1284" max="1284" width="42" style="1937" customWidth="1"/>
    <col min="1285" max="1285" width="10.42578125" style="1937" customWidth="1"/>
    <col min="1286" max="1286" width="15.85546875" style="1937" customWidth="1"/>
    <col min="1287" max="1287" width="14.42578125" style="1937" customWidth="1"/>
    <col min="1288" max="1288" width="6.42578125" style="1937" customWidth="1"/>
    <col min="1289" max="1289" width="14.28515625" style="1937" bestFit="1" customWidth="1"/>
    <col min="1290" max="1290" width="9.140625" style="1937"/>
    <col min="1291" max="1292" width="17.28515625" style="1937" bestFit="1" customWidth="1"/>
    <col min="1293" max="1536" width="9.140625" style="1937"/>
    <col min="1537" max="1537" width="4.7109375" style="1937" customWidth="1"/>
    <col min="1538" max="1538" width="6.140625" style="1937" customWidth="1"/>
    <col min="1539" max="1539" width="8.7109375" style="1937" customWidth="1"/>
    <col min="1540" max="1540" width="42" style="1937" customWidth="1"/>
    <col min="1541" max="1541" width="10.42578125" style="1937" customWidth="1"/>
    <col min="1542" max="1542" width="15.85546875" style="1937" customWidth="1"/>
    <col min="1543" max="1543" width="14.42578125" style="1937" customWidth="1"/>
    <col min="1544" max="1544" width="6.42578125" style="1937" customWidth="1"/>
    <col min="1545" max="1545" width="14.28515625" style="1937" bestFit="1" customWidth="1"/>
    <col min="1546" max="1546" width="9.140625" style="1937"/>
    <col min="1547" max="1548" width="17.28515625" style="1937" bestFit="1" customWidth="1"/>
    <col min="1549" max="1792" width="9.140625" style="1937"/>
    <col min="1793" max="1793" width="4.7109375" style="1937" customWidth="1"/>
    <col min="1794" max="1794" width="6.140625" style="1937" customWidth="1"/>
    <col min="1795" max="1795" width="8.7109375" style="1937" customWidth="1"/>
    <col min="1796" max="1796" width="42" style="1937" customWidth="1"/>
    <col min="1797" max="1797" width="10.42578125" style="1937" customWidth="1"/>
    <col min="1798" max="1798" width="15.85546875" style="1937" customWidth="1"/>
    <col min="1799" max="1799" width="14.42578125" style="1937" customWidth="1"/>
    <col min="1800" max="1800" width="6.42578125" style="1937" customWidth="1"/>
    <col min="1801" max="1801" width="14.28515625" style="1937" bestFit="1" customWidth="1"/>
    <col min="1802" max="1802" width="9.140625" style="1937"/>
    <col min="1803" max="1804" width="17.28515625" style="1937" bestFit="1" customWidth="1"/>
    <col min="1805" max="2048" width="9.140625" style="1937"/>
    <col min="2049" max="2049" width="4.7109375" style="1937" customWidth="1"/>
    <col min="2050" max="2050" width="6.140625" style="1937" customWidth="1"/>
    <col min="2051" max="2051" width="8.7109375" style="1937" customWidth="1"/>
    <col min="2052" max="2052" width="42" style="1937" customWidth="1"/>
    <col min="2053" max="2053" width="10.42578125" style="1937" customWidth="1"/>
    <col min="2054" max="2054" width="15.85546875" style="1937" customWidth="1"/>
    <col min="2055" max="2055" width="14.42578125" style="1937" customWidth="1"/>
    <col min="2056" max="2056" width="6.42578125" style="1937" customWidth="1"/>
    <col min="2057" max="2057" width="14.28515625" style="1937" bestFit="1" customWidth="1"/>
    <col min="2058" max="2058" width="9.140625" style="1937"/>
    <col min="2059" max="2060" width="17.28515625" style="1937" bestFit="1" customWidth="1"/>
    <col min="2061" max="2304" width="9.140625" style="1937"/>
    <col min="2305" max="2305" width="4.7109375" style="1937" customWidth="1"/>
    <col min="2306" max="2306" width="6.140625" style="1937" customWidth="1"/>
    <col min="2307" max="2307" width="8.7109375" style="1937" customWidth="1"/>
    <col min="2308" max="2308" width="42" style="1937" customWidth="1"/>
    <col min="2309" max="2309" width="10.42578125" style="1937" customWidth="1"/>
    <col min="2310" max="2310" width="15.85546875" style="1937" customWidth="1"/>
    <col min="2311" max="2311" width="14.42578125" style="1937" customWidth="1"/>
    <col min="2312" max="2312" width="6.42578125" style="1937" customWidth="1"/>
    <col min="2313" max="2313" width="14.28515625" style="1937" bestFit="1" customWidth="1"/>
    <col min="2314" max="2314" width="9.140625" style="1937"/>
    <col min="2315" max="2316" width="17.28515625" style="1937" bestFit="1" customWidth="1"/>
    <col min="2317" max="2560" width="9.140625" style="1937"/>
    <col min="2561" max="2561" width="4.7109375" style="1937" customWidth="1"/>
    <col min="2562" max="2562" width="6.140625" style="1937" customWidth="1"/>
    <col min="2563" max="2563" width="8.7109375" style="1937" customWidth="1"/>
    <col min="2564" max="2564" width="42" style="1937" customWidth="1"/>
    <col min="2565" max="2565" width="10.42578125" style="1937" customWidth="1"/>
    <col min="2566" max="2566" width="15.85546875" style="1937" customWidth="1"/>
    <col min="2567" max="2567" width="14.42578125" style="1937" customWidth="1"/>
    <col min="2568" max="2568" width="6.42578125" style="1937" customWidth="1"/>
    <col min="2569" max="2569" width="14.28515625" style="1937" bestFit="1" customWidth="1"/>
    <col min="2570" max="2570" width="9.140625" style="1937"/>
    <col min="2571" max="2572" width="17.28515625" style="1937" bestFit="1" customWidth="1"/>
    <col min="2573" max="2816" width="9.140625" style="1937"/>
    <col min="2817" max="2817" width="4.7109375" style="1937" customWidth="1"/>
    <col min="2818" max="2818" width="6.140625" style="1937" customWidth="1"/>
    <col min="2819" max="2819" width="8.7109375" style="1937" customWidth="1"/>
    <col min="2820" max="2820" width="42" style="1937" customWidth="1"/>
    <col min="2821" max="2821" width="10.42578125" style="1937" customWidth="1"/>
    <col min="2822" max="2822" width="15.85546875" style="1937" customWidth="1"/>
    <col min="2823" max="2823" width="14.42578125" style="1937" customWidth="1"/>
    <col min="2824" max="2824" width="6.42578125" style="1937" customWidth="1"/>
    <col min="2825" max="2825" width="14.28515625" style="1937" bestFit="1" customWidth="1"/>
    <col min="2826" max="2826" width="9.140625" style="1937"/>
    <col min="2827" max="2828" width="17.28515625" style="1937" bestFit="1" customWidth="1"/>
    <col min="2829" max="3072" width="9.140625" style="1937"/>
    <col min="3073" max="3073" width="4.7109375" style="1937" customWidth="1"/>
    <col min="3074" max="3074" width="6.140625" style="1937" customWidth="1"/>
    <col min="3075" max="3075" width="8.7109375" style="1937" customWidth="1"/>
    <col min="3076" max="3076" width="42" style="1937" customWidth="1"/>
    <col min="3077" max="3077" width="10.42578125" style="1937" customWidth="1"/>
    <col min="3078" max="3078" width="15.85546875" style="1937" customWidth="1"/>
    <col min="3079" max="3079" width="14.42578125" style="1937" customWidth="1"/>
    <col min="3080" max="3080" width="6.42578125" style="1937" customWidth="1"/>
    <col min="3081" max="3081" width="14.28515625" style="1937" bestFit="1" customWidth="1"/>
    <col min="3082" max="3082" width="9.140625" style="1937"/>
    <col min="3083" max="3084" width="17.28515625" style="1937" bestFit="1" customWidth="1"/>
    <col min="3085" max="3328" width="9.140625" style="1937"/>
    <col min="3329" max="3329" width="4.7109375" style="1937" customWidth="1"/>
    <col min="3330" max="3330" width="6.140625" style="1937" customWidth="1"/>
    <col min="3331" max="3331" width="8.7109375" style="1937" customWidth="1"/>
    <col min="3332" max="3332" width="42" style="1937" customWidth="1"/>
    <col min="3333" max="3333" width="10.42578125" style="1937" customWidth="1"/>
    <col min="3334" max="3334" width="15.85546875" style="1937" customWidth="1"/>
    <col min="3335" max="3335" width="14.42578125" style="1937" customWidth="1"/>
    <col min="3336" max="3336" width="6.42578125" style="1937" customWidth="1"/>
    <col min="3337" max="3337" width="14.28515625" style="1937" bestFit="1" customWidth="1"/>
    <col min="3338" max="3338" width="9.140625" style="1937"/>
    <col min="3339" max="3340" width="17.28515625" style="1937" bestFit="1" customWidth="1"/>
    <col min="3341" max="3584" width="9.140625" style="1937"/>
    <col min="3585" max="3585" width="4.7109375" style="1937" customWidth="1"/>
    <col min="3586" max="3586" width="6.140625" style="1937" customWidth="1"/>
    <col min="3587" max="3587" width="8.7109375" style="1937" customWidth="1"/>
    <col min="3588" max="3588" width="42" style="1937" customWidth="1"/>
    <col min="3589" max="3589" width="10.42578125" style="1937" customWidth="1"/>
    <col min="3590" max="3590" width="15.85546875" style="1937" customWidth="1"/>
    <col min="3591" max="3591" width="14.42578125" style="1937" customWidth="1"/>
    <col min="3592" max="3592" width="6.42578125" style="1937" customWidth="1"/>
    <col min="3593" max="3593" width="14.28515625" style="1937" bestFit="1" customWidth="1"/>
    <col min="3594" max="3594" width="9.140625" style="1937"/>
    <col min="3595" max="3596" width="17.28515625" style="1937" bestFit="1" customWidth="1"/>
    <col min="3597" max="3840" width="9.140625" style="1937"/>
    <col min="3841" max="3841" width="4.7109375" style="1937" customWidth="1"/>
    <col min="3842" max="3842" width="6.140625" style="1937" customWidth="1"/>
    <col min="3843" max="3843" width="8.7109375" style="1937" customWidth="1"/>
    <col min="3844" max="3844" width="42" style="1937" customWidth="1"/>
    <col min="3845" max="3845" width="10.42578125" style="1937" customWidth="1"/>
    <col min="3846" max="3846" width="15.85546875" style="1937" customWidth="1"/>
    <col min="3847" max="3847" width="14.42578125" style="1937" customWidth="1"/>
    <col min="3848" max="3848" width="6.42578125" style="1937" customWidth="1"/>
    <col min="3849" max="3849" width="14.28515625" style="1937" bestFit="1" customWidth="1"/>
    <col min="3850" max="3850" width="9.140625" style="1937"/>
    <col min="3851" max="3852" width="17.28515625" style="1937" bestFit="1" customWidth="1"/>
    <col min="3853" max="4096" width="9.140625" style="1937"/>
    <col min="4097" max="4097" width="4.7109375" style="1937" customWidth="1"/>
    <col min="4098" max="4098" width="6.140625" style="1937" customWidth="1"/>
    <col min="4099" max="4099" width="8.7109375" style="1937" customWidth="1"/>
    <col min="4100" max="4100" width="42" style="1937" customWidth="1"/>
    <col min="4101" max="4101" width="10.42578125" style="1937" customWidth="1"/>
    <col min="4102" max="4102" width="15.85546875" style="1937" customWidth="1"/>
    <col min="4103" max="4103" width="14.42578125" style="1937" customWidth="1"/>
    <col min="4104" max="4104" width="6.42578125" style="1937" customWidth="1"/>
    <col min="4105" max="4105" width="14.28515625" style="1937" bestFit="1" customWidth="1"/>
    <col min="4106" max="4106" width="9.140625" style="1937"/>
    <col min="4107" max="4108" width="17.28515625" style="1937" bestFit="1" customWidth="1"/>
    <col min="4109" max="4352" width="9.140625" style="1937"/>
    <col min="4353" max="4353" width="4.7109375" style="1937" customWidth="1"/>
    <col min="4354" max="4354" width="6.140625" style="1937" customWidth="1"/>
    <col min="4355" max="4355" width="8.7109375" style="1937" customWidth="1"/>
    <col min="4356" max="4356" width="42" style="1937" customWidth="1"/>
    <col min="4357" max="4357" width="10.42578125" style="1937" customWidth="1"/>
    <col min="4358" max="4358" width="15.85546875" style="1937" customWidth="1"/>
    <col min="4359" max="4359" width="14.42578125" style="1937" customWidth="1"/>
    <col min="4360" max="4360" width="6.42578125" style="1937" customWidth="1"/>
    <col min="4361" max="4361" width="14.28515625" style="1937" bestFit="1" customWidth="1"/>
    <col min="4362" max="4362" width="9.140625" style="1937"/>
    <col min="4363" max="4364" width="17.28515625" style="1937" bestFit="1" customWidth="1"/>
    <col min="4365" max="4608" width="9.140625" style="1937"/>
    <col min="4609" max="4609" width="4.7109375" style="1937" customWidth="1"/>
    <col min="4610" max="4610" width="6.140625" style="1937" customWidth="1"/>
    <col min="4611" max="4611" width="8.7109375" style="1937" customWidth="1"/>
    <col min="4612" max="4612" width="42" style="1937" customWidth="1"/>
    <col min="4613" max="4613" width="10.42578125" style="1937" customWidth="1"/>
    <col min="4614" max="4614" width="15.85546875" style="1937" customWidth="1"/>
    <col min="4615" max="4615" width="14.42578125" style="1937" customWidth="1"/>
    <col min="4616" max="4616" width="6.42578125" style="1937" customWidth="1"/>
    <col min="4617" max="4617" width="14.28515625" style="1937" bestFit="1" customWidth="1"/>
    <col min="4618" max="4618" width="9.140625" style="1937"/>
    <col min="4619" max="4620" width="17.28515625" style="1937" bestFit="1" customWidth="1"/>
    <col min="4621" max="4864" width="9.140625" style="1937"/>
    <col min="4865" max="4865" width="4.7109375" style="1937" customWidth="1"/>
    <col min="4866" max="4866" width="6.140625" style="1937" customWidth="1"/>
    <col min="4867" max="4867" width="8.7109375" style="1937" customWidth="1"/>
    <col min="4868" max="4868" width="42" style="1937" customWidth="1"/>
    <col min="4869" max="4869" width="10.42578125" style="1937" customWidth="1"/>
    <col min="4870" max="4870" width="15.85546875" style="1937" customWidth="1"/>
    <col min="4871" max="4871" width="14.42578125" style="1937" customWidth="1"/>
    <col min="4872" max="4872" width="6.42578125" style="1937" customWidth="1"/>
    <col min="4873" max="4873" width="14.28515625" style="1937" bestFit="1" customWidth="1"/>
    <col min="4874" max="4874" width="9.140625" style="1937"/>
    <col min="4875" max="4876" width="17.28515625" style="1937" bestFit="1" customWidth="1"/>
    <col min="4877" max="5120" width="9.140625" style="1937"/>
    <col min="5121" max="5121" width="4.7109375" style="1937" customWidth="1"/>
    <col min="5122" max="5122" width="6.140625" style="1937" customWidth="1"/>
    <col min="5123" max="5123" width="8.7109375" style="1937" customWidth="1"/>
    <col min="5124" max="5124" width="42" style="1937" customWidth="1"/>
    <col min="5125" max="5125" width="10.42578125" style="1937" customWidth="1"/>
    <col min="5126" max="5126" width="15.85546875" style="1937" customWidth="1"/>
    <col min="5127" max="5127" width="14.42578125" style="1937" customWidth="1"/>
    <col min="5128" max="5128" width="6.42578125" style="1937" customWidth="1"/>
    <col min="5129" max="5129" width="14.28515625" style="1937" bestFit="1" customWidth="1"/>
    <col min="5130" max="5130" width="9.140625" style="1937"/>
    <col min="5131" max="5132" width="17.28515625" style="1937" bestFit="1" customWidth="1"/>
    <col min="5133" max="5376" width="9.140625" style="1937"/>
    <col min="5377" max="5377" width="4.7109375" style="1937" customWidth="1"/>
    <col min="5378" max="5378" width="6.140625" style="1937" customWidth="1"/>
    <col min="5379" max="5379" width="8.7109375" style="1937" customWidth="1"/>
    <col min="5380" max="5380" width="42" style="1937" customWidth="1"/>
    <col min="5381" max="5381" width="10.42578125" style="1937" customWidth="1"/>
    <col min="5382" max="5382" width="15.85546875" style="1937" customWidth="1"/>
    <col min="5383" max="5383" width="14.42578125" style="1937" customWidth="1"/>
    <col min="5384" max="5384" width="6.42578125" style="1937" customWidth="1"/>
    <col min="5385" max="5385" width="14.28515625" style="1937" bestFit="1" customWidth="1"/>
    <col min="5386" max="5386" width="9.140625" style="1937"/>
    <col min="5387" max="5388" width="17.28515625" style="1937" bestFit="1" customWidth="1"/>
    <col min="5389" max="5632" width="9.140625" style="1937"/>
    <col min="5633" max="5633" width="4.7109375" style="1937" customWidth="1"/>
    <col min="5634" max="5634" width="6.140625" style="1937" customWidth="1"/>
    <col min="5635" max="5635" width="8.7109375" style="1937" customWidth="1"/>
    <col min="5636" max="5636" width="42" style="1937" customWidth="1"/>
    <col min="5637" max="5637" width="10.42578125" style="1937" customWidth="1"/>
    <col min="5638" max="5638" width="15.85546875" style="1937" customWidth="1"/>
    <col min="5639" max="5639" width="14.42578125" style="1937" customWidth="1"/>
    <col min="5640" max="5640" width="6.42578125" style="1937" customWidth="1"/>
    <col min="5641" max="5641" width="14.28515625" style="1937" bestFit="1" customWidth="1"/>
    <col min="5642" max="5642" width="9.140625" style="1937"/>
    <col min="5643" max="5644" width="17.28515625" style="1937" bestFit="1" customWidth="1"/>
    <col min="5645" max="5888" width="9.140625" style="1937"/>
    <col min="5889" max="5889" width="4.7109375" style="1937" customWidth="1"/>
    <col min="5890" max="5890" width="6.140625" style="1937" customWidth="1"/>
    <col min="5891" max="5891" width="8.7109375" style="1937" customWidth="1"/>
    <col min="5892" max="5892" width="42" style="1937" customWidth="1"/>
    <col min="5893" max="5893" width="10.42578125" style="1937" customWidth="1"/>
    <col min="5894" max="5894" width="15.85546875" style="1937" customWidth="1"/>
    <col min="5895" max="5895" width="14.42578125" style="1937" customWidth="1"/>
    <col min="5896" max="5896" width="6.42578125" style="1937" customWidth="1"/>
    <col min="5897" max="5897" width="14.28515625" style="1937" bestFit="1" customWidth="1"/>
    <col min="5898" max="5898" width="9.140625" style="1937"/>
    <col min="5899" max="5900" width="17.28515625" style="1937" bestFit="1" customWidth="1"/>
    <col min="5901" max="6144" width="9.140625" style="1937"/>
    <col min="6145" max="6145" width="4.7109375" style="1937" customWidth="1"/>
    <col min="6146" max="6146" width="6.140625" style="1937" customWidth="1"/>
    <col min="6147" max="6147" width="8.7109375" style="1937" customWidth="1"/>
    <col min="6148" max="6148" width="42" style="1937" customWidth="1"/>
    <col min="6149" max="6149" width="10.42578125" style="1937" customWidth="1"/>
    <col min="6150" max="6150" width="15.85546875" style="1937" customWidth="1"/>
    <col min="6151" max="6151" width="14.42578125" style="1937" customWidth="1"/>
    <col min="6152" max="6152" width="6.42578125" style="1937" customWidth="1"/>
    <col min="6153" max="6153" width="14.28515625" style="1937" bestFit="1" customWidth="1"/>
    <col min="6154" max="6154" width="9.140625" style="1937"/>
    <col min="6155" max="6156" width="17.28515625" style="1937" bestFit="1" customWidth="1"/>
    <col min="6157" max="6400" width="9.140625" style="1937"/>
    <col min="6401" max="6401" width="4.7109375" style="1937" customWidth="1"/>
    <col min="6402" max="6402" width="6.140625" style="1937" customWidth="1"/>
    <col min="6403" max="6403" width="8.7109375" style="1937" customWidth="1"/>
    <col min="6404" max="6404" width="42" style="1937" customWidth="1"/>
    <col min="6405" max="6405" width="10.42578125" style="1937" customWidth="1"/>
    <col min="6406" max="6406" width="15.85546875" style="1937" customWidth="1"/>
    <col min="6407" max="6407" width="14.42578125" style="1937" customWidth="1"/>
    <col min="6408" max="6408" width="6.42578125" style="1937" customWidth="1"/>
    <col min="6409" max="6409" width="14.28515625" style="1937" bestFit="1" customWidth="1"/>
    <col min="6410" max="6410" width="9.140625" style="1937"/>
    <col min="6411" max="6412" width="17.28515625" style="1937" bestFit="1" customWidth="1"/>
    <col min="6413" max="6656" width="9.140625" style="1937"/>
    <col min="6657" max="6657" width="4.7109375" style="1937" customWidth="1"/>
    <col min="6658" max="6658" width="6.140625" style="1937" customWidth="1"/>
    <col min="6659" max="6659" width="8.7109375" style="1937" customWidth="1"/>
    <col min="6660" max="6660" width="42" style="1937" customWidth="1"/>
    <col min="6661" max="6661" width="10.42578125" style="1937" customWidth="1"/>
    <col min="6662" max="6662" width="15.85546875" style="1937" customWidth="1"/>
    <col min="6663" max="6663" width="14.42578125" style="1937" customWidth="1"/>
    <col min="6664" max="6664" width="6.42578125" style="1937" customWidth="1"/>
    <col min="6665" max="6665" width="14.28515625" style="1937" bestFit="1" customWidth="1"/>
    <col min="6666" max="6666" width="9.140625" style="1937"/>
    <col min="6667" max="6668" width="17.28515625" style="1937" bestFit="1" customWidth="1"/>
    <col min="6669" max="6912" width="9.140625" style="1937"/>
    <col min="6913" max="6913" width="4.7109375" style="1937" customWidth="1"/>
    <col min="6914" max="6914" width="6.140625" style="1937" customWidth="1"/>
    <col min="6915" max="6915" width="8.7109375" style="1937" customWidth="1"/>
    <col min="6916" max="6916" width="42" style="1937" customWidth="1"/>
    <col min="6917" max="6917" width="10.42578125" style="1937" customWidth="1"/>
    <col min="6918" max="6918" width="15.85546875" style="1937" customWidth="1"/>
    <col min="6919" max="6919" width="14.42578125" style="1937" customWidth="1"/>
    <col min="6920" max="6920" width="6.42578125" style="1937" customWidth="1"/>
    <col min="6921" max="6921" width="14.28515625" style="1937" bestFit="1" customWidth="1"/>
    <col min="6922" max="6922" width="9.140625" style="1937"/>
    <col min="6923" max="6924" width="17.28515625" style="1937" bestFit="1" customWidth="1"/>
    <col min="6925" max="7168" width="9.140625" style="1937"/>
    <col min="7169" max="7169" width="4.7109375" style="1937" customWidth="1"/>
    <col min="7170" max="7170" width="6.140625" style="1937" customWidth="1"/>
    <col min="7171" max="7171" width="8.7109375" style="1937" customWidth="1"/>
    <col min="7172" max="7172" width="42" style="1937" customWidth="1"/>
    <col min="7173" max="7173" width="10.42578125" style="1937" customWidth="1"/>
    <col min="7174" max="7174" width="15.85546875" style="1937" customWidth="1"/>
    <col min="7175" max="7175" width="14.42578125" style="1937" customWidth="1"/>
    <col min="7176" max="7176" width="6.42578125" style="1937" customWidth="1"/>
    <col min="7177" max="7177" width="14.28515625" style="1937" bestFit="1" customWidth="1"/>
    <col min="7178" max="7178" width="9.140625" style="1937"/>
    <col min="7179" max="7180" width="17.28515625" style="1937" bestFit="1" customWidth="1"/>
    <col min="7181" max="7424" width="9.140625" style="1937"/>
    <col min="7425" max="7425" width="4.7109375" style="1937" customWidth="1"/>
    <col min="7426" max="7426" width="6.140625" style="1937" customWidth="1"/>
    <col min="7427" max="7427" width="8.7109375" style="1937" customWidth="1"/>
    <col min="7428" max="7428" width="42" style="1937" customWidth="1"/>
    <col min="7429" max="7429" width="10.42578125" style="1937" customWidth="1"/>
    <col min="7430" max="7430" width="15.85546875" style="1937" customWidth="1"/>
    <col min="7431" max="7431" width="14.42578125" style="1937" customWidth="1"/>
    <col min="7432" max="7432" width="6.42578125" style="1937" customWidth="1"/>
    <col min="7433" max="7433" width="14.28515625" style="1937" bestFit="1" customWidth="1"/>
    <col min="7434" max="7434" width="9.140625" style="1937"/>
    <col min="7435" max="7436" width="17.28515625" style="1937" bestFit="1" customWidth="1"/>
    <col min="7437" max="7680" width="9.140625" style="1937"/>
    <col min="7681" max="7681" width="4.7109375" style="1937" customWidth="1"/>
    <col min="7682" max="7682" width="6.140625" style="1937" customWidth="1"/>
    <col min="7683" max="7683" width="8.7109375" style="1937" customWidth="1"/>
    <col min="7684" max="7684" width="42" style="1937" customWidth="1"/>
    <col min="7685" max="7685" width="10.42578125" style="1937" customWidth="1"/>
    <col min="7686" max="7686" width="15.85546875" style="1937" customWidth="1"/>
    <col min="7687" max="7687" width="14.42578125" style="1937" customWidth="1"/>
    <col min="7688" max="7688" width="6.42578125" style="1937" customWidth="1"/>
    <col min="7689" max="7689" width="14.28515625" style="1937" bestFit="1" customWidth="1"/>
    <col min="7690" max="7690" width="9.140625" style="1937"/>
    <col min="7691" max="7692" width="17.28515625" style="1937" bestFit="1" customWidth="1"/>
    <col min="7693" max="7936" width="9.140625" style="1937"/>
    <col min="7937" max="7937" width="4.7109375" style="1937" customWidth="1"/>
    <col min="7938" max="7938" width="6.140625" style="1937" customWidth="1"/>
    <col min="7939" max="7939" width="8.7109375" style="1937" customWidth="1"/>
    <col min="7940" max="7940" width="42" style="1937" customWidth="1"/>
    <col min="7941" max="7941" width="10.42578125" style="1937" customWidth="1"/>
    <col min="7942" max="7942" width="15.85546875" style="1937" customWidth="1"/>
    <col min="7943" max="7943" width="14.42578125" style="1937" customWidth="1"/>
    <col min="7944" max="7944" width="6.42578125" style="1937" customWidth="1"/>
    <col min="7945" max="7945" width="14.28515625" style="1937" bestFit="1" customWidth="1"/>
    <col min="7946" max="7946" width="9.140625" style="1937"/>
    <col min="7947" max="7948" width="17.28515625" style="1937" bestFit="1" customWidth="1"/>
    <col min="7949" max="8192" width="9.140625" style="1937"/>
    <col min="8193" max="8193" width="4.7109375" style="1937" customWidth="1"/>
    <col min="8194" max="8194" width="6.140625" style="1937" customWidth="1"/>
    <col min="8195" max="8195" width="8.7109375" style="1937" customWidth="1"/>
    <col min="8196" max="8196" width="42" style="1937" customWidth="1"/>
    <col min="8197" max="8197" width="10.42578125" style="1937" customWidth="1"/>
    <col min="8198" max="8198" width="15.85546875" style="1937" customWidth="1"/>
    <col min="8199" max="8199" width="14.42578125" style="1937" customWidth="1"/>
    <col min="8200" max="8200" width="6.42578125" style="1937" customWidth="1"/>
    <col min="8201" max="8201" width="14.28515625" style="1937" bestFit="1" customWidth="1"/>
    <col min="8202" max="8202" width="9.140625" style="1937"/>
    <col min="8203" max="8204" width="17.28515625" style="1937" bestFit="1" customWidth="1"/>
    <col min="8205" max="8448" width="9.140625" style="1937"/>
    <col min="8449" max="8449" width="4.7109375" style="1937" customWidth="1"/>
    <col min="8450" max="8450" width="6.140625" style="1937" customWidth="1"/>
    <col min="8451" max="8451" width="8.7109375" style="1937" customWidth="1"/>
    <col min="8452" max="8452" width="42" style="1937" customWidth="1"/>
    <col min="8453" max="8453" width="10.42578125" style="1937" customWidth="1"/>
    <col min="8454" max="8454" width="15.85546875" style="1937" customWidth="1"/>
    <col min="8455" max="8455" width="14.42578125" style="1937" customWidth="1"/>
    <col min="8456" max="8456" width="6.42578125" style="1937" customWidth="1"/>
    <col min="8457" max="8457" width="14.28515625" style="1937" bestFit="1" customWidth="1"/>
    <col min="8458" max="8458" width="9.140625" style="1937"/>
    <col min="8459" max="8460" width="17.28515625" style="1937" bestFit="1" customWidth="1"/>
    <col min="8461" max="8704" width="9.140625" style="1937"/>
    <col min="8705" max="8705" width="4.7109375" style="1937" customWidth="1"/>
    <col min="8706" max="8706" width="6.140625" style="1937" customWidth="1"/>
    <col min="8707" max="8707" width="8.7109375" style="1937" customWidth="1"/>
    <col min="8708" max="8708" width="42" style="1937" customWidth="1"/>
    <col min="8709" max="8709" width="10.42578125" style="1937" customWidth="1"/>
    <col min="8710" max="8710" width="15.85546875" style="1937" customWidth="1"/>
    <col min="8711" max="8711" width="14.42578125" style="1937" customWidth="1"/>
    <col min="8712" max="8712" width="6.42578125" style="1937" customWidth="1"/>
    <col min="8713" max="8713" width="14.28515625" style="1937" bestFit="1" customWidth="1"/>
    <col min="8714" max="8714" width="9.140625" style="1937"/>
    <col min="8715" max="8716" width="17.28515625" style="1937" bestFit="1" customWidth="1"/>
    <col min="8717" max="8960" width="9.140625" style="1937"/>
    <col min="8961" max="8961" width="4.7109375" style="1937" customWidth="1"/>
    <col min="8962" max="8962" width="6.140625" style="1937" customWidth="1"/>
    <col min="8963" max="8963" width="8.7109375" style="1937" customWidth="1"/>
    <col min="8964" max="8964" width="42" style="1937" customWidth="1"/>
    <col min="8965" max="8965" width="10.42578125" style="1937" customWidth="1"/>
    <col min="8966" max="8966" width="15.85546875" style="1937" customWidth="1"/>
    <col min="8967" max="8967" width="14.42578125" style="1937" customWidth="1"/>
    <col min="8968" max="8968" width="6.42578125" style="1937" customWidth="1"/>
    <col min="8969" max="8969" width="14.28515625" style="1937" bestFit="1" customWidth="1"/>
    <col min="8970" max="8970" width="9.140625" style="1937"/>
    <col min="8971" max="8972" width="17.28515625" style="1937" bestFit="1" customWidth="1"/>
    <col min="8973" max="9216" width="9.140625" style="1937"/>
    <col min="9217" max="9217" width="4.7109375" style="1937" customWidth="1"/>
    <col min="9218" max="9218" width="6.140625" style="1937" customWidth="1"/>
    <col min="9219" max="9219" width="8.7109375" style="1937" customWidth="1"/>
    <col min="9220" max="9220" width="42" style="1937" customWidth="1"/>
    <col min="9221" max="9221" width="10.42578125" style="1937" customWidth="1"/>
    <col min="9222" max="9222" width="15.85546875" style="1937" customWidth="1"/>
    <col min="9223" max="9223" width="14.42578125" style="1937" customWidth="1"/>
    <col min="9224" max="9224" width="6.42578125" style="1937" customWidth="1"/>
    <col min="9225" max="9225" width="14.28515625" style="1937" bestFit="1" customWidth="1"/>
    <col min="9226" max="9226" width="9.140625" style="1937"/>
    <col min="9227" max="9228" width="17.28515625" style="1937" bestFit="1" customWidth="1"/>
    <col min="9229" max="9472" width="9.140625" style="1937"/>
    <col min="9473" max="9473" width="4.7109375" style="1937" customWidth="1"/>
    <col min="9474" max="9474" width="6.140625" style="1937" customWidth="1"/>
    <col min="9475" max="9475" width="8.7109375" style="1937" customWidth="1"/>
    <col min="9476" max="9476" width="42" style="1937" customWidth="1"/>
    <col min="9477" max="9477" width="10.42578125" style="1937" customWidth="1"/>
    <col min="9478" max="9478" width="15.85546875" style="1937" customWidth="1"/>
    <col min="9479" max="9479" width="14.42578125" style="1937" customWidth="1"/>
    <col min="9480" max="9480" width="6.42578125" style="1937" customWidth="1"/>
    <col min="9481" max="9481" width="14.28515625" style="1937" bestFit="1" customWidth="1"/>
    <col min="9482" max="9482" width="9.140625" style="1937"/>
    <col min="9483" max="9484" width="17.28515625" style="1937" bestFit="1" customWidth="1"/>
    <col min="9485" max="9728" width="9.140625" style="1937"/>
    <col min="9729" max="9729" width="4.7109375" style="1937" customWidth="1"/>
    <col min="9730" max="9730" width="6.140625" style="1937" customWidth="1"/>
    <col min="9731" max="9731" width="8.7109375" style="1937" customWidth="1"/>
    <col min="9732" max="9732" width="42" style="1937" customWidth="1"/>
    <col min="9733" max="9733" width="10.42578125" style="1937" customWidth="1"/>
    <col min="9734" max="9734" width="15.85546875" style="1937" customWidth="1"/>
    <col min="9735" max="9735" width="14.42578125" style="1937" customWidth="1"/>
    <col min="9736" max="9736" width="6.42578125" style="1937" customWidth="1"/>
    <col min="9737" max="9737" width="14.28515625" style="1937" bestFit="1" customWidth="1"/>
    <col min="9738" max="9738" width="9.140625" style="1937"/>
    <col min="9739" max="9740" width="17.28515625" style="1937" bestFit="1" customWidth="1"/>
    <col min="9741" max="9984" width="9.140625" style="1937"/>
    <col min="9985" max="9985" width="4.7109375" style="1937" customWidth="1"/>
    <col min="9986" max="9986" width="6.140625" style="1937" customWidth="1"/>
    <col min="9987" max="9987" width="8.7109375" style="1937" customWidth="1"/>
    <col min="9988" max="9988" width="42" style="1937" customWidth="1"/>
    <col min="9989" max="9989" width="10.42578125" style="1937" customWidth="1"/>
    <col min="9990" max="9990" width="15.85546875" style="1937" customWidth="1"/>
    <col min="9991" max="9991" width="14.42578125" style="1937" customWidth="1"/>
    <col min="9992" max="9992" width="6.42578125" style="1937" customWidth="1"/>
    <col min="9993" max="9993" width="14.28515625" style="1937" bestFit="1" customWidth="1"/>
    <col min="9994" max="9994" width="9.140625" style="1937"/>
    <col min="9995" max="9996" width="17.28515625" style="1937" bestFit="1" customWidth="1"/>
    <col min="9997" max="10240" width="9.140625" style="1937"/>
    <col min="10241" max="10241" width="4.7109375" style="1937" customWidth="1"/>
    <col min="10242" max="10242" width="6.140625" style="1937" customWidth="1"/>
    <col min="10243" max="10243" width="8.7109375" style="1937" customWidth="1"/>
    <col min="10244" max="10244" width="42" style="1937" customWidth="1"/>
    <col min="10245" max="10245" width="10.42578125" style="1937" customWidth="1"/>
    <col min="10246" max="10246" width="15.85546875" style="1937" customWidth="1"/>
    <col min="10247" max="10247" width="14.42578125" style="1937" customWidth="1"/>
    <col min="10248" max="10248" width="6.42578125" style="1937" customWidth="1"/>
    <col min="10249" max="10249" width="14.28515625" style="1937" bestFit="1" customWidth="1"/>
    <col min="10250" max="10250" width="9.140625" style="1937"/>
    <col min="10251" max="10252" width="17.28515625" style="1937" bestFit="1" customWidth="1"/>
    <col min="10253" max="10496" width="9.140625" style="1937"/>
    <col min="10497" max="10497" width="4.7109375" style="1937" customWidth="1"/>
    <col min="10498" max="10498" width="6.140625" style="1937" customWidth="1"/>
    <col min="10499" max="10499" width="8.7109375" style="1937" customWidth="1"/>
    <col min="10500" max="10500" width="42" style="1937" customWidth="1"/>
    <col min="10501" max="10501" width="10.42578125" style="1937" customWidth="1"/>
    <col min="10502" max="10502" width="15.85546875" style="1937" customWidth="1"/>
    <col min="10503" max="10503" width="14.42578125" style="1937" customWidth="1"/>
    <col min="10504" max="10504" width="6.42578125" style="1937" customWidth="1"/>
    <col min="10505" max="10505" width="14.28515625" style="1937" bestFit="1" customWidth="1"/>
    <col min="10506" max="10506" width="9.140625" style="1937"/>
    <col min="10507" max="10508" width="17.28515625" style="1937" bestFit="1" customWidth="1"/>
    <col min="10509" max="10752" width="9.140625" style="1937"/>
    <col min="10753" max="10753" width="4.7109375" style="1937" customWidth="1"/>
    <col min="10754" max="10754" width="6.140625" style="1937" customWidth="1"/>
    <col min="10755" max="10755" width="8.7109375" style="1937" customWidth="1"/>
    <col min="10756" max="10756" width="42" style="1937" customWidth="1"/>
    <col min="10757" max="10757" width="10.42578125" style="1937" customWidth="1"/>
    <col min="10758" max="10758" width="15.85546875" style="1937" customWidth="1"/>
    <col min="10759" max="10759" width="14.42578125" style="1937" customWidth="1"/>
    <col min="10760" max="10760" width="6.42578125" style="1937" customWidth="1"/>
    <col min="10761" max="10761" width="14.28515625" style="1937" bestFit="1" customWidth="1"/>
    <col min="10762" max="10762" width="9.140625" style="1937"/>
    <col min="10763" max="10764" width="17.28515625" style="1937" bestFit="1" customWidth="1"/>
    <col min="10765" max="11008" width="9.140625" style="1937"/>
    <col min="11009" max="11009" width="4.7109375" style="1937" customWidth="1"/>
    <col min="11010" max="11010" width="6.140625" style="1937" customWidth="1"/>
    <col min="11011" max="11011" width="8.7109375" style="1937" customWidth="1"/>
    <col min="11012" max="11012" width="42" style="1937" customWidth="1"/>
    <col min="11013" max="11013" width="10.42578125" style="1937" customWidth="1"/>
    <col min="11014" max="11014" width="15.85546875" style="1937" customWidth="1"/>
    <col min="11015" max="11015" width="14.42578125" style="1937" customWidth="1"/>
    <col min="11016" max="11016" width="6.42578125" style="1937" customWidth="1"/>
    <col min="11017" max="11017" width="14.28515625" style="1937" bestFit="1" customWidth="1"/>
    <col min="11018" max="11018" width="9.140625" style="1937"/>
    <col min="11019" max="11020" width="17.28515625" style="1937" bestFit="1" customWidth="1"/>
    <col min="11021" max="11264" width="9.140625" style="1937"/>
    <col min="11265" max="11265" width="4.7109375" style="1937" customWidth="1"/>
    <col min="11266" max="11266" width="6.140625" style="1937" customWidth="1"/>
    <col min="11267" max="11267" width="8.7109375" style="1937" customWidth="1"/>
    <col min="11268" max="11268" width="42" style="1937" customWidth="1"/>
    <col min="11269" max="11269" width="10.42578125" style="1937" customWidth="1"/>
    <col min="11270" max="11270" width="15.85546875" style="1937" customWidth="1"/>
    <col min="11271" max="11271" width="14.42578125" style="1937" customWidth="1"/>
    <col min="11272" max="11272" width="6.42578125" style="1937" customWidth="1"/>
    <col min="11273" max="11273" width="14.28515625" style="1937" bestFit="1" customWidth="1"/>
    <col min="11274" max="11274" width="9.140625" style="1937"/>
    <col min="11275" max="11276" width="17.28515625" style="1937" bestFit="1" customWidth="1"/>
    <col min="11277" max="11520" width="9.140625" style="1937"/>
    <col min="11521" max="11521" width="4.7109375" style="1937" customWidth="1"/>
    <col min="11522" max="11522" width="6.140625" style="1937" customWidth="1"/>
    <col min="11523" max="11523" width="8.7109375" style="1937" customWidth="1"/>
    <col min="11524" max="11524" width="42" style="1937" customWidth="1"/>
    <col min="11525" max="11525" width="10.42578125" style="1937" customWidth="1"/>
    <col min="11526" max="11526" width="15.85546875" style="1937" customWidth="1"/>
    <col min="11527" max="11527" width="14.42578125" style="1937" customWidth="1"/>
    <col min="11528" max="11528" width="6.42578125" style="1937" customWidth="1"/>
    <col min="11529" max="11529" width="14.28515625" style="1937" bestFit="1" customWidth="1"/>
    <col min="11530" max="11530" width="9.140625" style="1937"/>
    <col min="11531" max="11532" width="17.28515625" style="1937" bestFit="1" customWidth="1"/>
    <col min="11533" max="11776" width="9.140625" style="1937"/>
    <col min="11777" max="11777" width="4.7109375" style="1937" customWidth="1"/>
    <col min="11778" max="11778" width="6.140625" style="1937" customWidth="1"/>
    <col min="11779" max="11779" width="8.7109375" style="1937" customWidth="1"/>
    <col min="11780" max="11780" width="42" style="1937" customWidth="1"/>
    <col min="11781" max="11781" width="10.42578125" style="1937" customWidth="1"/>
    <col min="11782" max="11782" width="15.85546875" style="1937" customWidth="1"/>
    <col min="11783" max="11783" width="14.42578125" style="1937" customWidth="1"/>
    <col min="11784" max="11784" width="6.42578125" style="1937" customWidth="1"/>
    <col min="11785" max="11785" width="14.28515625" style="1937" bestFit="1" customWidth="1"/>
    <col min="11786" max="11786" width="9.140625" style="1937"/>
    <col min="11787" max="11788" width="17.28515625" style="1937" bestFit="1" customWidth="1"/>
    <col min="11789" max="12032" width="9.140625" style="1937"/>
    <col min="12033" max="12033" width="4.7109375" style="1937" customWidth="1"/>
    <col min="12034" max="12034" width="6.140625" style="1937" customWidth="1"/>
    <col min="12035" max="12035" width="8.7109375" style="1937" customWidth="1"/>
    <col min="12036" max="12036" width="42" style="1937" customWidth="1"/>
    <col min="12037" max="12037" width="10.42578125" style="1937" customWidth="1"/>
    <col min="12038" max="12038" width="15.85546875" style="1937" customWidth="1"/>
    <col min="12039" max="12039" width="14.42578125" style="1937" customWidth="1"/>
    <col min="12040" max="12040" width="6.42578125" style="1937" customWidth="1"/>
    <col min="12041" max="12041" width="14.28515625" style="1937" bestFit="1" customWidth="1"/>
    <col min="12042" max="12042" width="9.140625" style="1937"/>
    <col min="12043" max="12044" width="17.28515625" style="1937" bestFit="1" customWidth="1"/>
    <col min="12045" max="12288" width="9.140625" style="1937"/>
    <col min="12289" max="12289" width="4.7109375" style="1937" customWidth="1"/>
    <col min="12290" max="12290" width="6.140625" style="1937" customWidth="1"/>
    <col min="12291" max="12291" width="8.7109375" style="1937" customWidth="1"/>
    <col min="12292" max="12292" width="42" style="1937" customWidth="1"/>
    <col min="12293" max="12293" width="10.42578125" style="1937" customWidth="1"/>
    <col min="12294" max="12294" width="15.85546875" style="1937" customWidth="1"/>
    <col min="12295" max="12295" width="14.42578125" style="1937" customWidth="1"/>
    <col min="12296" max="12296" width="6.42578125" style="1937" customWidth="1"/>
    <col min="12297" max="12297" width="14.28515625" style="1937" bestFit="1" customWidth="1"/>
    <col min="12298" max="12298" width="9.140625" style="1937"/>
    <col min="12299" max="12300" width="17.28515625" style="1937" bestFit="1" customWidth="1"/>
    <col min="12301" max="12544" width="9.140625" style="1937"/>
    <col min="12545" max="12545" width="4.7109375" style="1937" customWidth="1"/>
    <col min="12546" max="12546" width="6.140625" style="1937" customWidth="1"/>
    <col min="12547" max="12547" width="8.7109375" style="1937" customWidth="1"/>
    <col min="12548" max="12548" width="42" style="1937" customWidth="1"/>
    <col min="12549" max="12549" width="10.42578125" style="1937" customWidth="1"/>
    <col min="12550" max="12550" width="15.85546875" style="1937" customWidth="1"/>
    <col min="12551" max="12551" width="14.42578125" style="1937" customWidth="1"/>
    <col min="12552" max="12552" width="6.42578125" style="1937" customWidth="1"/>
    <col min="12553" max="12553" width="14.28515625" style="1937" bestFit="1" customWidth="1"/>
    <col min="12554" max="12554" width="9.140625" style="1937"/>
    <col min="12555" max="12556" width="17.28515625" style="1937" bestFit="1" customWidth="1"/>
    <col min="12557" max="12800" width="9.140625" style="1937"/>
    <col min="12801" max="12801" width="4.7109375" style="1937" customWidth="1"/>
    <col min="12802" max="12802" width="6.140625" style="1937" customWidth="1"/>
    <col min="12803" max="12803" width="8.7109375" style="1937" customWidth="1"/>
    <col min="12804" max="12804" width="42" style="1937" customWidth="1"/>
    <col min="12805" max="12805" width="10.42578125" style="1937" customWidth="1"/>
    <col min="12806" max="12806" width="15.85546875" style="1937" customWidth="1"/>
    <col min="12807" max="12807" width="14.42578125" style="1937" customWidth="1"/>
    <col min="12808" max="12808" width="6.42578125" style="1937" customWidth="1"/>
    <col min="12809" max="12809" width="14.28515625" style="1937" bestFit="1" customWidth="1"/>
    <col min="12810" max="12810" width="9.140625" style="1937"/>
    <col min="12811" max="12812" width="17.28515625" style="1937" bestFit="1" customWidth="1"/>
    <col min="12813" max="13056" width="9.140625" style="1937"/>
    <col min="13057" max="13057" width="4.7109375" style="1937" customWidth="1"/>
    <col min="13058" max="13058" width="6.140625" style="1937" customWidth="1"/>
    <col min="13059" max="13059" width="8.7109375" style="1937" customWidth="1"/>
    <col min="13060" max="13060" width="42" style="1937" customWidth="1"/>
    <col min="13061" max="13061" width="10.42578125" style="1937" customWidth="1"/>
    <col min="13062" max="13062" width="15.85546875" style="1937" customWidth="1"/>
    <col min="13063" max="13063" width="14.42578125" style="1937" customWidth="1"/>
    <col min="13064" max="13064" width="6.42578125" style="1937" customWidth="1"/>
    <col min="13065" max="13065" width="14.28515625" style="1937" bestFit="1" customWidth="1"/>
    <col min="13066" max="13066" width="9.140625" style="1937"/>
    <col min="13067" max="13068" width="17.28515625" style="1937" bestFit="1" customWidth="1"/>
    <col min="13069" max="13312" width="9.140625" style="1937"/>
    <col min="13313" max="13313" width="4.7109375" style="1937" customWidth="1"/>
    <col min="13314" max="13314" width="6.140625" style="1937" customWidth="1"/>
    <col min="13315" max="13315" width="8.7109375" style="1937" customWidth="1"/>
    <col min="13316" max="13316" width="42" style="1937" customWidth="1"/>
    <col min="13317" max="13317" width="10.42578125" style="1937" customWidth="1"/>
    <col min="13318" max="13318" width="15.85546875" style="1937" customWidth="1"/>
    <col min="13319" max="13319" width="14.42578125" style="1937" customWidth="1"/>
    <col min="13320" max="13320" width="6.42578125" style="1937" customWidth="1"/>
    <col min="13321" max="13321" width="14.28515625" style="1937" bestFit="1" customWidth="1"/>
    <col min="13322" max="13322" width="9.140625" style="1937"/>
    <col min="13323" max="13324" width="17.28515625" style="1937" bestFit="1" customWidth="1"/>
    <col min="13325" max="13568" width="9.140625" style="1937"/>
    <col min="13569" max="13569" width="4.7109375" style="1937" customWidth="1"/>
    <col min="13570" max="13570" width="6.140625" style="1937" customWidth="1"/>
    <col min="13571" max="13571" width="8.7109375" style="1937" customWidth="1"/>
    <col min="13572" max="13572" width="42" style="1937" customWidth="1"/>
    <col min="13573" max="13573" width="10.42578125" style="1937" customWidth="1"/>
    <col min="13574" max="13574" width="15.85546875" style="1937" customWidth="1"/>
    <col min="13575" max="13575" width="14.42578125" style="1937" customWidth="1"/>
    <col min="13576" max="13576" width="6.42578125" style="1937" customWidth="1"/>
    <col min="13577" max="13577" width="14.28515625" style="1937" bestFit="1" customWidth="1"/>
    <col min="13578" max="13578" width="9.140625" style="1937"/>
    <col min="13579" max="13580" width="17.28515625" style="1937" bestFit="1" customWidth="1"/>
    <col min="13581" max="13824" width="9.140625" style="1937"/>
    <col min="13825" max="13825" width="4.7109375" style="1937" customWidth="1"/>
    <col min="13826" max="13826" width="6.140625" style="1937" customWidth="1"/>
    <col min="13827" max="13827" width="8.7109375" style="1937" customWidth="1"/>
    <col min="13828" max="13828" width="42" style="1937" customWidth="1"/>
    <col min="13829" max="13829" width="10.42578125" style="1937" customWidth="1"/>
    <col min="13830" max="13830" width="15.85546875" style="1937" customWidth="1"/>
    <col min="13831" max="13831" width="14.42578125" style="1937" customWidth="1"/>
    <col min="13832" max="13832" width="6.42578125" style="1937" customWidth="1"/>
    <col min="13833" max="13833" width="14.28515625" style="1937" bestFit="1" customWidth="1"/>
    <col min="13834" max="13834" width="9.140625" style="1937"/>
    <col min="13835" max="13836" width="17.28515625" style="1937" bestFit="1" customWidth="1"/>
    <col min="13837" max="14080" width="9.140625" style="1937"/>
    <col min="14081" max="14081" width="4.7109375" style="1937" customWidth="1"/>
    <col min="14082" max="14082" width="6.140625" style="1937" customWidth="1"/>
    <col min="14083" max="14083" width="8.7109375" style="1937" customWidth="1"/>
    <col min="14084" max="14084" width="42" style="1937" customWidth="1"/>
    <col min="14085" max="14085" width="10.42578125" style="1937" customWidth="1"/>
    <col min="14086" max="14086" width="15.85546875" style="1937" customWidth="1"/>
    <col min="14087" max="14087" width="14.42578125" style="1937" customWidth="1"/>
    <col min="14088" max="14088" width="6.42578125" style="1937" customWidth="1"/>
    <col min="14089" max="14089" width="14.28515625" style="1937" bestFit="1" customWidth="1"/>
    <col min="14090" max="14090" width="9.140625" style="1937"/>
    <col min="14091" max="14092" width="17.28515625" style="1937" bestFit="1" customWidth="1"/>
    <col min="14093" max="14336" width="9.140625" style="1937"/>
    <col min="14337" max="14337" width="4.7109375" style="1937" customWidth="1"/>
    <col min="14338" max="14338" width="6.140625" style="1937" customWidth="1"/>
    <col min="14339" max="14339" width="8.7109375" style="1937" customWidth="1"/>
    <col min="14340" max="14340" width="42" style="1937" customWidth="1"/>
    <col min="14341" max="14341" width="10.42578125" style="1937" customWidth="1"/>
    <col min="14342" max="14342" width="15.85546875" style="1937" customWidth="1"/>
    <col min="14343" max="14343" width="14.42578125" style="1937" customWidth="1"/>
    <col min="14344" max="14344" width="6.42578125" style="1937" customWidth="1"/>
    <col min="14345" max="14345" width="14.28515625" style="1937" bestFit="1" customWidth="1"/>
    <col min="14346" max="14346" width="9.140625" style="1937"/>
    <col min="14347" max="14348" width="17.28515625" style="1937" bestFit="1" customWidth="1"/>
    <col min="14349" max="14592" width="9.140625" style="1937"/>
    <col min="14593" max="14593" width="4.7109375" style="1937" customWidth="1"/>
    <col min="14594" max="14594" width="6.140625" style="1937" customWidth="1"/>
    <col min="14595" max="14595" width="8.7109375" style="1937" customWidth="1"/>
    <col min="14596" max="14596" width="42" style="1937" customWidth="1"/>
    <col min="14597" max="14597" width="10.42578125" style="1937" customWidth="1"/>
    <col min="14598" max="14598" width="15.85546875" style="1937" customWidth="1"/>
    <col min="14599" max="14599" width="14.42578125" style="1937" customWidth="1"/>
    <col min="14600" max="14600" width="6.42578125" style="1937" customWidth="1"/>
    <col min="14601" max="14601" width="14.28515625" style="1937" bestFit="1" customWidth="1"/>
    <col min="14602" max="14602" width="9.140625" style="1937"/>
    <col min="14603" max="14604" width="17.28515625" style="1937" bestFit="1" customWidth="1"/>
    <col min="14605" max="14848" width="9.140625" style="1937"/>
    <col min="14849" max="14849" width="4.7109375" style="1937" customWidth="1"/>
    <col min="14850" max="14850" width="6.140625" style="1937" customWidth="1"/>
    <col min="14851" max="14851" width="8.7109375" style="1937" customWidth="1"/>
    <col min="14852" max="14852" width="42" style="1937" customWidth="1"/>
    <col min="14853" max="14853" width="10.42578125" style="1937" customWidth="1"/>
    <col min="14854" max="14854" width="15.85546875" style="1937" customWidth="1"/>
    <col min="14855" max="14855" width="14.42578125" style="1937" customWidth="1"/>
    <col min="14856" max="14856" width="6.42578125" style="1937" customWidth="1"/>
    <col min="14857" max="14857" width="14.28515625" style="1937" bestFit="1" customWidth="1"/>
    <col min="14858" max="14858" width="9.140625" style="1937"/>
    <col min="14859" max="14860" width="17.28515625" style="1937" bestFit="1" customWidth="1"/>
    <col min="14861" max="15104" width="9.140625" style="1937"/>
    <col min="15105" max="15105" width="4.7109375" style="1937" customWidth="1"/>
    <col min="15106" max="15106" width="6.140625" style="1937" customWidth="1"/>
    <col min="15107" max="15107" width="8.7109375" style="1937" customWidth="1"/>
    <col min="15108" max="15108" width="42" style="1937" customWidth="1"/>
    <col min="15109" max="15109" width="10.42578125" style="1937" customWidth="1"/>
    <col min="15110" max="15110" width="15.85546875" style="1937" customWidth="1"/>
    <col min="15111" max="15111" width="14.42578125" style="1937" customWidth="1"/>
    <col min="15112" max="15112" width="6.42578125" style="1937" customWidth="1"/>
    <col min="15113" max="15113" width="14.28515625" style="1937" bestFit="1" customWidth="1"/>
    <col min="15114" max="15114" width="9.140625" style="1937"/>
    <col min="15115" max="15116" width="17.28515625" style="1937" bestFit="1" customWidth="1"/>
    <col min="15117" max="15360" width="9.140625" style="1937"/>
    <col min="15361" max="15361" width="4.7109375" style="1937" customWidth="1"/>
    <col min="15362" max="15362" width="6.140625" style="1937" customWidth="1"/>
    <col min="15363" max="15363" width="8.7109375" style="1937" customWidth="1"/>
    <col min="15364" max="15364" width="42" style="1937" customWidth="1"/>
    <col min="15365" max="15365" width="10.42578125" style="1937" customWidth="1"/>
    <col min="15366" max="15366" width="15.85546875" style="1937" customWidth="1"/>
    <col min="15367" max="15367" width="14.42578125" style="1937" customWidth="1"/>
    <col min="15368" max="15368" width="6.42578125" style="1937" customWidth="1"/>
    <col min="15369" max="15369" width="14.28515625" style="1937" bestFit="1" customWidth="1"/>
    <col min="15370" max="15370" width="9.140625" style="1937"/>
    <col min="15371" max="15372" width="17.28515625" style="1937" bestFit="1" customWidth="1"/>
    <col min="15373" max="15616" width="9.140625" style="1937"/>
    <col min="15617" max="15617" width="4.7109375" style="1937" customWidth="1"/>
    <col min="15618" max="15618" width="6.140625" style="1937" customWidth="1"/>
    <col min="15619" max="15619" width="8.7109375" style="1937" customWidth="1"/>
    <col min="15620" max="15620" width="42" style="1937" customWidth="1"/>
    <col min="15621" max="15621" width="10.42578125" style="1937" customWidth="1"/>
    <col min="15622" max="15622" width="15.85546875" style="1937" customWidth="1"/>
    <col min="15623" max="15623" width="14.42578125" style="1937" customWidth="1"/>
    <col min="15624" max="15624" width="6.42578125" style="1937" customWidth="1"/>
    <col min="15625" max="15625" width="14.28515625" style="1937" bestFit="1" customWidth="1"/>
    <col min="15626" max="15626" width="9.140625" style="1937"/>
    <col min="15627" max="15628" width="17.28515625" style="1937" bestFit="1" customWidth="1"/>
    <col min="15629" max="15872" width="9.140625" style="1937"/>
    <col min="15873" max="15873" width="4.7109375" style="1937" customWidth="1"/>
    <col min="15874" max="15874" width="6.140625" style="1937" customWidth="1"/>
    <col min="15875" max="15875" width="8.7109375" style="1937" customWidth="1"/>
    <col min="15876" max="15876" width="42" style="1937" customWidth="1"/>
    <col min="15877" max="15877" width="10.42578125" style="1937" customWidth="1"/>
    <col min="15878" max="15878" width="15.85546875" style="1937" customWidth="1"/>
    <col min="15879" max="15879" width="14.42578125" style="1937" customWidth="1"/>
    <col min="15880" max="15880" width="6.42578125" style="1937" customWidth="1"/>
    <col min="15881" max="15881" width="14.28515625" style="1937" bestFit="1" customWidth="1"/>
    <col min="15882" max="15882" width="9.140625" style="1937"/>
    <col min="15883" max="15884" width="17.28515625" style="1937" bestFit="1" customWidth="1"/>
    <col min="15885" max="16128" width="9.140625" style="1937"/>
    <col min="16129" max="16129" width="4.7109375" style="1937" customWidth="1"/>
    <col min="16130" max="16130" width="6.140625" style="1937" customWidth="1"/>
    <col min="16131" max="16131" width="8.7109375" style="1937" customWidth="1"/>
    <col min="16132" max="16132" width="42" style="1937" customWidth="1"/>
    <col min="16133" max="16133" width="10.42578125" style="1937" customWidth="1"/>
    <col min="16134" max="16134" width="15.85546875" style="1937" customWidth="1"/>
    <col min="16135" max="16135" width="14.42578125" style="1937" customWidth="1"/>
    <col min="16136" max="16136" width="6.42578125" style="1937" customWidth="1"/>
    <col min="16137" max="16137" width="14.28515625" style="1937" bestFit="1" customWidth="1"/>
    <col min="16138" max="16138" width="9.140625" style="1937"/>
    <col min="16139" max="16140" width="17.28515625" style="1937" bestFit="1" customWidth="1"/>
    <col min="16141" max="16384" width="9.140625" style="1937"/>
  </cols>
  <sheetData>
    <row r="1" spans="1:8" ht="19.5" customHeight="1" thickBot="1" x14ac:dyDescent="0.25">
      <c r="A1" s="2762" t="s">
        <v>322</v>
      </c>
      <c r="B1" s="2762"/>
      <c r="C1" s="2762"/>
      <c r="D1" s="2762"/>
      <c r="E1" s="2762"/>
      <c r="F1" s="2762"/>
      <c r="G1" s="2762"/>
      <c r="H1" s="2762"/>
    </row>
    <row r="2" spans="1:8" ht="19.5" customHeight="1" x14ac:dyDescent="0.25">
      <c r="A2" s="2126"/>
      <c r="B2" s="2338"/>
      <c r="C2" s="2338"/>
      <c r="D2" s="2338"/>
      <c r="E2" s="2338"/>
      <c r="F2" s="2338"/>
      <c r="G2" s="2338"/>
      <c r="H2" s="2027" t="s">
        <v>323</v>
      </c>
    </row>
    <row r="3" spans="1:8" ht="19.5" customHeight="1" x14ac:dyDescent="0.2">
      <c r="A3" s="1815" t="s">
        <v>387</v>
      </c>
      <c r="B3" s="2338"/>
      <c r="C3" s="1935" t="s">
        <v>363</v>
      </c>
      <c r="D3" s="2338"/>
      <c r="E3" s="2338"/>
      <c r="F3" s="2338"/>
      <c r="G3" s="2338"/>
      <c r="H3" s="2338"/>
    </row>
    <row r="4" spans="1:8" ht="19.5" customHeight="1" x14ac:dyDescent="0.25">
      <c r="A4" s="2126"/>
      <c r="B4" s="2338"/>
      <c r="C4" s="1935" t="s">
        <v>364</v>
      </c>
      <c r="D4" s="2338"/>
      <c r="E4" s="2338"/>
      <c r="F4" s="2338"/>
      <c r="G4" s="2338"/>
      <c r="H4" s="2338"/>
    </row>
    <row r="5" spans="1:8" ht="19.5" hidden="1" customHeight="1" x14ac:dyDescent="0.25">
      <c r="A5" s="2126"/>
      <c r="B5" s="2338"/>
      <c r="C5" s="1935"/>
      <c r="D5" s="2338"/>
      <c r="E5" s="2338"/>
      <c r="F5" s="2338"/>
      <c r="G5" s="2338"/>
      <c r="H5" s="2338"/>
    </row>
    <row r="6" spans="1:8" ht="18" x14ac:dyDescent="0.25">
      <c r="A6" s="1940" t="s">
        <v>324</v>
      </c>
      <c r="B6" s="1973"/>
      <c r="C6" s="1973"/>
      <c r="D6" s="1973"/>
      <c r="E6" s="1973"/>
      <c r="F6" s="1973"/>
      <c r="G6" s="1973"/>
      <c r="H6" s="2027"/>
    </row>
    <row r="7" spans="1:8" ht="18" x14ac:dyDescent="0.25">
      <c r="A7" s="1940"/>
      <c r="B7" s="1973"/>
      <c r="C7" s="1973"/>
      <c r="D7" s="1973"/>
      <c r="E7" s="1973"/>
      <c r="F7" s="1973"/>
      <c r="G7" s="1973"/>
      <c r="H7" s="2027"/>
    </row>
    <row r="8" spans="1:8" ht="18" x14ac:dyDescent="0.25">
      <c r="A8" s="1942" t="s">
        <v>1637</v>
      </c>
      <c r="B8" s="1973"/>
      <c r="C8" s="1973"/>
      <c r="D8" s="1973"/>
      <c r="E8" s="1973"/>
      <c r="F8" s="1973"/>
      <c r="G8" s="1973"/>
      <c r="H8" s="2027"/>
    </row>
    <row r="9" spans="1:8" ht="15.75" thickBot="1" x14ac:dyDescent="0.3">
      <c r="A9" s="1942" t="s">
        <v>1638</v>
      </c>
      <c r="H9" s="2043" t="s">
        <v>173</v>
      </c>
    </row>
    <row r="10" spans="1:8" s="1735" customFormat="1" ht="25.5" thickTop="1" thickBot="1" x14ac:dyDescent="0.25">
      <c r="A10" s="1943" t="s">
        <v>174</v>
      </c>
      <c r="B10" s="1944" t="s">
        <v>800</v>
      </c>
      <c r="C10" s="1944" t="s">
        <v>397</v>
      </c>
      <c r="D10" s="1945" t="s">
        <v>176</v>
      </c>
      <c r="E10" s="1976" t="s">
        <v>669</v>
      </c>
      <c r="F10" s="1976" t="s">
        <v>670</v>
      </c>
      <c r="G10" s="1977" t="s">
        <v>923</v>
      </c>
      <c r="H10" s="1978" t="s">
        <v>924</v>
      </c>
    </row>
    <row r="11" spans="1:8" s="1735" customFormat="1" ht="13.5" thickTop="1" thickBot="1" x14ac:dyDescent="0.25">
      <c r="A11" s="1740">
        <v>1</v>
      </c>
      <c r="B11" s="1739">
        <v>2</v>
      </c>
      <c r="C11" s="1739">
        <v>3</v>
      </c>
      <c r="D11" s="1739">
        <v>4</v>
      </c>
      <c r="E11" s="1738">
        <v>5</v>
      </c>
      <c r="F11" s="1738">
        <v>6</v>
      </c>
      <c r="G11" s="2028">
        <v>7</v>
      </c>
      <c r="H11" s="2054" t="s">
        <v>61</v>
      </c>
    </row>
    <row r="12" spans="1:8" ht="15.75" customHeight="1" thickTop="1" x14ac:dyDescent="0.2">
      <c r="A12" s="1971">
        <v>4344</v>
      </c>
      <c r="B12" s="1954">
        <v>5169</v>
      </c>
      <c r="C12" s="2055">
        <v>33113233</v>
      </c>
      <c r="D12" s="1979" t="s">
        <v>892</v>
      </c>
      <c r="E12" s="1975">
        <v>0</v>
      </c>
      <c r="F12" s="1975">
        <v>1380</v>
      </c>
      <c r="G12" s="1975">
        <v>1315</v>
      </c>
      <c r="H12" s="1958">
        <f t="shared" ref="H12:H29" si="0">G12/F12*100</f>
        <v>95.289855072463766</v>
      </c>
    </row>
    <row r="13" spans="1:8" ht="15.75" customHeight="1" x14ac:dyDescent="0.2">
      <c r="A13" s="1952">
        <v>4344</v>
      </c>
      <c r="B13" s="1953">
        <v>5169</v>
      </c>
      <c r="C13" s="2127">
        <v>33513233</v>
      </c>
      <c r="D13" s="1979" t="s">
        <v>892</v>
      </c>
      <c r="E13" s="1989">
        <v>0</v>
      </c>
      <c r="F13" s="1989">
        <v>7821</v>
      </c>
      <c r="G13" s="1989">
        <v>7449</v>
      </c>
      <c r="H13" s="1961">
        <f t="shared" si="0"/>
        <v>95.243574990410423</v>
      </c>
    </row>
    <row r="14" spans="1:8" ht="15.75" hidden="1" customHeight="1" x14ac:dyDescent="0.2">
      <c r="A14" s="1952">
        <v>4374</v>
      </c>
      <c r="B14" s="1953">
        <v>5169</v>
      </c>
      <c r="C14" s="2127">
        <v>33113233</v>
      </c>
      <c r="D14" s="1979" t="s">
        <v>892</v>
      </c>
      <c r="E14" s="1989">
        <v>0</v>
      </c>
      <c r="F14" s="1989"/>
      <c r="G14" s="1989"/>
      <c r="H14" s="1961" t="e">
        <f t="shared" si="0"/>
        <v>#DIV/0!</v>
      </c>
    </row>
    <row r="15" spans="1:8" ht="15.75" hidden="1" customHeight="1" x14ac:dyDescent="0.2">
      <c r="A15" s="1952">
        <v>4374</v>
      </c>
      <c r="B15" s="1953">
        <v>5169</v>
      </c>
      <c r="C15" s="2127">
        <v>33513233</v>
      </c>
      <c r="D15" s="1979" t="s">
        <v>892</v>
      </c>
      <c r="E15" s="1989">
        <v>0</v>
      </c>
      <c r="F15" s="1989"/>
      <c r="G15" s="1989"/>
      <c r="H15" s="1961" t="e">
        <f t="shared" si="0"/>
        <v>#DIV/0!</v>
      </c>
    </row>
    <row r="16" spans="1:8" ht="15.75" hidden="1" customHeight="1" x14ac:dyDescent="0.2">
      <c r="A16" s="1952">
        <v>4371</v>
      </c>
      <c r="B16" s="1953">
        <v>5169</v>
      </c>
      <c r="C16" s="2127">
        <v>33113233</v>
      </c>
      <c r="D16" s="1979" t="s">
        <v>892</v>
      </c>
      <c r="E16" s="1989">
        <v>0</v>
      </c>
      <c r="F16" s="1989"/>
      <c r="G16" s="1989"/>
      <c r="H16" s="1961" t="e">
        <f t="shared" si="0"/>
        <v>#DIV/0!</v>
      </c>
    </row>
    <row r="17" spans="1:8" ht="15.75" hidden="1" customHeight="1" x14ac:dyDescent="0.2">
      <c r="A17" s="1952">
        <v>4371</v>
      </c>
      <c r="B17" s="1953">
        <v>5169</v>
      </c>
      <c r="C17" s="2127">
        <v>33513233</v>
      </c>
      <c r="D17" s="1979" t="s">
        <v>892</v>
      </c>
      <c r="E17" s="1989">
        <v>0</v>
      </c>
      <c r="F17" s="1989"/>
      <c r="G17" s="1989"/>
      <c r="H17" s="1961" t="e">
        <f t="shared" si="0"/>
        <v>#DIV/0!</v>
      </c>
    </row>
    <row r="18" spans="1:8" ht="15.75" hidden="1" customHeight="1" x14ac:dyDescent="0.2">
      <c r="A18" s="1952">
        <v>4372</v>
      </c>
      <c r="B18" s="1953">
        <v>5169</v>
      </c>
      <c r="C18" s="2127">
        <v>33113233</v>
      </c>
      <c r="D18" s="1979" t="s">
        <v>892</v>
      </c>
      <c r="E18" s="1989">
        <v>0</v>
      </c>
      <c r="F18" s="1989"/>
      <c r="G18" s="1989"/>
      <c r="H18" s="1961" t="e">
        <f t="shared" si="0"/>
        <v>#DIV/0!</v>
      </c>
    </row>
    <row r="19" spans="1:8" ht="15.75" hidden="1" customHeight="1" x14ac:dyDescent="0.2">
      <c r="A19" s="1952">
        <v>4372</v>
      </c>
      <c r="B19" s="1953">
        <v>5169</v>
      </c>
      <c r="C19" s="2127">
        <v>33513233</v>
      </c>
      <c r="D19" s="1979" t="s">
        <v>892</v>
      </c>
      <c r="E19" s="1989">
        <v>0</v>
      </c>
      <c r="F19" s="1989"/>
      <c r="G19" s="1989"/>
      <c r="H19" s="1961" t="e">
        <f t="shared" si="0"/>
        <v>#DIV/0!</v>
      </c>
    </row>
    <row r="20" spans="1:8" ht="15.75" hidden="1" customHeight="1" x14ac:dyDescent="0.2">
      <c r="A20" s="1952">
        <v>4373</v>
      </c>
      <c r="B20" s="1953">
        <v>5169</v>
      </c>
      <c r="C20" s="2127">
        <v>33113233</v>
      </c>
      <c r="D20" s="1979" t="s">
        <v>892</v>
      </c>
      <c r="E20" s="1989">
        <v>0</v>
      </c>
      <c r="F20" s="1989"/>
      <c r="G20" s="1989"/>
      <c r="H20" s="1961" t="e">
        <f t="shared" si="0"/>
        <v>#DIV/0!</v>
      </c>
    </row>
    <row r="21" spans="1:8" ht="15.75" hidden="1" customHeight="1" x14ac:dyDescent="0.2">
      <c r="A21" s="1952">
        <v>4373</v>
      </c>
      <c r="B21" s="1953">
        <v>5169</v>
      </c>
      <c r="C21" s="2127">
        <v>33513233</v>
      </c>
      <c r="D21" s="1979" t="s">
        <v>892</v>
      </c>
      <c r="E21" s="1989">
        <v>0</v>
      </c>
      <c r="F21" s="1989"/>
      <c r="G21" s="1989"/>
      <c r="H21" s="1961" t="e">
        <f t="shared" si="0"/>
        <v>#DIV/0!</v>
      </c>
    </row>
    <row r="22" spans="1:8" ht="15.75" customHeight="1" x14ac:dyDescent="0.2">
      <c r="A22" s="1952">
        <v>4374</v>
      </c>
      <c r="B22" s="1953">
        <v>5169</v>
      </c>
      <c r="C22" s="2127">
        <v>33113233</v>
      </c>
      <c r="D22" s="1979" t="s">
        <v>892</v>
      </c>
      <c r="E22" s="1989">
        <v>0</v>
      </c>
      <c r="F22" s="1989">
        <v>5764</v>
      </c>
      <c r="G22" s="1989">
        <v>5730</v>
      </c>
      <c r="H22" s="1961">
        <f t="shared" si="0"/>
        <v>99.410131852879942</v>
      </c>
    </row>
    <row r="23" spans="1:8" ht="15.75" customHeight="1" x14ac:dyDescent="0.2">
      <c r="A23" s="1952">
        <v>4374</v>
      </c>
      <c r="B23" s="1953">
        <v>5169</v>
      </c>
      <c r="C23" s="2127">
        <v>33513233</v>
      </c>
      <c r="D23" s="1979" t="s">
        <v>892</v>
      </c>
      <c r="E23" s="1989">
        <v>0</v>
      </c>
      <c r="F23" s="1989">
        <v>32661</v>
      </c>
      <c r="G23" s="1989">
        <v>32470</v>
      </c>
      <c r="H23" s="1961">
        <f t="shared" si="0"/>
        <v>99.415204678362571</v>
      </c>
    </row>
    <row r="24" spans="1:8" ht="15.75" customHeight="1" x14ac:dyDescent="0.2">
      <c r="A24" s="1952">
        <v>4379</v>
      </c>
      <c r="B24" s="1953">
        <v>5137</v>
      </c>
      <c r="C24" s="2127">
        <v>33113233</v>
      </c>
      <c r="D24" s="1979" t="s">
        <v>167</v>
      </c>
      <c r="E24" s="1989">
        <v>0</v>
      </c>
      <c r="F24" s="1989">
        <v>1</v>
      </c>
      <c r="G24" s="1989">
        <v>0</v>
      </c>
      <c r="H24" s="1961">
        <f t="shared" si="0"/>
        <v>0</v>
      </c>
    </row>
    <row r="25" spans="1:8" ht="15.75" customHeight="1" x14ac:dyDescent="0.2">
      <c r="A25" s="1952">
        <v>4379</v>
      </c>
      <c r="B25" s="1953">
        <v>5137</v>
      </c>
      <c r="C25" s="2127">
        <v>33513233</v>
      </c>
      <c r="D25" s="1979" t="s">
        <v>167</v>
      </c>
      <c r="E25" s="1989">
        <v>0</v>
      </c>
      <c r="F25" s="1989">
        <v>9</v>
      </c>
      <c r="G25" s="1989">
        <v>2</v>
      </c>
      <c r="H25" s="1961">
        <f t="shared" si="0"/>
        <v>22.222222222222221</v>
      </c>
    </row>
    <row r="26" spans="1:8" ht="15.75" customHeight="1" x14ac:dyDescent="0.2">
      <c r="A26" s="1952">
        <v>4379</v>
      </c>
      <c r="B26" s="1953">
        <v>5139</v>
      </c>
      <c r="C26" s="2127">
        <v>33113233</v>
      </c>
      <c r="D26" s="1979" t="s">
        <v>662</v>
      </c>
      <c r="E26" s="1989">
        <v>0</v>
      </c>
      <c r="F26" s="1989">
        <v>7</v>
      </c>
      <c r="G26" s="1989">
        <v>5</v>
      </c>
      <c r="H26" s="1961">
        <f t="shared" si="0"/>
        <v>71.428571428571431</v>
      </c>
    </row>
    <row r="27" spans="1:8" ht="15.75" customHeight="1" x14ac:dyDescent="0.2">
      <c r="A27" s="1952">
        <v>4379</v>
      </c>
      <c r="B27" s="1953">
        <v>5139</v>
      </c>
      <c r="C27" s="2127">
        <v>33513233</v>
      </c>
      <c r="D27" s="1979" t="s">
        <v>662</v>
      </c>
      <c r="E27" s="1989">
        <v>0</v>
      </c>
      <c r="F27" s="1989">
        <v>43</v>
      </c>
      <c r="G27" s="1989">
        <v>27</v>
      </c>
      <c r="H27" s="1961">
        <f t="shared" si="0"/>
        <v>62.790697674418603</v>
      </c>
    </row>
    <row r="28" spans="1:8" ht="15.75" customHeight="1" x14ac:dyDescent="0.2">
      <c r="A28" s="1952">
        <v>4379</v>
      </c>
      <c r="B28" s="1953">
        <v>5164</v>
      </c>
      <c r="C28" s="2127">
        <v>33113233</v>
      </c>
      <c r="D28" s="1979" t="s">
        <v>182</v>
      </c>
      <c r="E28" s="1989">
        <v>0</v>
      </c>
      <c r="F28" s="1989">
        <v>3</v>
      </c>
      <c r="G28" s="1989">
        <v>0</v>
      </c>
      <c r="H28" s="1961">
        <f t="shared" si="0"/>
        <v>0</v>
      </c>
    </row>
    <row r="29" spans="1:8" ht="15.75" customHeight="1" x14ac:dyDescent="0.2">
      <c r="A29" s="1952">
        <v>4379</v>
      </c>
      <c r="B29" s="1953">
        <v>5164</v>
      </c>
      <c r="C29" s="2127">
        <v>33513233</v>
      </c>
      <c r="D29" s="1979" t="s">
        <v>182</v>
      </c>
      <c r="E29" s="1989">
        <v>0</v>
      </c>
      <c r="F29" s="1989">
        <v>17</v>
      </c>
      <c r="G29" s="1989">
        <v>0</v>
      </c>
      <c r="H29" s="1961">
        <f t="shared" si="0"/>
        <v>0</v>
      </c>
    </row>
    <row r="30" spans="1:8" ht="15.75" hidden="1" customHeight="1" x14ac:dyDescent="0.2">
      <c r="A30" s="1952">
        <v>4379</v>
      </c>
      <c r="B30" s="1953">
        <v>5137</v>
      </c>
      <c r="C30" s="2127">
        <v>33113233</v>
      </c>
      <c r="D30" s="1979" t="s">
        <v>167</v>
      </c>
      <c r="E30" s="1989">
        <v>0</v>
      </c>
      <c r="F30" s="1989">
        <v>0</v>
      </c>
      <c r="G30" s="1989">
        <v>0</v>
      </c>
      <c r="H30" s="1961">
        <v>0</v>
      </c>
    </row>
    <row r="31" spans="1:8" ht="15.75" hidden="1" customHeight="1" x14ac:dyDescent="0.2">
      <c r="A31" s="1952">
        <v>4379</v>
      </c>
      <c r="B31" s="1953">
        <v>5137</v>
      </c>
      <c r="C31" s="2127">
        <v>33513233</v>
      </c>
      <c r="D31" s="1979" t="s">
        <v>167</v>
      </c>
      <c r="E31" s="1989">
        <v>0</v>
      </c>
      <c r="F31" s="1989">
        <v>0</v>
      </c>
      <c r="G31" s="1989">
        <v>0</v>
      </c>
      <c r="H31" s="1961">
        <v>0</v>
      </c>
    </row>
    <row r="32" spans="1:8" ht="15.75" hidden="1" customHeight="1" x14ac:dyDescent="0.2">
      <c r="A32" s="1952">
        <v>4379</v>
      </c>
      <c r="B32" s="1953">
        <v>5139</v>
      </c>
      <c r="C32" s="2127">
        <v>33113233</v>
      </c>
      <c r="D32" s="1979" t="s">
        <v>804</v>
      </c>
      <c r="E32" s="1989">
        <v>0</v>
      </c>
      <c r="F32" s="1989">
        <v>0</v>
      </c>
      <c r="G32" s="1989">
        <v>0</v>
      </c>
      <c r="H32" s="1961">
        <v>0</v>
      </c>
    </row>
    <row r="33" spans="1:8" ht="15.75" hidden="1" customHeight="1" x14ac:dyDescent="0.2">
      <c r="A33" s="1952">
        <v>4379</v>
      </c>
      <c r="B33" s="1953">
        <v>5139</v>
      </c>
      <c r="C33" s="2127">
        <v>33513233</v>
      </c>
      <c r="D33" s="1979" t="s">
        <v>804</v>
      </c>
      <c r="E33" s="1989">
        <v>0</v>
      </c>
      <c r="F33" s="1989">
        <v>0</v>
      </c>
      <c r="G33" s="1989">
        <v>0</v>
      </c>
      <c r="H33" s="1961" t="e">
        <f>G33/F33*100</f>
        <v>#DIV/0!</v>
      </c>
    </row>
    <row r="34" spans="1:8" ht="15.75" hidden="1" customHeight="1" x14ac:dyDescent="0.2">
      <c r="A34" s="1952">
        <v>4379</v>
      </c>
      <c r="B34" s="1953">
        <v>5163</v>
      </c>
      <c r="C34" s="2127">
        <v>33113233</v>
      </c>
      <c r="D34" s="1979" t="s">
        <v>934</v>
      </c>
      <c r="E34" s="1989">
        <v>0</v>
      </c>
      <c r="F34" s="1989"/>
      <c r="G34" s="1989"/>
      <c r="H34" s="1961">
        <v>0</v>
      </c>
    </row>
    <row r="35" spans="1:8" ht="15.75" hidden="1" customHeight="1" x14ac:dyDescent="0.2">
      <c r="A35" s="1952">
        <v>4379</v>
      </c>
      <c r="B35" s="1953">
        <v>5163</v>
      </c>
      <c r="C35" s="2127">
        <v>33513233</v>
      </c>
      <c r="D35" s="1979" t="s">
        <v>934</v>
      </c>
      <c r="E35" s="1989">
        <v>0</v>
      </c>
      <c r="F35" s="1989"/>
      <c r="G35" s="1989"/>
      <c r="H35" s="1961" t="e">
        <f t="shared" ref="H35:H65" si="1">G35/F35*100</f>
        <v>#DIV/0!</v>
      </c>
    </row>
    <row r="36" spans="1:8" ht="15.75" hidden="1" customHeight="1" x14ac:dyDescent="0.2">
      <c r="A36" s="1952">
        <v>4379</v>
      </c>
      <c r="B36" s="1953">
        <v>5164</v>
      </c>
      <c r="C36" s="2127">
        <v>33113233</v>
      </c>
      <c r="D36" s="1979" t="s">
        <v>182</v>
      </c>
      <c r="E36" s="1989">
        <v>0</v>
      </c>
      <c r="F36" s="1989"/>
      <c r="G36" s="1989"/>
      <c r="H36" s="1961" t="e">
        <f t="shared" si="1"/>
        <v>#DIV/0!</v>
      </c>
    </row>
    <row r="37" spans="1:8" ht="15.75" hidden="1" customHeight="1" x14ac:dyDescent="0.2">
      <c r="A37" s="1952">
        <v>4379</v>
      </c>
      <c r="B37" s="1953">
        <v>5164</v>
      </c>
      <c r="C37" s="2127">
        <v>33513233</v>
      </c>
      <c r="D37" s="1979" t="s">
        <v>182</v>
      </c>
      <c r="E37" s="1989">
        <v>0</v>
      </c>
      <c r="F37" s="1989"/>
      <c r="G37" s="1989"/>
      <c r="H37" s="1961" t="e">
        <f t="shared" si="1"/>
        <v>#DIV/0!</v>
      </c>
    </row>
    <row r="38" spans="1:8" s="1990" customFormat="1" ht="15.75" customHeight="1" x14ac:dyDescent="0.2">
      <c r="A38" s="2049">
        <v>4379</v>
      </c>
      <c r="B38" s="2056">
        <v>5166</v>
      </c>
      <c r="C38" s="2057">
        <v>33113233</v>
      </c>
      <c r="D38" s="1979" t="s">
        <v>646</v>
      </c>
      <c r="E38" s="1989">
        <v>0</v>
      </c>
      <c r="F38" s="1989">
        <v>5</v>
      </c>
      <c r="G38" s="1989">
        <v>0</v>
      </c>
      <c r="H38" s="1961">
        <f t="shared" si="1"/>
        <v>0</v>
      </c>
    </row>
    <row r="39" spans="1:8" s="1990" customFormat="1" ht="15.75" customHeight="1" x14ac:dyDescent="0.2">
      <c r="A39" s="2049">
        <v>4379</v>
      </c>
      <c r="B39" s="2056">
        <v>5166</v>
      </c>
      <c r="C39" s="2057">
        <v>33513233</v>
      </c>
      <c r="D39" s="1979" t="s">
        <v>646</v>
      </c>
      <c r="E39" s="1989">
        <v>0</v>
      </c>
      <c r="F39" s="1989">
        <v>29</v>
      </c>
      <c r="G39" s="1989">
        <v>0</v>
      </c>
      <c r="H39" s="1961">
        <f t="shared" si="1"/>
        <v>0</v>
      </c>
    </row>
    <row r="40" spans="1:8" ht="15.75" customHeight="1" x14ac:dyDescent="0.2">
      <c r="A40" s="1952">
        <v>4379</v>
      </c>
      <c r="B40" s="1953">
        <v>5169</v>
      </c>
      <c r="C40" s="2127">
        <v>33113233</v>
      </c>
      <c r="D40" s="1979" t="s">
        <v>892</v>
      </c>
      <c r="E40" s="1989">
        <v>0</v>
      </c>
      <c r="F40" s="1989">
        <v>9</v>
      </c>
      <c r="G40" s="1989">
        <v>0</v>
      </c>
      <c r="H40" s="1961">
        <f t="shared" si="1"/>
        <v>0</v>
      </c>
    </row>
    <row r="41" spans="1:8" ht="15.75" customHeight="1" x14ac:dyDescent="0.2">
      <c r="A41" s="1952">
        <v>4379</v>
      </c>
      <c r="B41" s="1953">
        <v>5169</v>
      </c>
      <c r="C41" s="2127">
        <v>33513233</v>
      </c>
      <c r="D41" s="1979" t="s">
        <v>892</v>
      </c>
      <c r="E41" s="1989">
        <v>0</v>
      </c>
      <c r="F41" s="1989">
        <v>51</v>
      </c>
      <c r="G41" s="1989">
        <v>0</v>
      </c>
      <c r="H41" s="1961">
        <f t="shared" si="1"/>
        <v>0</v>
      </c>
    </row>
    <row r="42" spans="1:8" ht="15.75" customHeight="1" x14ac:dyDescent="0.2">
      <c r="A42" s="1952">
        <v>4379</v>
      </c>
      <c r="B42" s="1953">
        <v>5175</v>
      </c>
      <c r="C42" s="2127">
        <v>33113233</v>
      </c>
      <c r="D42" s="1979" t="s">
        <v>707</v>
      </c>
      <c r="E42" s="1989">
        <v>0</v>
      </c>
      <c r="F42" s="1989">
        <v>6</v>
      </c>
      <c r="G42" s="1989">
        <v>2</v>
      </c>
      <c r="H42" s="1961">
        <f t="shared" si="1"/>
        <v>33.333333333333329</v>
      </c>
    </row>
    <row r="43" spans="1:8" ht="15.75" customHeight="1" x14ac:dyDescent="0.2">
      <c r="A43" s="1952">
        <v>4379</v>
      </c>
      <c r="B43" s="1953">
        <v>5175</v>
      </c>
      <c r="C43" s="2127">
        <v>33513233</v>
      </c>
      <c r="D43" s="1979" t="s">
        <v>707</v>
      </c>
      <c r="E43" s="1989">
        <v>0</v>
      </c>
      <c r="F43" s="1989">
        <v>34</v>
      </c>
      <c r="G43" s="1989">
        <v>11</v>
      </c>
      <c r="H43" s="1961">
        <f t="shared" si="1"/>
        <v>32.352941176470587</v>
      </c>
    </row>
    <row r="44" spans="1:8" ht="15.75" customHeight="1" x14ac:dyDescent="0.2">
      <c r="A44" s="1952">
        <v>4379</v>
      </c>
      <c r="B44" s="1953">
        <v>5901</v>
      </c>
      <c r="C44" s="2127">
        <v>33113233</v>
      </c>
      <c r="D44" s="1979" t="s">
        <v>639</v>
      </c>
      <c r="E44" s="1989">
        <v>0</v>
      </c>
      <c r="F44" s="1989">
        <v>2226</v>
      </c>
      <c r="G44" s="1989">
        <v>0</v>
      </c>
      <c r="H44" s="1961">
        <f t="shared" si="1"/>
        <v>0</v>
      </c>
    </row>
    <row r="45" spans="1:8" ht="15" x14ac:dyDescent="0.2">
      <c r="A45" s="1952">
        <v>4379</v>
      </c>
      <c r="B45" s="1953">
        <v>5901</v>
      </c>
      <c r="C45" s="2127">
        <v>33513233</v>
      </c>
      <c r="D45" s="1979" t="s">
        <v>1472</v>
      </c>
      <c r="E45" s="1989">
        <v>0</v>
      </c>
      <c r="F45" s="1989">
        <v>12611</v>
      </c>
      <c r="G45" s="1989">
        <v>0</v>
      </c>
      <c r="H45" s="1961">
        <f t="shared" si="1"/>
        <v>0</v>
      </c>
    </row>
    <row r="46" spans="1:8" ht="15.75" customHeight="1" x14ac:dyDescent="0.2">
      <c r="A46" s="2049">
        <v>6172</v>
      </c>
      <c r="B46" s="2056">
        <v>5011</v>
      </c>
      <c r="C46" s="2057">
        <v>33113233</v>
      </c>
      <c r="D46" s="1979" t="s">
        <v>219</v>
      </c>
      <c r="E46" s="1989">
        <v>0</v>
      </c>
      <c r="F46" s="1989">
        <v>121</v>
      </c>
      <c r="G46" s="1989">
        <v>93</v>
      </c>
      <c r="H46" s="1961">
        <f t="shared" si="1"/>
        <v>76.859504132231407</v>
      </c>
    </row>
    <row r="47" spans="1:8" ht="15.75" customHeight="1" x14ac:dyDescent="0.2">
      <c r="A47" s="2049">
        <v>6172</v>
      </c>
      <c r="B47" s="2056">
        <v>5011</v>
      </c>
      <c r="C47" s="2057">
        <v>33513233</v>
      </c>
      <c r="D47" s="1979" t="s">
        <v>219</v>
      </c>
      <c r="E47" s="1989">
        <v>0</v>
      </c>
      <c r="F47" s="1989">
        <v>686</v>
      </c>
      <c r="G47" s="1989">
        <v>530</v>
      </c>
      <c r="H47" s="1961">
        <f t="shared" si="1"/>
        <v>77.259475218658892</v>
      </c>
    </row>
    <row r="48" spans="1:8" ht="15.75" customHeight="1" x14ac:dyDescent="0.2">
      <c r="A48" s="1952">
        <v>6172</v>
      </c>
      <c r="B48" s="1953">
        <v>5021</v>
      </c>
      <c r="C48" s="2127">
        <v>33113233</v>
      </c>
      <c r="D48" s="1979" t="s">
        <v>409</v>
      </c>
      <c r="E48" s="1989">
        <v>0</v>
      </c>
      <c r="F48" s="1989">
        <v>21</v>
      </c>
      <c r="G48" s="1989">
        <v>17</v>
      </c>
      <c r="H48" s="1961">
        <f t="shared" si="1"/>
        <v>80.952380952380949</v>
      </c>
    </row>
    <row r="49" spans="1:8" ht="15.75" customHeight="1" x14ac:dyDescent="0.2">
      <c r="A49" s="1952">
        <v>6172</v>
      </c>
      <c r="B49" s="1953">
        <v>5021</v>
      </c>
      <c r="C49" s="2127">
        <v>33513233</v>
      </c>
      <c r="D49" s="1979" t="s">
        <v>409</v>
      </c>
      <c r="E49" s="1989">
        <v>0</v>
      </c>
      <c r="F49" s="1989">
        <v>122</v>
      </c>
      <c r="G49" s="1989">
        <v>97</v>
      </c>
      <c r="H49" s="1961">
        <f t="shared" si="1"/>
        <v>79.508196721311478</v>
      </c>
    </row>
    <row r="50" spans="1:8" s="1990" customFormat="1" ht="45" x14ac:dyDescent="0.2">
      <c r="A50" s="2049">
        <v>6172</v>
      </c>
      <c r="B50" s="2056">
        <v>5031</v>
      </c>
      <c r="C50" s="2057">
        <v>33113233</v>
      </c>
      <c r="D50" s="1979" t="s">
        <v>1362</v>
      </c>
      <c r="E50" s="1989">
        <v>0</v>
      </c>
      <c r="F50" s="1989">
        <v>36</v>
      </c>
      <c r="G50" s="1989">
        <v>28</v>
      </c>
      <c r="H50" s="1961">
        <f t="shared" si="1"/>
        <v>77.777777777777786</v>
      </c>
    </row>
    <row r="51" spans="1:8" s="1990" customFormat="1" ht="45" x14ac:dyDescent="0.2">
      <c r="A51" s="2049">
        <v>6172</v>
      </c>
      <c r="B51" s="2056">
        <v>5031</v>
      </c>
      <c r="C51" s="2057">
        <v>33513233</v>
      </c>
      <c r="D51" s="1979" t="s">
        <v>1362</v>
      </c>
      <c r="E51" s="1989">
        <v>0</v>
      </c>
      <c r="F51" s="1989">
        <v>202</v>
      </c>
      <c r="G51" s="1989">
        <v>157</v>
      </c>
      <c r="H51" s="1961">
        <f t="shared" si="1"/>
        <v>77.722772277227719</v>
      </c>
    </row>
    <row r="52" spans="1:8" s="1990" customFormat="1" ht="30" x14ac:dyDescent="0.2">
      <c r="A52" s="2049">
        <v>6172</v>
      </c>
      <c r="B52" s="2056">
        <v>5032</v>
      </c>
      <c r="C52" s="2057">
        <v>33113233</v>
      </c>
      <c r="D52" s="1979" t="s">
        <v>1363</v>
      </c>
      <c r="E52" s="1989">
        <v>0</v>
      </c>
      <c r="F52" s="1989">
        <v>13</v>
      </c>
      <c r="G52" s="1989">
        <v>10</v>
      </c>
      <c r="H52" s="1961">
        <f t="shared" si="1"/>
        <v>76.923076923076934</v>
      </c>
    </row>
    <row r="53" spans="1:8" s="1990" customFormat="1" ht="30" x14ac:dyDescent="0.2">
      <c r="A53" s="2049">
        <v>6172</v>
      </c>
      <c r="B53" s="2056">
        <v>5032</v>
      </c>
      <c r="C53" s="2057">
        <v>33513233</v>
      </c>
      <c r="D53" s="1979" t="s">
        <v>1363</v>
      </c>
      <c r="E53" s="1989">
        <v>0</v>
      </c>
      <c r="F53" s="2354">
        <v>73</v>
      </c>
      <c r="G53" s="1989">
        <v>56</v>
      </c>
      <c r="H53" s="2355">
        <f t="shared" si="1"/>
        <v>76.712328767123282</v>
      </c>
    </row>
    <row r="54" spans="1:8" s="2060" customFormat="1" ht="15" hidden="1" x14ac:dyDescent="0.2">
      <c r="A54" s="2049">
        <v>6172</v>
      </c>
      <c r="B54" s="2056">
        <v>5137</v>
      </c>
      <c r="C54" s="2057">
        <v>33113233</v>
      </c>
      <c r="D54" s="1979" t="s">
        <v>167</v>
      </c>
      <c r="E54" s="1989">
        <v>0</v>
      </c>
      <c r="F54" s="2061">
        <v>0</v>
      </c>
      <c r="G54" s="2354">
        <v>0</v>
      </c>
      <c r="H54" s="2355" t="e">
        <f t="shared" si="1"/>
        <v>#DIV/0!</v>
      </c>
    </row>
    <row r="55" spans="1:8" s="2060" customFormat="1" ht="15" hidden="1" x14ac:dyDescent="0.2">
      <c r="A55" s="2049">
        <v>6172</v>
      </c>
      <c r="B55" s="2056">
        <v>5137</v>
      </c>
      <c r="C55" s="2057">
        <v>33513233</v>
      </c>
      <c r="D55" s="1979" t="s">
        <v>167</v>
      </c>
      <c r="E55" s="1989">
        <v>0</v>
      </c>
      <c r="F55" s="2061">
        <v>0</v>
      </c>
      <c r="G55" s="2354">
        <v>0</v>
      </c>
      <c r="H55" s="2355" t="e">
        <f t="shared" si="1"/>
        <v>#DIV/0!</v>
      </c>
    </row>
    <row r="56" spans="1:8" s="1990" customFormat="1" ht="15.75" hidden="1" customHeight="1" thickTop="1" x14ac:dyDescent="0.2">
      <c r="A56" s="2049">
        <v>6172</v>
      </c>
      <c r="B56" s="2058">
        <v>5139</v>
      </c>
      <c r="C56" s="2057">
        <v>33113233</v>
      </c>
      <c r="D56" s="1979" t="s">
        <v>804</v>
      </c>
      <c r="E56" s="1989">
        <v>0</v>
      </c>
      <c r="F56" s="2061"/>
      <c r="G56" s="2354"/>
      <c r="H56" s="2355" t="e">
        <f t="shared" si="1"/>
        <v>#DIV/0!</v>
      </c>
    </row>
    <row r="57" spans="1:8" s="1990" customFormat="1" ht="15.75" hidden="1" customHeight="1" x14ac:dyDescent="0.2">
      <c r="A57" s="2049">
        <v>6172</v>
      </c>
      <c r="B57" s="2058">
        <v>5139</v>
      </c>
      <c r="C57" s="2127">
        <v>33513233</v>
      </c>
      <c r="D57" s="1979" t="s">
        <v>804</v>
      </c>
      <c r="E57" s="1989">
        <v>0</v>
      </c>
      <c r="F57" s="2061"/>
      <c r="G57" s="2354"/>
      <c r="H57" s="2355" t="e">
        <f t="shared" si="1"/>
        <v>#DIV/0!</v>
      </c>
    </row>
    <row r="58" spans="1:8" ht="15.75" hidden="1" customHeight="1" x14ac:dyDescent="0.2">
      <c r="A58" s="2049">
        <v>6172</v>
      </c>
      <c r="B58" s="2058">
        <v>5156</v>
      </c>
      <c r="C58" s="2057">
        <v>33113233</v>
      </c>
      <c r="D58" s="1979" t="s">
        <v>312</v>
      </c>
      <c r="E58" s="1989">
        <v>0</v>
      </c>
      <c r="F58" s="2061"/>
      <c r="G58" s="2354"/>
      <c r="H58" s="2355" t="e">
        <f t="shared" si="1"/>
        <v>#DIV/0!</v>
      </c>
    </row>
    <row r="59" spans="1:8" ht="15" hidden="1" x14ac:dyDescent="0.2">
      <c r="A59" s="2049">
        <v>6172</v>
      </c>
      <c r="B59" s="2058">
        <v>5156</v>
      </c>
      <c r="C59" s="2057">
        <v>33513233</v>
      </c>
      <c r="D59" s="1979" t="s">
        <v>312</v>
      </c>
      <c r="E59" s="1989">
        <v>0</v>
      </c>
      <c r="F59" s="1989"/>
      <c r="G59" s="2354"/>
      <c r="H59" s="2355" t="e">
        <f t="shared" si="1"/>
        <v>#DIV/0!</v>
      </c>
    </row>
    <row r="60" spans="1:8" ht="15.75" customHeight="1" x14ac:dyDescent="0.2">
      <c r="A60" s="2049">
        <v>6172</v>
      </c>
      <c r="B60" s="2056">
        <v>5162</v>
      </c>
      <c r="C60" s="2057">
        <v>33113233</v>
      </c>
      <c r="D60" s="1979" t="s">
        <v>904</v>
      </c>
      <c r="E60" s="2354">
        <v>0</v>
      </c>
      <c r="F60" s="1989">
        <v>1</v>
      </c>
      <c r="G60" s="2354">
        <v>0</v>
      </c>
      <c r="H60" s="2355">
        <v>0</v>
      </c>
    </row>
    <row r="61" spans="1:8" ht="15.75" customHeight="1" x14ac:dyDescent="0.2">
      <c r="A61" s="2049">
        <v>6172</v>
      </c>
      <c r="B61" s="2056">
        <v>5162</v>
      </c>
      <c r="C61" s="2057">
        <v>33513233</v>
      </c>
      <c r="D61" s="1979" t="s">
        <v>904</v>
      </c>
      <c r="E61" s="1989">
        <v>0</v>
      </c>
      <c r="F61" s="1989">
        <v>3</v>
      </c>
      <c r="G61" s="1989">
        <v>0</v>
      </c>
      <c r="H61" s="1961">
        <f t="shared" si="1"/>
        <v>0</v>
      </c>
    </row>
    <row r="62" spans="1:8" ht="15.75" customHeight="1" x14ac:dyDescent="0.2">
      <c r="A62" s="1952">
        <v>6172</v>
      </c>
      <c r="B62" s="1953">
        <v>5173</v>
      </c>
      <c r="C62" s="2127">
        <v>33113233</v>
      </c>
      <c r="D62" s="1979" t="s">
        <v>1211</v>
      </c>
      <c r="E62" s="1989">
        <v>0</v>
      </c>
      <c r="F62" s="1989">
        <v>3</v>
      </c>
      <c r="G62" s="1989">
        <v>0</v>
      </c>
      <c r="H62" s="1961">
        <f t="shared" si="1"/>
        <v>0</v>
      </c>
    </row>
    <row r="63" spans="1:8" ht="15.75" customHeight="1" x14ac:dyDescent="0.2">
      <c r="A63" s="1952">
        <v>6172</v>
      </c>
      <c r="B63" s="1953">
        <v>5173</v>
      </c>
      <c r="C63" s="2127">
        <v>33513233</v>
      </c>
      <c r="D63" s="1979" t="s">
        <v>1211</v>
      </c>
      <c r="E63" s="1989">
        <v>0</v>
      </c>
      <c r="F63" s="1989">
        <v>17</v>
      </c>
      <c r="G63" s="1989">
        <v>0</v>
      </c>
      <c r="H63" s="1961">
        <f t="shared" si="1"/>
        <v>0</v>
      </c>
    </row>
    <row r="64" spans="1:8" s="1990" customFormat="1" ht="15.75" customHeight="1" x14ac:dyDescent="0.2">
      <c r="A64" s="2049">
        <v>6172</v>
      </c>
      <c r="B64" s="2056">
        <v>5424</v>
      </c>
      <c r="C64" s="2057">
        <v>33113233</v>
      </c>
      <c r="D64" s="1979" t="s">
        <v>688</v>
      </c>
      <c r="E64" s="1989">
        <v>0</v>
      </c>
      <c r="F64" s="1989">
        <v>7</v>
      </c>
      <c r="G64" s="1989">
        <v>2</v>
      </c>
      <c r="H64" s="1961">
        <f t="shared" si="1"/>
        <v>28.571428571428569</v>
      </c>
    </row>
    <row r="65" spans="1:12" s="1990" customFormat="1" ht="15.75" customHeight="1" thickBot="1" x14ac:dyDescent="0.25">
      <c r="A65" s="2049">
        <v>6172</v>
      </c>
      <c r="B65" s="2056">
        <v>5424</v>
      </c>
      <c r="C65" s="2057">
        <v>33513233</v>
      </c>
      <c r="D65" s="1979" t="s">
        <v>688</v>
      </c>
      <c r="E65" s="1989">
        <v>0</v>
      </c>
      <c r="F65" s="1989">
        <v>42</v>
      </c>
      <c r="G65" s="1989">
        <v>12</v>
      </c>
      <c r="H65" s="1961">
        <f t="shared" si="1"/>
        <v>28.571428571428569</v>
      </c>
    </row>
    <row r="66" spans="1:12" s="1990" customFormat="1" ht="15.75" hidden="1" customHeight="1" thickBot="1" x14ac:dyDescent="0.25">
      <c r="A66" s="2049">
        <v>6330</v>
      </c>
      <c r="B66" s="2056">
        <v>5345</v>
      </c>
      <c r="C66" s="2057"/>
      <c r="D66" s="1979" t="s">
        <v>806</v>
      </c>
      <c r="E66" s="1989">
        <v>0</v>
      </c>
      <c r="F66" s="1989">
        <v>0</v>
      </c>
      <c r="G66" s="1989">
        <v>0</v>
      </c>
      <c r="H66" s="1968">
        <v>0</v>
      </c>
    </row>
    <row r="67" spans="1:12" s="1969" customFormat="1" ht="16.5" thickTop="1" thickBot="1" x14ac:dyDescent="0.3">
      <c r="A67" s="2750" t="s">
        <v>802</v>
      </c>
      <c r="B67" s="2751"/>
      <c r="C67" s="2751"/>
      <c r="D67" s="2751"/>
      <c r="E67" s="1957">
        <f>SUM(E54:E65,E12:E53)</f>
        <v>0</v>
      </c>
      <c r="F67" s="1957">
        <f>SUM(F54:F66,F12:F53)</f>
        <v>64024</v>
      </c>
      <c r="G67" s="1957">
        <f>SUM(G54:G66,G12:G53)</f>
        <v>48013</v>
      </c>
      <c r="H67" s="1962">
        <f>G67/F67*100</f>
        <v>74.992190428589282</v>
      </c>
      <c r="I67" s="2063"/>
    </row>
    <row r="68" spans="1:12" ht="13.5" thickTop="1" x14ac:dyDescent="0.2">
      <c r="I68" s="1970"/>
      <c r="L68" s="1998"/>
    </row>
    <row r="69" spans="1:12" x14ac:dyDescent="0.2">
      <c r="I69" s="1970"/>
    </row>
    <row r="70" spans="1:12" ht="15" x14ac:dyDescent="0.25">
      <c r="A70" s="1942" t="s">
        <v>1658</v>
      </c>
      <c r="I70" s="1970"/>
    </row>
    <row r="71" spans="1:12" ht="15.75" thickBot="1" x14ac:dyDescent="0.3">
      <c r="A71" s="1942" t="s">
        <v>1882</v>
      </c>
      <c r="H71" s="2043" t="s">
        <v>173</v>
      </c>
      <c r="I71" s="1970"/>
    </row>
    <row r="72" spans="1:12" s="1735" customFormat="1" ht="25.5" thickTop="1" thickBot="1" x14ac:dyDescent="0.25">
      <c r="A72" s="1943" t="s">
        <v>174</v>
      </c>
      <c r="B72" s="1944" t="s">
        <v>800</v>
      </c>
      <c r="C72" s="1944" t="s">
        <v>397</v>
      </c>
      <c r="D72" s="1945" t="s">
        <v>176</v>
      </c>
      <c r="E72" s="1976" t="s">
        <v>669</v>
      </c>
      <c r="F72" s="1976" t="s">
        <v>670</v>
      </c>
      <c r="G72" s="1977" t="s">
        <v>923</v>
      </c>
      <c r="H72" s="1978" t="s">
        <v>924</v>
      </c>
    </row>
    <row r="73" spans="1:12" s="1735" customFormat="1" ht="13.5" thickTop="1" thickBot="1" x14ac:dyDescent="0.25">
      <c r="A73" s="1740">
        <v>1</v>
      </c>
      <c r="B73" s="1739">
        <v>2</v>
      </c>
      <c r="C73" s="1739">
        <v>3</v>
      </c>
      <c r="D73" s="1739">
        <v>4</v>
      </c>
      <c r="E73" s="1738">
        <v>5</v>
      </c>
      <c r="F73" s="1738">
        <v>6</v>
      </c>
      <c r="G73" s="2028">
        <v>7</v>
      </c>
      <c r="H73" s="2054" t="s">
        <v>61</v>
      </c>
    </row>
    <row r="74" spans="1:12" ht="31.5" customHeight="1" thickTop="1" thickBot="1" x14ac:dyDescent="0.25">
      <c r="A74" s="1987">
        <v>6402</v>
      </c>
      <c r="B74" s="1988">
        <v>5364</v>
      </c>
      <c r="C74" s="2356">
        <v>19</v>
      </c>
      <c r="D74" s="1979" t="s">
        <v>1883</v>
      </c>
      <c r="E74" s="1975">
        <v>0</v>
      </c>
      <c r="F74" s="1975">
        <v>1376</v>
      </c>
      <c r="G74" s="1975">
        <v>1376</v>
      </c>
      <c r="H74" s="1961">
        <f t="shared" ref="H74:H101" si="2">G74/F74*100</f>
        <v>100</v>
      </c>
    </row>
    <row r="75" spans="1:12" ht="15.75" hidden="1" customHeight="1" x14ac:dyDescent="0.2">
      <c r="A75" s="1952">
        <v>4379</v>
      </c>
      <c r="B75" s="1953">
        <v>5137</v>
      </c>
      <c r="C75" s="2127">
        <v>33113233</v>
      </c>
      <c r="D75" s="1979" t="s">
        <v>167</v>
      </c>
      <c r="E75" s="1989">
        <v>0</v>
      </c>
      <c r="F75" s="1989"/>
      <c r="G75" s="1989"/>
      <c r="H75" s="1961" t="e">
        <f t="shared" si="2"/>
        <v>#DIV/0!</v>
      </c>
    </row>
    <row r="76" spans="1:12" ht="15.75" hidden="1" customHeight="1" x14ac:dyDescent="0.2">
      <c r="A76" s="1952">
        <v>4379</v>
      </c>
      <c r="B76" s="1953">
        <v>5137</v>
      </c>
      <c r="C76" s="2127">
        <v>33513233</v>
      </c>
      <c r="D76" s="1979" t="s">
        <v>167</v>
      </c>
      <c r="E76" s="1989">
        <v>0</v>
      </c>
      <c r="F76" s="1989"/>
      <c r="G76" s="1989"/>
      <c r="H76" s="1961" t="e">
        <f t="shared" si="2"/>
        <v>#DIV/0!</v>
      </c>
    </row>
    <row r="77" spans="1:12" ht="15.75" hidden="1" customHeight="1" x14ac:dyDescent="0.2">
      <c r="A77" s="1952">
        <v>4379</v>
      </c>
      <c r="B77" s="1953">
        <v>5139</v>
      </c>
      <c r="C77" s="2127">
        <v>33113233</v>
      </c>
      <c r="D77" s="1979" t="s">
        <v>181</v>
      </c>
      <c r="E77" s="1989">
        <v>0</v>
      </c>
      <c r="F77" s="1989"/>
      <c r="G77" s="1989"/>
      <c r="H77" s="1961" t="e">
        <f t="shared" si="2"/>
        <v>#DIV/0!</v>
      </c>
    </row>
    <row r="78" spans="1:12" ht="15.75" hidden="1" customHeight="1" x14ac:dyDescent="0.2">
      <c r="A78" s="1952">
        <v>4379</v>
      </c>
      <c r="B78" s="1953">
        <v>5139</v>
      </c>
      <c r="C78" s="2127">
        <v>33513233</v>
      </c>
      <c r="D78" s="1979" t="s">
        <v>181</v>
      </c>
      <c r="E78" s="1989">
        <v>0</v>
      </c>
      <c r="F78" s="1989"/>
      <c r="G78" s="1989"/>
      <c r="H78" s="1961" t="e">
        <f t="shared" si="2"/>
        <v>#DIV/0!</v>
      </c>
    </row>
    <row r="79" spans="1:12" ht="15.75" hidden="1" customHeight="1" x14ac:dyDescent="0.2">
      <c r="A79" s="1952">
        <v>4379</v>
      </c>
      <c r="B79" s="1953">
        <v>5166</v>
      </c>
      <c r="C79" s="2127">
        <v>33113233</v>
      </c>
      <c r="D79" s="1979" t="s">
        <v>646</v>
      </c>
      <c r="E79" s="1989">
        <v>0</v>
      </c>
      <c r="F79" s="1989"/>
      <c r="G79" s="1989"/>
      <c r="H79" s="1961" t="e">
        <f t="shared" si="2"/>
        <v>#DIV/0!</v>
      </c>
    </row>
    <row r="80" spans="1:12" ht="15.75" hidden="1" customHeight="1" x14ac:dyDescent="0.2">
      <c r="A80" s="1952">
        <v>4379</v>
      </c>
      <c r="B80" s="1953">
        <v>5166</v>
      </c>
      <c r="C80" s="2127">
        <v>33513233</v>
      </c>
      <c r="D80" s="1979" t="s">
        <v>646</v>
      </c>
      <c r="E80" s="1989">
        <v>0</v>
      </c>
      <c r="F80" s="1989"/>
      <c r="G80" s="1989"/>
      <c r="H80" s="1961" t="e">
        <f t="shared" si="2"/>
        <v>#DIV/0!</v>
      </c>
    </row>
    <row r="81" spans="1:8" ht="15.75" hidden="1" customHeight="1" x14ac:dyDescent="0.2">
      <c r="A81" s="1952">
        <v>4379</v>
      </c>
      <c r="B81" s="1953">
        <v>5169</v>
      </c>
      <c r="C81" s="2127">
        <v>33113233</v>
      </c>
      <c r="D81" s="1979" t="s">
        <v>892</v>
      </c>
      <c r="E81" s="1989">
        <v>0</v>
      </c>
      <c r="F81" s="1989"/>
      <c r="G81" s="1989"/>
      <c r="H81" s="1961" t="e">
        <f t="shared" si="2"/>
        <v>#DIV/0!</v>
      </c>
    </row>
    <row r="82" spans="1:8" ht="15.75" hidden="1" customHeight="1" x14ac:dyDescent="0.2">
      <c r="A82" s="1952">
        <v>4379</v>
      </c>
      <c r="B82" s="1953">
        <v>5169</v>
      </c>
      <c r="C82" s="2127">
        <v>33513233</v>
      </c>
      <c r="D82" s="1979" t="s">
        <v>892</v>
      </c>
      <c r="E82" s="1989">
        <v>0</v>
      </c>
      <c r="F82" s="1989"/>
      <c r="G82" s="1989"/>
      <c r="H82" s="1961" t="e">
        <f t="shared" si="2"/>
        <v>#DIV/0!</v>
      </c>
    </row>
    <row r="83" spans="1:8" ht="15.75" hidden="1" customHeight="1" x14ac:dyDescent="0.2">
      <c r="A83" s="1952">
        <v>4379</v>
      </c>
      <c r="B83" s="1953">
        <v>5175</v>
      </c>
      <c r="C83" s="2127">
        <v>33113233</v>
      </c>
      <c r="D83" s="1979" t="s">
        <v>707</v>
      </c>
      <c r="E83" s="1989">
        <v>0</v>
      </c>
      <c r="F83" s="1989"/>
      <c r="G83" s="1989"/>
      <c r="H83" s="1961" t="e">
        <f t="shared" si="2"/>
        <v>#DIV/0!</v>
      </c>
    </row>
    <row r="84" spans="1:8" ht="15.75" hidden="1" customHeight="1" x14ac:dyDescent="0.2">
      <c r="A84" s="1952">
        <v>4379</v>
      </c>
      <c r="B84" s="1953">
        <v>5175</v>
      </c>
      <c r="C84" s="2127">
        <v>33513233</v>
      </c>
      <c r="D84" s="1979" t="s">
        <v>707</v>
      </c>
      <c r="E84" s="1989">
        <v>0</v>
      </c>
      <c r="F84" s="1989"/>
      <c r="G84" s="1989"/>
      <c r="H84" s="1961" t="e">
        <f t="shared" si="2"/>
        <v>#DIV/0!</v>
      </c>
    </row>
    <row r="85" spans="1:8" ht="15.75" hidden="1" customHeight="1" x14ac:dyDescent="0.2">
      <c r="A85" s="1952">
        <v>4379</v>
      </c>
      <c r="B85" s="1953">
        <v>5901</v>
      </c>
      <c r="C85" s="2127">
        <v>33113233</v>
      </c>
      <c r="D85" s="1979" t="s">
        <v>639</v>
      </c>
      <c r="E85" s="1989">
        <v>0</v>
      </c>
      <c r="F85" s="1989"/>
      <c r="G85" s="1989"/>
      <c r="H85" s="1961" t="e">
        <f t="shared" si="2"/>
        <v>#DIV/0!</v>
      </c>
    </row>
    <row r="86" spans="1:8" ht="15.75" hidden="1" customHeight="1" x14ac:dyDescent="0.2">
      <c r="A86" s="1952">
        <v>4379</v>
      </c>
      <c r="B86" s="1953">
        <v>5901</v>
      </c>
      <c r="C86" s="2127">
        <v>33513233</v>
      </c>
      <c r="D86" s="1979" t="s">
        <v>639</v>
      </c>
      <c r="E86" s="1989">
        <v>0</v>
      </c>
      <c r="F86" s="1989"/>
      <c r="G86" s="1989"/>
      <c r="H86" s="1961" t="e">
        <f t="shared" si="2"/>
        <v>#DIV/0!</v>
      </c>
    </row>
    <row r="87" spans="1:8" ht="15.75" hidden="1" thickBot="1" x14ac:dyDescent="0.25">
      <c r="A87" s="1952">
        <v>4379</v>
      </c>
      <c r="B87" s="1953">
        <v>5901</v>
      </c>
      <c r="C87" s="2127">
        <v>33513233</v>
      </c>
      <c r="D87" s="1979" t="s">
        <v>1472</v>
      </c>
      <c r="E87" s="1989">
        <v>0</v>
      </c>
      <c r="F87" s="1989"/>
      <c r="G87" s="1989"/>
      <c r="H87" s="1961" t="e">
        <f t="shared" si="2"/>
        <v>#DIV/0!</v>
      </c>
    </row>
    <row r="88" spans="1:8" ht="15.75" hidden="1" customHeight="1" x14ac:dyDescent="0.2">
      <c r="A88" s="2049">
        <v>6172</v>
      </c>
      <c r="B88" s="2056">
        <v>5011</v>
      </c>
      <c r="C88" s="2057">
        <v>33113233</v>
      </c>
      <c r="D88" s="1979" t="s">
        <v>219</v>
      </c>
      <c r="E88" s="1989">
        <v>0</v>
      </c>
      <c r="F88" s="1989"/>
      <c r="G88" s="1989"/>
      <c r="H88" s="1961" t="e">
        <f t="shared" si="2"/>
        <v>#DIV/0!</v>
      </c>
    </row>
    <row r="89" spans="1:8" ht="15.75" hidden="1" customHeight="1" x14ac:dyDescent="0.2">
      <c r="A89" s="2049">
        <v>6172</v>
      </c>
      <c r="B89" s="2056">
        <v>5011</v>
      </c>
      <c r="C89" s="2057">
        <v>33513233</v>
      </c>
      <c r="D89" s="1979" t="s">
        <v>219</v>
      </c>
      <c r="E89" s="1989">
        <v>0</v>
      </c>
      <c r="F89" s="1989"/>
      <c r="G89" s="1989"/>
      <c r="H89" s="1961" t="e">
        <f t="shared" si="2"/>
        <v>#DIV/0!</v>
      </c>
    </row>
    <row r="90" spans="1:8" ht="15.75" hidden="1" customHeight="1" x14ac:dyDescent="0.2">
      <c r="A90" s="1952">
        <v>6172</v>
      </c>
      <c r="B90" s="1953">
        <v>5021</v>
      </c>
      <c r="C90" s="2127">
        <v>33113233</v>
      </c>
      <c r="D90" s="1979" t="s">
        <v>409</v>
      </c>
      <c r="E90" s="1989">
        <v>0</v>
      </c>
      <c r="F90" s="1989"/>
      <c r="G90" s="1989"/>
      <c r="H90" s="1961" t="e">
        <f t="shared" si="2"/>
        <v>#DIV/0!</v>
      </c>
    </row>
    <row r="91" spans="1:8" ht="15.75" hidden="1" customHeight="1" x14ac:dyDescent="0.2">
      <c r="A91" s="1952">
        <v>6172</v>
      </c>
      <c r="B91" s="1953">
        <v>5021</v>
      </c>
      <c r="C91" s="2127">
        <v>33513233</v>
      </c>
      <c r="D91" s="1979" t="s">
        <v>409</v>
      </c>
      <c r="E91" s="1989">
        <v>0</v>
      </c>
      <c r="F91" s="1989"/>
      <c r="G91" s="1989"/>
      <c r="H91" s="1961" t="e">
        <f t="shared" si="2"/>
        <v>#DIV/0!</v>
      </c>
    </row>
    <row r="92" spans="1:8" s="1990" customFormat="1" ht="45.75" hidden="1" thickBot="1" x14ac:dyDescent="0.25">
      <c r="A92" s="2049">
        <v>6172</v>
      </c>
      <c r="B92" s="2056">
        <v>5031</v>
      </c>
      <c r="C92" s="2057">
        <v>33113233</v>
      </c>
      <c r="D92" s="1979" t="s">
        <v>1362</v>
      </c>
      <c r="E92" s="1989">
        <v>0</v>
      </c>
      <c r="F92" s="1989"/>
      <c r="G92" s="1989"/>
      <c r="H92" s="1961" t="e">
        <f t="shared" si="2"/>
        <v>#DIV/0!</v>
      </c>
    </row>
    <row r="93" spans="1:8" s="1990" customFormat="1" ht="45.75" hidden="1" thickBot="1" x14ac:dyDescent="0.25">
      <c r="A93" s="2049">
        <v>6172</v>
      </c>
      <c r="B93" s="2056">
        <v>5031</v>
      </c>
      <c r="C93" s="2057">
        <v>33513233</v>
      </c>
      <c r="D93" s="1979" t="s">
        <v>1362</v>
      </c>
      <c r="E93" s="1989">
        <v>0</v>
      </c>
      <c r="F93" s="1989"/>
      <c r="G93" s="1989"/>
      <c r="H93" s="1961" t="e">
        <f t="shared" si="2"/>
        <v>#DIV/0!</v>
      </c>
    </row>
    <row r="94" spans="1:8" s="1990" customFormat="1" ht="30.75" hidden="1" thickBot="1" x14ac:dyDescent="0.25">
      <c r="A94" s="2049">
        <v>6172</v>
      </c>
      <c r="B94" s="2056">
        <v>5032</v>
      </c>
      <c r="C94" s="2057">
        <v>33113233</v>
      </c>
      <c r="D94" s="1979" t="s">
        <v>1363</v>
      </c>
      <c r="E94" s="1989">
        <v>0</v>
      </c>
      <c r="F94" s="1989"/>
      <c r="G94" s="1989"/>
      <c r="H94" s="1961" t="e">
        <f t="shared" si="2"/>
        <v>#DIV/0!</v>
      </c>
    </row>
    <row r="95" spans="1:8" s="1990" customFormat="1" ht="30.75" hidden="1" thickBot="1" x14ac:dyDescent="0.25">
      <c r="A95" s="2049">
        <v>6172</v>
      </c>
      <c r="B95" s="2056">
        <v>5032</v>
      </c>
      <c r="C95" s="2057">
        <v>33513233</v>
      </c>
      <c r="D95" s="1979" t="s">
        <v>1363</v>
      </c>
      <c r="E95" s="1989">
        <v>0</v>
      </c>
      <c r="F95" s="1989"/>
      <c r="G95" s="1989"/>
      <c r="H95" s="1961" t="e">
        <f t="shared" si="2"/>
        <v>#DIV/0!</v>
      </c>
    </row>
    <row r="96" spans="1:8" ht="30.75" hidden="1" thickBot="1" x14ac:dyDescent="0.25">
      <c r="A96" s="2049">
        <v>6172</v>
      </c>
      <c r="B96" s="2056">
        <v>5162</v>
      </c>
      <c r="C96" s="2057">
        <v>33113233</v>
      </c>
      <c r="D96" s="1979" t="s">
        <v>904</v>
      </c>
      <c r="E96" s="1989">
        <v>0</v>
      </c>
      <c r="F96" s="1989"/>
      <c r="G96" s="1989"/>
      <c r="H96" s="1961">
        <v>0</v>
      </c>
    </row>
    <row r="97" spans="1:12" ht="15.75" hidden="1" customHeight="1" x14ac:dyDescent="0.2">
      <c r="A97" s="2049">
        <v>6172</v>
      </c>
      <c r="B97" s="2056">
        <v>5162</v>
      </c>
      <c r="C97" s="2057">
        <v>33513233</v>
      </c>
      <c r="D97" s="1979" t="s">
        <v>904</v>
      </c>
      <c r="E97" s="1989">
        <v>0</v>
      </c>
      <c r="F97" s="1989"/>
      <c r="G97" s="1989"/>
      <c r="H97" s="1961" t="e">
        <f t="shared" si="2"/>
        <v>#DIV/0!</v>
      </c>
    </row>
    <row r="98" spans="1:12" s="1990" customFormat="1" ht="15.75" hidden="1" thickBot="1" x14ac:dyDescent="0.25">
      <c r="A98" s="2049">
        <v>6172</v>
      </c>
      <c r="B98" s="2056">
        <v>5173</v>
      </c>
      <c r="C98" s="2057">
        <v>33113233</v>
      </c>
      <c r="D98" s="1979" t="s">
        <v>1211</v>
      </c>
      <c r="E98" s="1989">
        <v>0</v>
      </c>
      <c r="F98" s="1989"/>
      <c r="G98" s="1989"/>
      <c r="H98" s="1961" t="e">
        <f t="shared" si="2"/>
        <v>#DIV/0!</v>
      </c>
    </row>
    <row r="99" spans="1:12" s="1990" customFormat="1" ht="15.75" hidden="1" thickBot="1" x14ac:dyDescent="0.25">
      <c r="A99" s="2049">
        <v>6172</v>
      </c>
      <c r="B99" s="2056">
        <v>5173</v>
      </c>
      <c r="C99" s="2057">
        <v>33513233</v>
      </c>
      <c r="D99" s="1979" t="s">
        <v>1211</v>
      </c>
      <c r="E99" s="1989">
        <v>0</v>
      </c>
      <c r="F99" s="1989"/>
      <c r="G99" s="1989"/>
      <c r="H99" s="1961" t="e">
        <f t="shared" si="2"/>
        <v>#DIV/0!</v>
      </c>
    </row>
    <row r="100" spans="1:12" s="1990" customFormat="1" ht="15.75" hidden="1" thickBot="1" x14ac:dyDescent="0.25">
      <c r="A100" s="2049">
        <v>6172</v>
      </c>
      <c r="B100" s="2056">
        <v>5424</v>
      </c>
      <c r="C100" s="2057">
        <v>33113233</v>
      </c>
      <c r="D100" s="1979" t="s">
        <v>688</v>
      </c>
      <c r="E100" s="1989">
        <v>0</v>
      </c>
      <c r="F100" s="1989"/>
      <c r="G100" s="1989"/>
      <c r="H100" s="1961" t="e">
        <f t="shared" si="2"/>
        <v>#DIV/0!</v>
      </c>
    </row>
    <row r="101" spans="1:12" s="1990" customFormat="1" ht="15.75" hidden="1" thickBot="1" x14ac:dyDescent="0.25">
      <c r="A101" s="2049">
        <v>6172</v>
      </c>
      <c r="B101" s="2070">
        <v>5424</v>
      </c>
      <c r="C101" s="2128">
        <v>33513233</v>
      </c>
      <c r="D101" s="1979" t="s">
        <v>688</v>
      </c>
      <c r="E101" s="1986">
        <v>0</v>
      </c>
      <c r="F101" s="1986"/>
      <c r="G101" s="1986"/>
      <c r="H101" s="1968" t="e">
        <f t="shared" si="2"/>
        <v>#DIV/0!</v>
      </c>
    </row>
    <row r="102" spans="1:12" ht="16.5" thickTop="1" thickBot="1" x14ac:dyDescent="0.3">
      <c r="A102" s="2750" t="s">
        <v>802</v>
      </c>
      <c r="B102" s="2751"/>
      <c r="C102" s="2751"/>
      <c r="D102" s="2751"/>
      <c r="E102" s="1957">
        <f>SUM(E74:E101)</f>
        <v>0</v>
      </c>
      <c r="F102" s="1957">
        <f>SUM(F74:F101)</f>
        <v>1376</v>
      </c>
      <c r="G102" s="1957">
        <f>SUM(G74:G101)</f>
        <v>1376</v>
      </c>
      <c r="H102" s="1962">
        <f>G102/F102*100</f>
        <v>100</v>
      </c>
      <c r="I102" s="1970"/>
    </row>
    <row r="103" spans="1:12" ht="13.5" thickTop="1" x14ac:dyDescent="0.2">
      <c r="L103" s="1938"/>
    </row>
    <row r="104" spans="1:12" ht="15.75" thickBot="1" x14ac:dyDescent="0.3">
      <c r="A104" s="1942" t="s">
        <v>263</v>
      </c>
      <c r="D104" s="1936"/>
      <c r="E104" s="1937"/>
      <c r="H104" s="2043" t="s">
        <v>173</v>
      </c>
      <c r="I104" s="2042"/>
    </row>
    <row r="105" spans="1:12" ht="25.5" thickTop="1" thickBot="1" x14ac:dyDescent="0.25">
      <c r="A105" s="1943" t="s">
        <v>174</v>
      </c>
      <c r="B105" s="1944" t="s">
        <v>800</v>
      </c>
      <c r="C105" s="1944" t="s">
        <v>397</v>
      </c>
      <c r="D105" s="1945" t="s">
        <v>176</v>
      </c>
      <c r="E105" s="1976" t="s">
        <v>669</v>
      </c>
      <c r="F105" s="1976" t="s">
        <v>670</v>
      </c>
      <c r="G105" s="1977" t="s">
        <v>923</v>
      </c>
      <c r="H105" s="1978" t="s">
        <v>924</v>
      </c>
    </row>
    <row r="106" spans="1:12" ht="14.25" thickTop="1" thickBot="1" x14ac:dyDescent="0.25">
      <c r="A106" s="1740">
        <v>1</v>
      </c>
      <c r="B106" s="1739">
        <v>2</v>
      </c>
      <c r="C106" s="1739">
        <v>3</v>
      </c>
      <c r="D106" s="1739">
        <v>5</v>
      </c>
      <c r="E106" s="1738">
        <v>6</v>
      </c>
      <c r="F106" s="1738">
        <v>7</v>
      </c>
      <c r="G106" s="2028">
        <v>8</v>
      </c>
      <c r="H106" s="1951" t="s">
        <v>801</v>
      </c>
    </row>
    <row r="107" spans="1:12" s="1973" customFormat="1" ht="16.5" thickTop="1" thickBot="1" x14ac:dyDescent="0.3">
      <c r="A107" s="2041">
        <v>6330</v>
      </c>
      <c r="B107" s="1953">
        <v>5345</v>
      </c>
      <c r="C107" s="2040"/>
      <c r="D107" s="2037" t="s">
        <v>806</v>
      </c>
      <c r="E107" s="1975">
        <v>0</v>
      </c>
      <c r="F107" s="1975">
        <v>0</v>
      </c>
      <c r="G107" s="2039">
        <v>39002</v>
      </c>
      <c r="H107" s="1958">
        <v>0</v>
      </c>
    </row>
    <row r="108" spans="1:12" s="1973" customFormat="1" ht="15.75" hidden="1" thickBot="1" x14ac:dyDescent="0.3">
      <c r="A108" s="1952">
        <v>6409</v>
      </c>
      <c r="B108" s="1953">
        <v>5909</v>
      </c>
      <c r="C108" s="2038"/>
      <c r="D108" s="2037" t="s">
        <v>820</v>
      </c>
      <c r="E108" s="1989">
        <v>0</v>
      </c>
      <c r="F108" s="1989">
        <v>0</v>
      </c>
      <c r="G108" s="2036">
        <v>0</v>
      </c>
      <c r="H108" s="1961">
        <v>0</v>
      </c>
    </row>
    <row r="109" spans="1:12" ht="16.5" thickTop="1" thickBot="1" x14ac:dyDescent="0.3">
      <c r="A109" s="1980" t="s">
        <v>802</v>
      </c>
      <c r="B109" s="1981"/>
      <c r="C109" s="1981"/>
      <c r="D109" s="1982"/>
      <c r="E109" s="1957">
        <f>SUM(E107:E108)</f>
        <v>0</v>
      </c>
      <c r="F109" s="1957">
        <f>SUM(F107:F108)</f>
        <v>0</v>
      </c>
      <c r="G109" s="1957">
        <f>SUM(G107:G108)</f>
        <v>39002</v>
      </c>
      <c r="H109" s="1962">
        <v>0</v>
      </c>
    </row>
    <row r="110" spans="1:12" ht="13.5" thickTop="1" x14ac:dyDescent="0.2"/>
    <row r="112" spans="1:12" ht="16.5" x14ac:dyDescent="0.25">
      <c r="A112" s="2011" t="s">
        <v>487</v>
      </c>
      <c r="B112" s="2012"/>
      <c r="C112" s="2013"/>
      <c r="D112" s="2014"/>
      <c r="E112" s="2015">
        <f>SUM(E113:E115)</f>
        <v>0</v>
      </c>
      <c r="F112" s="2015">
        <f>F113+F114+F115+F116</f>
        <v>65400</v>
      </c>
      <c r="G112" s="2015">
        <f>G113+G114+G115+G116</f>
        <v>88391</v>
      </c>
      <c r="H112" s="2035">
        <f>G112/F112*100</f>
        <v>135.15443425076452</v>
      </c>
      <c r="J112" s="2017">
        <f>J113+J114+J115</f>
        <v>0</v>
      </c>
      <c r="K112" s="2017">
        <f>K113+K114+K115</f>
        <v>65399982.399999999</v>
      </c>
      <c r="L112" s="2017">
        <f>L113+L114+L115</f>
        <v>88390868.599999994</v>
      </c>
    </row>
    <row r="113" spans="1:12" ht="15" x14ac:dyDescent="0.2">
      <c r="A113" s="1696" t="s">
        <v>277</v>
      </c>
      <c r="B113" s="1699"/>
      <c r="C113" s="1694"/>
      <c r="D113" s="2018"/>
      <c r="E113" s="1697">
        <f>E12+E13+E22+E23+E24+E25+E26+E27+E28+E29+E38+E39+E40+E41+E42+E43+E44+E45+E46+E47+E48+E49+E50+E51+E52+E53+E60+E61+E62+E63+E64+E65+E74+E108</f>
        <v>0</v>
      </c>
      <c r="F113" s="1697">
        <f>F12+F13+F22+F23+F24+F25+F26+F27+F28+F29+F38+F39+F40+F41+F42+F43+F44+F45+F46+F47+F48+F49+F50+F51+F52+F53+F60+F61+F62+F63+F64+F65+F74+F108</f>
        <v>65400</v>
      </c>
      <c r="G113" s="1697">
        <f>G12+G13+G22+G23+G24+G25+G26+G27+G28+G29+G38+G39+G40+G41+G42+G43+G44+G45+G46+G47+G48+G49+G50+G51+G52+G53+G60+G61+G62+G63+G64+G65+G74+G108</f>
        <v>49389</v>
      </c>
      <c r="H113" s="2034">
        <f>G113/F113*100</f>
        <v>75.518348623853214</v>
      </c>
      <c r="J113" s="2019">
        <v>0</v>
      </c>
      <c r="K113" s="2019">
        <v>65399982.399999999</v>
      </c>
      <c r="L113" s="2019">
        <v>49388791.100000001</v>
      </c>
    </row>
    <row r="114" spans="1:12" ht="15" x14ac:dyDescent="0.2">
      <c r="A114" s="1696" t="s">
        <v>278</v>
      </c>
      <c r="B114" s="1695"/>
      <c r="C114" s="1694"/>
      <c r="D114" s="2020"/>
      <c r="E114" s="1697">
        <v>0</v>
      </c>
      <c r="F114" s="1697">
        <v>0</v>
      </c>
      <c r="G114" s="1697">
        <v>0</v>
      </c>
      <c r="H114" s="2034">
        <v>0</v>
      </c>
      <c r="J114" s="2019">
        <v>0</v>
      </c>
      <c r="K114" s="2019">
        <v>0</v>
      </c>
      <c r="L114" s="2019">
        <v>0</v>
      </c>
    </row>
    <row r="115" spans="1:12" ht="15" x14ac:dyDescent="0.2">
      <c r="A115" s="1696" t="s">
        <v>488</v>
      </c>
      <c r="B115" s="1695"/>
      <c r="C115" s="1694"/>
      <c r="D115" s="2020"/>
      <c r="E115" s="1697">
        <v>0</v>
      </c>
      <c r="F115" s="1697">
        <v>0</v>
      </c>
      <c r="G115" s="1697">
        <f>G107</f>
        <v>39002</v>
      </c>
      <c r="H115" s="2034">
        <v>0</v>
      </c>
      <c r="J115" s="2019">
        <v>0</v>
      </c>
      <c r="K115" s="2019">
        <v>0</v>
      </c>
      <c r="L115" s="2019">
        <v>39002077.5</v>
      </c>
    </row>
    <row r="116" spans="1:12" ht="15" x14ac:dyDescent="0.2">
      <c r="A116" s="1696"/>
      <c r="B116" s="1695"/>
      <c r="C116" s="1694"/>
      <c r="D116" s="2020"/>
      <c r="E116" s="1697"/>
      <c r="F116" s="1697"/>
      <c r="G116" s="1697"/>
      <c r="H116" s="1693"/>
    </row>
    <row r="117" spans="1:12" ht="75" customHeight="1" thickBot="1" x14ac:dyDescent="0.4">
      <c r="A117" s="2746" t="s">
        <v>856</v>
      </c>
      <c r="B117" s="2765"/>
      <c r="C117" s="2765"/>
      <c r="D117" s="2765"/>
      <c r="E117" s="1687">
        <f>SUM(E112)</f>
        <v>0</v>
      </c>
      <c r="F117" s="1687">
        <f>SUM(F112)</f>
        <v>65400</v>
      </c>
      <c r="G117" s="1687">
        <f>SUM(G112)</f>
        <v>88391</v>
      </c>
      <c r="H117" s="1686">
        <f>(G117/F117)*100</f>
        <v>135.15443425076452</v>
      </c>
    </row>
    <row r="118" spans="1:12" ht="13.5" thickTop="1" x14ac:dyDescent="0.2"/>
    <row r="230" spans="1:5" ht="13.5" thickBot="1" x14ac:dyDescent="0.25">
      <c r="A230" s="1984"/>
      <c r="B230" s="1984"/>
      <c r="C230" s="1984"/>
    </row>
    <row r="231" spans="1:5" ht="13.5" thickTop="1" x14ac:dyDescent="0.2">
      <c r="A231" s="2009"/>
      <c r="B231" s="2009"/>
      <c r="C231" s="2009"/>
    </row>
    <row r="238" spans="1:5" ht="13.5" thickBot="1" x14ac:dyDescent="0.25">
      <c r="D238" s="2064"/>
      <c r="E238" s="2065"/>
    </row>
    <row r="239" spans="1:5" ht="13.5" thickTop="1" x14ac:dyDescent="0.2">
      <c r="D239" s="1998"/>
      <c r="E239" s="2066"/>
    </row>
    <row r="240" spans="1:5" x14ac:dyDescent="0.2">
      <c r="D240" s="1937" t="e">
        <f>#REF!+#REF!</f>
        <v>#REF!</v>
      </c>
    </row>
  </sheetData>
  <mergeCells count="4">
    <mergeCell ref="A1:H1"/>
    <mergeCell ref="A67:D67"/>
    <mergeCell ref="A102:D102"/>
    <mergeCell ref="A117:D117"/>
  </mergeCells>
  <pageMargins left="0.98425196850393704" right="0.98425196850393704" top="0.98425196850393704" bottom="0.98425196850393704" header="0.51181102362204722" footer="0.51181102362204722"/>
  <pageSetup paperSize="9" scale="70" firstPageNumber="144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1" manualBreakCount="1">
    <brk id="102" max="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66"/>
  <sheetViews>
    <sheetView showGridLines="0" view="pageBreakPreview" zoomScaleNormal="100" zoomScaleSheetLayoutView="100" workbookViewId="0">
      <selection activeCell="J37" sqref="J37:L39"/>
    </sheetView>
  </sheetViews>
  <sheetFormatPr defaultRowHeight="12.75" x14ac:dyDescent="0.2"/>
  <cols>
    <col min="1" max="1" width="4.7109375" style="1936" customWidth="1"/>
    <col min="2" max="2" width="6.140625" style="1936" customWidth="1"/>
    <col min="3" max="3" width="8.7109375" style="1936" customWidth="1"/>
    <col min="4" max="4" width="40.42578125" style="1937" customWidth="1"/>
    <col min="5" max="5" width="10.42578125" style="1970" customWidth="1"/>
    <col min="6" max="6" width="15.85546875" style="1970" customWidth="1"/>
    <col min="7" max="7" width="13.85546875" style="1970" customWidth="1"/>
    <col min="8" max="8" width="10.5703125" style="1937" customWidth="1"/>
    <col min="9" max="9" width="14.28515625" style="1937" bestFit="1" customWidth="1"/>
    <col min="10" max="10" width="11.42578125" style="1937" bestFit="1" customWidth="1"/>
    <col min="11" max="12" width="14.7109375" style="1937" bestFit="1" customWidth="1"/>
    <col min="13" max="256" width="9.140625" style="1937"/>
    <col min="257" max="257" width="4.7109375" style="1937" customWidth="1"/>
    <col min="258" max="258" width="6.140625" style="1937" customWidth="1"/>
    <col min="259" max="259" width="8.7109375" style="1937" customWidth="1"/>
    <col min="260" max="260" width="40.42578125" style="1937" customWidth="1"/>
    <col min="261" max="261" width="10.42578125" style="1937" customWidth="1"/>
    <col min="262" max="262" width="15.85546875" style="1937" customWidth="1"/>
    <col min="263" max="263" width="13.85546875" style="1937" customWidth="1"/>
    <col min="264" max="264" width="9.42578125" style="1937" customWidth="1"/>
    <col min="265" max="265" width="14.28515625" style="1937" bestFit="1" customWidth="1"/>
    <col min="266" max="266" width="11.42578125" style="1937" bestFit="1" customWidth="1"/>
    <col min="267" max="268" width="14.7109375" style="1937" bestFit="1" customWidth="1"/>
    <col min="269" max="512" width="9.140625" style="1937"/>
    <col min="513" max="513" width="4.7109375" style="1937" customWidth="1"/>
    <col min="514" max="514" width="6.140625" style="1937" customWidth="1"/>
    <col min="515" max="515" width="8.7109375" style="1937" customWidth="1"/>
    <col min="516" max="516" width="40.42578125" style="1937" customWidth="1"/>
    <col min="517" max="517" width="10.42578125" style="1937" customWidth="1"/>
    <col min="518" max="518" width="15.85546875" style="1937" customWidth="1"/>
    <col min="519" max="519" width="13.85546875" style="1937" customWidth="1"/>
    <col min="520" max="520" width="9.42578125" style="1937" customWidth="1"/>
    <col min="521" max="521" width="14.28515625" style="1937" bestFit="1" customWidth="1"/>
    <col min="522" max="522" width="11.42578125" style="1937" bestFit="1" customWidth="1"/>
    <col min="523" max="524" width="14.7109375" style="1937" bestFit="1" customWidth="1"/>
    <col min="525" max="768" width="9.140625" style="1937"/>
    <col min="769" max="769" width="4.7109375" style="1937" customWidth="1"/>
    <col min="770" max="770" width="6.140625" style="1937" customWidth="1"/>
    <col min="771" max="771" width="8.7109375" style="1937" customWidth="1"/>
    <col min="772" max="772" width="40.42578125" style="1937" customWidth="1"/>
    <col min="773" max="773" width="10.42578125" style="1937" customWidth="1"/>
    <col min="774" max="774" width="15.85546875" style="1937" customWidth="1"/>
    <col min="775" max="775" width="13.85546875" style="1937" customWidth="1"/>
    <col min="776" max="776" width="9.42578125" style="1937" customWidth="1"/>
    <col min="777" max="777" width="14.28515625" style="1937" bestFit="1" customWidth="1"/>
    <col min="778" max="778" width="11.42578125" style="1937" bestFit="1" customWidth="1"/>
    <col min="779" max="780" width="14.7109375" style="1937" bestFit="1" customWidth="1"/>
    <col min="781" max="1024" width="9.140625" style="1937"/>
    <col min="1025" max="1025" width="4.7109375" style="1937" customWidth="1"/>
    <col min="1026" max="1026" width="6.140625" style="1937" customWidth="1"/>
    <col min="1027" max="1027" width="8.7109375" style="1937" customWidth="1"/>
    <col min="1028" max="1028" width="40.42578125" style="1937" customWidth="1"/>
    <col min="1029" max="1029" width="10.42578125" style="1937" customWidth="1"/>
    <col min="1030" max="1030" width="15.85546875" style="1937" customWidth="1"/>
    <col min="1031" max="1031" width="13.85546875" style="1937" customWidth="1"/>
    <col min="1032" max="1032" width="9.42578125" style="1937" customWidth="1"/>
    <col min="1033" max="1033" width="14.28515625" style="1937" bestFit="1" customWidth="1"/>
    <col min="1034" max="1034" width="11.42578125" style="1937" bestFit="1" customWidth="1"/>
    <col min="1035" max="1036" width="14.7109375" style="1937" bestFit="1" customWidth="1"/>
    <col min="1037" max="1280" width="9.140625" style="1937"/>
    <col min="1281" max="1281" width="4.7109375" style="1937" customWidth="1"/>
    <col min="1282" max="1282" width="6.140625" style="1937" customWidth="1"/>
    <col min="1283" max="1283" width="8.7109375" style="1937" customWidth="1"/>
    <col min="1284" max="1284" width="40.42578125" style="1937" customWidth="1"/>
    <col min="1285" max="1285" width="10.42578125" style="1937" customWidth="1"/>
    <col min="1286" max="1286" width="15.85546875" style="1937" customWidth="1"/>
    <col min="1287" max="1287" width="13.85546875" style="1937" customWidth="1"/>
    <col min="1288" max="1288" width="9.42578125" style="1937" customWidth="1"/>
    <col min="1289" max="1289" width="14.28515625" style="1937" bestFit="1" customWidth="1"/>
    <col min="1290" max="1290" width="11.42578125" style="1937" bestFit="1" customWidth="1"/>
    <col min="1291" max="1292" width="14.7109375" style="1937" bestFit="1" customWidth="1"/>
    <col min="1293" max="1536" width="9.140625" style="1937"/>
    <col min="1537" max="1537" width="4.7109375" style="1937" customWidth="1"/>
    <col min="1538" max="1538" width="6.140625" style="1937" customWidth="1"/>
    <col min="1539" max="1539" width="8.7109375" style="1937" customWidth="1"/>
    <col min="1540" max="1540" width="40.42578125" style="1937" customWidth="1"/>
    <col min="1541" max="1541" width="10.42578125" style="1937" customWidth="1"/>
    <col min="1542" max="1542" width="15.85546875" style="1937" customWidth="1"/>
    <col min="1543" max="1543" width="13.85546875" style="1937" customWidth="1"/>
    <col min="1544" max="1544" width="9.42578125" style="1937" customWidth="1"/>
    <col min="1545" max="1545" width="14.28515625" style="1937" bestFit="1" customWidth="1"/>
    <col min="1546" max="1546" width="11.42578125" style="1937" bestFit="1" customWidth="1"/>
    <col min="1547" max="1548" width="14.7109375" style="1937" bestFit="1" customWidth="1"/>
    <col min="1549" max="1792" width="9.140625" style="1937"/>
    <col min="1793" max="1793" width="4.7109375" style="1937" customWidth="1"/>
    <col min="1794" max="1794" width="6.140625" style="1937" customWidth="1"/>
    <col min="1795" max="1795" width="8.7109375" style="1937" customWidth="1"/>
    <col min="1796" max="1796" width="40.42578125" style="1937" customWidth="1"/>
    <col min="1797" max="1797" width="10.42578125" style="1937" customWidth="1"/>
    <col min="1798" max="1798" width="15.85546875" style="1937" customWidth="1"/>
    <col min="1799" max="1799" width="13.85546875" style="1937" customWidth="1"/>
    <col min="1800" max="1800" width="9.42578125" style="1937" customWidth="1"/>
    <col min="1801" max="1801" width="14.28515625" style="1937" bestFit="1" customWidth="1"/>
    <col min="1802" max="1802" width="11.42578125" style="1937" bestFit="1" customWidth="1"/>
    <col min="1803" max="1804" width="14.7109375" style="1937" bestFit="1" customWidth="1"/>
    <col min="1805" max="2048" width="9.140625" style="1937"/>
    <col min="2049" max="2049" width="4.7109375" style="1937" customWidth="1"/>
    <col min="2050" max="2050" width="6.140625" style="1937" customWidth="1"/>
    <col min="2051" max="2051" width="8.7109375" style="1937" customWidth="1"/>
    <col min="2052" max="2052" width="40.42578125" style="1937" customWidth="1"/>
    <col min="2053" max="2053" width="10.42578125" style="1937" customWidth="1"/>
    <col min="2054" max="2054" width="15.85546875" style="1937" customWidth="1"/>
    <col min="2055" max="2055" width="13.85546875" style="1937" customWidth="1"/>
    <col min="2056" max="2056" width="9.42578125" style="1937" customWidth="1"/>
    <col min="2057" max="2057" width="14.28515625" style="1937" bestFit="1" customWidth="1"/>
    <col min="2058" max="2058" width="11.42578125" style="1937" bestFit="1" customWidth="1"/>
    <col min="2059" max="2060" width="14.7109375" style="1937" bestFit="1" customWidth="1"/>
    <col min="2061" max="2304" width="9.140625" style="1937"/>
    <col min="2305" max="2305" width="4.7109375" style="1937" customWidth="1"/>
    <col min="2306" max="2306" width="6.140625" style="1937" customWidth="1"/>
    <col min="2307" max="2307" width="8.7109375" style="1937" customWidth="1"/>
    <col min="2308" max="2308" width="40.42578125" style="1937" customWidth="1"/>
    <col min="2309" max="2309" width="10.42578125" style="1937" customWidth="1"/>
    <col min="2310" max="2310" width="15.85546875" style="1937" customWidth="1"/>
    <col min="2311" max="2311" width="13.85546875" style="1937" customWidth="1"/>
    <col min="2312" max="2312" width="9.42578125" style="1937" customWidth="1"/>
    <col min="2313" max="2313" width="14.28515625" style="1937" bestFit="1" customWidth="1"/>
    <col min="2314" max="2314" width="11.42578125" style="1937" bestFit="1" customWidth="1"/>
    <col min="2315" max="2316" width="14.7109375" style="1937" bestFit="1" customWidth="1"/>
    <col min="2317" max="2560" width="9.140625" style="1937"/>
    <col min="2561" max="2561" width="4.7109375" style="1937" customWidth="1"/>
    <col min="2562" max="2562" width="6.140625" style="1937" customWidth="1"/>
    <col min="2563" max="2563" width="8.7109375" style="1937" customWidth="1"/>
    <col min="2564" max="2564" width="40.42578125" style="1937" customWidth="1"/>
    <col min="2565" max="2565" width="10.42578125" style="1937" customWidth="1"/>
    <col min="2566" max="2566" width="15.85546875" style="1937" customWidth="1"/>
    <col min="2567" max="2567" width="13.85546875" style="1937" customWidth="1"/>
    <col min="2568" max="2568" width="9.42578125" style="1937" customWidth="1"/>
    <col min="2569" max="2569" width="14.28515625" style="1937" bestFit="1" customWidth="1"/>
    <col min="2570" max="2570" width="11.42578125" style="1937" bestFit="1" customWidth="1"/>
    <col min="2571" max="2572" width="14.7109375" style="1937" bestFit="1" customWidth="1"/>
    <col min="2573" max="2816" width="9.140625" style="1937"/>
    <col min="2817" max="2817" width="4.7109375" style="1937" customWidth="1"/>
    <col min="2818" max="2818" width="6.140625" style="1937" customWidth="1"/>
    <col min="2819" max="2819" width="8.7109375" style="1937" customWidth="1"/>
    <col min="2820" max="2820" width="40.42578125" style="1937" customWidth="1"/>
    <col min="2821" max="2821" width="10.42578125" style="1937" customWidth="1"/>
    <col min="2822" max="2822" width="15.85546875" style="1937" customWidth="1"/>
    <col min="2823" max="2823" width="13.85546875" style="1937" customWidth="1"/>
    <col min="2824" max="2824" width="9.42578125" style="1937" customWidth="1"/>
    <col min="2825" max="2825" width="14.28515625" style="1937" bestFit="1" customWidth="1"/>
    <col min="2826" max="2826" width="11.42578125" style="1937" bestFit="1" customWidth="1"/>
    <col min="2827" max="2828" width="14.7109375" style="1937" bestFit="1" customWidth="1"/>
    <col min="2829" max="3072" width="9.140625" style="1937"/>
    <col min="3073" max="3073" width="4.7109375" style="1937" customWidth="1"/>
    <col min="3074" max="3074" width="6.140625" style="1937" customWidth="1"/>
    <col min="3075" max="3075" width="8.7109375" style="1937" customWidth="1"/>
    <col min="3076" max="3076" width="40.42578125" style="1937" customWidth="1"/>
    <col min="3077" max="3077" width="10.42578125" style="1937" customWidth="1"/>
    <col min="3078" max="3078" width="15.85546875" style="1937" customWidth="1"/>
    <col min="3079" max="3079" width="13.85546875" style="1937" customWidth="1"/>
    <col min="3080" max="3080" width="9.42578125" style="1937" customWidth="1"/>
    <col min="3081" max="3081" width="14.28515625" style="1937" bestFit="1" customWidth="1"/>
    <col min="3082" max="3082" width="11.42578125" style="1937" bestFit="1" customWidth="1"/>
    <col min="3083" max="3084" width="14.7109375" style="1937" bestFit="1" customWidth="1"/>
    <col min="3085" max="3328" width="9.140625" style="1937"/>
    <col min="3329" max="3329" width="4.7109375" style="1937" customWidth="1"/>
    <col min="3330" max="3330" width="6.140625" style="1937" customWidth="1"/>
    <col min="3331" max="3331" width="8.7109375" style="1937" customWidth="1"/>
    <col min="3332" max="3332" width="40.42578125" style="1937" customWidth="1"/>
    <col min="3333" max="3333" width="10.42578125" style="1937" customWidth="1"/>
    <col min="3334" max="3334" width="15.85546875" style="1937" customWidth="1"/>
    <col min="3335" max="3335" width="13.85546875" style="1937" customWidth="1"/>
    <col min="3336" max="3336" width="9.42578125" style="1937" customWidth="1"/>
    <col min="3337" max="3337" width="14.28515625" style="1937" bestFit="1" customWidth="1"/>
    <col min="3338" max="3338" width="11.42578125" style="1937" bestFit="1" customWidth="1"/>
    <col min="3339" max="3340" width="14.7109375" style="1937" bestFit="1" customWidth="1"/>
    <col min="3341" max="3584" width="9.140625" style="1937"/>
    <col min="3585" max="3585" width="4.7109375" style="1937" customWidth="1"/>
    <col min="3586" max="3586" width="6.140625" style="1937" customWidth="1"/>
    <col min="3587" max="3587" width="8.7109375" style="1937" customWidth="1"/>
    <col min="3588" max="3588" width="40.42578125" style="1937" customWidth="1"/>
    <col min="3589" max="3589" width="10.42578125" style="1937" customWidth="1"/>
    <col min="3590" max="3590" width="15.85546875" style="1937" customWidth="1"/>
    <col min="3591" max="3591" width="13.85546875" style="1937" customWidth="1"/>
    <col min="3592" max="3592" width="9.42578125" style="1937" customWidth="1"/>
    <col min="3593" max="3593" width="14.28515625" style="1937" bestFit="1" customWidth="1"/>
    <col min="3594" max="3594" width="11.42578125" style="1937" bestFit="1" customWidth="1"/>
    <col min="3595" max="3596" width="14.7109375" style="1937" bestFit="1" customWidth="1"/>
    <col min="3597" max="3840" width="9.140625" style="1937"/>
    <col min="3841" max="3841" width="4.7109375" style="1937" customWidth="1"/>
    <col min="3842" max="3842" width="6.140625" style="1937" customWidth="1"/>
    <col min="3843" max="3843" width="8.7109375" style="1937" customWidth="1"/>
    <col min="3844" max="3844" width="40.42578125" style="1937" customWidth="1"/>
    <col min="3845" max="3845" width="10.42578125" style="1937" customWidth="1"/>
    <col min="3846" max="3846" width="15.85546875" style="1937" customWidth="1"/>
    <col min="3847" max="3847" width="13.85546875" style="1937" customWidth="1"/>
    <col min="3848" max="3848" width="9.42578125" style="1937" customWidth="1"/>
    <col min="3849" max="3849" width="14.28515625" style="1937" bestFit="1" customWidth="1"/>
    <col min="3850" max="3850" width="11.42578125" style="1937" bestFit="1" customWidth="1"/>
    <col min="3851" max="3852" width="14.7109375" style="1937" bestFit="1" customWidth="1"/>
    <col min="3853" max="4096" width="9.140625" style="1937"/>
    <col min="4097" max="4097" width="4.7109375" style="1937" customWidth="1"/>
    <col min="4098" max="4098" width="6.140625" style="1937" customWidth="1"/>
    <col min="4099" max="4099" width="8.7109375" style="1937" customWidth="1"/>
    <col min="4100" max="4100" width="40.42578125" style="1937" customWidth="1"/>
    <col min="4101" max="4101" width="10.42578125" style="1937" customWidth="1"/>
    <col min="4102" max="4102" width="15.85546875" style="1937" customWidth="1"/>
    <col min="4103" max="4103" width="13.85546875" style="1937" customWidth="1"/>
    <col min="4104" max="4104" width="9.42578125" style="1937" customWidth="1"/>
    <col min="4105" max="4105" width="14.28515625" style="1937" bestFit="1" customWidth="1"/>
    <col min="4106" max="4106" width="11.42578125" style="1937" bestFit="1" customWidth="1"/>
    <col min="4107" max="4108" width="14.7109375" style="1937" bestFit="1" customWidth="1"/>
    <col min="4109" max="4352" width="9.140625" style="1937"/>
    <col min="4353" max="4353" width="4.7109375" style="1937" customWidth="1"/>
    <col min="4354" max="4354" width="6.140625" style="1937" customWidth="1"/>
    <col min="4355" max="4355" width="8.7109375" style="1937" customWidth="1"/>
    <col min="4356" max="4356" width="40.42578125" style="1937" customWidth="1"/>
    <col min="4357" max="4357" width="10.42578125" style="1937" customWidth="1"/>
    <col min="4358" max="4358" width="15.85546875" style="1937" customWidth="1"/>
    <col min="4359" max="4359" width="13.85546875" style="1937" customWidth="1"/>
    <col min="4360" max="4360" width="9.42578125" style="1937" customWidth="1"/>
    <col min="4361" max="4361" width="14.28515625" style="1937" bestFit="1" customWidth="1"/>
    <col min="4362" max="4362" width="11.42578125" style="1937" bestFit="1" customWidth="1"/>
    <col min="4363" max="4364" width="14.7109375" style="1937" bestFit="1" customWidth="1"/>
    <col min="4365" max="4608" width="9.140625" style="1937"/>
    <col min="4609" max="4609" width="4.7109375" style="1937" customWidth="1"/>
    <col min="4610" max="4610" width="6.140625" style="1937" customWidth="1"/>
    <col min="4611" max="4611" width="8.7109375" style="1937" customWidth="1"/>
    <col min="4612" max="4612" width="40.42578125" style="1937" customWidth="1"/>
    <col min="4613" max="4613" width="10.42578125" style="1937" customWidth="1"/>
    <col min="4614" max="4614" width="15.85546875" style="1937" customWidth="1"/>
    <col min="4615" max="4615" width="13.85546875" style="1937" customWidth="1"/>
    <col min="4616" max="4616" width="9.42578125" style="1937" customWidth="1"/>
    <col min="4617" max="4617" width="14.28515625" style="1937" bestFit="1" customWidth="1"/>
    <col min="4618" max="4618" width="11.42578125" style="1937" bestFit="1" customWidth="1"/>
    <col min="4619" max="4620" width="14.7109375" style="1937" bestFit="1" customWidth="1"/>
    <col min="4621" max="4864" width="9.140625" style="1937"/>
    <col min="4865" max="4865" width="4.7109375" style="1937" customWidth="1"/>
    <col min="4866" max="4866" width="6.140625" style="1937" customWidth="1"/>
    <col min="4867" max="4867" width="8.7109375" style="1937" customWidth="1"/>
    <col min="4868" max="4868" width="40.42578125" style="1937" customWidth="1"/>
    <col min="4869" max="4869" width="10.42578125" style="1937" customWidth="1"/>
    <col min="4870" max="4870" width="15.85546875" style="1937" customWidth="1"/>
    <col min="4871" max="4871" width="13.85546875" style="1937" customWidth="1"/>
    <col min="4872" max="4872" width="9.42578125" style="1937" customWidth="1"/>
    <col min="4873" max="4873" width="14.28515625" style="1937" bestFit="1" customWidth="1"/>
    <col min="4874" max="4874" width="11.42578125" style="1937" bestFit="1" customWidth="1"/>
    <col min="4875" max="4876" width="14.7109375" style="1937" bestFit="1" customWidth="1"/>
    <col min="4877" max="5120" width="9.140625" style="1937"/>
    <col min="5121" max="5121" width="4.7109375" style="1937" customWidth="1"/>
    <col min="5122" max="5122" width="6.140625" style="1937" customWidth="1"/>
    <col min="5123" max="5123" width="8.7109375" style="1937" customWidth="1"/>
    <col min="5124" max="5124" width="40.42578125" style="1937" customWidth="1"/>
    <col min="5125" max="5125" width="10.42578125" style="1937" customWidth="1"/>
    <col min="5126" max="5126" width="15.85546875" style="1937" customWidth="1"/>
    <col min="5127" max="5127" width="13.85546875" style="1937" customWidth="1"/>
    <col min="5128" max="5128" width="9.42578125" style="1937" customWidth="1"/>
    <col min="5129" max="5129" width="14.28515625" style="1937" bestFit="1" customWidth="1"/>
    <col min="5130" max="5130" width="11.42578125" style="1937" bestFit="1" customWidth="1"/>
    <col min="5131" max="5132" width="14.7109375" style="1937" bestFit="1" customWidth="1"/>
    <col min="5133" max="5376" width="9.140625" style="1937"/>
    <col min="5377" max="5377" width="4.7109375" style="1937" customWidth="1"/>
    <col min="5378" max="5378" width="6.140625" style="1937" customWidth="1"/>
    <col min="5379" max="5379" width="8.7109375" style="1937" customWidth="1"/>
    <col min="5380" max="5380" width="40.42578125" style="1937" customWidth="1"/>
    <col min="5381" max="5381" width="10.42578125" style="1937" customWidth="1"/>
    <col min="5382" max="5382" width="15.85546875" style="1937" customWidth="1"/>
    <col min="5383" max="5383" width="13.85546875" style="1937" customWidth="1"/>
    <col min="5384" max="5384" width="9.42578125" style="1937" customWidth="1"/>
    <col min="5385" max="5385" width="14.28515625" style="1937" bestFit="1" customWidth="1"/>
    <col min="5386" max="5386" width="11.42578125" style="1937" bestFit="1" customWidth="1"/>
    <col min="5387" max="5388" width="14.7109375" style="1937" bestFit="1" customWidth="1"/>
    <col min="5389" max="5632" width="9.140625" style="1937"/>
    <col min="5633" max="5633" width="4.7109375" style="1937" customWidth="1"/>
    <col min="5634" max="5634" width="6.140625" style="1937" customWidth="1"/>
    <col min="5635" max="5635" width="8.7109375" style="1937" customWidth="1"/>
    <col min="5636" max="5636" width="40.42578125" style="1937" customWidth="1"/>
    <col min="5637" max="5637" width="10.42578125" style="1937" customWidth="1"/>
    <col min="5638" max="5638" width="15.85546875" style="1937" customWidth="1"/>
    <col min="5639" max="5639" width="13.85546875" style="1937" customWidth="1"/>
    <col min="5640" max="5640" width="9.42578125" style="1937" customWidth="1"/>
    <col min="5641" max="5641" width="14.28515625" style="1937" bestFit="1" customWidth="1"/>
    <col min="5642" max="5642" width="11.42578125" style="1937" bestFit="1" customWidth="1"/>
    <col min="5643" max="5644" width="14.7109375" style="1937" bestFit="1" customWidth="1"/>
    <col min="5645" max="5888" width="9.140625" style="1937"/>
    <col min="5889" max="5889" width="4.7109375" style="1937" customWidth="1"/>
    <col min="5890" max="5890" width="6.140625" style="1937" customWidth="1"/>
    <col min="5891" max="5891" width="8.7109375" style="1937" customWidth="1"/>
    <col min="5892" max="5892" width="40.42578125" style="1937" customWidth="1"/>
    <col min="5893" max="5893" width="10.42578125" style="1937" customWidth="1"/>
    <col min="5894" max="5894" width="15.85546875" style="1937" customWidth="1"/>
    <col min="5895" max="5895" width="13.85546875" style="1937" customWidth="1"/>
    <col min="5896" max="5896" width="9.42578125" style="1937" customWidth="1"/>
    <col min="5897" max="5897" width="14.28515625" style="1937" bestFit="1" customWidth="1"/>
    <col min="5898" max="5898" width="11.42578125" style="1937" bestFit="1" customWidth="1"/>
    <col min="5899" max="5900" width="14.7109375" style="1937" bestFit="1" customWidth="1"/>
    <col min="5901" max="6144" width="9.140625" style="1937"/>
    <col min="6145" max="6145" width="4.7109375" style="1937" customWidth="1"/>
    <col min="6146" max="6146" width="6.140625" style="1937" customWidth="1"/>
    <col min="6147" max="6147" width="8.7109375" style="1937" customWidth="1"/>
    <col min="6148" max="6148" width="40.42578125" style="1937" customWidth="1"/>
    <col min="6149" max="6149" width="10.42578125" style="1937" customWidth="1"/>
    <col min="6150" max="6150" width="15.85546875" style="1937" customWidth="1"/>
    <col min="6151" max="6151" width="13.85546875" style="1937" customWidth="1"/>
    <col min="6152" max="6152" width="9.42578125" style="1937" customWidth="1"/>
    <col min="6153" max="6153" width="14.28515625" style="1937" bestFit="1" customWidth="1"/>
    <col min="6154" max="6154" width="11.42578125" style="1937" bestFit="1" customWidth="1"/>
    <col min="6155" max="6156" width="14.7109375" style="1937" bestFit="1" customWidth="1"/>
    <col min="6157" max="6400" width="9.140625" style="1937"/>
    <col min="6401" max="6401" width="4.7109375" style="1937" customWidth="1"/>
    <col min="6402" max="6402" width="6.140625" style="1937" customWidth="1"/>
    <col min="6403" max="6403" width="8.7109375" style="1937" customWidth="1"/>
    <col min="6404" max="6404" width="40.42578125" style="1937" customWidth="1"/>
    <col min="6405" max="6405" width="10.42578125" style="1937" customWidth="1"/>
    <col min="6406" max="6406" width="15.85546875" style="1937" customWidth="1"/>
    <col min="6407" max="6407" width="13.85546875" style="1937" customWidth="1"/>
    <col min="6408" max="6408" width="9.42578125" style="1937" customWidth="1"/>
    <col min="6409" max="6409" width="14.28515625" style="1937" bestFit="1" customWidth="1"/>
    <col min="6410" max="6410" width="11.42578125" style="1937" bestFit="1" customWidth="1"/>
    <col min="6411" max="6412" width="14.7109375" style="1937" bestFit="1" customWidth="1"/>
    <col min="6413" max="6656" width="9.140625" style="1937"/>
    <col min="6657" max="6657" width="4.7109375" style="1937" customWidth="1"/>
    <col min="6658" max="6658" width="6.140625" style="1937" customWidth="1"/>
    <col min="6659" max="6659" width="8.7109375" style="1937" customWidth="1"/>
    <col min="6660" max="6660" width="40.42578125" style="1937" customWidth="1"/>
    <col min="6661" max="6661" width="10.42578125" style="1937" customWidth="1"/>
    <col min="6662" max="6662" width="15.85546875" style="1937" customWidth="1"/>
    <col min="6663" max="6663" width="13.85546875" style="1937" customWidth="1"/>
    <col min="6664" max="6664" width="9.42578125" style="1937" customWidth="1"/>
    <col min="6665" max="6665" width="14.28515625" style="1937" bestFit="1" customWidth="1"/>
    <col min="6666" max="6666" width="11.42578125" style="1937" bestFit="1" customWidth="1"/>
    <col min="6667" max="6668" width="14.7109375" style="1937" bestFit="1" customWidth="1"/>
    <col min="6669" max="6912" width="9.140625" style="1937"/>
    <col min="6913" max="6913" width="4.7109375" style="1937" customWidth="1"/>
    <col min="6914" max="6914" width="6.140625" style="1937" customWidth="1"/>
    <col min="6915" max="6915" width="8.7109375" style="1937" customWidth="1"/>
    <col min="6916" max="6916" width="40.42578125" style="1937" customWidth="1"/>
    <col min="6917" max="6917" width="10.42578125" style="1937" customWidth="1"/>
    <col min="6918" max="6918" width="15.85546875" style="1937" customWidth="1"/>
    <col min="6919" max="6919" width="13.85546875" style="1937" customWidth="1"/>
    <col min="6920" max="6920" width="9.42578125" style="1937" customWidth="1"/>
    <col min="6921" max="6921" width="14.28515625" style="1937" bestFit="1" customWidth="1"/>
    <col min="6922" max="6922" width="11.42578125" style="1937" bestFit="1" customWidth="1"/>
    <col min="6923" max="6924" width="14.7109375" style="1937" bestFit="1" customWidth="1"/>
    <col min="6925" max="7168" width="9.140625" style="1937"/>
    <col min="7169" max="7169" width="4.7109375" style="1937" customWidth="1"/>
    <col min="7170" max="7170" width="6.140625" style="1937" customWidth="1"/>
    <col min="7171" max="7171" width="8.7109375" style="1937" customWidth="1"/>
    <col min="7172" max="7172" width="40.42578125" style="1937" customWidth="1"/>
    <col min="7173" max="7173" width="10.42578125" style="1937" customWidth="1"/>
    <col min="7174" max="7174" width="15.85546875" style="1937" customWidth="1"/>
    <col min="7175" max="7175" width="13.85546875" style="1937" customWidth="1"/>
    <col min="7176" max="7176" width="9.42578125" style="1937" customWidth="1"/>
    <col min="7177" max="7177" width="14.28515625" style="1937" bestFit="1" customWidth="1"/>
    <col min="7178" max="7178" width="11.42578125" style="1937" bestFit="1" customWidth="1"/>
    <col min="7179" max="7180" width="14.7109375" style="1937" bestFit="1" customWidth="1"/>
    <col min="7181" max="7424" width="9.140625" style="1937"/>
    <col min="7425" max="7425" width="4.7109375" style="1937" customWidth="1"/>
    <col min="7426" max="7426" width="6.140625" style="1937" customWidth="1"/>
    <col min="7427" max="7427" width="8.7109375" style="1937" customWidth="1"/>
    <col min="7428" max="7428" width="40.42578125" style="1937" customWidth="1"/>
    <col min="7429" max="7429" width="10.42578125" style="1937" customWidth="1"/>
    <col min="7430" max="7430" width="15.85546875" style="1937" customWidth="1"/>
    <col min="7431" max="7431" width="13.85546875" style="1937" customWidth="1"/>
    <col min="7432" max="7432" width="9.42578125" style="1937" customWidth="1"/>
    <col min="7433" max="7433" width="14.28515625" style="1937" bestFit="1" customWidth="1"/>
    <col min="7434" max="7434" width="11.42578125" style="1937" bestFit="1" customWidth="1"/>
    <col min="7435" max="7436" width="14.7109375" style="1937" bestFit="1" customWidth="1"/>
    <col min="7437" max="7680" width="9.140625" style="1937"/>
    <col min="7681" max="7681" width="4.7109375" style="1937" customWidth="1"/>
    <col min="7682" max="7682" width="6.140625" style="1937" customWidth="1"/>
    <col min="7683" max="7683" width="8.7109375" style="1937" customWidth="1"/>
    <col min="7684" max="7684" width="40.42578125" style="1937" customWidth="1"/>
    <col min="7685" max="7685" width="10.42578125" style="1937" customWidth="1"/>
    <col min="7686" max="7686" width="15.85546875" style="1937" customWidth="1"/>
    <col min="7687" max="7687" width="13.85546875" style="1937" customWidth="1"/>
    <col min="7688" max="7688" width="9.42578125" style="1937" customWidth="1"/>
    <col min="7689" max="7689" width="14.28515625" style="1937" bestFit="1" customWidth="1"/>
    <col min="7690" max="7690" width="11.42578125" style="1937" bestFit="1" customWidth="1"/>
    <col min="7691" max="7692" width="14.7109375" style="1937" bestFit="1" customWidth="1"/>
    <col min="7693" max="7936" width="9.140625" style="1937"/>
    <col min="7937" max="7937" width="4.7109375" style="1937" customWidth="1"/>
    <col min="7938" max="7938" width="6.140625" style="1937" customWidth="1"/>
    <col min="7939" max="7939" width="8.7109375" style="1937" customWidth="1"/>
    <col min="7940" max="7940" width="40.42578125" style="1937" customWidth="1"/>
    <col min="7941" max="7941" width="10.42578125" style="1937" customWidth="1"/>
    <col min="7942" max="7942" width="15.85546875" style="1937" customWidth="1"/>
    <col min="7943" max="7943" width="13.85546875" style="1937" customWidth="1"/>
    <col min="7944" max="7944" width="9.42578125" style="1937" customWidth="1"/>
    <col min="7945" max="7945" width="14.28515625" style="1937" bestFit="1" customWidth="1"/>
    <col min="7946" max="7946" width="11.42578125" style="1937" bestFit="1" customWidth="1"/>
    <col min="7947" max="7948" width="14.7109375" style="1937" bestFit="1" customWidth="1"/>
    <col min="7949" max="8192" width="9.140625" style="1937"/>
    <col min="8193" max="8193" width="4.7109375" style="1937" customWidth="1"/>
    <col min="8194" max="8194" width="6.140625" style="1937" customWidth="1"/>
    <col min="8195" max="8195" width="8.7109375" style="1937" customWidth="1"/>
    <col min="8196" max="8196" width="40.42578125" style="1937" customWidth="1"/>
    <col min="8197" max="8197" width="10.42578125" style="1937" customWidth="1"/>
    <col min="8198" max="8198" width="15.85546875" style="1937" customWidth="1"/>
    <col min="8199" max="8199" width="13.85546875" style="1937" customWidth="1"/>
    <col min="8200" max="8200" width="9.42578125" style="1937" customWidth="1"/>
    <col min="8201" max="8201" width="14.28515625" style="1937" bestFit="1" customWidth="1"/>
    <col min="8202" max="8202" width="11.42578125" style="1937" bestFit="1" customWidth="1"/>
    <col min="8203" max="8204" width="14.7109375" style="1937" bestFit="1" customWidth="1"/>
    <col min="8205" max="8448" width="9.140625" style="1937"/>
    <col min="8449" max="8449" width="4.7109375" style="1937" customWidth="1"/>
    <col min="8450" max="8450" width="6.140625" style="1937" customWidth="1"/>
    <col min="8451" max="8451" width="8.7109375" style="1937" customWidth="1"/>
    <col min="8452" max="8452" width="40.42578125" style="1937" customWidth="1"/>
    <col min="8453" max="8453" width="10.42578125" style="1937" customWidth="1"/>
    <col min="8454" max="8454" width="15.85546875" style="1937" customWidth="1"/>
    <col min="8455" max="8455" width="13.85546875" style="1937" customWidth="1"/>
    <col min="8456" max="8456" width="9.42578125" style="1937" customWidth="1"/>
    <col min="8457" max="8457" width="14.28515625" style="1937" bestFit="1" customWidth="1"/>
    <col min="8458" max="8458" width="11.42578125" style="1937" bestFit="1" customWidth="1"/>
    <col min="8459" max="8460" width="14.7109375" style="1937" bestFit="1" customWidth="1"/>
    <col min="8461" max="8704" width="9.140625" style="1937"/>
    <col min="8705" max="8705" width="4.7109375" style="1937" customWidth="1"/>
    <col min="8706" max="8706" width="6.140625" style="1937" customWidth="1"/>
    <col min="8707" max="8707" width="8.7109375" style="1937" customWidth="1"/>
    <col min="8708" max="8708" width="40.42578125" style="1937" customWidth="1"/>
    <col min="8709" max="8709" width="10.42578125" style="1937" customWidth="1"/>
    <col min="8710" max="8710" width="15.85546875" style="1937" customWidth="1"/>
    <col min="8711" max="8711" width="13.85546875" style="1937" customWidth="1"/>
    <col min="8712" max="8712" width="9.42578125" style="1937" customWidth="1"/>
    <col min="8713" max="8713" width="14.28515625" style="1937" bestFit="1" customWidth="1"/>
    <col min="8714" max="8714" width="11.42578125" style="1937" bestFit="1" customWidth="1"/>
    <col min="8715" max="8716" width="14.7109375" style="1937" bestFit="1" customWidth="1"/>
    <col min="8717" max="8960" width="9.140625" style="1937"/>
    <col min="8961" max="8961" width="4.7109375" style="1937" customWidth="1"/>
    <col min="8962" max="8962" width="6.140625" style="1937" customWidth="1"/>
    <col min="8963" max="8963" width="8.7109375" style="1937" customWidth="1"/>
    <col min="8964" max="8964" width="40.42578125" style="1937" customWidth="1"/>
    <col min="8965" max="8965" width="10.42578125" style="1937" customWidth="1"/>
    <col min="8966" max="8966" width="15.85546875" style="1937" customWidth="1"/>
    <col min="8967" max="8967" width="13.85546875" style="1937" customWidth="1"/>
    <col min="8968" max="8968" width="9.42578125" style="1937" customWidth="1"/>
    <col min="8969" max="8969" width="14.28515625" style="1937" bestFit="1" customWidth="1"/>
    <col min="8970" max="8970" width="11.42578125" style="1937" bestFit="1" customWidth="1"/>
    <col min="8971" max="8972" width="14.7109375" style="1937" bestFit="1" customWidth="1"/>
    <col min="8973" max="9216" width="9.140625" style="1937"/>
    <col min="9217" max="9217" width="4.7109375" style="1937" customWidth="1"/>
    <col min="9218" max="9218" width="6.140625" style="1937" customWidth="1"/>
    <col min="9219" max="9219" width="8.7109375" style="1937" customWidth="1"/>
    <col min="9220" max="9220" width="40.42578125" style="1937" customWidth="1"/>
    <col min="9221" max="9221" width="10.42578125" style="1937" customWidth="1"/>
    <col min="9222" max="9222" width="15.85546875" style="1937" customWidth="1"/>
    <col min="9223" max="9223" width="13.85546875" style="1937" customWidth="1"/>
    <col min="9224" max="9224" width="9.42578125" style="1937" customWidth="1"/>
    <col min="9225" max="9225" width="14.28515625" style="1937" bestFit="1" customWidth="1"/>
    <col min="9226" max="9226" width="11.42578125" style="1937" bestFit="1" customWidth="1"/>
    <col min="9227" max="9228" width="14.7109375" style="1937" bestFit="1" customWidth="1"/>
    <col min="9229" max="9472" width="9.140625" style="1937"/>
    <col min="9473" max="9473" width="4.7109375" style="1937" customWidth="1"/>
    <col min="9474" max="9474" width="6.140625" style="1937" customWidth="1"/>
    <col min="9475" max="9475" width="8.7109375" style="1937" customWidth="1"/>
    <col min="9476" max="9476" width="40.42578125" style="1937" customWidth="1"/>
    <col min="9477" max="9477" width="10.42578125" style="1937" customWidth="1"/>
    <col min="9478" max="9478" width="15.85546875" style="1937" customWidth="1"/>
    <col min="9479" max="9479" width="13.85546875" style="1937" customWidth="1"/>
    <col min="9480" max="9480" width="9.42578125" style="1937" customWidth="1"/>
    <col min="9481" max="9481" width="14.28515625" style="1937" bestFit="1" customWidth="1"/>
    <col min="9482" max="9482" width="11.42578125" style="1937" bestFit="1" customWidth="1"/>
    <col min="9483" max="9484" width="14.7109375" style="1937" bestFit="1" customWidth="1"/>
    <col min="9485" max="9728" width="9.140625" style="1937"/>
    <col min="9729" max="9729" width="4.7109375" style="1937" customWidth="1"/>
    <col min="9730" max="9730" width="6.140625" style="1937" customWidth="1"/>
    <col min="9731" max="9731" width="8.7109375" style="1937" customWidth="1"/>
    <col min="9732" max="9732" width="40.42578125" style="1937" customWidth="1"/>
    <col min="9733" max="9733" width="10.42578125" style="1937" customWidth="1"/>
    <col min="9734" max="9734" width="15.85546875" style="1937" customWidth="1"/>
    <col min="9735" max="9735" width="13.85546875" style="1937" customWidth="1"/>
    <col min="9736" max="9736" width="9.42578125" style="1937" customWidth="1"/>
    <col min="9737" max="9737" width="14.28515625" style="1937" bestFit="1" customWidth="1"/>
    <col min="9738" max="9738" width="11.42578125" style="1937" bestFit="1" customWidth="1"/>
    <col min="9739" max="9740" width="14.7109375" style="1937" bestFit="1" customWidth="1"/>
    <col min="9741" max="9984" width="9.140625" style="1937"/>
    <col min="9985" max="9985" width="4.7109375" style="1937" customWidth="1"/>
    <col min="9986" max="9986" width="6.140625" style="1937" customWidth="1"/>
    <col min="9987" max="9987" width="8.7109375" style="1937" customWidth="1"/>
    <col min="9988" max="9988" width="40.42578125" style="1937" customWidth="1"/>
    <col min="9989" max="9989" width="10.42578125" style="1937" customWidth="1"/>
    <col min="9990" max="9990" width="15.85546875" style="1937" customWidth="1"/>
    <col min="9991" max="9991" width="13.85546875" style="1937" customWidth="1"/>
    <col min="9992" max="9992" width="9.42578125" style="1937" customWidth="1"/>
    <col min="9993" max="9993" width="14.28515625" style="1937" bestFit="1" customWidth="1"/>
    <col min="9994" max="9994" width="11.42578125" style="1937" bestFit="1" customWidth="1"/>
    <col min="9995" max="9996" width="14.7109375" style="1937" bestFit="1" customWidth="1"/>
    <col min="9997" max="10240" width="9.140625" style="1937"/>
    <col min="10241" max="10241" width="4.7109375" style="1937" customWidth="1"/>
    <col min="10242" max="10242" width="6.140625" style="1937" customWidth="1"/>
    <col min="10243" max="10243" width="8.7109375" style="1937" customWidth="1"/>
    <col min="10244" max="10244" width="40.42578125" style="1937" customWidth="1"/>
    <col min="10245" max="10245" width="10.42578125" style="1937" customWidth="1"/>
    <col min="10246" max="10246" width="15.85546875" style="1937" customWidth="1"/>
    <col min="10247" max="10247" width="13.85546875" style="1937" customWidth="1"/>
    <col min="10248" max="10248" width="9.42578125" style="1937" customWidth="1"/>
    <col min="10249" max="10249" width="14.28515625" style="1937" bestFit="1" customWidth="1"/>
    <col min="10250" max="10250" width="11.42578125" style="1937" bestFit="1" customWidth="1"/>
    <col min="10251" max="10252" width="14.7109375" style="1937" bestFit="1" customWidth="1"/>
    <col min="10253" max="10496" width="9.140625" style="1937"/>
    <col min="10497" max="10497" width="4.7109375" style="1937" customWidth="1"/>
    <col min="10498" max="10498" width="6.140625" style="1937" customWidth="1"/>
    <col min="10499" max="10499" width="8.7109375" style="1937" customWidth="1"/>
    <col min="10500" max="10500" width="40.42578125" style="1937" customWidth="1"/>
    <col min="10501" max="10501" width="10.42578125" style="1937" customWidth="1"/>
    <col min="10502" max="10502" width="15.85546875" style="1937" customWidth="1"/>
    <col min="10503" max="10503" width="13.85546875" style="1937" customWidth="1"/>
    <col min="10504" max="10504" width="9.42578125" style="1937" customWidth="1"/>
    <col min="10505" max="10505" width="14.28515625" style="1937" bestFit="1" customWidth="1"/>
    <col min="10506" max="10506" width="11.42578125" style="1937" bestFit="1" customWidth="1"/>
    <col min="10507" max="10508" width="14.7109375" style="1937" bestFit="1" customWidth="1"/>
    <col min="10509" max="10752" width="9.140625" style="1937"/>
    <col min="10753" max="10753" width="4.7109375" style="1937" customWidth="1"/>
    <col min="10754" max="10754" width="6.140625" style="1937" customWidth="1"/>
    <col min="10755" max="10755" width="8.7109375" style="1937" customWidth="1"/>
    <col min="10756" max="10756" width="40.42578125" style="1937" customWidth="1"/>
    <col min="10757" max="10757" width="10.42578125" style="1937" customWidth="1"/>
    <col min="10758" max="10758" width="15.85546875" style="1937" customWidth="1"/>
    <col min="10759" max="10759" width="13.85546875" style="1937" customWidth="1"/>
    <col min="10760" max="10760" width="9.42578125" style="1937" customWidth="1"/>
    <col min="10761" max="10761" width="14.28515625" style="1937" bestFit="1" customWidth="1"/>
    <col min="10762" max="10762" width="11.42578125" style="1937" bestFit="1" customWidth="1"/>
    <col min="10763" max="10764" width="14.7109375" style="1937" bestFit="1" customWidth="1"/>
    <col min="10765" max="11008" width="9.140625" style="1937"/>
    <col min="11009" max="11009" width="4.7109375" style="1937" customWidth="1"/>
    <col min="11010" max="11010" width="6.140625" style="1937" customWidth="1"/>
    <col min="11011" max="11011" width="8.7109375" style="1937" customWidth="1"/>
    <col min="11012" max="11012" width="40.42578125" style="1937" customWidth="1"/>
    <col min="11013" max="11013" width="10.42578125" style="1937" customWidth="1"/>
    <col min="11014" max="11014" width="15.85546875" style="1937" customWidth="1"/>
    <col min="11015" max="11015" width="13.85546875" style="1937" customWidth="1"/>
    <col min="11016" max="11016" width="9.42578125" style="1937" customWidth="1"/>
    <col min="11017" max="11017" width="14.28515625" style="1937" bestFit="1" customWidth="1"/>
    <col min="11018" max="11018" width="11.42578125" style="1937" bestFit="1" customWidth="1"/>
    <col min="11019" max="11020" width="14.7109375" style="1937" bestFit="1" customWidth="1"/>
    <col min="11021" max="11264" width="9.140625" style="1937"/>
    <col min="11265" max="11265" width="4.7109375" style="1937" customWidth="1"/>
    <col min="11266" max="11266" width="6.140625" style="1937" customWidth="1"/>
    <col min="11267" max="11267" width="8.7109375" style="1937" customWidth="1"/>
    <col min="11268" max="11268" width="40.42578125" style="1937" customWidth="1"/>
    <col min="11269" max="11269" width="10.42578125" style="1937" customWidth="1"/>
    <col min="11270" max="11270" width="15.85546875" style="1937" customWidth="1"/>
    <col min="11271" max="11271" width="13.85546875" style="1937" customWidth="1"/>
    <col min="11272" max="11272" width="9.42578125" style="1937" customWidth="1"/>
    <col min="11273" max="11273" width="14.28515625" style="1937" bestFit="1" customWidth="1"/>
    <col min="11274" max="11274" width="11.42578125" style="1937" bestFit="1" customWidth="1"/>
    <col min="11275" max="11276" width="14.7109375" style="1937" bestFit="1" customWidth="1"/>
    <col min="11277" max="11520" width="9.140625" style="1937"/>
    <col min="11521" max="11521" width="4.7109375" style="1937" customWidth="1"/>
    <col min="11522" max="11522" width="6.140625" style="1937" customWidth="1"/>
    <col min="11523" max="11523" width="8.7109375" style="1937" customWidth="1"/>
    <col min="11524" max="11524" width="40.42578125" style="1937" customWidth="1"/>
    <col min="11525" max="11525" width="10.42578125" style="1937" customWidth="1"/>
    <col min="11526" max="11526" width="15.85546875" style="1937" customWidth="1"/>
    <col min="11527" max="11527" width="13.85546875" style="1937" customWidth="1"/>
    <col min="11528" max="11528" width="9.42578125" style="1937" customWidth="1"/>
    <col min="11529" max="11529" width="14.28515625" style="1937" bestFit="1" customWidth="1"/>
    <col min="11530" max="11530" width="11.42578125" style="1937" bestFit="1" customWidth="1"/>
    <col min="11531" max="11532" width="14.7109375" style="1937" bestFit="1" customWidth="1"/>
    <col min="11533" max="11776" width="9.140625" style="1937"/>
    <col min="11777" max="11777" width="4.7109375" style="1937" customWidth="1"/>
    <col min="11778" max="11778" width="6.140625" style="1937" customWidth="1"/>
    <col min="11779" max="11779" width="8.7109375" style="1937" customWidth="1"/>
    <col min="11780" max="11780" width="40.42578125" style="1937" customWidth="1"/>
    <col min="11781" max="11781" width="10.42578125" style="1937" customWidth="1"/>
    <col min="11782" max="11782" width="15.85546875" style="1937" customWidth="1"/>
    <col min="11783" max="11783" width="13.85546875" style="1937" customWidth="1"/>
    <col min="11784" max="11784" width="9.42578125" style="1937" customWidth="1"/>
    <col min="11785" max="11785" width="14.28515625" style="1937" bestFit="1" customWidth="1"/>
    <col min="11786" max="11786" width="11.42578125" style="1937" bestFit="1" customWidth="1"/>
    <col min="11787" max="11788" width="14.7109375" style="1937" bestFit="1" customWidth="1"/>
    <col min="11789" max="12032" width="9.140625" style="1937"/>
    <col min="12033" max="12033" width="4.7109375" style="1937" customWidth="1"/>
    <col min="12034" max="12034" width="6.140625" style="1937" customWidth="1"/>
    <col min="12035" max="12035" width="8.7109375" style="1937" customWidth="1"/>
    <col min="12036" max="12036" width="40.42578125" style="1937" customWidth="1"/>
    <col min="12037" max="12037" width="10.42578125" style="1937" customWidth="1"/>
    <col min="12038" max="12038" width="15.85546875" style="1937" customWidth="1"/>
    <col min="12039" max="12039" width="13.85546875" style="1937" customWidth="1"/>
    <col min="12040" max="12040" width="9.42578125" style="1937" customWidth="1"/>
    <col min="12041" max="12041" width="14.28515625" style="1937" bestFit="1" customWidth="1"/>
    <col min="12042" max="12042" width="11.42578125" style="1937" bestFit="1" customWidth="1"/>
    <col min="12043" max="12044" width="14.7109375" style="1937" bestFit="1" customWidth="1"/>
    <col min="12045" max="12288" width="9.140625" style="1937"/>
    <col min="12289" max="12289" width="4.7109375" style="1937" customWidth="1"/>
    <col min="12290" max="12290" width="6.140625" style="1937" customWidth="1"/>
    <col min="12291" max="12291" width="8.7109375" style="1937" customWidth="1"/>
    <col min="12292" max="12292" width="40.42578125" style="1937" customWidth="1"/>
    <col min="12293" max="12293" width="10.42578125" style="1937" customWidth="1"/>
    <col min="12294" max="12294" width="15.85546875" style="1937" customWidth="1"/>
    <col min="12295" max="12295" width="13.85546875" style="1937" customWidth="1"/>
    <col min="12296" max="12296" width="9.42578125" style="1937" customWidth="1"/>
    <col min="12297" max="12297" width="14.28515625" style="1937" bestFit="1" customWidth="1"/>
    <col min="12298" max="12298" width="11.42578125" style="1937" bestFit="1" customWidth="1"/>
    <col min="12299" max="12300" width="14.7109375" style="1937" bestFit="1" customWidth="1"/>
    <col min="12301" max="12544" width="9.140625" style="1937"/>
    <col min="12545" max="12545" width="4.7109375" style="1937" customWidth="1"/>
    <col min="12546" max="12546" width="6.140625" style="1937" customWidth="1"/>
    <col min="12547" max="12547" width="8.7109375" style="1937" customWidth="1"/>
    <col min="12548" max="12548" width="40.42578125" style="1937" customWidth="1"/>
    <col min="12549" max="12549" width="10.42578125" style="1937" customWidth="1"/>
    <col min="12550" max="12550" width="15.85546875" style="1937" customWidth="1"/>
    <col min="12551" max="12551" width="13.85546875" style="1937" customWidth="1"/>
    <col min="12552" max="12552" width="9.42578125" style="1937" customWidth="1"/>
    <col min="12553" max="12553" width="14.28515625" style="1937" bestFit="1" customWidth="1"/>
    <col min="12554" max="12554" width="11.42578125" style="1937" bestFit="1" customWidth="1"/>
    <col min="12555" max="12556" width="14.7109375" style="1937" bestFit="1" customWidth="1"/>
    <col min="12557" max="12800" width="9.140625" style="1937"/>
    <col min="12801" max="12801" width="4.7109375" style="1937" customWidth="1"/>
    <col min="12802" max="12802" width="6.140625" style="1937" customWidth="1"/>
    <col min="12803" max="12803" width="8.7109375" style="1937" customWidth="1"/>
    <col min="12804" max="12804" width="40.42578125" style="1937" customWidth="1"/>
    <col min="12805" max="12805" width="10.42578125" style="1937" customWidth="1"/>
    <col min="12806" max="12806" width="15.85546875" style="1937" customWidth="1"/>
    <col min="12807" max="12807" width="13.85546875" style="1937" customWidth="1"/>
    <col min="12808" max="12808" width="9.42578125" style="1937" customWidth="1"/>
    <col min="12809" max="12809" width="14.28515625" style="1937" bestFit="1" customWidth="1"/>
    <col min="12810" max="12810" width="11.42578125" style="1937" bestFit="1" customWidth="1"/>
    <col min="12811" max="12812" width="14.7109375" style="1937" bestFit="1" customWidth="1"/>
    <col min="12813" max="13056" width="9.140625" style="1937"/>
    <col min="13057" max="13057" width="4.7109375" style="1937" customWidth="1"/>
    <col min="13058" max="13058" width="6.140625" style="1937" customWidth="1"/>
    <col min="13059" max="13059" width="8.7109375" style="1937" customWidth="1"/>
    <col min="13060" max="13060" width="40.42578125" style="1937" customWidth="1"/>
    <col min="13061" max="13061" width="10.42578125" style="1937" customWidth="1"/>
    <col min="13062" max="13062" width="15.85546875" style="1937" customWidth="1"/>
    <col min="13063" max="13063" width="13.85546875" style="1937" customWidth="1"/>
    <col min="13064" max="13064" width="9.42578125" style="1937" customWidth="1"/>
    <col min="13065" max="13065" width="14.28515625" style="1937" bestFit="1" customWidth="1"/>
    <col min="13066" max="13066" width="11.42578125" style="1937" bestFit="1" customWidth="1"/>
    <col min="13067" max="13068" width="14.7109375" style="1937" bestFit="1" customWidth="1"/>
    <col min="13069" max="13312" width="9.140625" style="1937"/>
    <col min="13313" max="13313" width="4.7109375" style="1937" customWidth="1"/>
    <col min="13314" max="13314" width="6.140625" style="1937" customWidth="1"/>
    <col min="13315" max="13315" width="8.7109375" style="1937" customWidth="1"/>
    <col min="13316" max="13316" width="40.42578125" style="1937" customWidth="1"/>
    <col min="13317" max="13317" width="10.42578125" style="1937" customWidth="1"/>
    <col min="13318" max="13318" width="15.85546875" style="1937" customWidth="1"/>
    <col min="13319" max="13319" width="13.85546875" style="1937" customWidth="1"/>
    <col min="13320" max="13320" width="9.42578125" style="1937" customWidth="1"/>
    <col min="13321" max="13321" width="14.28515625" style="1937" bestFit="1" customWidth="1"/>
    <col min="13322" max="13322" width="11.42578125" style="1937" bestFit="1" customWidth="1"/>
    <col min="13323" max="13324" width="14.7109375" style="1937" bestFit="1" customWidth="1"/>
    <col min="13325" max="13568" width="9.140625" style="1937"/>
    <col min="13569" max="13569" width="4.7109375" style="1937" customWidth="1"/>
    <col min="13570" max="13570" width="6.140625" style="1937" customWidth="1"/>
    <col min="13571" max="13571" width="8.7109375" style="1937" customWidth="1"/>
    <col min="13572" max="13572" width="40.42578125" style="1937" customWidth="1"/>
    <col min="13573" max="13573" width="10.42578125" style="1937" customWidth="1"/>
    <col min="13574" max="13574" width="15.85546875" style="1937" customWidth="1"/>
    <col min="13575" max="13575" width="13.85546875" style="1937" customWidth="1"/>
    <col min="13576" max="13576" width="9.42578125" style="1937" customWidth="1"/>
    <col min="13577" max="13577" width="14.28515625" style="1937" bestFit="1" customWidth="1"/>
    <col min="13578" max="13578" width="11.42578125" style="1937" bestFit="1" customWidth="1"/>
    <col min="13579" max="13580" width="14.7109375" style="1937" bestFit="1" customWidth="1"/>
    <col min="13581" max="13824" width="9.140625" style="1937"/>
    <col min="13825" max="13825" width="4.7109375" style="1937" customWidth="1"/>
    <col min="13826" max="13826" width="6.140625" style="1937" customWidth="1"/>
    <col min="13827" max="13827" width="8.7109375" style="1937" customWidth="1"/>
    <col min="13828" max="13828" width="40.42578125" style="1937" customWidth="1"/>
    <col min="13829" max="13829" width="10.42578125" style="1937" customWidth="1"/>
    <col min="13830" max="13830" width="15.85546875" style="1937" customWidth="1"/>
    <col min="13831" max="13831" width="13.85546875" style="1937" customWidth="1"/>
    <col min="13832" max="13832" width="9.42578125" style="1937" customWidth="1"/>
    <col min="13833" max="13833" width="14.28515625" style="1937" bestFit="1" customWidth="1"/>
    <col min="13834" max="13834" width="11.42578125" style="1937" bestFit="1" customWidth="1"/>
    <col min="13835" max="13836" width="14.7109375" style="1937" bestFit="1" customWidth="1"/>
    <col min="13837" max="14080" width="9.140625" style="1937"/>
    <col min="14081" max="14081" width="4.7109375" style="1937" customWidth="1"/>
    <col min="14082" max="14082" width="6.140625" style="1937" customWidth="1"/>
    <col min="14083" max="14083" width="8.7109375" style="1937" customWidth="1"/>
    <col min="14084" max="14084" width="40.42578125" style="1937" customWidth="1"/>
    <col min="14085" max="14085" width="10.42578125" style="1937" customWidth="1"/>
    <col min="14086" max="14086" width="15.85546875" style="1937" customWidth="1"/>
    <col min="14087" max="14087" width="13.85546875" style="1937" customWidth="1"/>
    <col min="14088" max="14088" width="9.42578125" style="1937" customWidth="1"/>
    <col min="14089" max="14089" width="14.28515625" style="1937" bestFit="1" customWidth="1"/>
    <col min="14090" max="14090" width="11.42578125" style="1937" bestFit="1" customWidth="1"/>
    <col min="14091" max="14092" width="14.7109375" style="1937" bestFit="1" customWidth="1"/>
    <col min="14093" max="14336" width="9.140625" style="1937"/>
    <col min="14337" max="14337" width="4.7109375" style="1937" customWidth="1"/>
    <col min="14338" max="14338" width="6.140625" style="1937" customWidth="1"/>
    <col min="14339" max="14339" width="8.7109375" style="1937" customWidth="1"/>
    <col min="14340" max="14340" width="40.42578125" style="1937" customWidth="1"/>
    <col min="14341" max="14341" width="10.42578125" style="1937" customWidth="1"/>
    <col min="14342" max="14342" width="15.85546875" style="1937" customWidth="1"/>
    <col min="14343" max="14343" width="13.85546875" style="1937" customWidth="1"/>
    <col min="14344" max="14344" width="9.42578125" style="1937" customWidth="1"/>
    <col min="14345" max="14345" width="14.28515625" style="1937" bestFit="1" customWidth="1"/>
    <col min="14346" max="14346" width="11.42578125" style="1937" bestFit="1" customWidth="1"/>
    <col min="14347" max="14348" width="14.7109375" style="1937" bestFit="1" customWidth="1"/>
    <col min="14349" max="14592" width="9.140625" style="1937"/>
    <col min="14593" max="14593" width="4.7109375" style="1937" customWidth="1"/>
    <col min="14594" max="14594" width="6.140625" style="1937" customWidth="1"/>
    <col min="14595" max="14595" width="8.7109375" style="1937" customWidth="1"/>
    <col min="14596" max="14596" width="40.42578125" style="1937" customWidth="1"/>
    <col min="14597" max="14597" width="10.42578125" style="1937" customWidth="1"/>
    <col min="14598" max="14598" width="15.85546875" style="1937" customWidth="1"/>
    <col min="14599" max="14599" width="13.85546875" style="1937" customWidth="1"/>
    <col min="14600" max="14600" width="9.42578125" style="1937" customWidth="1"/>
    <col min="14601" max="14601" width="14.28515625" style="1937" bestFit="1" customWidth="1"/>
    <col min="14602" max="14602" width="11.42578125" style="1937" bestFit="1" customWidth="1"/>
    <col min="14603" max="14604" width="14.7109375" style="1937" bestFit="1" customWidth="1"/>
    <col min="14605" max="14848" width="9.140625" style="1937"/>
    <col min="14849" max="14849" width="4.7109375" style="1937" customWidth="1"/>
    <col min="14850" max="14850" width="6.140625" style="1937" customWidth="1"/>
    <col min="14851" max="14851" width="8.7109375" style="1937" customWidth="1"/>
    <col min="14852" max="14852" width="40.42578125" style="1937" customWidth="1"/>
    <col min="14853" max="14853" width="10.42578125" style="1937" customWidth="1"/>
    <col min="14854" max="14854" width="15.85546875" style="1937" customWidth="1"/>
    <col min="14855" max="14855" width="13.85546875" style="1937" customWidth="1"/>
    <col min="14856" max="14856" width="9.42578125" style="1937" customWidth="1"/>
    <col min="14857" max="14857" width="14.28515625" style="1937" bestFit="1" customWidth="1"/>
    <col min="14858" max="14858" width="11.42578125" style="1937" bestFit="1" customWidth="1"/>
    <col min="14859" max="14860" width="14.7109375" style="1937" bestFit="1" customWidth="1"/>
    <col min="14861" max="15104" width="9.140625" style="1937"/>
    <col min="15105" max="15105" width="4.7109375" style="1937" customWidth="1"/>
    <col min="15106" max="15106" width="6.140625" style="1937" customWidth="1"/>
    <col min="15107" max="15107" width="8.7109375" style="1937" customWidth="1"/>
    <col min="15108" max="15108" width="40.42578125" style="1937" customWidth="1"/>
    <col min="15109" max="15109" width="10.42578125" style="1937" customWidth="1"/>
    <col min="15110" max="15110" width="15.85546875" style="1937" customWidth="1"/>
    <col min="15111" max="15111" width="13.85546875" style="1937" customWidth="1"/>
    <col min="15112" max="15112" width="9.42578125" style="1937" customWidth="1"/>
    <col min="15113" max="15113" width="14.28515625" style="1937" bestFit="1" customWidth="1"/>
    <col min="15114" max="15114" width="11.42578125" style="1937" bestFit="1" customWidth="1"/>
    <col min="15115" max="15116" width="14.7109375" style="1937" bestFit="1" customWidth="1"/>
    <col min="15117" max="15360" width="9.140625" style="1937"/>
    <col min="15361" max="15361" width="4.7109375" style="1937" customWidth="1"/>
    <col min="15362" max="15362" width="6.140625" style="1937" customWidth="1"/>
    <col min="15363" max="15363" width="8.7109375" style="1937" customWidth="1"/>
    <col min="15364" max="15364" width="40.42578125" style="1937" customWidth="1"/>
    <col min="15365" max="15365" width="10.42578125" style="1937" customWidth="1"/>
    <col min="15366" max="15366" width="15.85546875" style="1937" customWidth="1"/>
    <col min="15367" max="15367" width="13.85546875" style="1937" customWidth="1"/>
    <col min="15368" max="15368" width="9.42578125" style="1937" customWidth="1"/>
    <col min="15369" max="15369" width="14.28515625" style="1937" bestFit="1" customWidth="1"/>
    <col min="15370" max="15370" width="11.42578125" style="1937" bestFit="1" customWidth="1"/>
    <col min="15371" max="15372" width="14.7109375" style="1937" bestFit="1" customWidth="1"/>
    <col min="15373" max="15616" width="9.140625" style="1937"/>
    <col min="15617" max="15617" width="4.7109375" style="1937" customWidth="1"/>
    <col min="15618" max="15618" width="6.140625" style="1937" customWidth="1"/>
    <col min="15619" max="15619" width="8.7109375" style="1937" customWidth="1"/>
    <col min="15620" max="15620" width="40.42578125" style="1937" customWidth="1"/>
    <col min="15621" max="15621" width="10.42578125" style="1937" customWidth="1"/>
    <col min="15622" max="15622" width="15.85546875" style="1937" customWidth="1"/>
    <col min="15623" max="15623" width="13.85546875" style="1937" customWidth="1"/>
    <col min="15624" max="15624" width="9.42578125" style="1937" customWidth="1"/>
    <col min="15625" max="15625" width="14.28515625" style="1937" bestFit="1" customWidth="1"/>
    <col min="15626" max="15626" width="11.42578125" style="1937" bestFit="1" customWidth="1"/>
    <col min="15627" max="15628" width="14.7109375" style="1937" bestFit="1" customWidth="1"/>
    <col min="15629" max="15872" width="9.140625" style="1937"/>
    <col min="15873" max="15873" width="4.7109375" style="1937" customWidth="1"/>
    <col min="15874" max="15874" width="6.140625" style="1937" customWidth="1"/>
    <col min="15875" max="15875" width="8.7109375" style="1937" customWidth="1"/>
    <col min="15876" max="15876" width="40.42578125" style="1937" customWidth="1"/>
    <col min="15877" max="15877" width="10.42578125" style="1937" customWidth="1"/>
    <col min="15878" max="15878" width="15.85546875" style="1937" customWidth="1"/>
    <col min="15879" max="15879" width="13.85546875" style="1937" customWidth="1"/>
    <col min="15880" max="15880" width="9.42578125" style="1937" customWidth="1"/>
    <col min="15881" max="15881" width="14.28515625" style="1937" bestFit="1" customWidth="1"/>
    <col min="15882" max="15882" width="11.42578125" style="1937" bestFit="1" customWidth="1"/>
    <col min="15883" max="15884" width="14.7109375" style="1937" bestFit="1" customWidth="1"/>
    <col min="15885" max="16128" width="9.140625" style="1937"/>
    <col min="16129" max="16129" width="4.7109375" style="1937" customWidth="1"/>
    <col min="16130" max="16130" width="6.140625" style="1937" customWidth="1"/>
    <col min="16131" max="16131" width="8.7109375" style="1937" customWidth="1"/>
    <col min="16132" max="16132" width="40.42578125" style="1937" customWidth="1"/>
    <col min="16133" max="16133" width="10.42578125" style="1937" customWidth="1"/>
    <col min="16134" max="16134" width="15.85546875" style="1937" customWidth="1"/>
    <col min="16135" max="16135" width="13.85546875" style="1937" customWidth="1"/>
    <col min="16136" max="16136" width="9.42578125" style="1937" customWidth="1"/>
    <col min="16137" max="16137" width="14.28515625" style="1937" bestFit="1" customWidth="1"/>
    <col min="16138" max="16138" width="11.42578125" style="1937" bestFit="1" customWidth="1"/>
    <col min="16139" max="16140" width="14.7109375" style="1937" bestFit="1" customWidth="1"/>
    <col min="16141" max="16384" width="9.140625" style="1937"/>
  </cols>
  <sheetData>
    <row r="1" spans="1:9" ht="19.5" customHeight="1" thickBot="1" x14ac:dyDescent="0.25">
      <c r="A1" s="2762" t="s">
        <v>1006</v>
      </c>
      <c r="B1" s="2762"/>
      <c r="C1" s="2762"/>
      <c r="D1" s="2762"/>
      <c r="E1" s="2762"/>
      <c r="F1" s="2762"/>
      <c r="G1" s="2762"/>
      <c r="H1" s="2762"/>
    </row>
    <row r="2" spans="1:9" ht="18" x14ac:dyDescent="0.25">
      <c r="A2" s="1941"/>
      <c r="B2" s="1973"/>
      <c r="C2" s="1973"/>
      <c r="D2" s="1973"/>
      <c r="E2" s="1973"/>
      <c r="F2" s="1973"/>
      <c r="G2" s="1973"/>
      <c r="H2" s="2027" t="s">
        <v>1007</v>
      </c>
    </row>
    <row r="3" spans="1:9" ht="18" x14ac:dyDescent="0.25">
      <c r="A3" s="1815" t="s">
        <v>387</v>
      </c>
      <c r="B3" s="1973"/>
      <c r="C3" s="1935" t="s">
        <v>363</v>
      </c>
      <c r="D3" s="1973"/>
      <c r="E3" s="1973"/>
      <c r="F3" s="1973"/>
      <c r="G3" s="1973"/>
      <c r="H3" s="2027"/>
    </row>
    <row r="4" spans="1:9" ht="18" x14ac:dyDescent="0.25">
      <c r="A4" s="1941"/>
      <c r="B4" s="1973"/>
      <c r="C4" s="1935" t="s">
        <v>364</v>
      </c>
      <c r="D4" s="1973"/>
      <c r="E4" s="1973"/>
      <c r="F4" s="1973"/>
      <c r="G4" s="1973"/>
      <c r="H4" s="2027"/>
    </row>
    <row r="5" spans="1:9" ht="12.75" customHeight="1" x14ac:dyDescent="0.2">
      <c r="B5" s="1973"/>
      <c r="C5" s="1973"/>
      <c r="D5" s="1973"/>
      <c r="E5" s="1973"/>
      <c r="F5" s="1973"/>
      <c r="G5" s="1973"/>
    </row>
    <row r="6" spans="1:9" ht="18" x14ac:dyDescent="0.25">
      <c r="A6" s="1940" t="s">
        <v>1008</v>
      </c>
      <c r="B6" s="1973"/>
      <c r="C6" s="1973"/>
      <c r="D6" s="1973"/>
      <c r="E6" s="1973"/>
      <c r="F6" s="1973"/>
      <c r="G6" s="1973"/>
      <c r="H6" s="2027"/>
    </row>
    <row r="7" spans="1:9" ht="18" x14ac:dyDescent="0.25">
      <c r="A7" s="1940"/>
      <c r="B7" s="1973"/>
      <c r="C7" s="1973"/>
      <c r="D7" s="1973"/>
      <c r="E7" s="1973"/>
      <c r="F7" s="1973"/>
      <c r="G7" s="1973"/>
      <c r="H7" s="2027"/>
    </row>
    <row r="8" spans="1:9" ht="18" x14ac:dyDescent="0.25">
      <c r="A8" s="2129" t="s">
        <v>1009</v>
      </c>
      <c r="B8" s="1973"/>
      <c r="C8" s="1973"/>
      <c r="D8" s="1973"/>
      <c r="E8" s="1973"/>
      <c r="F8" s="1973"/>
      <c r="G8" s="1973"/>
      <c r="H8" s="2027"/>
    </row>
    <row r="9" spans="1:9" ht="15.75" thickBot="1" x14ac:dyDescent="0.3">
      <c r="A9" s="2130" t="s">
        <v>1128</v>
      </c>
      <c r="H9" s="2043" t="s">
        <v>173</v>
      </c>
    </row>
    <row r="10" spans="1:9" s="1735" customFormat="1" ht="25.5" thickTop="1" thickBot="1" x14ac:dyDescent="0.25">
      <c r="A10" s="1943" t="s">
        <v>174</v>
      </c>
      <c r="B10" s="1944" t="s">
        <v>800</v>
      </c>
      <c r="C10" s="1944" t="s">
        <v>397</v>
      </c>
      <c r="D10" s="1945" t="s">
        <v>176</v>
      </c>
      <c r="E10" s="1976" t="s">
        <v>669</v>
      </c>
      <c r="F10" s="1976" t="s">
        <v>670</v>
      </c>
      <c r="G10" s="1977" t="s">
        <v>923</v>
      </c>
      <c r="H10" s="1978" t="s">
        <v>924</v>
      </c>
    </row>
    <row r="11" spans="1:9" s="1735" customFormat="1" ht="13.5" thickTop="1" thickBot="1" x14ac:dyDescent="0.25">
      <c r="A11" s="1740">
        <v>1</v>
      </c>
      <c r="B11" s="1739">
        <v>2</v>
      </c>
      <c r="C11" s="1739">
        <v>3</v>
      </c>
      <c r="D11" s="1739">
        <v>4</v>
      </c>
      <c r="E11" s="1738">
        <v>5</v>
      </c>
      <c r="F11" s="1738">
        <v>6</v>
      </c>
      <c r="G11" s="2028">
        <v>7</v>
      </c>
      <c r="H11" s="2054" t="s">
        <v>61</v>
      </c>
    </row>
    <row r="12" spans="1:9" s="1735" customFormat="1" ht="15.75" hidden="1" thickTop="1" x14ac:dyDescent="0.2">
      <c r="A12" s="2049">
        <v>2143</v>
      </c>
      <c r="B12" s="2056">
        <v>5163</v>
      </c>
      <c r="C12" s="2059">
        <v>41100880</v>
      </c>
      <c r="D12" s="1979" t="s">
        <v>934</v>
      </c>
      <c r="E12" s="1989"/>
      <c r="F12" s="1989"/>
      <c r="G12" s="1989"/>
      <c r="H12" s="1961" t="e">
        <f>G12/F12*100</f>
        <v>#DIV/0!</v>
      </c>
    </row>
    <row r="13" spans="1:9" s="1735" customFormat="1" ht="15.75" hidden="1" thickTop="1" x14ac:dyDescent="0.2">
      <c r="A13" s="2049">
        <v>2143</v>
      </c>
      <c r="B13" s="2056">
        <v>5163</v>
      </c>
      <c r="C13" s="2059">
        <v>41100882</v>
      </c>
      <c r="D13" s="1979" t="s">
        <v>934</v>
      </c>
      <c r="E13" s="1989"/>
      <c r="F13" s="1989"/>
      <c r="G13" s="1989"/>
      <c r="H13" s="1961" t="e">
        <f>G13/F13*100</f>
        <v>#DIV/0!</v>
      </c>
    </row>
    <row r="14" spans="1:9" s="1735" customFormat="1" ht="15.75" hidden="1" thickTop="1" x14ac:dyDescent="0.2">
      <c r="A14" s="2049">
        <v>2143</v>
      </c>
      <c r="B14" s="2056">
        <v>5163</v>
      </c>
      <c r="C14" s="2059">
        <v>41500881</v>
      </c>
      <c r="D14" s="1979" t="s">
        <v>934</v>
      </c>
      <c r="E14" s="1989"/>
      <c r="F14" s="1989"/>
      <c r="G14" s="1989"/>
      <c r="H14" s="1961" t="e">
        <f>G14/F14*100</f>
        <v>#DIV/0!</v>
      </c>
    </row>
    <row r="15" spans="1:9" s="1735" customFormat="1" ht="16.5" thickTop="1" thickBot="1" x14ac:dyDescent="0.25">
      <c r="A15" s="2049">
        <v>6330</v>
      </c>
      <c r="B15" s="2056">
        <v>5345</v>
      </c>
      <c r="C15" s="2059">
        <v>0</v>
      </c>
      <c r="D15" s="1979" t="s">
        <v>806</v>
      </c>
      <c r="E15" s="1989">
        <v>0</v>
      </c>
      <c r="F15" s="1989">
        <v>0</v>
      </c>
      <c r="G15" s="1989">
        <v>759</v>
      </c>
      <c r="H15" s="1968">
        <v>0</v>
      </c>
    </row>
    <row r="16" spans="1:9" s="1969" customFormat="1" ht="16.5" thickTop="1" thickBot="1" x14ac:dyDescent="0.3">
      <c r="A16" s="2750" t="s">
        <v>802</v>
      </c>
      <c r="B16" s="2751"/>
      <c r="C16" s="2751"/>
      <c r="D16" s="2751"/>
      <c r="E16" s="1957">
        <f>SUM(E12:E15)</f>
        <v>0</v>
      </c>
      <c r="F16" s="1957">
        <f>SUM(F12:F15)</f>
        <v>0</v>
      </c>
      <c r="G16" s="1957">
        <f>SUM(G12:G15)</f>
        <v>759</v>
      </c>
      <c r="H16" s="1968">
        <v>0</v>
      </c>
      <c r="I16" s="2063"/>
    </row>
    <row r="17" spans="1:9" ht="13.5" thickTop="1" x14ac:dyDescent="0.2">
      <c r="I17" s="1970"/>
    </row>
    <row r="18" spans="1:9" ht="15" x14ac:dyDescent="0.25">
      <c r="A18" s="1942" t="s">
        <v>1084</v>
      </c>
      <c r="D18" s="1936"/>
      <c r="E18" s="1937"/>
      <c r="H18" s="1970"/>
      <c r="I18" s="1970"/>
    </row>
    <row r="19" spans="1:9" ht="15.75" thickBot="1" x14ac:dyDescent="0.3">
      <c r="A19" s="1942" t="s">
        <v>1085</v>
      </c>
      <c r="D19" s="1936"/>
      <c r="E19" s="1937"/>
      <c r="H19" s="2043" t="s">
        <v>173</v>
      </c>
      <c r="I19" s="1970"/>
    </row>
    <row r="20" spans="1:9" ht="25.5" thickTop="1" thickBot="1" x14ac:dyDescent="0.25">
      <c r="A20" s="1943" t="s">
        <v>174</v>
      </c>
      <c r="B20" s="1944" t="s">
        <v>800</v>
      </c>
      <c r="C20" s="1944" t="s">
        <v>397</v>
      </c>
      <c r="D20" s="1945" t="s">
        <v>176</v>
      </c>
      <c r="E20" s="1976" t="s">
        <v>669</v>
      </c>
      <c r="F20" s="1976" t="s">
        <v>670</v>
      </c>
      <c r="G20" s="1977" t="s">
        <v>923</v>
      </c>
      <c r="H20" s="1978" t="s">
        <v>924</v>
      </c>
      <c r="I20" s="1970"/>
    </row>
    <row r="21" spans="1:9" ht="14.25" thickTop="1" thickBot="1" x14ac:dyDescent="0.25">
      <c r="A21" s="1740">
        <v>1</v>
      </c>
      <c r="B21" s="1739">
        <v>2</v>
      </c>
      <c r="C21" s="1739">
        <v>3</v>
      </c>
      <c r="D21" s="1739">
        <v>5</v>
      </c>
      <c r="E21" s="1738">
        <v>6</v>
      </c>
      <c r="F21" s="1738">
        <v>7</v>
      </c>
      <c r="G21" s="2028">
        <v>8</v>
      </c>
      <c r="H21" s="1951" t="s">
        <v>801</v>
      </c>
      <c r="I21" s="1970"/>
    </row>
    <row r="22" spans="1:9" ht="30.75" thickTop="1" x14ac:dyDescent="0.2">
      <c r="A22" s="2049">
        <v>2143</v>
      </c>
      <c r="B22" s="2056">
        <v>5532</v>
      </c>
      <c r="C22" s="2056">
        <v>41595113</v>
      </c>
      <c r="D22" s="1979" t="s">
        <v>1086</v>
      </c>
      <c r="E22" s="1975">
        <v>0</v>
      </c>
      <c r="F22" s="1989">
        <v>766</v>
      </c>
      <c r="G22" s="2036">
        <v>766</v>
      </c>
      <c r="H22" s="1961">
        <f>G22/F22*100</f>
        <v>100</v>
      </c>
      <c r="I22" s="1970"/>
    </row>
    <row r="23" spans="1:9" ht="15.75" thickBot="1" x14ac:dyDescent="0.25">
      <c r="A23" s="2049">
        <v>2143</v>
      </c>
      <c r="B23" s="2056">
        <v>6380</v>
      </c>
      <c r="C23" s="2056">
        <v>41595823</v>
      </c>
      <c r="D23" s="1979" t="s">
        <v>1221</v>
      </c>
      <c r="E23" s="1986">
        <v>0</v>
      </c>
      <c r="F23" s="1986">
        <v>82</v>
      </c>
      <c r="G23" s="2036">
        <v>82</v>
      </c>
      <c r="H23" s="1968">
        <f>G23/F23*100</f>
        <v>100</v>
      </c>
      <c r="I23" s="1970"/>
    </row>
    <row r="24" spans="1:9" ht="16.5" thickTop="1" thickBot="1" x14ac:dyDescent="0.3">
      <c r="A24" s="1980" t="s">
        <v>802</v>
      </c>
      <c r="B24" s="1981"/>
      <c r="C24" s="1981"/>
      <c r="D24" s="1982"/>
      <c r="E24" s="1957">
        <f>SUM(E22:E23)</f>
        <v>0</v>
      </c>
      <c r="F24" s="1957">
        <f>SUM(F22:F23)</f>
        <v>848</v>
      </c>
      <c r="G24" s="1957">
        <f>SUM(G22:G23)</f>
        <v>848</v>
      </c>
      <c r="H24" s="1962">
        <f>G24/F24*100</f>
        <v>100</v>
      </c>
      <c r="I24" s="1970"/>
    </row>
    <row r="25" spans="1:9" ht="15.75" thickTop="1" x14ac:dyDescent="0.25">
      <c r="A25" s="1994"/>
      <c r="B25" s="1994"/>
      <c r="C25" s="1994"/>
      <c r="D25" s="1994"/>
      <c r="E25" s="1964"/>
      <c r="F25" s="1964"/>
      <c r="G25" s="1964"/>
      <c r="H25" s="1995"/>
      <c r="I25" s="1970"/>
    </row>
    <row r="26" spans="1:9" ht="15.75" thickBot="1" x14ac:dyDescent="0.3">
      <c r="A26" s="1942" t="s">
        <v>263</v>
      </c>
      <c r="B26" s="1994"/>
      <c r="C26" s="1994"/>
      <c r="D26" s="1994"/>
      <c r="E26" s="1964"/>
      <c r="F26" s="1964"/>
      <c r="G26" s="1964"/>
      <c r="H26" s="2043" t="s">
        <v>173</v>
      </c>
      <c r="I26" s="1970"/>
    </row>
    <row r="27" spans="1:9" ht="25.5" thickTop="1" thickBot="1" x14ac:dyDescent="0.25">
      <c r="A27" s="1943" t="s">
        <v>174</v>
      </c>
      <c r="B27" s="1944" t="s">
        <v>800</v>
      </c>
      <c r="C27" s="1944" t="s">
        <v>397</v>
      </c>
      <c r="D27" s="1945" t="s">
        <v>176</v>
      </c>
      <c r="E27" s="1976" t="s">
        <v>669</v>
      </c>
      <c r="F27" s="1976" t="s">
        <v>670</v>
      </c>
      <c r="G27" s="1977" t="s">
        <v>923</v>
      </c>
      <c r="H27" s="1978" t="s">
        <v>924</v>
      </c>
      <c r="I27" s="1970"/>
    </row>
    <row r="28" spans="1:9" ht="14.25" thickTop="1" thickBot="1" x14ac:dyDescent="0.25">
      <c r="A28" s="1740">
        <v>1</v>
      </c>
      <c r="B28" s="1739">
        <v>2</v>
      </c>
      <c r="C28" s="1739">
        <v>3</v>
      </c>
      <c r="D28" s="1739">
        <v>5</v>
      </c>
      <c r="E28" s="1738">
        <v>6</v>
      </c>
      <c r="F28" s="1738">
        <v>7</v>
      </c>
      <c r="G28" s="2028">
        <v>8</v>
      </c>
      <c r="H28" s="1951" t="s">
        <v>801</v>
      </c>
      <c r="I28" s="1970"/>
    </row>
    <row r="29" spans="1:9" ht="30.75" hidden="1" thickTop="1" x14ac:dyDescent="0.2">
      <c r="A29" s="2049">
        <v>2212</v>
      </c>
      <c r="B29" s="2056">
        <v>5532</v>
      </c>
      <c r="C29" s="2056">
        <v>41595113</v>
      </c>
      <c r="D29" s="1979" t="s">
        <v>1086</v>
      </c>
      <c r="E29" s="1975">
        <v>0</v>
      </c>
      <c r="F29" s="1989">
        <v>0</v>
      </c>
      <c r="G29" s="2036">
        <v>0</v>
      </c>
      <c r="H29" s="1961" t="e">
        <f>G29/F29*100</f>
        <v>#DIV/0!</v>
      </c>
      <c r="I29" s="1970"/>
    </row>
    <row r="30" spans="1:9" ht="16.5" thickTop="1" thickBot="1" x14ac:dyDescent="0.25">
      <c r="A30" s="2049">
        <v>6409</v>
      </c>
      <c r="B30" s="2056">
        <v>5909</v>
      </c>
      <c r="C30" s="2059">
        <v>0</v>
      </c>
      <c r="D30" s="1979" t="s">
        <v>1659</v>
      </c>
      <c r="E30" s="1986">
        <v>0</v>
      </c>
      <c r="F30" s="1986">
        <v>0</v>
      </c>
      <c r="G30" s="2036">
        <v>2</v>
      </c>
      <c r="H30" s="1968">
        <v>0</v>
      </c>
      <c r="I30" s="1970"/>
    </row>
    <row r="31" spans="1:9" ht="16.5" thickTop="1" thickBot="1" x14ac:dyDescent="0.3">
      <c r="A31" s="1980" t="s">
        <v>802</v>
      </c>
      <c r="B31" s="1981"/>
      <c r="C31" s="1981"/>
      <c r="D31" s="1982"/>
      <c r="E31" s="1957">
        <f>SUM(E29:E30)</f>
        <v>0</v>
      </c>
      <c r="F31" s="1957">
        <f>SUM(F29:F30)</f>
        <v>0</v>
      </c>
      <c r="G31" s="1957">
        <f>SUM(G29:G30)</f>
        <v>2</v>
      </c>
      <c r="H31" s="1962">
        <v>0</v>
      </c>
      <c r="I31" s="1970"/>
    </row>
    <row r="32" spans="1:9" ht="15.75" thickTop="1" x14ac:dyDescent="0.25">
      <c r="A32" s="1994"/>
      <c r="B32" s="1994"/>
      <c r="C32" s="1994"/>
      <c r="D32" s="1994"/>
      <c r="E32" s="1964"/>
      <c r="F32" s="1964"/>
      <c r="G32" s="1964"/>
      <c r="H32" s="1995"/>
      <c r="I32" s="1970"/>
    </row>
    <row r="33" spans="1:12" ht="15" x14ac:dyDescent="0.25">
      <c r="A33" s="1994"/>
      <c r="B33" s="1994"/>
      <c r="C33" s="1994"/>
      <c r="D33" s="1994"/>
      <c r="E33" s="1964"/>
      <c r="F33" s="1964"/>
      <c r="G33" s="1964"/>
      <c r="H33" s="1995"/>
      <c r="I33" s="1970"/>
    </row>
    <row r="34" spans="1:12" ht="15" x14ac:dyDescent="0.25">
      <c r="A34" s="1994"/>
      <c r="B34" s="1994"/>
      <c r="C34" s="1994"/>
      <c r="D34" s="1994"/>
      <c r="E34" s="1964"/>
      <c r="F34" s="1964"/>
      <c r="G34" s="1964"/>
      <c r="H34" s="1995"/>
      <c r="I34" s="1970"/>
    </row>
    <row r="35" spans="1:12" ht="15" x14ac:dyDescent="0.25">
      <c r="A35" s="1994"/>
      <c r="B35" s="1994"/>
      <c r="C35" s="1994"/>
      <c r="D35" s="1994"/>
      <c r="E35" s="1964"/>
      <c r="F35" s="1964"/>
      <c r="G35" s="1964"/>
      <c r="H35" s="1995"/>
      <c r="I35" s="1970"/>
    </row>
    <row r="36" spans="1:12" ht="16.5" x14ac:dyDescent="0.25">
      <c r="A36" s="2011" t="s">
        <v>487</v>
      </c>
      <c r="B36" s="2012"/>
      <c r="C36" s="2013"/>
      <c r="D36" s="2014"/>
      <c r="E36" s="2015">
        <f>SUM(E37:E39)</f>
        <v>0</v>
      </c>
      <c r="F36" s="2015">
        <f>F37+F38+F39+F40</f>
        <v>848</v>
      </c>
      <c r="G36" s="2015">
        <f>G37+G38+G39+G40</f>
        <v>1609</v>
      </c>
      <c r="H36" s="2035">
        <f>G36/F36*100</f>
        <v>189.74056603773585</v>
      </c>
      <c r="I36" s="1970"/>
      <c r="J36" s="2017">
        <f>J37+J38+J39</f>
        <v>0</v>
      </c>
      <c r="K36" s="2017">
        <f>K37+K38+K39</f>
        <v>847891.71</v>
      </c>
      <c r="L36" s="2017">
        <f>L37+L38+L39</f>
        <v>1608666.0899999999</v>
      </c>
    </row>
    <row r="37" spans="1:12" ht="15" x14ac:dyDescent="0.2">
      <c r="A37" s="1696" t="s">
        <v>277</v>
      </c>
      <c r="B37" s="1699"/>
      <c r="C37" s="1694"/>
      <c r="D37" s="2018"/>
      <c r="E37" s="1697">
        <f>E12+E13+E14+E22</f>
        <v>0</v>
      </c>
      <c r="F37" s="1697">
        <f>F12+F13+F14+F22</f>
        <v>766</v>
      </c>
      <c r="G37" s="1697">
        <f>G12+G13+G14+G22+G30</f>
        <v>768</v>
      </c>
      <c r="H37" s="2034">
        <f>G37/F37*100</f>
        <v>100.26109660574411</v>
      </c>
      <c r="J37" s="2019">
        <v>0</v>
      </c>
      <c r="K37" s="2019">
        <v>765608.26</v>
      </c>
      <c r="L37" s="2019">
        <f>765608.26+1986.7</f>
        <v>767594.96</v>
      </c>
    </row>
    <row r="38" spans="1:12" ht="15" x14ac:dyDescent="0.2">
      <c r="A38" s="1696" t="s">
        <v>278</v>
      </c>
      <c r="B38" s="1695"/>
      <c r="C38" s="1694"/>
      <c r="D38" s="2020"/>
      <c r="E38" s="1697">
        <f>E23</f>
        <v>0</v>
      </c>
      <c r="F38" s="1697">
        <f>F23</f>
        <v>82</v>
      </c>
      <c r="G38" s="1697">
        <f>G23</f>
        <v>82</v>
      </c>
      <c r="H38" s="2034">
        <f>G38/F38*100</f>
        <v>100</v>
      </c>
      <c r="J38" s="2019">
        <v>0</v>
      </c>
      <c r="K38" s="2019">
        <v>82283.45</v>
      </c>
      <c r="L38" s="2019">
        <v>82283.45</v>
      </c>
    </row>
    <row r="39" spans="1:12" ht="15" x14ac:dyDescent="0.2">
      <c r="A39" s="1696" t="s">
        <v>488</v>
      </c>
      <c r="B39" s="1695"/>
      <c r="C39" s="1694"/>
      <c r="D39" s="2020"/>
      <c r="E39" s="1697">
        <f>E15</f>
        <v>0</v>
      </c>
      <c r="F39" s="1697">
        <f>F15</f>
        <v>0</v>
      </c>
      <c r="G39" s="1697">
        <f>G15</f>
        <v>759</v>
      </c>
      <c r="H39" s="2034">
        <v>0</v>
      </c>
      <c r="J39" s="2019">
        <v>0</v>
      </c>
      <c r="K39" s="2019">
        <v>0</v>
      </c>
      <c r="L39" s="2019">
        <v>758787.68</v>
      </c>
    </row>
    <row r="40" spans="1:12" ht="15" x14ac:dyDescent="0.2">
      <c r="A40" s="1696"/>
      <c r="B40" s="1695"/>
      <c r="C40" s="1694"/>
      <c r="D40" s="2020"/>
      <c r="E40" s="1697"/>
      <c r="F40" s="1697"/>
      <c r="G40" s="1697"/>
      <c r="H40" s="1693"/>
    </row>
    <row r="41" spans="1:12" ht="46.5" customHeight="1" thickBot="1" x14ac:dyDescent="0.4">
      <c r="A41" s="2746" t="s">
        <v>1009</v>
      </c>
      <c r="B41" s="2765"/>
      <c r="C41" s="2765"/>
      <c r="D41" s="2765"/>
      <c r="E41" s="1687">
        <f>E36</f>
        <v>0</v>
      </c>
      <c r="F41" s="1687">
        <f>F36</f>
        <v>848</v>
      </c>
      <c r="G41" s="1687">
        <f>G36</f>
        <v>1609</v>
      </c>
      <c r="H41" s="2252">
        <f>G41/F41*100</f>
        <v>189.74056603773585</v>
      </c>
    </row>
    <row r="42" spans="1:12" ht="13.5" thickTop="1" x14ac:dyDescent="0.2"/>
    <row r="156" spans="1:3" ht="13.5" thickBot="1" x14ac:dyDescent="0.25">
      <c r="A156" s="1984"/>
      <c r="B156" s="1984"/>
      <c r="C156" s="1984"/>
    </row>
    <row r="157" spans="1:3" ht="13.5" thickTop="1" x14ac:dyDescent="0.2">
      <c r="A157" s="2009"/>
      <c r="B157" s="2009"/>
      <c r="C157" s="2009"/>
    </row>
    <row r="164" spans="4:5" ht="13.5" thickBot="1" x14ac:dyDescent="0.25">
      <c r="D164" s="2064"/>
      <c r="E164" s="2065"/>
    </row>
    <row r="165" spans="4:5" ht="13.5" thickTop="1" x14ac:dyDescent="0.2">
      <c r="D165" s="1998"/>
      <c r="E165" s="2066"/>
    </row>
    <row r="166" spans="4:5" x14ac:dyDescent="0.2">
      <c r="D166" s="1937" t="e">
        <f>#REF!+#REF!</f>
        <v>#REF!</v>
      </c>
    </row>
  </sheetData>
  <mergeCells count="3">
    <mergeCell ref="A1:H1"/>
    <mergeCell ref="A16:D16"/>
    <mergeCell ref="A41:D41"/>
  </mergeCells>
  <pageMargins left="0.98425196850393704" right="0.98425196850393704" top="0.98425196850393704" bottom="0.98425196850393704" header="0.51181102362204722" footer="0.51181102362204722"/>
  <pageSetup paperSize="9" scale="74" firstPageNumber="146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65"/>
  <sheetViews>
    <sheetView showGridLines="0" view="pageBreakPreview" zoomScaleNormal="100" zoomScaleSheetLayoutView="100" workbookViewId="0">
      <selection activeCell="H157" sqref="H157"/>
    </sheetView>
  </sheetViews>
  <sheetFormatPr defaultRowHeight="12.75" x14ac:dyDescent="0.2"/>
  <cols>
    <col min="1" max="1" width="4.85546875" style="1936" customWidth="1"/>
    <col min="2" max="2" width="6.7109375" style="1936" customWidth="1"/>
    <col min="3" max="3" width="8.85546875" style="1936" customWidth="1"/>
    <col min="4" max="4" width="46.42578125" style="1937" customWidth="1"/>
    <col min="5" max="5" width="12.85546875" style="1970" customWidth="1"/>
    <col min="6" max="6" width="15.5703125" style="1970" customWidth="1"/>
    <col min="7" max="7" width="15.85546875" style="1970" customWidth="1"/>
    <col min="8" max="8" width="8.5703125" style="1937" customWidth="1"/>
    <col min="9" max="9" width="14.28515625" style="1937" bestFit="1" customWidth="1"/>
    <col min="10" max="10" width="9.140625" style="1937"/>
    <col min="11" max="12" width="16" style="1937" bestFit="1" customWidth="1"/>
    <col min="13" max="256" width="9.140625" style="1937"/>
    <col min="257" max="257" width="4.7109375" style="1937" customWidth="1"/>
    <col min="258" max="258" width="6.7109375" style="1937" customWidth="1"/>
    <col min="259" max="259" width="8.85546875" style="1937" customWidth="1"/>
    <col min="260" max="260" width="46.42578125" style="1937" customWidth="1"/>
    <col min="261" max="261" width="12.85546875" style="1937" customWidth="1"/>
    <col min="262" max="262" width="15.5703125" style="1937" customWidth="1"/>
    <col min="263" max="263" width="15.85546875" style="1937" customWidth="1"/>
    <col min="264" max="264" width="6.42578125" style="1937" customWidth="1"/>
    <col min="265" max="265" width="14.28515625" style="1937" bestFit="1" customWidth="1"/>
    <col min="266" max="266" width="9.140625" style="1937"/>
    <col min="267" max="268" width="16" style="1937" bestFit="1" customWidth="1"/>
    <col min="269" max="512" width="9.140625" style="1937"/>
    <col min="513" max="513" width="4.7109375" style="1937" customWidth="1"/>
    <col min="514" max="514" width="6.7109375" style="1937" customWidth="1"/>
    <col min="515" max="515" width="8.85546875" style="1937" customWidth="1"/>
    <col min="516" max="516" width="46.42578125" style="1937" customWidth="1"/>
    <col min="517" max="517" width="12.85546875" style="1937" customWidth="1"/>
    <col min="518" max="518" width="15.5703125" style="1937" customWidth="1"/>
    <col min="519" max="519" width="15.85546875" style="1937" customWidth="1"/>
    <col min="520" max="520" width="6.42578125" style="1937" customWidth="1"/>
    <col min="521" max="521" width="14.28515625" style="1937" bestFit="1" customWidth="1"/>
    <col min="522" max="522" width="9.140625" style="1937"/>
    <col min="523" max="524" width="16" style="1937" bestFit="1" customWidth="1"/>
    <col min="525" max="768" width="9.140625" style="1937"/>
    <col min="769" max="769" width="4.7109375" style="1937" customWidth="1"/>
    <col min="770" max="770" width="6.7109375" style="1937" customWidth="1"/>
    <col min="771" max="771" width="8.85546875" style="1937" customWidth="1"/>
    <col min="772" max="772" width="46.42578125" style="1937" customWidth="1"/>
    <col min="773" max="773" width="12.85546875" style="1937" customWidth="1"/>
    <col min="774" max="774" width="15.5703125" style="1937" customWidth="1"/>
    <col min="775" max="775" width="15.85546875" style="1937" customWidth="1"/>
    <col min="776" max="776" width="6.42578125" style="1937" customWidth="1"/>
    <col min="777" max="777" width="14.28515625" style="1937" bestFit="1" customWidth="1"/>
    <col min="778" max="778" width="9.140625" style="1937"/>
    <col min="779" max="780" width="16" style="1937" bestFit="1" customWidth="1"/>
    <col min="781" max="1024" width="9.140625" style="1937"/>
    <col min="1025" max="1025" width="4.7109375" style="1937" customWidth="1"/>
    <col min="1026" max="1026" width="6.7109375" style="1937" customWidth="1"/>
    <col min="1027" max="1027" width="8.85546875" style="1937" customWidth="1"/>
    <col min="1028" max="1028" width="46.42578125" style="1937" customWidth="1"/>
    <col min="1029" max="1029" width="12.85546875" style="1937" customWidth="1"/>
    <col min="1030" max="1030" width="15.5703125" style="1937" customWidth="1"/>
    <col min="1031" max="1031" width="15.85546875" style="1937" customWidth="1"/>
    <col min="1032" max="1032" width="6.42578125" style="1937" customWidth="1"/>
    <col min="1033" max="1033" width="14.28515625" style="1937" bestFit="1" customWidth="1"/>
    <col min="1034" max="1034" width="9.140625" style="1937"/>
    <col min="1035" max="1036" width="16" style="1937" bestFit="1" customWidth="1"/>
    <col min="1037" max="1280" width="9.140625" style="1937"/>
    <col min="1281" max="1281" width="4.7109375" style="1937" customWidth="1"/>
    <col min="1282" max="1282" width="6.7109375" style="1937" customWidth="1"/>
    <col min="1283" max="1283" width="8.85546875" style="1937" customWidth="1"/>
    <col min="1284" max="1284" width="46.42578125" style="1937" customWidth="1"/>
    <col min="1285" max="1285" width="12.85546875" style="1937" customWidth="1"/>
    <col min="1286" max="1286" width="15.5703125" style="1937" customWidth="1"/>
    <col min="1287" max="1287" width="15.85546875" style="1937" customWidth="1"/>
    <col min="1288" max="1288" width="6.42578125" style="1937" customWidth="1"/>
    <col min="1289" max="1289" width="14.28515625" style="1937" bestFit="1" customWidth="1"/>
    <col min="1290" max="1290" width="9.140625" style="1937"/>
    <col min="1291" max="1292" width="16" style="1937" bestFit="1" customWidth="1"/>
    <col min="1293" max="1536" width="9.140625" style="1937"/>
    <col min="1537" max="1537" width="4.7109375" style="1937" customWidth="1"/>
    <col min="1538" max="1538" width="6.7109375" style="1937" customWidth="1"/>
    <col min="1539" max="1539" width="8.85546875" style="1937" customWidth="1"/>
    <col min="1540" max="1540" width="46.42578125" style="1937" customWidth="1"/>
    <col min="1541" max="1541" width="12.85546875" style="1937" customWidth="1"/>
    <col min="1542" max="1542" width="15.5703125" style="1937" customWidth="1"/>
    <col min="1543" max="1543" width="15.85546875" style="1937" customWidth="1"/>
    <col min="1544" max="1544" width="6.42578125" style="1937" customWidth="1"/>
    <col min="1545" max="1545" width="14.28515625" style="1937" bestFit="1" customWidth="1"/>
    <col min="1546" max="1546" width="9.140625" style="1937"/>
    <col min="1547" max="1548" width="16" style="1937" bestFit="1" customWidth="1"/>
    <col min="1549" max="1792" width="9.140625" style="1937"/>
    <col min="1793" max="1793" width="4.7109375" style="1937" customWidth="1"/>
    <col min="1794" max="1794" width="6.7109375" style="1937" customWidth="1"/>
    <col min="1795" max="1795" width="8.85546875" style="1937" customWidth="1"/>
    <col min="1796" max="1796" width="46.42578125" style="1937" customWidth="1"/>
    <col min="1797" max="1797" width="12.85546875" style="1937" customWidth="1"/>
    <col min="1798" max="1798" width="15.5703125" style="1937" customWidth="1"/>
    <col min="1799" max="1799" width="15.85546875" style="1937" customWidth="1"/>
    <col min="1800" max="1800" width="6.42578125" style="1937" customWidth="1"/>
    <col min="1801" max="1801" width="14.28515625" style="1937" bestFit="1" customWidth="1"/>
    <col min="1802" max="1802" width="9.140625" style="1937"/>
    <col min="1803" max="1804" width="16" style="1937" bestFit="1" customWidth="1"/>
    <col min="1805" max="2048" width="9.140625" style="1937"/>
    <col min="2049" max="2049" width="4.7109375" style="1937" customWidth="1"/>
    <col min="2050" max="2050" width="6.7109375" style="1937" customWidth="1"/>
    <col min="2051" max="2051" width="8.85546875" style="1937" customWidth="1"/>
    <col min="2052" max="2052" width="46.42578125" style="1937" customWidth="1"/>
    <col min="2053" max="2053" width="12.85546875" style="1937" customWidth="1"/>
    <col min="2054" max="2054" width="15.5703125" style="1937" customWidth="1"/>
    <col min="2055" max="2055" width="15.85546875" style="1937" customWidth="1"/>
    <col min="2056" max="2056" width="6.42578125" style="1937" customWidth="1"/>
    <col min="2057" max="2057" width="14.28515625" style="1937" bestFit="1" customWidth="1"/>
    <col min="2058" max="2058" width="9.140625" style="1937"/>
    <col min="2059" max="2060" width="16" style="1937" bestFit="1" customWidth="1"/>
    <col min="2061" max="2304" width="9.140625" style="1937"/>
    <col min="2305" max="2305" width="4.7109375" style="1937" customWidth="1"/>
    <col min="2306" max="2306" width="6.7109375" style="1937" customWidth="1"/>
    <col min="2307" max="2307" width="8.85546875" style="1937" customWidth="1"/>
    <col min="2308" max="2308" width="46.42578125" style="1937" customWidth="1"/>
    <col min="2309" max="2309" width="12.85546875" style="1937" customWidth="1"/>
    <col min="2310" max="2310" width="15.5703125" style="1937" customWidth="1"/>
    <col min="2311" max="2311" width="15.85546875" style="1937" customWidth="1"/>
    <col min="2312" max="2312" width="6.42578125" style="1937" customWidth="1"/>
    <col min="2313" max="2313" width="14.28515625" style="1937" bestFit="1" customWidth="1"/>
    <col min="2314" max="2314" width="9.140625" style="1937"/>
    <col min="2315" max="2316" width="16" style="1937" bestFit="1" customWidth="1"/>
    <col min="2317" max="2560" width="9.140625" style="1937"/>
    <col min="2561" max="2561" width="4.7109375" style="1937" customWidth="1"/>
    <col min="2562" max="2562" width="6.7109375" style="1937" customWidth="1"/>
    <col min="2563" max="2563" width="8.85546875" style="1937" customWidth="1"/>
    <col min="2564" max="2564" width="46.42578125" style="1937" customWidth="1"/>
    <col min="2565" max="2565" width="12.85546875" style="1937" customWidth="1"/>
    <col min="2566" max="2566" width="15.5703125" style="1937" customWidth="1"/>
    <col min="2567" max="2567" width="15.85546875" style="1937" customWidth="1"/>
    <col min="2568" max="2568" width="6.42578125" style="1937" customWidth="1"/>
    <col min="2569" max="2569" width="14.28515625" style="1937" bestFit="1" customWidth="1"/>
    <col min="2570" max="2570" width="9.140625" style="1937"/>
    <col min="2571" max="2572" width="16" style="1937" bestFit="1" customWidth="1"/>
    <col min="2573" max="2816" width="9.140625" style="1937"/>
    <col min="2817" max="2817" width="4.7109375" style="1937" customWidth="1"/>
    <col min="2818" max="2818" width="6.7109375" style="1937" customWidth="1"/>
    <col min="2819" max="2819" width="8.85546875" style="1937" customWidth="1"/>
    <col min="2820" max="2820" width="46.42578125" style="1937" customWidth="1"/>
    <col min="2821" max="2821" width="12.85546875" style="1937" customWidth="1"/>
    <col min="2822" max="2822" width="15.5703125" style="1937" customWidth="1"/>
    <col min="2823" max="2823" width="15.85546875" style="1937" customWidth="1"/>
    <col min="2824" max="2824" width="6.42578125" style="1937" customWidth="1"/>
    <col min="2825" max="2825" width="14.28515625" style="1937" bestFit="1" customWidth="1"/>
    <col min="2826" max="2826" width="9.140625" style="1937"/>
    <col min="2827" max="2828" width="16" style="1937" bestFit="1" customWidth="1"/>
    <col min="2829" max="3072" width="9.140625" style="1937"/>
    <col min="3073" max="3073" width="4.7109375" style="1937" customWidth="1"/>
    <col min="3074" max="3074" width="6.7109375" style="1937" customWidth="1"/>
    <col min="3075" max="3075" width="8.85546875" style="1937" customWidth="1"/>
    <col min="3076" max="3076" width="46.42578125" style="1937" customWidth="1"/>
    <col min="3077" max="3077" width="12.85546875" style="1937" customWidth="1"/>
    <col min="3078" max="3078" width="15.5703125" style="1937" customWidth="1"/>
    <col min="3079" max="3079" width="15.85546875" style="1937" customWidth="1"/>
    <col min="3080" max="3080" width="6.42578125" style="1937" customWidth="1"/>
    <col min="3081" max="3081" width="14.28515625" style="1937" bestFit="1" customWidth="1"/>
    <col min="3082" max="3082" width="9.140625" style="1937"/>
    <col min="3083" max="3084" width="16" style="1937" bestFit="1" customWidth="1"/>
    <col min="3085" max="3328" width="9.140625" style="1937"/>
    <col min="3329" max="3329" width="4.7109375" style="1937" customWidth="1"/>
    <col min="3330" max="3330" width="6.7109375" style="1937" customWidth="1"/>
    <col min="3331" max="3331" width="8.85546875" style="1937" customWidth="1"/>
    <col min="3332" max="3332" width="46.42578125" style="1937" customWidth="1"/>
    <col min="3333" max="3333" width="12.85546875" style="1937" customWidth="1"/>
    <col min="3334" max="3334" width="15.5703125" style="1937" customWidth="1"/>
    <col min="3335" max="3335" width="15.85546875" style="1937" customWidth="1"/>
    <col min="3336" max="3336" width="6.42578125" style="1937" customWidth="1"/>
    <col min="3337" max="3337" width="14.28515625" style="1937" bestFit="1" customWidth="1"/>
    <col min="3338" max="3338" width="9.140625" style="1937"/>
    <col min="3339" max="3340" width="16" style="1937" bestFit="1" customWidth="1"/>
    <col min="3341" max="3584" width="9.140625" style="1937"/>
    <col min="3585" max="3585" width="4.7109375" style="1937" customWidth="1"/>
    <col min="3586" max="3586" width="6.7109375" style="1937" customWidth="1"/>
    <col min="3587" max="3587" width="8.85546875" style="1937" customWidth="1"/>
    <col min="3588" max="3588" width="46.42578125" style="1937" customWidth="1"/>
    <col min="3589" max="3589" width="12.85546875" style="1937" customWidth="1"/>
    <col min="3590" max="3590" width="15.5703125" style="1937" customWidth="1"/>
    <col min="3591" max="3591" width="15.85546875" style="1937" customWidth="1"/>
    <col min="3592" max="3592" width="6.42578125" style="1937" customWidth="1"/>
    <col min="3593" max="3593" width="14.28515625" style="1937" bestFit="1" customWidth="1"/>
    <col min="3594" max="3594" width="9.140625" style="1937"/>
    <col min="3595" max="3596" width="16" style="1937" bestFit="1" customWidth="1"/>
    <col min="3597" max="3840" width="9.140625" style="1937"/>
    <col min="3841" max="3841" width="4.7109375" style="1937" customWidth="1"/>
    <col min="3842" max="3842" width="6.7109375" style="1937" customWidth="1"/>
    <col min="3843" max="3843" width="8.85546875" style="1937" customWidth="1"/>
    <col min="3844" max="3844" width="46.42578125" style="1937" customWidth="1"/>
    <col min="3845" max="3845" width="12.85546875" style="1937" customWidth="1"/>
    <col min="3846" max="3846" width="15.5703125" style="1937" customWidth="1"/>
    <col min="3847" max="3847" width="15.85546875" style="1937" customWidth="1"/>
    <col min="3848" max="3848" width="6.42578125" style="1937" customWidth="1"/>
    <col min="3849" max="3849" width="14.28515625" style="1937" bestFit="1" customWidth="1"/>
    <col min="3850" max="3850" width="9.140625" style="1937"/>
    <col min="3851" max="3852" width="16" style="1937" bestFit="1" customWidth="1"/>
    <col min="3853" max="4096" width="9.140625" style="1937"/>
    <col min="4097" max="4097" width="4.7109375" style="1937" customWidth="1"/>
    <col min="4098" max="4098" width="6.7109375" style="1937" customWidth="1"/>
    <col min="4099" max="4099" width="8.85546875" style="1937" customWidth="1"/>
    <col min="4100" max="4100" width="46.42578125" style="1937" customWidth="1"/>
    <col min="4101" max="4101" width="12.85546875" style="1937" customWidth="1"/>
    <col min="4102" max="4102" width="15.5703125" style="1937" customWidth="1"/>
    <col min="4103" max="4103" width="15.85546875" style="1937" customWidth="1"/>
    <col min="4104" max="4104" width="6.42578125" style="1937" customWidth="1"/>
    <col min="4105" max="4105" width="14.28515625" style="1937" bestFit="1" customWidth="1"/>
    <col min="4106" max="4106" width="9.140625" style="1937"/>
    <col min="4107" max="4108" width="16" style="1937" bestFit="1" customWidth="1"/>
    <col min="4109" max="4352" width="9.140625" style="1937"/>
    <col min="4353" max="4353" width="4.7109375" style="1937" customWidth="1"/>
    <col min="4354" max="4354" width="6.7109375" style="1937" customWidth="1"/>
    <col min="4355" max="4355" width="8.85546875" style="1937" customWidth="1"/>
    <col min="4356" max="4356" width="46.42578125" style="1937" customWidth="1"/>
    <col min="4357" max="4357" width="12.85546875" style="1937" customWidth="1"/>
    <col min="4358" max="4358" width="15.5703125" style="1937" customWidth="1"/>
    <col min="4359" max="4359" width="15.85546875" style="1937" customWidth="1"/>
    <col min="4360" max="4360" width="6.42578125" style="1937" customWidth="1"/>
    <col min="4361" max="4361" width="14.28515625" style="1937" bestFit="1" customWidth="1"/>
    <col min="4362" max="4362" width="9.140625" style="1937"/>
    <col min="4363" max="4364" width="16" style="1937" bestFit="1" customWidth="1"/>
    <col min="4365" max="4608" width="9.140625" style="1937"/>
    <col min="4609" max="4609" width="4.7109375" style="1937" customWidth="1"/>
    <col min="4610" max="4610" width="6.7109375" style="1937" customWidth="1"/>
    <col min="4611" max="4611" width="8.85546875" style="1937" customWidth="1"/>
    <col min="4612" max="4612" width="46.42578125" style="1937" customWidth="1"/>
    <col min="4613" max="4613" width="12.85546875" style="1937" customWidth="1"/>
    <col min="4614" max="4614" width="15.5703125" style="1937" customWidth="1"/>
    <col min="4615" max="4615" width="15.85546875" style="1937" customWidth="1"/>
    <col min="4616" max="4616" width="6.42578125" style="1937" customWidth="1"/>
    <col min="4617" max="4617" width="14.28515625" style="1937" bestFit="1" customWidth="1"/>
    <col min="4618" max="4618" width="9.140625" style="1937"/>
    <col min="4619" max="4620" width="16" style="1937" bestFit="1" customWidth="1"/>
    <col min="4621" max="4864" width="9.140625" style="1937"/>
    <col min="4865" max="4865" width="4.7109375" style="1937" customWidth="1"/>
    <col min="4866" max="4866" width="6.7109375" style="1937" customWidth="1"/>
    <col min="4867" max="4867" width="8.85546875" style="1937" customWidth="1"/>
    <col min="4868" max="4868" width="46.42578125" style="1937" customWidth="1"/>
    <col min="4869" max="4869" width="12.85546875" style="1937" customWidth="1"/>
    <col min="4870" max="4870" width="15.5703125" style="1937" customWidth="1"/>
    <col min="4871" max="4871" width="15.85546875" style="1937" customWidth="1"/>
    <col min="4872" max="4872" width="6.42578125" style="1937" customWidth="1"/>
    <col min="4873" max="4873" width="14.28515625" style="1937" bestFit="1" customWidth="1"/>
    <col min="4874" max="4874" width="9.140625" style="1937"/>
    <col min="4875" max="4876" width="16" style="1937" bestFit="1" customWidth="1"/>
    <col min="4877" max="5120" width="9.140625" style="1937"/>
    <col min="5121" max="5121" width="4.7109375" style="1937" customWidth="1"/>
    <col min="5122" max="5122" width="6.7109375" style="1937" customWidth="1"/>
    <col min="5123" max="5123" width="8.85546875" style="1937" customWidth="1"/>
    <col min="5124" max="5124" width="46.42578125" style="1937" customWidth="1"/>
    <col min="5125" max="5125" width="12.85546875" style="1937" customWidth="1"/>
    <col min="5126" max="5126" width="15.5703125" style="1937" customWidth="1"/>
    <col min="5127" max="5127" width="15.85546875" style="1937" customWidth="1"/>
    <col min="5128" max="5128" width="6.42578125" style="1937" customWidth="1"/>
    <col min="5129" max="5129" width="14.28515625" style="1937" bestFit="1" customWidth="1"/>
    <col min="5130" max="5130" width="9.140625" style="1937"/>
    <col min="5131" max="5132" width="16" style="1937" bestFit="1" customWidth="1"/>
    <col min="5133" max="5376" width="9.140625" style="1937"/>
    <col min="5377" max="5377" width="4.7109375" style="1937" customWidth="1"/>
    <col min="5378" max="5378" width="6.7109375" style="1937" customWidth="1"/>
    <col min="5379" max="5379" width="8.85546875" style="1937" customWidth="1"/>
    <col min="5380" max="5380" width="46.42578125" style="1937" customWidth="1"/>
    <col min="5381" max="5381" width="12.85546875" style="1937" customWidth="1"/>
    <col min="5382" max="5382" width="15.5703125" style="1937" customWidth="1"/>
    <col min="5383" max="5383" width="15.85546875" style="1937" customWidth="1"/>
    <col min="5384" max="5384" width="6.42578125" style="1937" customWidth="1"/>
    <col min="5385" max="5385" width="14.28515625" style="1937" bestFit="1" customWidth="1"/>
    <col min="5386" max="5386" width="9.140625" style="1937"/>
    <col min="5387" max="5388" width="16" style="1937" bestFit="1" customWidth="1"/>
    <col min="5389" max="5632" width="9.140625" style="1937"/>
    <col min="5633" max="5633" width="4.7109375" style="1937" customWidth="1"/>
    <col min="5634" max="5634" width="6.7109375" style="1937" customWidth="1"/>
    <col min="5635" max="5635" width="8.85546875" style="1937" customWidth="1"/>
    <col min="5636" max="5636" width="46.42578125" style="1937" customWidth="1"/>
    <col min="5637" max="5637" width="12.85546875" style="1937" customWidth="1"/>
    <col min="5638" max="5638" width="15.5703125" style="1937" customWidth="1"/>
    <col min="5639" max="5639" width="15.85546875" style="1937" customWidth="1"/>
    <col min="5640" max="5640" width="6.42578125" style="1937" customWidth="1"/>
    <col min="5641" max="5641" width="14.28515625" style="1937" bestFit="1" customWidth="1"/>
    <col min="5642" max="5642" width="9.140625" style="1937"/>
    <col min="5643" max="5644" width="16" style="1937" bestFit="1" customWidth="1"/>
    <col min="5645" max="5888" width="9.140625" style="1937"/>
    <col min="5889" max="5889" width="4.7109375" style="1937" customWidth="1"/>
    <col min="5890" max="5890" width="6.7109375" style="1937" customWidth="1"/>
    <col min="5891" max="5891" width="8.85546875" style="1937" customWidth="1"/>
    <col min="5892" max="5892" width="46.42578125" style="1937" customWidth="1"/>
    <col min="5893" max="5893" width="12.85546875" style="1937" customWidth="1"/>
    <col min="5894" max="5894" width="15.5703125" style="1937" customWidth="1"/>
    <col min="5895" max="5895" width="15.85546875" style="1937" customWidth="1"/>
    <col min="5896" max="5896" width="6.42578125" style="1937" customWidth="1"/>
    <col min="5897" max="5897" width="14.28515625" style="1937" bestFit="1" customWidth="1"/>
    <col min="5898" max="5898" width="9.140625" style="1937"/>
    <col min="5899" max="5900" width="16" style="1937" bestFit="1" customWidth="1"/>
    <col min="5901" max="6144" width="9.140625" style="1937"/>
    <col min="6145" max="6145" width="4.7109375" style="1937" customWidth="1"/>
    <col min="6146" max="6146" width="6.7109375" style="1937" customWidth="1"/>
    <col min="6147" max="6147" width="8.85546875" style="1937" customWidth="1"/>
    <col min="6148" max="6148" width="46.42578125" style="1937" customWidth="1"/>
    <col min="6149" max="6149" width="12.85546875" style="1937" customWidth="1"/>
    <col min="6150" max="6150" width="15.5703125" style="1937" customWidth="1"/>
    <col min="6151" max="6151" width="15.85546875" style="1937" customWidth="1"/>
    <col min="6152" max="6152" width="6.42578125" style="1937" customWidth="1"/>
    <col min="6153" max="6153" width="14.28515625" style="1937" bestFit="1" customWidth="1"/>
    <col min="6154" max="6154" width="9.140625" style="1937"/>
    <col min="6155" max="6156" width="16" style="1937" bestFit="1" customWidth="1"/>
    <col min="6157" max="6400" width="9.140625" style="1937"/>
    <col min="6401" max="6401" width="4.7109375" style="1937" customWidth="1"/>
    <col min="6402" max="6402" width="6.7109375" style="1937" customWidth="1"/>
    <col min="6403" max="6403" width="8.85546875" style="1937" customWidth="1"/>
    <col min="6404" max="6404" width="46.42578125" style="1937" customWidth="1"/>
    <col min="6405" max="6405" width="12.85546875" style="1937" customWidth="1"/>
    <col min="6406" max="6406" width="15.5703125" style="1937" customWidth="1"/>
    <col min="6407" max="6407" width="15.85546875" style="1937" customWidth="1"/>
    <col min="6408" max="6408" width="6.42578125" style="1937" customWidth="1"/>
    <col min="6409" max="6409" width="14.28515625" style="1937" bestFit="1" customWidth="1"/>
    <col min="6410" max="6410" width="9.140625" style="1937"/>
    <col min="6411" max="6412" width="16" style="1937" bestFit="1" customWidth="1"/>
    <col min="6413" max="6656" width="9.140625" style="1937"/>
    <col min="6657" max="6657" width="4.7109375" style="1937" customWidth="1"/>
    <col min="6658" max="6658" width="6.7109375" style="1937" customWidth="1"/>
    <col min="6659" max="6659" width="8.85546875" style="1937" customWidth="1"/>
    <col min="6660" max="6660" width="46.42578125" style="1937" customWidth="1"/>
    <col min="6661" max="6661" width="12.85546875" style="1937" customWidth="1"/>
    <col min="6662" max="6662" width="15.5703125" style="1937" customWidth="1"/>
    <col min="6663" max="6663" width="15.85546875" style="1937" customWidth="1"/>
    <col min="6664" max="6664" width="6.42578125" style="1937" customWidth="1"/>
    <col min="6665" max="6665" width="14.28515625" style="1937" bestFit="1" customWidth="1"/>
    <col min="6666" max="6666" width="9.140625" style="1937"/>
    <col min="6667" max="6668" width="16" style="1937" bestFit="1" customWidth="1"/>
    <col min="6669" max="6912" width="9.140625" style="1937"/>
    <col min="6913" max="6913" width="4.7109375" style="1937" customWidth="1"/>
    <col min="6914" max="6914" width="6.7109375" style="1937" customWidth="1"/>
    <col min="6915" max="6915" width="8.85546875" style="1937" customWidth="1"/>
    <col min="6916" max="6916" width="46.42578125" style="1937" customWidth="1"/>
    <col min="6917" max="6917" width="12.85546875" style="1937" customWidth="1"/>
    <col min="6918" max="6918" width="15.5703125" style="1937" customWidth="1"/>
    <col min="6919" max="6919" width="15.85546875" style="1937" customWidth="1"/>
    <col min="6920" max="6920" width="6.42578125" style="1937" customWidth="1"/>
    <col min="6921" max="6921" width="14.28515625" style="1937" bestFit="1" customWidth="1"/>
    <col min="6922" max="6922" width="9.140625" style="1937"/>
    <col min="6923" max="6924" width="16" style="1937" bestFit="1" customWidth="1"/>
    <col min="6925" max="7168" width="9.140625" style="1937"/>
    <col min="7169" max="7169" width="4.7109375" style="1937" customWidth="1"/>
    <col min="7170" max="7170" width="6.7109375" style="1937" customWidth="1"/>
    <col min="7171" max="7171" width="8.85546875" style="1937" customWidth="1"/>
    <col min="7172" max="7172" width="46.42578125" style="1937" customWidth="1"/>
    <col min="7173" max="7173" width="12.85546875" style="1937" customWidth="1"/>
    <col min="7174" max="7174" width="15.5703125" style="1937" customWidth="1"/>
    <col min="7175" max="7175" width="15.85546875" style="1937" customWidth="1"/>
    <col min="7176" max="7176" width="6.42578125" style="1937" customWidth="1"/>
    <col min="7177" max="7177" width="14.28515625" style="1937" bestFit="1" customWidth="1"/>
    <col min="7178" max="7178" width="9.140625" style="1937"/>
    <col min="7179" max="7180" width="16" style="1937" bestFit="1" customWidth="1"/>
    <col min="7181" max="7424" width="9.140625" style="1937"/>
    <col min="7425" max="7425" width="4.7109375" style="1937" customWidth="1"/>
    <col min="7426" max="7426" width="6.7109375" style="1937" customWidth="1"/>
    <col min="7427" max="7427" width="8.85546875" style="1937" customWidth="1"/>
    <col min="7428" max="7428" width="46.42578125" style="1937" customWidth="1"/>
    <col min="7429" max="7429" width="12.85546875" style="1937" customWidth="1"/>
    <col min="7430" max="7430" width="15.5703125" style="1937" customWidth="1"/>
    <col min="7431" max="7431" width="15.85546875" style="1937" customWidth="1"/>
    <col min="7432" max="7432" width="6.42578125" style="1937" customWidth="1"/>
    <col min="7433" max="7433" width="14.28515625" style="1937" bestFit="1" customWidth="1"/>
    <col min="7434" max="7434" width="9.140625" style="1937"/>
    <col min="7435" max="7436" width="16" style="1937" bestFit="1" customWidth="1"/>
    <col min="7437" max="7680" width="9.140625" style="1937"/>
    <col min="7681" max="7681" width="4.7109375" style="1937" customWidth="1"/>
    <col min="7682" max="7682" width="6.7109375" style="1937" customWidth="1"/>
    <col min="7683" max="7683" width="8.85546875" style="1937" customWidth="1"/>
    <col min="7684" max="7684" width="46.42578125" style="1937" customWidth="1"/>
    <col min="7685" max="7685" width="12.85546875" style="1937" customWidth="1"/>
    <col min="7686" max="7686" width="15.5703125" style="1937" customWidth="1"/>
    <col min="7687" max="7687" width="15.85546875" style="1937" customWidth="1"/>
    <col min="7688" max="7688" width="6.42578125" style="1937" customWidth="1"/>
    <col min="7689" max="7689" width="14.28515625" style="1937" bestFit="1" customWidth="1"/>
    <col min="7690" max="7690" width="9.140625" style="1937"/>
    <col min="7691" max="7692" width="16" style="1937" bestFit="1" customWidth="1"/>
    <col min="7693" max="7936" width="9.140625" style="1937"/>
    <col min="7937" max="7937" width="4.7109375" style="1937" customWidth="1"/>
    <col min="7938" max="7938" width="6.7109375" style="1937" customWidth="1"/>
    <col min="7939" max="7939" width="8.85546875" style="1937" customWidth="1"/>
    <col min="7940" max="7940" width="46.42578125" style="1937" customWidth="1"/>
    <col min="7941" max="7941" width="12.85546875" style="1937" customWidth="1"/>
    <col min="7942" max="7942" width="15.5703125" style="1937" customWidth="1"/>
    <col min="7943" max="7943" width="15.85546875" style="1937" customWidth="1"/>
    <col min="7944" max="7944" width="6.42578125" style="1937" customWidth="1"/>
    <col min="7945" max="7945" width="14.28515625" style="1937" bestFit="1" customWidth="1"/>
    <col min="7946" max="7946" width="9.140625" style="1937"/>
    <col min="7947" max="7948" width="16" style="1937" bestFit="1" customWidth="1"/>
    <col min="7949" max="8192" width="9.140625" style="1937"/>
    <col min="8193" max="8193" width="4.7109375" style="1937" customWidth="1"/>
    <col min="8194" max="8194" width="6.7109375" style="1937" customWidth="1"/>
    <col min="8195" max="8195" width="8.85546875" style="1937" customWidth="1"/>
    <col min="8196" max="8196" width="46.42578125" style="1937" customWidth="1"/>
    <col min="8197" max="8197" width="12.85546875" style="1937" customWidth="1"/>
    <col min="8198" max="8198" width="15.5703125" style="1937" customWidth="1"/>
    <col min="8199" max="8199" width="15.85546875" style="1937" customWidth="1"/>
    <col min="8200" max="8200" width="6.42578125" style="1937" customWidth="1"/>
    <col min="8201" max="8201" width="14.28515625" style="1937" bestFit="1" customWidth="1"/>
    <col min="8202" max="8202" width="9.140625" style="1937"/>
    <col min="8203" max="8204" width="16" style="1937" bestFit="1" customWidth="1"/>
    <col min="8205" max="8448" width="9.140625" style="1937"/>
    <col min="8449" max="8449" width="4.7109375" style="1937" customWidth="1"/>
    <col min="8450" max="8450" width="6.7109375" style="1937" customWidth="1"/>
    <col min="8451" max="8451" width="8.85546875" style="1937" customWidth="1"/>
    <col min="8452" max="8452" width="46.42578125" style="1937" customWidth="1"/>
    <col min="8453" max="8453" width="12.85546875" style="1937" customWidth="1"/>
    <col min="8454" max="8454" width="15.5703125" style="1937" customWidth="1"/>
    <col min="8455" max="8455" width="15.85546875" style="1937" customWidth="1"/>
    <col min="8456" max="8456" width="6.42578125" style="1937" customWidth="1"/>
    <col min="8457" max="8457" width="14.28515625" style="1937" bestFit="1" customWidth="1"/>
    <col min="8458" max="8458" width="9.140625" style="1937"/>
    <col min="8459" max="8460" width="16" style="1937" bestFit="1" customWidth="1"/>
    <col min="8461" max="8704" width="9.140625" style="1937"/>
    <col min="8705" max="8705" width="4.7109375" style="1937" customWidth="1"/>
    <col min="8706" max="8706" width="6.7109375" style="1937" customWidth="1"/>
    <col min="8707" max="8707" width="8.85546875" style="1937" customWidth="1"/>
    <col min="8708" max="8708" width="46.42578125" style="1937" customWidth="1"/>
    <col min="8709" max="8709" width="12.85546875" style="1937" customWidth="1"/>
    <col min="8710" max="8710" width="15.5703125" style="1937" customWidth="1"/>
    <col min="8711" max="8711" width="15.85546875" style="1937" customWidth="1"/>
    <col min="8712" max="8712" width="6.42578125" style="1937" customWidth="1"/>
    <col min="8713" max="8713" width="14.28515625" style="1937" bestFit="1" customWidth="1"/>
    <col min="8714" max="8714" width="9.140625" style="1937"/>
    <col min="8715" max="8716" width="16" style="1937" bestFit="1" customWidth="1"/>
    <col min="8717" max="8960" width="9.140625" style="1937"/>
    <col min="8961" max="8961" width="4.7109375" style="1937" customWidth="1"/>
    <col min="8962" max="8962" width="6.7109375" style="1937" customWidth="1"/>
    <col min="8963" max="8963" width="8.85546875" style="1937" customWidth="1"/>
    <col min="8964" max="8964" width="46.42578125" style="1937" customWidth="1"/>
    <col min="8965" max="8965" width="12.85546875" style="1937" customWidth="1"/>
    <col min="8966" max="8966" width="15.5703125" style="1937" customWidth="1"/>
    <col min="8967" max="8967" width="15.85546875" style="1937" customWidth="1"/>
    <col min="8968" max="8968" width="6.42578125" style="1937" customWidth="1"/>
    <col min="8969" max="8969" width="14.28515625" style="1937" bestFit="1" customWidth="1"/>
    <col min="8970" max="8970" width="9.140625" style="1937"/>
    <col min="8971" max="8972" width="16" style="1937" bestFit="1" customWidth="1"/>
    <col min="8973" max="9216" width="9.140625" style="1937"/>
    <col min="9217" max="9217" width="4.7109375" style="1937" customWidth="1"/>
    <col min="9218" max="9218" width="6.7109375" style="1937" customWidth="1"/>
    <col min="9219" max="9219" width="8.85546875" style="1937" customWidth="1"/>
    <col min="9220" max="9220" width="46.42578125" style="1937" customWidth="1"/>
    <col min="9221" max="9221" width="12.85546875" style="1937" customWidth="1"/>
    <col min="9222" max="9222" width="15.5703125" style="1937" customWidth="1"/>
    <col min="9223" max="9223" width="15.85546875" style="1937" customWidth="1"/>
    <col min="9224" max="9224" width="6.42578125" style="1937" customWidth="1"/>
    <col min="9225" max="9225" width="14.28515625" style="1937" bestFit="1" customWidth="1"/>
    <col min="9226" max="9226" width="9.140625" style="1937"/>
    <col min="9227" max="9228" width="16" style="1937" bestFit="1" customWidth="1"/>
    <col min="9229" max="9472" width="9.140625" style="1937"/>
    <col min="9473" max="9473" width="4.7109375" style="1937" customWidth="1"/>
    <col min="9474" max="9474" width="6.7109375" style="1937" customWidth="1"/>
    <col min="9475" max="9475" width="8.85546875" style="1937" customWidth="1"/>
    <col min="9476" max="9476" width="46.42578125" style="1937" customWidth="1"/>
    <col min="9477" max="9477" width="12.85546875" style="1937" customWidth="1"/>
    <col min="9478" max="9478" width="15.5703125" style="1937" customWidth="1"/>
    <col min="9479" max="9479" width="15.85546875" style="1937" customWidth="1"/>
    <col min="9480" max="9480" width="6.42578125" style="1937" customWidth="1"/>
    <col min="9481" max="9481" width="14.28515625" style="1937" bestFit="1" customWidth="1"/>
    <col min="9482" max="9482" width="9.140625" style="1937"/>
    <col min="9483" max="9484" width="16" style="1937" bestFit="1" customWidth="1"/>
    <col min="9485" max="9728" width="9.140625" style="1937"/>
    <col min="9729" max="9729" width="4.7109375" style="1937" customWidth="1"/>
    <col min="9730" max="9730" width="6.7109375" style="1937" customWidth="1"/>
    <col min="9731" max="9731" width="8.85546875" style="1937" customWidth="1"/>
    <col min="9732" max="9732" width="46.42578125" style="1937" customWidth="1"/>
    <col min="9733" max="9733" width="12.85546875" style="1937" customWidth="1"/>
    <col min="9734" max="9734" width="15.5703125" style="1937" customWidth="1"/>
    <col min="9735" max="9735" width="15.85546875" style="1937" customWidth="1"/>
    <col min="9736" max="9736" width="6.42578125" style="1937" customWidth="1"/>
    <col min="9737" max="9737" width="14.28515625" style="1937" bestFit="1" customWidth="1"/>
    <col min="9738" max="9738" width="9.140625" style="1937"/>
    <col min="9739" max="9740" width="16" style="1937" bestFit="1" customWidth="1"/>
    <col min="9741" max="9984" width="9.140625" style="1937"/>
    <col min="9985" max="9985" width="4.7109375" style="1937" customWidth="1"/>
    <col min="9986" max="9986" width="6.7109375" style="1937" customWidth="1"/>
    <col min="9987" max="9987" width="8.85546875" style="1937" customWidth="1"/>
    <col min="9988" max="9988" width="46.42578125" style="1937" customWidth="1"/>
    <col min="9989" max="9989" width="12.85546875" style="1937" customWidth="1"/>
    <col min="9990" max="9990" width="15.5703125" style="1937" customWidth="1"/>
    <col min="9991" max="9991" width="15.85546875" style="1937" customWidth="1"/>
    <col min="9992" max="9992" width="6.42578125" style="1937" customWidth="1"/>
    <col min="9993" max="9993" width="14.28515625" style="1937" bestFit="1" customWidth="1"/>
    <col min="9994" max="9994" width="9.140625" style="1937"/>
    <col min="9995" max="9996" width="16" style="1937" bestFit="1" customWidth="1"/>
    <col min="9997" max="10240" width="9.140625" style="1937"/>
    <col min="10241" max="10241" width="4.7109375" style="1937" customWidth="1"/>
    <col min="10242" max="10242" width="6.7109375" style="1937" customWidth="1"/>
    <col min="10243" max="10243" width="8.85546875" style="1937" customWidth="1"/>
    <col min="10244" max="10244" width="46.42578125" style="1937" customWidth="1"/>
    <col min="10245" max="10245" width="12.85546875" style="1937" customWidth="1"/>
    <col min="10246" max="10246" width="15.5703125" style="1937" customWidth="1"/>
    <col min="10247" max="10247" width="15.85546875" style="1937" customWidth="1"/>
    <col min="10248" max="10248" width="6.42578125" style="1937" customWidth="1"/>
    <col min="10249" max="10249" width="14.28515625" style="1937" bestFit="1" customWidth="1"/>
    <col min="10250" max="10250" width="9.140625" style="1937"/>
    <col min="10251" max="10252" width="16" style="1937" bestFit="1" customWidth="1"/>
    <col min="10253" max="10496" width="9.140625" style="1937"/>
    <col min="10497" max="10497" width="4.7109375" style="1937" customWidth="1"/>
    <col min="10498" max="10498" width="6.7109375" style="1937" customWidth="1"/>
    <col min="10499" max="10499" width="8.85546875" style="1937" customWidth="1"/>
    <col min="10500" max="10500" width="46.42578125" style="1937" customWidth="1"/>
    <col min="10501" max="10501" width="12.85546875" style="1937" customWidth="1"/>
    <col min="10502" max="10502" width="15.5703125" style="1937" customWidth="1"/>
    <col min="10503" max="10503" width="15.85546875" style="1937" customWidth="1"/>
    <col min="10504" max="10504" width="6.42578125" style="1937" customWidth="1"/>
    <col min="10505" max="10505" width="14.28515625" style="1937" bestFit="1" customWidth="1"/>
    <col min="10506" max="10506" width="9.140625" style="1937"/>
    <col min="10507" max="10508" width="16" style="1937" bestFit="1" customWidth="1"/>
    <col min="10509" max="10752" width="9.140625" style="1937"/>
    <col min="10753" max="10753" width="4.7109375" style="1937" customWidth="1"/>
    <col min="10754" max="10754" width="6.7109375" style="1937" customWidth="1"/>
    <col min="10755" max="10755" width="8.85546875" style="1937" customWidth="1"/>
    <col min="10756" max="10756" width="46.42578125" style="1937" customWidth="1"/>
    <col min="10757" max="10757" width="12.85546875" style="1937" customWidth="1"/>
    <col min="10758" max="10758" width="15.5703125" style="1937" customWidth="1"/>
    <col min="10759" max="10759" width="15.85546875" style="1937" customWidth="1"/>
    <col min="10760" max="10760" width="6.42578125" style="1937" customWidth="1"/>
    <col min="10761" max="10761" width="14.28515625" style="1937" bestFit="1" customWidth="1"/>
    <col min="10762" max="10762" width="9.140625" style="1937"/>
    <col min="10763" max="10764" width="16" style="1937" bestFit="1" customWidth="1"/>
    <col min="10765" max="11008" width="9.140625" style="1937"/>
    <col min="11009" max="11009" width="4.7109375" style="1937" customWidth="1"/>
    <col min="11010" max="11010" width="6.7109375" style="1937" customWidth="1"/>
    <col min="11011" max="11011" width="8.85546875" style="1937" customWidth="1"/>
    <col min="11012" max="11012" width="46.42578125" style="1937" customWidth="1"/>
    <col min="11013" max="11013" width="12.85546875" style="1937" customWidth="1"/>
    <col min="11014" max="11014" width="15.5703125" style="1937" customWidth="1"/>
    <col min="11015" max="11015" width="15.85546875" style="1937" customWidth="1"/>
    <col min="11016" max="11016" width="6.42578125" style="1937" customWidth="1"/>
    <col min="11017" max="11017" width="14.28515625" style="1937" bestFit="1" customWidth="1"/>
    <col min="11018" max="11018" width="9.140625" style="1937"/>
    <col min="11019" max="11020" width="16" style="1937" bestFit="1" customWidth="1"/>
    <col min="11021" max="11264" width="9.140625" style="1937"/>
    <col min="11265" max="11265" width="4.7109375" style="1937" customWidth="1"/>
    <col min="11266" max="11266" width="6.7109375" style="1937" customWidth="1"/>
    <col min="11267" max="11267" width="8.85546875" style="1937" customWidth="1"/>
    <col min="11268" max="11268" width="46.42578125" style="1937" customWidth="1"/>
    <col min="11269" max="11269" width="12.85546875" style="1937" customWidth="1"/>
    <col min="11270" max="11270" width="15.5703125" style="1937" customWidth="1"/>
    <col min="11271" max="11271" width="15.85546875" style="1937" customWidth="1"/>
    <col min="11272" max="11272" width="6.42578125" style="1937" customWidth="1"/>
    <col min="11273" max="11273" width="14.28515625" style="1937" bestFit="1" customWidth="1"/>
    <col min="11274" max="11274" width="9.140625" style="1937"/>
    <col min="11275" max="11276" width="16" style="1937" bestFit="1" customWidth="1"/>
    <col min="11277" max="11520" width="9.140625" style="1937"/>
    <col min="11521" max="11521" width="4.7109375" style="1937" customWidth="1"/>
    <col min="11522" max="11522" width="6.7109375" style="1937" customWidth="1"/>
    <col min="11523" max="11523" width="8.85546875" style="1937" customWidth="1"/>
    <col min="11524" max="11524" width="46.42578125" style="1937" customWidth="1"/>
    <col min="11525" max="11525" width="12.85546875" style="1937" customWidth="1"/>
    <col min="11526" max="11526" width="15.5703125" style="1937" customWidth="1"/>
    <col min="11527" max="11527" width="15.85546875" style="1937" customWidth="1"/>
    <col min="11528" max="11528" width="6.42578125" style="1937" customWidth="1"/>
    <col min="11529" max="11529" width="14.28515625" style="1937" bestFit="1" customWidth="1"/>
    <col min="11530" max="11530" width="9.140625" style="1937"/>
    <col min="11531" max="11532" width="16" style="1937" bestFit="1" customWidth="1"/>
    <col min="11533" max="11776" width="9.140625" style="1937"/>
    <col min="11777" max="11777" width="4.7109375" style="1937" customWidth="1"/>
    <col min="11778" max="11778" width="6.7109375" style="1937" customWidth="1"/>
    <col min="11779" max="11779" width="8.85546875" style="1937" customWidth="1"/>
    <col min="11780" max="11780" width="46.42578125" style="1937" customWidth="1"/>
    <col min="11781" max="11781" width="12.85546875" style="1937" customWidth="1"/>
    <col min="11782" max="11782" width="15.5703125" style="1937" customWidth="1"/>
    <col min="11783" max="11783" width="15.85546875" style="1937" customWidth="1"/>
    <col min="11784" max="11784" width="6.42578125" style="1937" customWidth="1"/>
    <col min="11785" max="11785" width="14.28515625" style="1937" bestFit="1" customWidth="1"/>
    <col min="11786" max="11786" width="9.140625" style="1937"/>
    <col min="11787" max="11788" width="16" style="1937" bestFit="1" customWidth="1"/>
    <col min="11789" max="12032" width="9.140625" style="1937"/>
    <col min="12033" max="12033" width="4.7109375" style="1937" customWidth="1"/>
    <col min="12034" max="12034" width="6.7109375" style="1937" customWidth="1"/>
    <col min="12035" max="12035" width="8.85546875" style="1937" customWidth="1"/>
    <col min="12036" max="12036" width="46.42578125" style="1937" customWidth="1"/>
    <col min="12037" max="12037" width="12.85546875" style="1937" customWidth="1"/>
    <col min="12038" max="12038" width="15.5703125" style="1937" customWidth="1"/>
    <col min="12039" max="12039" width="15.85546875" style="1937" customWidth="1"/>
    <col min="12040" max="12040" width="6.42578125" style="1937" customWidth="1"/>
    <col min="12041" max="12041" width="14.28515625" style="1937" bestFit="1" customWidth="1"/>
    <col min="12042" max="12042" width="9.140625" style="1937"/>
    <col min="12043" max="12044" width="16" style="1937" bestFit="1" customWidth="1"/>
    <col min="12045" max="12288" width="9.140625" style="1937"/>
    <col min="12289" max="12289" width="4.7109375" style="1937" customWidth="1"/>
    <col min="12290" max="12290" width="6.7109375" style="1937" customWidth="1"/>
    <col min="12291" max="12291" width="8.85546875" style="1937" customWidth="1"/>
    <col min="12292" max="12292" width="46.42578125" style="1937" customWidth="1"/>
    <col min="12293" max="12293" width="12.85546875" style="1937" customWidth="1"/>
    <col min="12294" max="12294" width="15.5703125" style="1937" customWidth="1"/>
    <col min="12295" max="12295" width="15.85546875" style="1937" customWidth="1"/>
    <col min="12296" max="12296" width="6.42578125" style="1937" customWidth="1"/>
    <col min="12297" max="12297" width="14.28515625" style="1937" bestFit="1" customWidth="1"/>
    <col min="12298" max="12298" width="9.140625" style="1937"/>
    <col min="12299" max="12300" width="16" style="1937" bestFit="1" customWidth="1"/>
    <col min="12301" max="12544" width="9.140625" style="1937"/>
    <col min="12545" max="12545" width="4.7109375" style="1937" customWidth="1"/>
    <col min="12546" max="12546" width="6.7109375" style="1937" customWidth="1"/>
    <col min="12547" max="12547" width="8.85546875" style="1937" customWidth="1"/>
    <col min="12548" max="12548" width="46.42578125" style="1937" customWidth="1"/>
    <col min="12549" max="12549" width="12.85546875" style="1937" customWidth="1"/>
    <col min="12550" max="12550" width="15.5703125" style="1937" customWidth="1"/>
    <col min="12551" max="12551" width="15.85546875" style="1937" customWidth="1"/>
    <col min="12552" max="12552" width="6.42578125" style="1937" customWidth="1"/>
    <col min="12553" max="12553" width="14.28515625" style="1937" bestFit="1" customWidth="1"/>
    <col min="12554" max="12554" width="9.140625" style="1937"/>
    <col min="12555" max="12556" width="16" style="1937" bestFit="1" customWidth="1"/>
    <col min="12557" max="12800" width="9.140625" style="1937"/>
    <col min="12801" max="12801" width="4.7109375" style="1937" customWidth="1"/>
    <col min="12802" max="12802" width="6.7109375" style="1937" customWidth="1"/>
    <col min="12803" max="12803" width="8.85546875" style="1937" customWidth="1"/>
    <col min="12804" max="12804" width="46.42578125" style="1937" customWidth="1"/>
    <col min="12805" max="12805" width="12.85546875" style="1937" customWidth="1"/>
    <col min="12806" max="12806" width="15.5703125" style="1937" customWidth="1"/>
    <col min="12807" max="12807" width="15.85546875" style="1937" customWidth="1"/>
    <col min="12808" max="12808" width="6.42578125" style="1937" customWidth="1"/>
    <col min="12809" max="12809" width="14.28515625" style="1937" bestFit="1" customWidth="1"/>
    <col min="12810" max="12810" width="9.140625" style="1937"/>
    <col min="12811" max="12812" width="16" style="1937" bestFit="1" customWidth="1"/>
    <col min="12813" max="13056" width="9.140625" style="1937"/>
    <col min="13057" max="13057" width="4.7109375" style="1937" customWidth="1"/>
    <col min="13058" max="13058" width="6.7109375" style="1937" customWidth="1"/>
    <col min="13059" max="13059" width="8.85546875" style="1937" customWidth="1"/>
    <col min="13060" max="13060" width="46.42578125" style="1937" customWidth="1"/>
    <col min="13061" max="13061" width="12.85546875" style="1937" customWidth="1"/>
    <col min="13062" max="13062" width="15.5703125" style="1937" customWidth="1"/>
    <col min="13063" max="13063" width="15.85546875" style="1937" customWidth="1"/>
    <col min="13064" max="13064" width="6.42578125" style="1937" customWidth="1"/>
    <col min="13065" max="13065" width="14.28515625" style="1937" bestFit="1" customWidth="1"/>
    <col min="13066" max="13066" width="9.140625" style="1937"/>
    <col min="13067" max="13068" width="16" style="1937" bestFit="1" customWidth="1"/>
    <col min="13069" max="13312" width="9.140625" style="1937"/>
    <col min="13313" max="13313" width="4.7109375" style="1937" customWidth="1"/>
    <col min="13314" max="13314" width="6.7109375" style="1937" customWidth="1"/>
    <col min="13315" max="13315" width="8.85546875" style="1937" customWidth="1"/>
    <col min="13316" max="13316" width="46.42578125" style="1937" customWidth="1"/>
    <col min="13317" max="13317" width="12.85546875" style="1937" customWidth="1"/>
    <col min="13318" max="13318" width="15.5703125" style="1937" customWidth="1"/>
    <col min="13319" max="13319" width="15.85546875" style="1937" customWidth="1"/>
    <col min="13320" max="13320" width="6.42578125" style="1937" customWidth="1"/>
    <col min="13321" max="13321" width="14.28515625" style="1937" bestFit="1" customWidth="1"/>
    <col min="13322" max="13322" width="9.140625" style="1937"/>
    <col min="13323" max="13324" width="16" style="1937" bestFit="1" customWidth="1"/>
    <col min="13325" max="13568" width="9.140625" style="1937"/>
    <col min="13569" max="13569" width="4.7109375" style="1937" customWidth="1"/>
    <col min="13570" max="13570" width="6.7109375" style="1937" customWidth="1"/>
    <col min="13571" max="13571" width="8.85546875" style="1937" customWidth="1"/>
    <col min="13572" max="13572" width="46.42578125" style="1937" customWidth="1"/>
    <col min="13573" max="13573" width="12.85546875" style="1937" customWidth="1"/>
    <col min="13574" max="13574" width="15.5703125" style="1937" customWidth="1"/>
    <col min="13575" max="13575" width="15.85546875" style="1937" customWidth="1"/>
    <col min="13576" max="13576" width="6.42578125" style="1937" customWidth="1"/>
    <col min="13577" max="13577" width="14.28515625" style="1937" bestFit="1" customWidth="1"/>
    <col min="13578" max="13578" width="9.140625" style="1937"/>
    <col min="13579" max="13580" width="16" style="1937" bestFit="1" customWidth="1"/>
    <col min="13581" max="13824" width="9.140625" style="1937"/>
    <col min="13825" max="13825" width="4.7109375" style="1937" customWidth="1"/>
    <col min="13826" max="13826" width="6.7109375" style="1937" customWidth="1"/>
    <col min="13827" max="13827" width="8.85546875" style="1937" customWidth="1"/>
    <col min="13828" max="13828" width="46.42578125" style="1937" customWidth="1"/>
    <col min="13829" max="13829" width="12.85546875" style="1937" customWidth="1"/>
    <col min="13830" max="13830" width="15.5703125" style="1937" customWidth="1"/>
    <col min="13831" max="13831" width="15.85546875" style="1937" customWidth="1"/>
    <col min="13832" max="13832" width="6.42578125" style="1937" customWidth="1"/>
    <col min="13833" max="13833" width="14.28515625" style="1937" bestFit="1" customWidth="1"/>
    <col min="13834" max="13834" width="9.140625" style="1937"/>
    <col min="13835" max="13836" width="16" style="1937" bestFit="1" customWidth="1"/>
    <col min="13837" max="14080" width="9.140625" style="1937"/>
    <col min="14081" max="14081" width="4.7109375" style="1937" customWidth="1"/>
    <col min="14082" max="14082" width="6.7109375" style="1937" customWidth="1"/>
    <col min="14083" max="14083" width="8.85546875" style="1937" customWidth="1"/>
    <col min="14084" max="14084" width="46.42578125" style="1937" customWidth="1"/>
    <col min="14085" max="14085" width="12.85546875" style="1937" customWidth="1"/>
    <col min="14086" max="14086" width="15.5703125" style="1937" customWidth="1"/>
    <col min="14087" max="14087" width="15.85546875" style="1937" customWidth="1"/>
    <col min="14088" max="14088" width="6.42578125" style="1937" customWidth="1"/>
    <col min="14089" max="14089" width="14.28515625" style="1937" bestFit="1" customWidth="1"/>
    <col min="14090" max="14090" width="9.140625" style="1937"/>
    <col min="14091" max="14092" width="16" style="1937" bestFit="1" customWidth="1"/>
    <col min="14093" max="14336" width="9.140625" style="1937"/>
    <col min="14337" max="14337" width="4.7109375" style="1937" customWidth="1"/>
    <col min="14338" max="14338" width="6.7109375" style="1937" customWidth="1"/>
    <col min="14339" max="14339" width="8.85546875" style="1937" customWidth="1"/>
    <col min="14340" max="14340" width="46.42578125" style="1937" customWidth="1"/>
    <col min="14341" max="14341" width="12.85546875" style="1937" customWidth="1"/>
    <col min="14342" max="14342" width="15.5703125" style="1937" customWidth="1"/>
    <col min="14343" max="14343" width="15.85546875" style="1937" customWidth="1"/>
    <col min="14344" max="14344" width="6.42578125" style="1937" customWidth="1"/>
    <col min="14345" max="14345" width="14.28515625" style="1937" bestFit="1" customWidth="1"/>
    <col min="14346" max="14346" width="9.140625" style="1937"/>
    <col min="14347" max="14348" width="16" style="1937" bestFit="1" customWidth="1"/>
    <col min="14349" max="14592" width="9.140625" style="1937"/>
    <col min="14593" max="14593" width="4.7109375" style="1937" customWidth="1"/>
    <col min="14594" max="14594" width="6.7109375" style="1937" customWidth="1"/>
    <col min="14595" max="14595" width="8.85546875" style="1937" customWidth="1"/>
    <col min="14596" max="14596" width="46.42578125" style="1937" customWidth="1"/>
    <col min="14597" max="14597" width="12.85546875" style="1937" customWidth="1"/>
    <col min="14598" max="14598" width="15.5703125" style="1937" customWidth="1"/>
    <col min="14599" max="14599" width="15.85546875" style="1937" customWidth="1"/>
    <col min="14600" max="14600" width="6.42578125" style="1937" customWidth="1"/>
    <col min="14601" max="14601" width="14.28515625" style="1937" bestFit="1" customWidth="1"/>
    <col min="14602" max="14602" width="9.140625" style="1937"/>
    <col min="14603" max="14604" width="16" style="1937" bestFit="1" customWidth="1"/>
    <col min="14605" max="14848" width="9.140625" style="1937"/>
    <col min="14849" max="14849" width="4.7109375" style="1937" customWidth="1"/>
    <col min="14850" max="14850" width="6.7109375" style="1937" customWidth="1"/>
    <col min="14851" max="14851" width="8.85546875" style="1937" customWidth="1"/>
    <col min="14852" max="14852" width="46.42578125" style="1937" customWidth="1"/>
    <col min="14853" max="14853" width="12.85546875" style="1937" customWidth="1"/>
    <col min="14854" max="14854" width="15.5703125" style="1937" customWidth="1"/>
    <col min="14855" max="14855" width="15.85546875" style="1937" customWidth="1"/>
    <col min="14856" max="14856" width="6.42578125" style="1937" customWidth="1"/>
    <col min="14857" max="14857" width="14.28515625" style="1937" bestFit="1" customWidth="1"/>
    <col min="14858" max="14858" width="9.140625" style="1937"/>
    <col min="14859" max="14860" width="16" style="1937" bestFit="1" customWidth="1"/>
    <col min="14861" max="15104" width="9.140625" style="1937"/>
    <col min="15105" max="15105" width="4.7109375" style="1937" customWidth="1"/>
    <col min="15106" max="15106" width="6.7109375" style="1937" customWidth="1"/>
    <col min="15107" max="15107" width="8.85546875" style="1937" customWidth="1"/>
    <col min="15108" max="15108" width="46.42578125" style="1937" customWidth="1"/>
    <col min="15109" max="15109" width="12.85546875" style="1937" customWidth="1"/>
    <col min="15110" max="15110" width="15.5703125" style="1937" customWidth="1"/>
    <col min="15111" max="15111" width="15.85546875" style="1937" customWidth="1"/>
    <col min="15112" max="15112" width="6.42578125" style="1937" customWidth="1"/>
    <col min="15113" max="15113" width="14.28515625" style="1937" bestFit="1" customWidth="1"/>
    <col min="15114" max="15114" width="9.140625" style="1937"/>
    <col min="15115" max="15116" width="16" style="1937" bestFit="1" customWidth="1"/>
    <col min="15117" max="15360" width="9.140625" style="1937"/>
    <col min="15361" max="15361" width="4.7109375" style="1937" customWidth="1"/>
    <col min="15362" max="15362" width="6.7109375" style="1937" customWidth="1"/>
    <col min="15363" max="15363" width="8.85546875" style="1937" customWidth="1"/>
    <col min="15364" max="15364" width="46.42578125" style="1937" customWidth="1"/>
    <col min="15365" max="15365" width="12.85546875" style="1937" customWidth="1"/>
    <col min="15366" max="15366" width="15.5703125" style="1937" customWidth="1"/>
    <col min="15367" max="15367" width="15.85546875" style="1937" customWidth="1"/>
    <col min="15368" max="15368" width="6.42578125" style="1937" customWidth="1"/>
    <col min="15369" max="15369" width="14.28515625" style="1937" bestFit="1" customWidth="1"/>
    <col min="15370" max="15370" width="9.140625" style="1937"/>
    <col min="15371" max="15372" width="16" style="1937" bestFit="1" customWidth="1"/>
    <col min="15373" max="15616" width="9.140625" style="1937"/>
    <col min="15617" max="15617" width="4.7109375" style="1937" customWidth="1"/>
    <col min="15618" max="15618" width="6.7109375" style="1937" customWidth="1"/>
    <col min="15619" max="15619" width="8.85546875" style="1937" customWidth="1"/>
    <col min="15620" max="15620" width="46.42578125" style="1937" customWidth="1"/>
    <col min="15621" max="15621" width="12.85546875" style="1937" customWidth="1"/>
    <col min="15622" max="15622" width="15.5703125" style="1937" customWidth="1"/>
    <col min="15623" max="15623" width="15.85546875" style="1937" customWidth="1"/>
    <col min="15624" max="15624" width="6.42578125" style="1937" customWidth="1"/>
    <col min="15625" max="15625" width="14.28515625" style="1937" bestFit="1" customWidth="1"/>
    <col min="15626" max="15626" width="9.140625" style="1937"/>
    <col min="15627" max="15628" width="16" style="1937" bestFit="1" customWidth="1"/>
    <col min="15629" max="15872" width="9.140625" style="1937"/>
    <col min="15873" max="15873" width="4.7109375" style="1937" customWidth="1"/>
    <col min="15874" max="15874" width="6.7109375" style="1937" customWidth="1"/>
    <col min="15875" max="15875" width="8.85546875" style="1937" customWidth="1"/>
    <col min="15876" max="15876" width="46.42578125" style="1937" customWidth="1"/>
    <col min="15877" max="15877" width="12.85546875" style="1937" customWidth="1"/>
    <col min="15878" max="15878" width="15.5703125" style="1937" customWidth="1"/>
    <col min="15879" max="15879" width="15.85546875" style="1937" customWidth="1"/>
    <col min="15880" max="15880" width="6.42578125" style="1937" customWidth="1"/>
    <col min="15881" max="15881" width="14.28515625" style="1937" bestFit="1" customWidth="1"/>
    <col min="15882" max="15882" width="9.140625" style="1937"/>
    <col min="15883" max="15884" width="16" style="1937" bestFit="1" customWidth="1"/>
    <col min="15885" max="16128" width="9.140625" style="1937"/>
    <col min="16129" max="16129" width="4.7109375" style="1937" customWidth="1"/>
    <col min="16130" max="16130" width="6.7109375" style="1937" customWidth="1"/>
    <col min="16131" max="16131" width="8.85546875" style="1937" customWidth="1"/>
    <col min="16132" max="16132" width="46.42578125" style="1937" customWidth="1"/>
    <col min="16133" max="16133" width="12.85546875" style="1937" customWidth="1"/>
    <col min="16134" max="16134" width="15.5703125" style="1937" customWidth="1"/>
    <col min="16135" max="16135" width="15.85546875" style="1937" customWidth="1"/>
    <col min="16136" max="16136" width="6.42578125" style="1937" customWidth="1"/>
    <col min="16137" max="16137" width="14.28515625" style="1937" bestFit="1" customWidth="1"/>
    <col min="16138" max="16138" width="9.140625" style="1937"/>
    <col min="16139" max="16140" width="16" style="1937" bestFit="1" customWidth="1"/>
    <col min="16141" max="16384" width="9.140625" style="1937"/>
  </cols>
  <sheetData>
    <row r="1" spans="1:8" ht="19.5" customHeight="1" thickBot="1" x14ac:dyDescent="0.3">
      <c r="A1" s="1820" t="s">
        <v>253</v>
      </c>
      <c r="B1" s="1819"/>
      <c r="C1" s="1932"/>
      <c r="D1" s="1817"/>
      <c r="E1" s="1816"/>
      <c r="F1" s="1817"/>
      <c r="G1" s="2053"/>
      <c r="H1" s="1820"/>
    </row>
    <row r="2" spans="1:8" ht="18" x14ac:dyDescent="0.25">
      <c r="A2" s="1941"/>
      <c r="B2" s="1973"/>
      <c r="C2" s="1973"/>
      <c r="D2" s="1973"/>
      <c r="E2" s="1973"/>
      <c r="F2" s="1973"/>
      <c r="G2" s="1973"/>
      <c r="H2" s="2027" t="s">
        <v>254</v>
      </c>
    </row>
    <row r="3" spans="1:8" ht="18" x14ac:dyDescent="0.25">
      <c r="A3" s="1815" t="s">
        <v>387</v>
      </c>
      <c r="B3" s="1973"/>
      <c r="C3" s="1935" t="s">
        <v>363</v>
      </c>
      <c r="D3" s="1973"/>
      <c r="E3" s="1973"/>
      <c r="F3" s="1973"/>
      <c r="G3" s="1973"/>
      <c r="H3" s="2027"/>
    </row>
    <row r="4" spans="1:8" ht="18" x14ac:dyDescent="0.25">
      <c r="A4" s="1941"/>
      <c r="B4" s="1973"/>
      <c r="C4" s="1935" t="s">
        <v>364</v>
      </c>
      <c r="D4" s="1973"/>
      <c r="E4" s="1973"/>
      <c r="F4" s="1973"/>
      <c r="G4" s="1973"/>
      <c r="H4" s="2027"/>
    </row>
    <row r="5" spans="1:8" ht="18" x14ac:dyDescent="0.25">
      <c r="A5" s="1940" t="s">
        <v>255</v>
      </c>
      <c r="B5" s="1973"/>
      <c r="C5" s="1973"/>
      <c r="D5" s="1973"/>
      <c r="E5" s="1973"/>
      <c r="F5" s="1973"/>
      <c r="G5" s="1973"/>
      <c r="H5" s="2027"/>
    </row>
    <row r="6" spans="1:8" ht="18" x14ac:dyDescent="0.25">
      <c r="A6" s="1940"/>
      <c r="B6" s="1973"/>
      <c r="C6" s="1973"/>
      <c r="D6" s="1973"/>
      <c r="E6" s="1973"/>
      <c r="F6" s="1973"/>
      <c r="G6" s="1973"/>
      <c r="H6" s="2027"/>
    </row>
    <row r="7" spans="1:8" ht="15.75" thickBot="1" x14ac:dyDescent="0.3">
      <c r="A7" s="2132" t="s">
        <v>805</v>
      </c>
      <c r="H7" s="2043" t="s">
        <v>173</v>
      </c>
    </row>
    <row r="8" spans="1:8" s="1735" customFormat="1" ht="25.5" thickTop="1" thickBot="1" x14ac:dyDescent="0.25">
      <c r="A8" s="1943" t="s">
        <v>174</v>
      </c>
      <c r="B8" s="1944" t="s">
        <v>800</v>
      </c>
      <c r="C8" s="1944" t="s">
        <v>397</v>
      </c>
      <c r="D8" s="1945" t="s">
        <v>176</v>
      </c>
      <c r="E8" s="1976" t="s">
        <v>669</v>
      </c>
      <c r="F8" s="1976" t="s">
        <v>670</v>
      </c>
      <c r="G8" s="1977" t="s">
        <v>923</v>
      </c>
      <c r="H8" s="1978" t="s">
        <v>924</v>
      </c>
    </row>
    <row r="9" spans="1:8" s="1735" customFormat="1" ht="13.5" thickTop="1" thickBot="1" x14ac:dyDescent="0.25">
      <c r="A9" s="1740">
        <v>1</v>
      </c>
      <c r="B9" s="1739">
        <v>2</v>
      </c>
      <c r="C9" s="1739">
        <v>3</v>
      </c>
      <c r="D9" s="1739">
        <v>4</v>
      </c>
      <c r="E9" s="1738">
        <v>5</v>
      </c>
      <c r="F9" s="1738">
        <v>6</v>
      </c>
      <c r="G9" s="2028">
        <v>7</v>
      </c>
      <c r="H9" s="2054" t="s">
        <v>61</v>
      </c>
    </row>
    <row r="10" spans="1:8" s="2060" customFormat="1" ht="45.75" thickTop="1" x14ac:dyDescent="0.2">
      <c r="A10" s="2049">
        <v>3299</v>
      </c>
      <c r="B10" s="2056">
        <v>5213</v>
      </c>
      <c r="C10" s="2057">
        <v>32133012</v>
      </c>
      <c r="D10" s="1979" t="s">
        <v>1087</v>
      </c>
      <c r="E10" s="1989">
        <v>0</v>
      </c>
      <c r="F10" s="1989">
        <v>4464</v>
      </c>
      <c r="G10" s="1989">
        <v>3853</v>
      </c>
      <c r="H10" s="1961">
        <f t="shared" ref="H10:H28" si="0">G10/F10*100</f>
        <v>86.312724014336922</v>
      </c>
    </row>
    <row r="11" spans="1:8" s="2060" customFormat="1" ht="45" x14ac:dyDescent="0.2">
      <c r="A11" s="2049">
        <v>3299</v>
      </c>
      <c r="B11" s="2056">
        <v>5213</v>
      </c>
      <c r="C11" s="2057">
        <v>32533012</v>
      </c>
      <c r="D11" s="1979" t="s">
        <v>1087</v>
      </c>
      <c r="E11" s="1989">
        <v>0</v>
      </c>
      <c r="F11" s="1989">
        <v>25297</v>
      </c>
      <c r="G11" s="1989">
        <v>21836</v>
      </c>
      <c r="H11" s="1961">
        <f t="shared" si="0"/>
        <v>86.318535794758262</v>
      </c>
    </row>
    <row r="12" spans="1:8" s="2060" customFormat="1" ht="30" x14ac:dyDescent="0.2">
      <c r="A12" s="2049">
        <v>3299</v>
      </c>
      <c r="B12" s="2056">
        <v>5221</v>
      </c>
      <c r="C12" s="2057">
        <v>32133012</v>
      </c>
      <c r="D12" s="1979" t="s">
        <v>1884</v>
      </c>
      <c r="E12" s="1989">
        <v>0</v>
      </c>
      <c r="F12" s="1989">
        <v>182</v>
      </c>
      <c r="G12" s="1989">
        <v>91</v>
      </c>
      <c r="H12" s="1961">
        <f t="shared" si="0"/>
        <v>50</v>
      </c>
    </row>
    <row r="13" spans="1:8" s="2060" customFormat="1" ht="30" x14ac:dyDescent="0.2">
      <c r="A13" s="2049">
        <v>3299</v>
      </c>
      <c r="B13" s="2056">
        <v>5221</v>
      </c>
      <c r="C13" s="2057">
        <v>32533012</v>
      </c>
      <c r="D13" s="1979" t="s">
        <v>1884</v>
      </c>
      <c r="E13" s="1989">
        <v>0</v>
      </c>
      <c r="F13" s="1989">
        <v>1030</v>
      </c>
      <c r="G13" s="1989">
        <v>515</v>
      </c>
      <c r="H13" s="1961">
        <f t="shared" si="0"/>
        <v>50</v>
      </c>
    </row>
    <row r="14" spans="1:8" s="2060" customFormat="1" ht="15" customHeight="1" x14ac:dyDescent="0.2">
      <c r="A14" s="2049">
        <v>3299</v>
      </c>
      <c r="B14" s="2056">
        <v>5222</v>
      </c>
      <c r="C14" s="2057">
        <v>32133012</v>
      </c>
      <c r="D14" s="1979" t="s">
        <v>1885</v>
      </c>
      <c r="E14" s="1989">
        <v>0</v>
      </c>
      <c r="F14" s="1989">
        <v>1013</v>
      </c>
      <c r="G14" s="1989">
        <v>797</v>
      </c>
      <c r="H14" s="1961">
        <f t="shared" si="0"/>
        <v>78.677196446199403</v>
      </c>
    </row>
    <row r="15" spans="1:8" s="2060" customFormat="1" ht="15" customHeight="1" x14ac:dyDescent="0.2">
      <c r="A15" s="2049">
        <v>3299</v>
      </c>
      <c r="B15" s="2056">
        <v>5222</v>
      </c>
      <c r="C15" s="2057">
        <v>32533012</v>
      </c>
      <c r="D15" s="1979" t="s">
        <v>1885</v>
      </c>
      <c r="E15" s="1989">
        <v>0</v>
      </c>
      <c r="F15" s="1989">
        <v>5740</v>
      </c>
      <c r="G15" s="1989">
        <v>4519</v>
      </c>
      <c r="H15" s="1961">
        <f t="shared" si="0"/>
        <v>78.728222996515683</v>
      </c>
    </row>
    <row r="16" spans="1:8" s="2060" customFormat="1" ht="30" customHeight="1" x14ac:dyDescent="0.2">
      <c r="A16" s="2049">
        <v>3299</v>
      </c>
      <c r="B16" s="2056">
        <v>5229</v>
      </c>
      <c r="C16" s="2057">
        <v>32133012</v>
      </c>
      <c r="D16" s="1979" t="s">
        <v>1015</v>
      </c>
      <c r="E16" s="1989">
        <v>0</v>
      </c>
      <c r="F16" s="1989">
        <v>690</v>
      </c>
      <c r="G16" s="1989">
        <v>642</v>
      </c>
      <c r="H16" s="1961">
        <f t="shared" si="0"/>
        <v>93.043478260869563</v>
      </c>
    </row>
    <row r="17" spans="1:9" s="2060" customFormat="1" ht="30" customHeight="1" x14ac:dyDescent="0.2">
      <c r="A17" s="2049">
        <v>3299</v>
      </c>
      <c r="B17" s="2056">
        <v>5229</v>
      </c>
      <c r="C17" s="2057">
        <v>32533012</v>
      </c>
      <c r="D17" s="1979" t="s">
        <v>1015</v>
      </c>
      <c r="E17" s="1989">
        <v>0</v>
      </c>
      <c r="F17" s="1989">
        <v>3912</v>
      </c>
      <c r="G17" s="1989">
        <v>3641</v>
      </c>
      <c r="H17" s="1961">
        <f t="shared" si="0"/>
        <v>93.072597137014313</v>
      </c>
    </row>
    <row r="18" spans="1:9" s="2060" customFormat="1" ht="15" x14ac:dyDescent="0.2">
      <c r="A18" s="2049">
        <v>3299</v>
      </c>
      <c r="B18" s="2056">
        <v>5901</v>
      </c>
      <c r="C18" s="2057">
        <v>32133012</v>
      </c>
      <c r="D18" s="1979" t="s">
        <v>639</v>
      </c>
      <c r="E18" s="1989">
        <v>0</v>
      </c>
      <c r="F18" s="1989">
        <v>3775</v>
      </c>
      <c r="G18" s="1989">
        <v>0</v>
      </c>
      <c r="H18" s="1961">
        <f t="shared" si="0"/>
        <v>0</v>
      </c>
    </row>
    <row r="19" spans="1:9" s="2060" customFormat="1" ht="15" x14ac:dyDescent="0.2">
      <c r="A19" s="2049">
        <v>3299</v>
      </c>
      <c r="B19" s="2056">
        <v>5901</v>
      </c>
      <c r="C19" s="2057">
        <v>32533012</v>
      </c>
      <c r="D19" s="1979" t="s">
        <v>639</v>
      </c>
      <c r="E19" s="1989">
        <v>0</v>
      </c>
      <c r="F19" s="1989">
        <v>21394</v>
      </c>
      <c r="G19" s="1989">
        <v>0</v>
      </c>
      <c r="H19" s="1961">
        <f t="shared" si="0"/>
        <v>0</v>
      </c>
    </row>
    <row r="20" spans="1:9" s="2060" customFormat="1" ht="15" x14ac:dyDescent="0.2">
      <c r="A20" s="2049">
        <v>3299</v>
      </c>
      <c r="B20" s="2056">
        <v>5909</v>
      </c>
      <c r="C20" s="2057">
        <v>0</v>
      </c>
      <c r="D20" s="1979" t="s">
        <v>689</v>
      </c>
      <c r="E20" s="1989">
        <v>0</v>
      </c>
      <c r="F20" s="1989">
        <v>6</v>
      </c>
      <c r="G20" s="1989">
        <v>6</v>
      </c>
      <c r="H20" s="1961">
        <f t="shared" si="0"/>
        <v>100</v>
      </c>
    </row>
    <row r="21" spans="1:9" s="2060" customFormat="1" ht="45" x14ac:dyDescent="0.2">
      <c r="A21" s="2049">
        <v>3299</v>
      </c>
      <c r="B21" s="2056">
        <v>6313</v>
      </c>
      <c r="C21" s="2057">
        <v>32133887</v>
      </c>
      <c r="D21" s="1979" t="s">
        <v>1088</v>
      </c>
      <c r="E21" s="1989">
        <v>0</v>
      </c>
      <c r="F21" s="1989">
        <v>23</v>
      </c>
      <c r="G21" s="1989">
        <v>23</v>
      </c>
      <c r="H21" s="1961">
        <f t="shared" si="0"/>
        <v>100</v>
      </c>
    </row>
    <row r="22" spans="1:9" s="2060" customFormat="1" ht="45" x14ac:dyDescent="0.2">
      <c r="A22" s="2049">
        <v>3299</v>
      </c>
      <c r="B22" s="2056">
        <v>6313</v>
      </c>
      <c r="C22" s="2057">
        <v>32533887</v>
      </c>
      <c r="D22" s="1979" t="s">
        <v>1088</v>
      </c>
      <c r="E22" s="1989">
        <v>0</v>
      </c>
      <c r="F22" s="1989">
        <v>130</v>
      </c>
      <c r="G22" s="1989">
        <v>130</v>
      </c>
      <c r="H22" s="1961">
        <f t="shared" si="0"/>
        <v>100</v>
      </c>
    </row>
    <row r="23" spans="1:9" s="1990" customFormat="1" ht="15" x14ac:dyDescent="0.2">
      <c r="A23" s="2049">
        <v>3299</v>
      </c>
      <c r="B23" s="2058">
        <v>6322</v>
      </c>
      <c r="C23" s="2057">
        <v>32133887</v>
      </c>
      <c r="D23" s="1979" t="s">
        <v>1205</v>
      </c>
      <c r="E23" s="1989">
        <v>0</v>
      </c>
      <c r="F23" s="1989">
        <v>20</v>
      </c>
      <c r="G23" s="1989">
        <v>20</v>
      </c>
      <c r="H23" s="1961">
        <f t="shared" si="0"/>
        <v>100</v>
      </c>
    </row>
    <row r="24" spans="1:9" s="1990" customFormat="1" ht="15" x14ac:dyDescent="0.2">
      <c r="A24" s="2049">
        <v>3299</v>
      </c>
      <c r="B24" s="2058">
        <v>6322</v>
      </c>
      <c r="C24" s="2057">
        <v>32533887</v>
      </c>
      <c r="D24" s="1979" t="s">
        <v>1205</v>
      </c>
      <c r="E24" s="1989">
        <v>0</v>
      </c>
      <c r="F24" s="1989">
        <v>112</v>
      </c>
      <c r="G24" s="1989">
        <v>112</v>
      </c>
      <c r="H24" s="1961">
        <f t="shared" si="0"/>
        <v>100</v>
      </c>
    </row>
    <row r="25" spans="1:9" ht="30" x14ac:dyDescent="0.2">
      <c r="A25" s="2049">
        <v>3299</v>
      </c>
      <c r="B25" s="2058">
        <v>6351</v>
      </c>
      <c r="C25" s="2057">
        <v>32133887</v>
      </c>
      <c r="D25" s="1979" t="s">
        <v>1339</v>
      </c>
      <c r="E25" s="1989">
        <v>0</v>
      </c>
      <c r="F25" s="1989">
        <v>15</v>
      </c>
      <c r="G25" s="1989">
        <v>15</v>
      </c>
      <c r="H25" s="1961">
        <f t="shared" si="0"/>
        <v>100</v>
      </c>
    </row>
    <row r="26" spans="1:9" ht="30" x14ac:dyDescent="0.2">
      <c r="A26" s="2049">
        <v>3299</v>
      </c>
      <c r="B26" s="2058">
        <v>6351</v>
      </c>
      <c r="C26" s="2057">
        <v>32533887</v>
      </c>
      <c r="D26" s="1979" t="s">
        <v>1339</v>
      </c>
      <c r="E26" s="1989">
        <v>0</v>
      </c>
      <c r="F26" s="1989">
        <v>84</v>
      </c>
      <c r="G26" s="1989">
        <v>84</v>
      </c>
      <c r="H26" s="1961">
        <f t="shared" si="0"/>
        <v>100</v>
      </c>
    </row>
    <row r="27" spans="1:9" ht="15" customHeight="1" x14ac:dyDescent="0.2">
      <c r="A27" s="2049">
        <v>3299</v>
      </c>
      <c r="B27" s="2056">
        <v>6901</v>
      </c>
      <c r="C27" s="2057">
        <v>32133887</v>
      </c>
      <c r="D27" s="1979" t="s">
        <v>449</v>
      </c>
      <c r="E27" s="1989">
        <v>0</v>
      </c>
      <c r="F27" s="1989">
        <v>13</v>
      </c>
      <c r="G27" s="1989">
        <v>0</v>
      </c>
      <c r="H27" s="1961">
        <f t="shared" si="0"/>
        <v>0</v>
      </c>
    </row>
    <row r="28" spans="1:9" ht="15" customHeight="1" x14ac:dyDescent="0.2">
      <c r="A28" s="2049">
        <v>3299</v>
      </c>
      <c r="B28" s="2056">
        <v>6901</v>
      </c>
      <c r="C28" s="2057">
        <v>32533887</v>
      </c>
      <c r="D28" s="1979" t="s">
        <v>449</v>
      </c>
      <c r="E28" s="1989">
        <v>0</v>
      </c>
      <c r="F28" s="1989">
        <v>72</v>
      </c>
      <c r="G28" s="1989">
        <v>0</v>
      </c>
      <c r="H28" s="1961">
        <f t="shared" si="0"/>
        <v>0</v>
      </c>
    </row>
    <row r="29" spans="1:9" ht="15" customHeight="1" x14ac:dyDescent="0.2">
      <c r="A29" s="2049">
        <v>6330</v>
      </c>
      <c r="B29" s="2056">
        <v>5345</v>
      </c>
      <c r="C29" s="2057">
        <v>0</v>
      </c>
      <c r="D29" s="1979" t="s">
        <v>806</v>
      </c>
      <c r="E29" s="1989">
        <v>0</v>
      </c>
      <c r="F29" s="1989">
        <v>0</v>
      </c>
      <c r="G29" s="1989">
        <v>48049</v>
      </c>
      <c r="H29" s="1961">
        <v>0</v>
      </c>
    </row>
    <row r="30" spans="1:9" s="1990" customFormat="1" ht="15.75" thickBot="1" x14ac:dyDescent="0.25">
      <c r="A30" s="2049">
        <v>6402</v>
      </c>
      <c r="B30" s="2056">
        <v>5363</v>
      </c>
      <c r="C30" s="2057">
        <v>19</v>
      </c>
      <c r="D30" s="1979" t="s">
        <v>1652</v>
      </c>
      <c r="E30" s="1989">
        <v>0</v>
      </c>
      <c r="F30" s="1989">
        <v>21</v>
      </c>
      <c r="G30" s="1989">
        <v>21</v>
      </c>
      <c r="H30" s="1968">
        <v>0</v>
      </c>
    </row>
    <row r="31" spans="1:9" s="1969" customFormat="1" ht="16.5" thickTop="1" thickBot="1" x14ac:dyDescent="0.3">
      <c r="A31" s="2750" t="s">
        <v>802</v>
      </c>
      <c r="B31" s="2751"/>
      <c r="C31" s="2751"/>
      <c r="D31" s="2751"/>
      <c r="E31" s="1957">
        <f>SUM(E10:E30)</f>
        <v>0</v>
      </c>
      <c r="F31" s="1957">
        <f>SUM(F10:F30)</f>
        <v>67993</v>
      </c>
      <c r="G31" s="1957">
        <f>SUM(G10:G30)</f>
        <v>84354</v>
      </c>
      <c r="H31" s="1962">
        <f>G31/F31*100</f>
        <v>124.06277116762018</v>
      </c>
      <c r="I31" s="2063"/>
    </row>
    <row r="32" spans="1:9" ht="13.5" thickTop="1" x14ac:dyDescent="0.2">
      <c r="I32" s="1970"/>
    </row>
    <row r="33" spans="1:10" ht="15" x14ac:dyDescent="0.25">
      <c r="A33" s="2129" t="s">
        <v>506</v>
      </c>
      <c r="B33" s="2003"/>
      <c r="C33" s="2003"/>
      <c r="D33" s="2003"/>
    </row>
    <row r="34" spans="1:10" ht="15.75" thickBot="1" x14ac:dyDescent="0.3">
      <c r="A34" s="2130" t="s">
        <v>1089</v>
      </c>
      <c r="B34" s="2131"/>
      <c r="C34" s="2131"/>
      <c r="H34" s="2043" t="s">
        <v>173</v>
      </c>
    </row>
    <row r="35" spans="1:10" s="1735" customFormat="1" ht="25.5" thickTop="1" thickBot="1" x14ac:dyDescent="0.25">
      <c r="A35" s="1943" t="s">
        <v>174</v>
      </c>
      <c r="B35" s="1944" t="s">
        <v>800</v>
      </c>
      <c r="C35" s="1944" t="s">
        <v>397</v>
      </c>
      <c r="D35" s="1945" t="s">
        <v>176</v>
      </c>
      <c r="E35" s="1976" t="s">
        <v>669</v>
      </c>
      <c r="F35" s="1976" t="s">
        <v>670</v>
      </c>
      <c r="G35" s="1977" t="s">
        <v>923</v>
      </c>
      <c r="H35" s="1978" t="s">
        <v>924</v>
      </c>
    </row>
    <row r="36" spans="1:10" s="1735" customFormat="1" ht="13.5" thickTop="1" thickBot="1" x14ac:dyDescent="0.25">
      <c r="A36" s="1740">
        <v>1</v>
      </c>
      <c r="B36" s="1739">
        <v>2</v>
      </c>
      <c r="C36" s="1739">
        <v>3</v>
      </c>
      <c r="D36" s="1739">
        <v>4</v>
      </c>
      <c r="E36" s="1738">
        <v>5</v>
      </c>
      <c r="F36" s="1738">
        <v>6</v>
      </c>
      <c r="G36" s="2028">
        <v>7</v>
      </c>
      <c r="H36" s="2054" t="s">
        <v>61</v>
      </c>
    </row>
    <row r="37" spans="1:10" ht="30.75" thickTop="1" x14ac:dyDescent="0.2">
      <c r="A37" s="2049">
        <v>3299</v>
      </c>
      <c r="B37" s="2056">
        <v>5336</v>
      </c>
      <c r="C37" s="2059">
        <v>32133012</v>
      </c>
      <c r="D37" s="1979" t="s">
        <v>1325</v>
      </c>
      <c r="E37" s="1989">
        <v>0</v>
      </c>
      <c r="F37" s="1989">
        <v>374</v>
      </c>
      <c r="G37" s="1989">
        <v>304</v>
      </c>
      <c r="H37" s="1961">
        <f>G37/F37*100</f>
        <v>81.283422459893046</v>
      </c>
      <c r="J37" s="2061"/>
    </row>
    <row r="38" spans="1:10" ht="30" hidden="1" x14ac:dyDescent="0.2">
      <c r="A38" s="2049">
        <v>2212</v>
      </c>
      <c r="B38" s="2056">
        <v>5336</v>
      </c>
      <c r="C38" s="2059">
        <v>41100882</v>
      </c>
      <c r="D38" s="1979" t="s">
        <v>1325</v>
      </c>
      <c r="E38" s="1989">
        <v>0</v>
      </c>
      <c r="F38" s="1989">
        <v>0</v>
      </c>
      <c r="G38" s="1989">
        <v>0</v>
      </c>
      <c r="H38" s="1961" t="e">
        <f>G38/F38*100</f>
        <v>#DIV/0!</v>
      </c>
      <c r="J38" s="2061"/>
    </row>
    <row r="39" spans="1:10" ht="30.75" thickBot="1" x14ac:dyDescent="0.25">
      <c r="A39" s="2049">
        <v>3299</v>
      </c>
      <c r="B39" s="2056">
        <v>5336</v>
      </c>
      <c r="C39" s="2059">
        <v>32533012</v>
      </c>
      <c r="D39" s="1979" t="s">
        <v>1325</v>
      </c>
      <c r="E39" s="1989">
        <v>0</v>
      </c>
      <c r="F39" s="1989">
        <v>2117</v>
      </c>
      <c r="G39" s="1989">
        <v>1724</v>
      </c>
      <c r="H39" s="1968">
        <f>G39/F39*100</f>
        <v>81.435994331601322</v>
      </c>
      <c r="J39" s="2061"/>
    </row>
    <row r="40" spans="1:10" s="1969" customFormat="1" ht="16.5" thickTop="1" thickBot="1" x14ac:dyDescent="0.3">
      <c r="A40" s="2750" t="s">
        <v>802</v>
      </c>
      <c r="B40" s="2751"/>
      <c r="C40" s="2751"/>
      <c r="D40" s="2751"/>
      <c r="E40" s="1957">
        <f>SUM(E37:E39)</f>
        <v>0</v>
      </c>
      <c r="F40" s="1957">
        <f>SUM(F37:F39)</f>
        <v>2491</v>
      </c>
      <c r="G40" s="1957">
        <f>SUM(G37:G39)</f>
        <v>2028</v>
      </c>
      <c r="H40" s="1968">
        <f>G40/F40*100</f>
        <v>81.413087113608995</v>
      </c>
      <c r="I40" s="2063"/>
    </row>
    <row r="41" spans="1:10" ht="13.5" thickTop="1" x14ac:dyDescent="0.2">
      <c r="I41" s="1970"/>
    </row>
    <row r="42" spans="1:10" ht="15" x14ac:dyDescent="0.25">
      <c r="A42" s="2129" t="s">
        <v>1747</v>
      </c>
      <c r="B42" s="2003"/>
      <c r="C42" s="2003"/>
      <c r="D42" s="2003"/>
    </row>
    <row r="43" spans="1:10" ht="15.75" thickBot="1" x14ac:dyDescent="0.3">
      <c r="A43" s="2130" t="s">
        <v>1039</v>
      </c>
      <c r="B43" s="2131"/>
      <c r="C43" s="2131"/>
      <c r="H43" s="2043" t="s">
        <v>173</v>
      </c>
    </row>
    <row r="44" spans="1:10" s="1735" customFormat="1" ht="25.5" thickTop="1" thickBot="1" x14ac:dyDescent="0.25">
      <c r="A44" s="1943" t="s">
        <v>174</v>
      </c>
      <c r="B44" s="1944" t="s">
        <v>800</v>
      </c>
      <c r="C44" s="1944" t="s">
        <v>397</v>
      </c>
      <c r="D44" s="1945" t="s">
        <v>176</v>
      </c>
      <c r="E44" s="1976" t="s">
        <v>669</v>
      </c>
      <c r="F44" s="1976" t="s">
        <v>670</v>
      </c>
      <c r="G44" s="1977" t="s">
        <v>923</v>
      </c>
      <c r="H44" s="1978" t="s">
        <v>924</v>
      </c>
    </row>
    <row r="45" spans="1:10" s="1735" customFormat="1" ht="13.5" thickTop="1" thickBot="1" x14ac:dyDescent="0.25">
      <c r="A45" s="1740">
        <v>1</v>
      </c>
      <c r="B45" s="1739">
        <v>2</v>
      </c>
      <c r="C45" s="1739">
        <v>3</v>
      </c>
      <c r="D45" s="1739">
        <v>4</v>
      </c>
      <c r="E45" s="1738">
        <v>5</v>
      </c>
      <c r="F45" s="1738">
        <v>6</v>
      </c>
      <c r="G45" s="2028">
        <v>7</v>
      </c>
      <c r="H45" s="2054" t="s">
        <v>61</v>
      </c>
    </row>
    <row r="46" spans="1:10" ht="30.75" thickTop="1" x14ac:dyDescent="0.2">
      <c r="A46" s="2049">
        <v>3299</v>
      </c>
      <c r="B46" s="2071">
        <v>5336</v>
      </c>
      <c r="C46" s="2059">
        <v>32133012</v>
      </c>
      <c r="D46" s="1979" t="s">
        <v>1325</v>
      </c>
      <c r="E46" s="1989">
        <v>0</v>
      </c>
      <c r="F46" s="1989">
        <v>150</v>
      </c>
      <c r="G46" s="1989">
        <v>135</v>
      </c>
      <c r="H46" s="1961">
        <f>G46/F46*100</f>
        <v>90</v>
      </c>
      <c r="J46" s="2061"/>
    </row>
    <row r="47" spans="1:10" ht="30.75" thickBot="1" x14ac:dyDescent="0.25">
      <c r="A47" s="2049">
        <v>3299</v>
      </c>
      <c r="B47" s="2071">
        <v>5336</v>
      </c>
      <c r="C47" s="2059">
        <v>32533012</v>
      </c>
      <c r="D47" s="1979" t="s">
        <v>1325</v>
      </c>
      <c r="E47" s="1989">
        <v>0</v>
      </c>
      <c r="F47" s="1989">
        <v>850</v>
      </c>
      <c r="G47" s="1989">
        <v>768</v>
      </c>
      <c r="H47" s="1961">
        <f>G47/F47*100</f>
        <v>90.352941176470594</v>
      </c>
      <c r="J47" s="2061"/>
    </row>
    <row r="48" spans="1:10" ht="30.75" hidden="1" thickBot="1" x14ac:dyDescent="0.25">
      <c r="A48" s="2049">
        <v>3299</v>
      </c>
      <c r="B48" s="2056">
        <v>6351</v>
      </c>
      <c r="C48" s="2059">
        <v>32133887</v>
      </c>
      <c r="D48" s="1979" t="s">
        <v>1339</v>
      </c>
      <c r="E48" s="1989">
        <v>0</v>
      </c>
      <c r="F48" s="1989">
        <v>0</v>
      </c>
      <c r="G48" s="1989">
        <v>0</v>
      </c>
      <c r="H48" s="1961" t="e">
        <f>G48/F48*100</f>
        <v>#DIV/0!</v>
      </c>
      <c r="J48" s="2061"/>
    </row>
    <row r="49" spans="1:10" ht="30.75" hidden="1" thickBot="1" x14ac:dyDescent="0.25">
      <c r="A49" s="2049">
        <v>3299</v>
      </c>
      <c r="B49" s="2056">
        <v>6351</v>
      </c>
      <c r="C49" s="2059">
        <v>32533887</v>
      </c>
      <c r="D49" s="1979" t="s">
        <v>1339</v>
      </c>
      <c r="E49" s="1989">
        <v>0</v>
      </c>
      <c r="F49" s="1989">
        <v>0</v>
      </c>
      <c r="G49" s="1989">
        <v>0</v>
      </c>
      <c r="H49" s="1968" t="e">
        <f>G49/F49*100</f>
        <v>#DIV/0!</v>
      </c>
      <c r="J49" s="2061"/>
    </row>
    <row r="50" spans="1:10" s="1969" customFormat="1" ht="16.5" thickTop="1" thickBot="1" x14ac:dyDescent="0.3">
      <c r="A50" s="2750" t="s">
        <v>802</v>
      </c>
      <c r="B50" s="2751"/>
      <c r="C50" s="2751"/>
      <c r="D50" s="2751"/>
      <c r="E50" s="1957">
        <f>SUM(E46:E49)</f>
        <v>0</v>
      </c>
      <c r="F50" s="1957">
        <f>SUM(F46:F49)</f>
        <v>1000</v>
      </c>
      <c r="G50" s="1957">
        <f>SUM(G46:G49)</f>
        <v>903</v>
      </c>
      <c r="H50" s="1968">
        <f>G50/F50*100</f>
        <v>90.3</v>
      </c>
      <c r="I50" s="2063"/>
    </row>
    <row r="51" spans="1:10" ht="13.5" thickTop="1" x14ac:dyDescent="0.2">
      <c r="I51" s="1970"/>
    </row>
    <row r="52" spans="1:10" ht="15" x14ac:dyDescent="0.25">
      <c r="A52" s="2129" t="s">
        <v>1268</v>
      </c>
      <c r="B52" s="2003"/>
      <c r="C52" s="2003"/>
      <c r="D52" s="2003"/>
    </row>
    <row r="53" spans="1:10" ht="15.75" thickBot="1" x14ac:dyDescent="0.3">
      <c r="A53" s="2130" t="s">
        <v>202</v>
      </c>
      <c r="B53" s="2131"/>
      <c r="C53" s="2131"/>
      <c r="H53" s="2043" t="s">
        <v>173</v>
      </c>
    </row>
    <row r="54" spans="1:10" s="1735" customFormat="1" ht="25.5" thickTop="1" thickBot="1" x14ac:dyDescent="0.25">
      <c r="A54" s="1943" t="s">
        <v>174</v>
      </c>
      <c r="B54" s="1944" t="s">
        <v>800</v>
      </c>
      <c r="C54" s="1944" t="s">
        <v>397</v>
      </c>
      <c r="D54" s="1945" t="s">
        <v>176</v>
      </c>
      <c r="E54" s="1976" t="s">
        <v>669</v>
      </c>
      <c r="F54" s="1976" t="s">
        <v>670</v>
      </c>
      <c r="G54" s="1977" t="s">
        <v>923</v>
      </c>
      <c r="H54" s="1978" t="s">
        <v>924</v>
      </c>
    </row>
    <row r="55" spans="1:10" s="1735" customFormat="1" ht="13.5" thickTop="1" thickBot="1" x14ac:dyDescent="0.25">
      <c r="A55" s="1740">
        <v>1</v>
      </c>
      <c r="B55" s="1739">
        <v>2</v>
      </c>
      <c r="C55" s="1739">
        <v>3</v>
      </c>
      <c r="D55" s="1739">
        <v>4</v>
      </c>
      <c r="E55" s="1738">
        <v>5</v>
      </c>
      <c r="F55" s="1738">
        <v>6</v>
      </c>
      <c r="G55" s="2028">
        <v>7</v>
      </c>
      <c r="H55" s="2054" t="s">
        <v>61</v>
      </c>
    </row>
    <row r="56" spans="1:10" ht="30.75" thickTop="1" x14ac:dyDescent="0.2">
      <c r="A56" s="2049">
        <v>3299</v>
      </c>
      <c r="B56" s="2071">
        <v>5336</v>
      </c>
      <c r="C56" s="2059">
        <v>32133012</v>
      </c>
      <c r="D56" s="1979" t="s">
        <v>1325</v>
      </c>
      <c r="E56" s="1989">
        <v>0</v>
      </c>
      <c r="F56" s="1989">
        <v>159</v>
      </c>
      <c r="G56" s="1989">
        <v>157</v>
      </c>
      <c r="H56" s="1961">
        <f>G56/F56*100</f>
        <v>98.742138364779876</v>
      </c>
      <c r="J56" s="2061"/>
    </row>
    <row r="57" spans="1:10" ht="30" x14ac:dyDescent="0.2">
      <c r="A57" s="2049">
        <v>3299</v>
      </c>
      <c r="B57" s="2071">
        <v>5336</v>
      </c>
      <c r="C57" s="2059">
        <v>32533012</v>
      </c>
      <c r="D57" s="1979" t="s">
        <v>1325</v>
      </c>
      <c r="E57" s="1989">
        <v>0</v>
      </c>
      <c r="F57" s="1989">
        <v>901</v>
      </c>
      <c r="G57" s="1989">
        <v>888</v>
      </c>
      <c r="H57" s="1961">
        <f>G57/F57*100</f>
        <v>98.557158712541622</v>
      </c>
      <c r="J57" s="2061"/>
    </row>
    <row r="58" spans="1:10" ht="30" x14ac:dyDescent="0.2">
      <c r="A58" s="2049">
        <v>3299</v>
      </c>
      <c r="B58" s="2056">
        <v>6351</v>
      </c>
      <c r="C58" s="2059">
        <v>32133887</v>
      </c>
      <c r="D58" s="1979" t="s">
        <v>1339</v>
      </c>
      <c r="E58" s="1989">
        <v>0</v>
      </c>
      <c r="F58" s="1989">
        <v>21</v>
      </c>
      <c r="G58" s="1989">
        <v>0</v>
      </c>
      <c r="H58" s="1961">
        <f>G58/F58*100</f>
        <v>0</v>
      </c>
      <c r="J58" s="2061"/>
    </row>
    <row r="59" spans="1:10" ht="30.75" thickBot="1" x14ac:dyDescent="0.25">
      <c r="A59" s="2049">
        <v>3299</v>
      </c>
      <c r="B59" s="2056">
        <v>6351</v>
      </c>
      <c r="C59" s="2059">
        <v>32533887</v>
      </c>
      <c r="D59" s="1979" t="s">
        <v>1339</v>
      </c>
      <c r="E59" s="1989">
        <v>0</v>
      </c>
      <c r="F59" s="1989">
        <v>119</v>
      </c>
      <c r="G59" s="1989">
        <v>0</v>
      </c>
      <c r="H59" s="1968">
        <f>G59/F59*100</f>
        <v>0</v>
      </c>
      <c r="J59" s="2061"/>
    </row>
    <row r="60" spans="1:10" s="1969" customFormat="1" ht="16.5" thickTop="1" thickBot="1" x14ac:dyDescent="0.3">
      <c r="A60" s="2750" t="s">
        <v>802</v>
      </c>
      <c r="B60" s="2751"/>
      <c r="C60" s="2751"/>
      <c r="D60" s="2751"/>
      <c r="E60" s="1957">
        <f>SUM(E56:E59)</f>
        <v>0</v>
      </c>
      <c r="F60" s="1957">
        <f>SUM(F56:F59)</f>
        <v>1200</v>
      </c>
      <c r="G60" s="1957">
        <f>SUM(G56:G59)</f>
        <v>1045</v>
      </c>
      <c r="H60" s="1968">
        <f>G60/F60*100</f>
        <v>87.083333333333329</v>
      </c>
      <c r="I60" s="2063"/>
    </row>
    <row r="61" spans="1:10" ht="13.5" thickTop="1" x14ac:dyDescent="0.2">
      <c r="I61" s="1970"/>
    </row>
    <row r="62" spans="1:10" ht="15" x14ac:dyDescent="0.25">
      <c r="A62" s="2129" t="s">
        <v>597</v>
      </c>
      <c r="B62" s="2003"/>
      <c r="C62" s="2003"/>
      <c r="D62" s="2003"/>
    </row>
    <row r="63" spans="1:10" ht="15.75" thickBot="1" x14ac:dyDescent="0.3">
      <c r="A63" s="2130" t="s">
        <v>598</v>
      </c>
      <c r="B63" s="2131"/>
      <c r="C63" s="2131"/>
      <c r="H63" s="2043" t="s">
        <v>173</v>
      </c>
    </row>
    <row r="64" spans="1:10" s="1735" customFormat="1" ht="25.5" thickTop="1" thickBot="1" x14ac:dyDescent="0.25">
      <c r="A64" s="1943" t="s">
        <v>174</v>
      </c>
      <c r="B64" s="1944" t="s">
        <v>800</v>
      </c>
      <c r="C64" s="1944" t="s">
        <v>397</v>
      </c>
      <c r="D64" s="1945" t="s">
        <v>176</v>
      </c>
      <c r="E64" s="1976" t="s">
        <v>669</v>
      </c>
      <c r="F64" s="1976" t="s">
        <v>670</v>
      </c>
      <c r="G64" s="1977" t="s">
        <v>923</v>
      </c>
      <c r="H64" s="1978" t="s">
        <v>924</v>
      </c>
    </row>
    <row r="65" spans="1:10" s="1735" customFormat="1" ht="13.5" thickTop="1" thickBot="1" x14ac:dyDescent="0.25">
      <c r="A65" s="1740">
        <v>1</v>
      </c>
      <c r="B65" s="1739">
        <v>2</v>
      </c>
      <c r="C65" s="1739">
        <v>3</v>
      </c>
      <c r="D65" s="1739">
        <v>4</v>
      </c>
      <c r="E65" s="1738">
        <v>5</v>
      </c>
      <c r="F65" s="1738">
        <v>6</v>
      </c>
      <c r="G65" s="2028">
        <v>7</v>
      </c>
      <c r="H65" s="2054" t="s">
        <v>61</v>
      </c>
    </row>
    <row r="66" spans="1:10" ht="30.75" thickTop="1" x14ac:dyDescent="0.2">
      <c r="A66" s="2049">
        <v>3299</v>
      </c>
      <c r="B66" s="2071">
        <v>5336</v>
      </c>
      <c r="C66" s="2059">
        <v>32133012</v>
      </c>
      <c r="D66" s="1979" t="s">
        <v>1325</v>
      </c>
      <c r="E66" s="1989">
        <v>0</v>
      </c>
      <c r="F66" s="1989">
        <v>269</v>
      </c>
      <c r="G66" s="1989">
        <v>134</v>
      </c>
      <c r="H66" s="1961">
        <f>G66/F66*100</f>
        <v>49.814126394052046</v>
      </c>
      <c r="J66" s="2061"/>
    </row>
    <row r="67" spans="1:10" ht="30.75" thickBot="1" x14ac:dyDescent="0.25">
      <c r="A67" s="2049">
        <v>3299</v>
      </c>
      <c r="B67" s="2071">
        <v>5336</v>
      </c>
      <c r="C67" s="2059">
        <v>32533012</v>
      </c>
      <c r="D67" s="1979" t="s">
        <v>1325</v>
      </c>
      <c r="E67" s="1989">
        <v>0</v>
      </c>
      <c r="F67" s="1989">
        <v>1527</v>
      </c>
      <c r="G67" s="1989">
        <v>763</v>
      </c>
      <c r="H67" s="1961">
        <f>G67/F67*100</f>
        <v>49.967256057629342</v>
      </c>
      <c r="J67" s="2061"/>
    </row>
    <row r="68" spans="1:10" ht="30.75" hidden="1" thickBot="1" x14ac:dyDescent="0.25">
      <c r="A68" s="2049">
        <v>3299</v>
      </c>
      <c r="B68" s="2056">
        <v>6351</v>
      </c>
      <c r="C68" s="2059">
        <v>32133887</v>
      </c>
      <c r="D68" s="1979" t="s">
        <v>1339</v>
      </c>
      <c r="E68" s="1989">
        <v>0</v>
      </c>
      <c r="F68" s="1989">
        <v>0</v>
      </c>
      <c r="G68" s="1989">
        <v>0</v>
      </c>
      <c r="H68" s="1961" t="e">
        <f>G68/F68*100</f>
        <v>#DIV/0!</v>
      </c>
      <c r="J68" s="2061"/>
    </row>
    <row r="69" spans="1:10" ht="30.75" hidden="1" thickBot="1" x14ac:dyDescent="0.25">
      <c r="A69" s="2049">
        <v>3299</v>
      </c>
      <c r="B69" s="2056">
        <v>6351</v>
      </c>
      <c r="C69" s="2059">
        <v>32533887</v>
      </c>
      <c r="D69" s="1979" t="s">
        <v>1339</v>
      </c>
      <c r="E69" s="1989">
        <v>0</v>
      </c>
      <c r="F69" s="1989">
        <v>0</v>
      </c>
      <c r="G69" s="1989">
        <v>0</v>
      </c>
      <c r="H69" s="1968" t="e">
        <f>G69/F69*100</f>
        <v>#DIV/0!</v>
      </c>
      <c r="J69" s="2061"/>
    </row>
    <row r="70" spans="1:10" s="1969" customFormat="1" ht="16.5" thickTop="1" thickBot="1" x14ac:dyDescent="0.3">
      <c r="A70" s="2750" t="s">
        <v>802</v>
      </c>
      <c r="B70" s="2751"/>
      <c r="C70" s="2751"/>
      <c r="D70" s="2751"/>
      <c r="E70" s="1957">
        <f>SUM(E66:E69)</f>
        <v>0</v>
      </c>
      <c r="F70" s="1957">
        <f>SUM(F66:F69)</f>
        <v>1796</v>
      </c>
      <c r="G70" s="1957">
        <f>SUM(G66:G69)</f>
        <v>897</v>
      </c>
      <c r="H70" s="1968">
        <f>G70/F70*100</f>
        <v>49.944320712694875</v>
      </c>
      <c r="I70" s="2063"/>
    </row>
    <row r="71" spans="1:10" ht="13.5" thickTop="1" x14ac:dyDescent="0.2">
      <c r="I71" s="1970"/>
    </row>
    <row r="72" spans="1:10" ht="15" hidden="1" x14ac:dyDescent="0.25">
      <c r="A72" s="2129" t="s">
        <v>334</v>
      </c>
      <c r="B72" s="2003"/>
      <c r="C72" s="2003"/>
      <c r="D72" s="2003"/>
    </row>
    <row r="73" spans="1:10" ht="15" hidden="1" x14ac:dyDescent="0.25">
      <c r="A73" s="2130" t="s">
        <v>599</v>
      </c>
      <c r="B73" s="2131"/>
      <c r="C73" s="2131"/>
      <c r="H73" s="2043" t="s">
        <v>173</v>
      </c>
    </row>
    <row r="74" spans="1:10" s="1735" customFormat="1" ht="25.5" hidden="1" thickTop="1" thickBot="1" x14ac:dyDescent="0.25">
      <c r="A74" s="1943" t="s">
        <v>174</v>
      </c>
      <c r="B74" s="1944" t="s">
        <v>800</v>
      </c>
      <c r="C74" s="1944" t="s">
        <v>397</v>
      </c>
      <c r="D74" s="1945" t="s">
        <v>176</v>
      </c>
      <c r="E74" s="1976" t="s">
        <v>669</v>
      </c>
      <c r="F74" s="1976" t="s">
        <v>670</v>
      </c>
      <c r="G74" s="1977" t="s">
        <v>923</v>
      </c>
      <c r="H74" s="1978" t="s">
        <v>924</v>
      </c>
    </row>
    <row r="75" spans="1:10" s="1735" customFormat="1" ht="13.5" hidden="1" thickTop="1" thickBot="1" x14ac:dyDescent="0.25">
      <c r="A75" s="1740">
        <v>1</v>
      </c>
      <c r="B75" s="1739">
        <v>2</v>
      </c>
      <c r="C75" s="1739">
        <v>3</v>
      </c>
      <c r="D75" s="1739">
        <v>4</v>
      </c>
      <c r="E75" s="1738">
        <v>5</v>
      </c>
      <c r="F75" s="1738">
        <v>6</v>
      </c>
      <c r="G75" s="2028">
        <v>7</v>
      </c>
      <c r="H75" s="2054" t="s">
        <v>61</v>
      </c>
    </row>
    <row r="76" spans="1:10" ht="30" hidden="1" x14ac:dyDescent="0.2">
      <c r="A76" s="2049">
        <v>3299</v>
      </c>
      <c r="B76" s="2071">
        <v>5336</v>
      </c>
      <c r="C76" s="2059">
        <v>32133012</v>
      </c>
      <c r="D76" s="1979" t="s">
        <v>1325</v>
      </c>
      <c r="E76" s="1989">
        <v>0</v>
      </c>
      <c r="F76" s="1989"/>
      <c r="G76" s="1989"/>
      <c r="H76" s="1961" t="e">
        <f>G76/F76*100</f>
        <v>#DIV/0!</v>
      </c>
      <c r="J76" s="2061"/>
    </row>
    <row r="77" spans="1:10" ht="30.75" hidden="1" thickBot="1" x14ac:dyDescent="0.25">
      <c r="A77" s="2049">
        <v>3299</v>
      </c>
      <c r="B77" s="2071">
        <v>5336</v>
      </c>
      <c r="C77" s="2059">
        <v>32533012</v>
      </c>
      <c r="D77" s="1979" t="s">
        <v>1325</v>
      </c>
      <c r="E77" s="1989">
        <v>0</v>
      </c>
      <c r="F77" s="1989"/>
      <c r="G77" s="1989"/>
      <c r="H77" s="1968" t="e">
        <f>G77/F77*100</f>
        <v>#DIV/0!</v>
      </c>
      <c r="J77" s="2061"/>
    </row>
    <row r="78" spans="1:10" ht="30" hidden="1" x14ac:dyDescent="0.2">
      <c r="A78" s="2049">
        <v>3299</v>
      </c>
      <c r="B78" s="2056">
        <v>6351</v>
      </c>
      <c r="C78" s="2059">
        <v>32133887</v>
      </c>
      <c r="D78" s="1979" t="s">
        <v>1339</v>
      </c>
      <c r="E78" s="1989">
        <v>0</v>
      </c>
      <c r="F78" s="1989">
        <v>0</v>
      </c>
      <c r="G78" s="1989">
        <v>0</v>
      </c>
      <c r="H78" s="1961" t="e">
        <f>G78/F78*100</f>
        <v>#DIV/0!</v>
      </c>
      <c r="J78" s="2061"/>
    </row>
    <row r="79" spans="1:10" ht="30.75" hidden="1" thickBot="1" x14ac:dyDescent="0.25">
      <c r="A79" s="2049">
        <v>3299</v>
      </c>
      <c r="B79" s="2056">
        <v>6351</v>
      </c>
      <c r="C79" s="2059">
        <v>32533887</v>
      </c>
      <c r="D79" s="1979" t="s">
        <v>1339</v>
      </c>
      <c r="E79" s="1989">
        <v>0</v>
      </c>
      <c r="F79" s="1989">
        <v>0</v>
      </c>
      <c r="G79" s="1989">
        <v>0</v>
      </c>
      <c r="H79" s="1968" t="e">
        <f>G79/F79*100</f>
        <v>#DIV/0!</v>
      </c>
      <c r="J79" s="2061"/>
    </row>
    <row r="80" spans="1:10" s="1969" customFormat="1" ht="16.5" hidden="1" thickTop="1" thickBot="1" x14ac:dyDescent="0.3">
      <c r="A80" s="2750" t="s">
        <v>802</v>
      </c>
      <c r="B80" s="2751"/>
      <c r="C80" s="2751"/>
      <c r="D80" s="2751"/>
      <c r="E80" s="1957">
        <f>SUM(E76:E79)</f>
        <v>0</v>
      </c>
      <c r="F80" s="1957">
        <f>SUM(F76:F79)</f>
        <v>0</v>
      </c>
      <c r="G80" s="1957">
        <f>SUM(G76:G79)</f>
        <v>0</v>
      </c>
      <c r="H80" s="1968" t="e">
        <f>G80/F80*100</f>
        <v>#DIV/0!</v>
      </c>
      <c r="I80" s="2063"/>
    </row>
    <row r="81" spans="1:10" hidden="1" x14ac:dyDescent="0.2">
      <c r="I81" s="1970"/>
    </row>
    <row r="82" spans="1:10" ht="15" x14ac:dyDescent="0.25">
      <c r="A82" s="2129" t="s">
        <v>338</v>
      </c>
      <c r="B82" s="2003"/>
      <c r="C82" s="2003"/>
      <c r="D82" s="2003"/>
    </row>
    <row r="83" spans="1:10" ht="15.75" thickBot="1" x14ac:dyDescent="0.3">
      <c r="A83" s="2130" t="s">
        <v>1090</v>
      </c>
      <c r="B83" s="2131"/>
      <c r="C83" s="2131"/>
      <c r="H83" s="2043" t="s">
        <v>173</v>
      </c>
    </row>
    <row r="84" spans="1:10" s="1735" customFormat="1" ht="25.5" thickTop="1" thickBot="1" x14ac:dyDescent="0.25">
      <c r="A84" s="1943" t="s">
        <v>174</v>
      </c>
      <c r="B84" s="1944" t="s">
        <v>800</v>
      </c>
      <c r="C84" s="1944" t="s">
        <v>397</v>
      </c>
      <c r="D84" s="1945" t="s">
        <v>176</v>
      </c>
      <c r="E84" s="1976" t="s">
        <v>669</v>
      </c>
      <c r="F84" s="1976" t="s">
        <v>670</v>
      </c>
      <c r="G84" s="1977" t="s">
        <v>923</v>
      </c>
      <c r="H84" s="1978" t="s">
        <v>924</v>
      </c>
    </row>
    <row r="85" spans="1:10" s="1735" customFormat="1" ht="13.5" thickTop="1" thickBot="1" x14ac:dyDescent="0.25">
      <c r="A85" s="1740">
        <v>1</v>
      </c>
      <c r="B85" s="1739">
        <v>2</v>
      </c>
      <c r="C85" s="1739">
        <v>3</v>
      </c>
      <c r="D85" s="1739">
        <v>4</v>
      </c>
      <c r="E85" s="1738">
        <v>5</v>
      </c>
      <c r="F85" s="1738">
        <v>6</v>
      </c>
      <c r="G85" s="2028">
        <v>7</v>
      </c>
      <c r="H85" s="2054" t="s">
        <v>61</v>
      </c>
    </row>
    <row r="86" spans="1:10" ht="30.75" thickTop="1" x14ac:dyDescent="0.2">
      <c r="A86" s="2049">
        <v>3299</v>
      </c>
      <c r="B86" s="2071">
        <v>5336</v>
      </c>
      <c r="C86" s="2059">
        <v>32133012</v>
      </c>
      <c r="D86" s="1979" t="s">
        <v>1325</v>
      </c>
      <c r="E86" s="1989">
        <v>0</v>
      </c>
      <c r="F86" s="1989">
        <v>191</v>
      </c>
      <c r="G86" s="1989">
        <v>191</v>
      </c>
      <c r="H86" s="1961">
        <f>G86/F86*100</f>
        <v>100</v>
      </c>
      <c r="J86" s="2061"/>
    </row>
    <row r="87" spans="1:10" ht="30.75" thickBot="1" x14ac:dyDescent="0.25">
      <c r="A87" s="2049">
        <v>3299</v>
      </c>
      <c r="B87" s="2071">
        <v>5336</v>
      </c>
      <c r="C87" s="2059">
        <v>32533012</v>
      </c>
      <c r="D87" s="1979" t="s">
        <v>1325</v>
      </c>
      <c r="E87" s="1989">
        <v>0</v>
      </c>
      <c r="F87" s="1989">
        <v>1083</v>
      </c>
      <c r="G87" s="1989">
        <v>1081</v>
      </c>
      <c r="H87" s="1961">
        <f>G87/F87*100</f>
        <v>99.815327793167128</v>
      </c>
      <c r="J87" s="2061"/>
    </row>
    <row r="88" spans="1:10" ht="30.75" hidden="1" thickBot="1" x14ac:dyDescent="0.25">
      <c r="A88" s="2049">
        <v>3299</v>
      </c>
      <c r="B88" s="2056">
        <v>6351</v>
      </c>
      <c r="C88" s="2059">
        <v>32133887</v>
      </c>
      <c r="D88" s="1979" t="s">
        <v>1339</v>
      </c>
      <c r="E88" s="1989">
        <v>0</v>
      </c>
      <c r="F88" s="1989">
        <v>0</v>
      </c>
      <c r="G88" s="1989">
        <v>0</v>
      </c>
      <c r="H88" s="1961" t="e">
        <f>G88/F88*100</f>
        <v>#DIV/0!</v>
      </c>
      <c r="J88" s="2061"/>
    </row>
    <row r="89" spans="1:10" ht="30.75" hidden="1" thickBot="1" x14ac:dyDescent="0.25">
      <c r="A89" s="2049">
        <v>3299</v>
      </c>
      <c r="B89" s="2056">
        <v>6351</v>
      </c>
      <c r="C89" s="2059">
        <v>32533887</v>
      </c>
      <c r="D89" s="1979" t="s">
        <v>1339</v>
      </c>
      <c r="E89" s="1989">
        <v>0</v>
      </c>
      <c r="F89" s="1989">
        <v>0</v>
      </c>
      <c r="G89" s="1989">
        <v>0</v>
      </c>
      <c r="H89" s="1968" t="e">
        <f>G89/F89*100</f>
        <v>#DIV/0!</v>
      </c>
      <c r="J89" s="2061"/>
    </row>
    <row r="90" spans="1:10" s="1969" customFormat="1" ht="16.5" thickTop="1" thickBot="1" x14ac:dyDescent="0.3">
      <c r="A90" s="2750" t="s">
        <v>802</v>
      </c>
      <c r="B90" s="2751"/>
      <c r="C90" s="2751"/>
      <c r="D90" s="2751"/>
      <c r="E90" s="1957">
        <f>SUM(E86:E89)</f>
        <v>0</v>
      </c>
      <c r="F90" s="1957">
        <f>SUM(F86:F89)</f>
        <v>1274</v>
      </c>
      <c r="G90" s="1957">
        <f>SUM(G86:G89)</f>
        <v>1272</v>
      </c>
      <c r="H90" s="1962">
        <f>G90/F90*100</f>
        <v>99.843014128728413</v>
      </c>
      <c r="I90" s="2063"/>
    </row>
    <row r="91" spans="1:10" ht="13.5" thickTop="1" x14ac:dyDescent="0.2">
      <c r="I91" s="1970"/>
    </row>
    <row r="92" spans="1:10" ht="15" x14ac:dyDescent="0.25">
      <c r="A92" s="2129" t="s">
        <v>1011</v>
      </c>
      <c r="B92" s="2003"/>
      <c r="C92" s="2003"/>
      <c r="D92" s="2003"/>
    </row>
    <row r="93" spans="1:10" ht="15.75" thickBot="1" x14ac:dyDescent="0.3">
      <c r="A93" s="2130" t="s">
        <v>1012</v>
      </c>
      <c r="B93" s="2131"/>
      <c r="C93" s="2131"/>
      <c r="H93" s="2043" t="s">
        <v>173</v>
      </c>
    </row>
    <row r="94" spans="1:10" s="1735" customFormat="1" ht="25.5" thickTop="1" thickBot="1" x14ac:dyDescent="0.25">
      <c r="A94" s="1943" t="s">
        <v>174</v>
      </c>
      <c r="B94" s="1944" t="s">
        <v>800</v>
      </c>
      <c r="C94" s="1944" t="s">
        <v>397</v>
      </c>
      <c r="D94" s="1945" t="s">
        <v>176</v>
      </c>
      <c r="E94" s="1976" t="s">
        <v>669</v>
      </c>
      <c r="F94" s="1976" t="s">
        <v>670</v>
      </c>
      <c r="G94" s="1977" t="s">
        <v>923</v>
      </c>
      <c r="H94" s="1978" t="s">
        <v>924</v>
      </c>
    </row>
    <row r="95" spans="1:10" s="1735" customFormat="1" ht="13.5" thickTop="1" thickBot="1" x14ac:dyDescent="0.25">
      <c r="A95" s="1740">
        <v>1</v>
      </c>
      <c r="B95" s="1739">
        <v>2</v>
      </c>
      <c r="C95" s="1739">
        <v>3</v>
      </c>
      <c r="D95" s="1739">
        <v>4</v>
      </c>
      <c r="E95" s="1738">
        <v>5</v>
      </c>
      <c r="F95" s="1738">
        <v>6</v>
      </c>
      <c r="G95" s="2028">
        <v>7</v>
      </c>
      <c r="H95" s="2054" t="s">
        <v>61</v>
      </c>
    </row>
    <row r="96" spans="1:10" ht="45.75" thickTop="1" x14ac:dyDescent="0.2">
      <c r="A96" s="2049">
        <v>3299</v>
      </c>
      <c r="B96" s="2056">
        <v>5213</v>
      </c>
      <c r="C96" s="2059">
        <v>32133012</v>
      </c>
      <c r="D96" s="1979" t="s">
        <v>1087</v>
      </c>
      <c r="E96" s="1989">
        <v>0</v>
      </c>
      <c r="F96" s="1989">
        <v>38</v>
      </c>
      <c r="G96" s="1989">
        <v>27</v>
      </c>
      <c r="H96" s="1961">
        <f>G96/F96*100</f>
        <v>71.05263157894737</v>
      </c>
      <c r="J96" s="2061"/>
    </row>
    <row r="97" spans="1:10" ht="45.75" thickBot="1" x14ac:dyDescent="0.25">
      <c r="A97" s="2049">
        <v>3299</v>
      </c>
      <c r="B97" s="2056">
        <v>5213</v>
      </c>
      <c r="C97" s="2059">
        <v>32533012</v>
      </c>
      <c r="D97" s="1979" t="s">
        <v>1087</v>
      </c>
      <c r="E97" s="1989">
        <v>0</v>
      </c>
      <c r="F97" s="1989">
        <v>214</v>
      </c>
      <c r="G97" s="1989">
        <v>154</v>
      </c>
      <c r="H97" s="1961">
        <f>G97/F97*100</f>
        <v>71.962616822429908</v>
      </c>
      <c r="J97" s="2061"/>
    </row>
    <row r="98" spans="1:10" ht="45.75" hidden="1" thickBot="1" x14ac:dyDescent="0.25">
      <c r="A98" s="2049">
        <v>3299</v>
      </c>
      <c r="B98" s="2056">
        <v>6313</v>
      </c>
      <c r="C98" s="2059">
        <v>32133887</v>
      </c>
      <c r="D98" s="1979" t="s">
        <v>1088</v>
      </c>
      <c r="E98" s="1989">
        <v>0</v>
      </c>
      <c r="F98" s="1989">
        <v>0</v>
      </c>
      <c r="G98" s="1989">
        <v>0</v>
      </c>
      <c r="H98" s="1961" t="e">
        <f>G98/F98*100</f>
        <v>#DIV/0!</v>
      </c>
      <c r="J98" s="2061"/>
    </row>
    <row r="99" spans="1:10" ht="45.75" hidden="1" thickBot="1" x14ac:dyDescent="0.25">
      <c r="A99" s="2049">
        <v>3299</v>
      </c>
      <c r="B99" s="2056">
        <v>6313</v>
      </c>
      <c r="C99" s="2059">
        <v>32533887</v>
      </c>
      <c r="D99" s="1979" t="s">
        <v>1088</v>
      </c>
      <c r="E99" s="1989">
        <v>0</v>
      </c>
      <c r="F99" s="1989">
        <v>0</v>
      </c>
      <c r="G99" s="1989">
        <v>0</v>
      </c>
      <c r="H99" s="1968" t="e">
        <f>G99/F99*100</f>
        <v>#DIV/0!</v>
      </c>
      <c r="J99" s="2061"/>
    </row>
    <row r="100" spans="1:10" s="1969" customFormat="1" ht="16.5" thickTop="1" thickBot="1" x14ac:dyDescent="0.3">
      <c r="A100" s="2750" t="s">
        <v>802</v>
      </c>
      <c r="B100" s="2751"/>
      <c r="C100" s="2751"/>
      <c r="D100" s="2751"/>
      <c r="E100" s="1957">
        <f>SUM(E96:E99)</f>
        <v>0</v>
      </c>
      <c r="F100" s="1957">
        <f>SUM(F96:F99)</f>
        <v>252</v>
      </c>
      <c r="G100" s="1957">
        <f>SUM(G96:G99)</f>
        <v>181</v>
      </c>
      <c r="H100" s="1962">
        <f>G100/F100*100</f>
        <v>71.825396825396822</v>
      </c>
      <c r="I100" s="2063"/>
    </row>
    <row r="101" spans="1:10" ht="13.5" thickTop="1" x14ac:dyDescent="0.2">
      <c r="I101" s="1970"/>
    </row>
    <row r="102" spans="1:10" ht="15" x14ac:dyDescent="0.25">
      <c r="A102" s="2129" t="s">
        <v>1743</v>
      </c>
      <c r="B102" s="2003"/>
      <c r="C102" s="2003"/>
      <c r="D102" s="2003"/>
    </row>
    <row r="103" spans="1:10" ht="15.75" thickBot="1" x14ac:dyDescent="0.3">
      <c r="A103" s="2130" t="s">
        <v>1014</v>
      </c>
      <c r="B103" s="2131"/>
      <c r="C103" s="2131"/>
      <c r="H103" s="2043" t="s">
        <v>173</v>
      </c>
    </row>
    <row r="104" spans="1:10" s="1735" customFormat="1" ht="25.5" thickTop="1" thickBot="1" x14ac:dyDescent="0.25">
      <c r="A104" s="1943" t="s">
        <v>174</v>
      </c>
      <c r="B104" s="1944" t="s">
        <v>800</v>
      </c>
      <c r="C104" s="1944" t="s">
        <v>397</v>
      </c>
      <c r="D104" s="1945" t="s">
        <v>176</v>
      </c>
      <c r="E104" s="1976" t="s">
        <v>669</v>
      </c>
      <c r="F104" s="1976" t="s">
        <v>670</v>
      </c>
      <c r="G104" s="1977" t="s">
        <v>923</v>
      </c>
      <c r="H104" s="1978" t="s">
        <v>924</v>
      </c>
    </row>
    <row r="105" spans="1:10" s="1735" customFormat="1" ht="13.5" thickTop="1" thickBot="1" x14ac:dyDescent="0.25">
      <c r="A105" s="1740">
        <v>1</v>
      </c>
      <c r="B105" s="1739">
        <v>2</v>
      </c>
      <c r="C105" s="1739">
        <v>3</v>
      </c>
      <c r="D105" s="1739">
        <v>4</v>
      </c>
      <c r="E105" s="1738">
        <v>5</v>
      </c>
      <c r="F105" s="1738">
        <v>6</v>
      </c>
      <c r="G105" s="2028">
        <v>7</v>
      </c>
      <c r="H105" s="2054" t="s">
        <v>61</v>
      </c>
    </row>
    <row r="106" spans="1:10" ht="30.75" thickTop="1" x14ac:dyDescent="0.2">
      <c r="A106" s="2049">
        <v>3299</v>
      </c>
      <c r="B106" s="2056">
        <v>5229</v>
      </c>
      <c r="C106" s="2059">
        <v>32133012</v>
      </c>
      <c r="D106" s="1979" t="s">
        <v>1015</v>
      </c>
      <c r="E106" s="1989">
        <v>0</v>
      </c>
      <c r="F106" s="1989">
        <v>362</v>
      </c>
      <c r="G106" s="1989">
        <v>143</v>
      </c>
      <c r="H106" s="1961">
        <f>G106/F106*100</f>
        <v>39.502762430939228</v>
      </c>
      <c r="J106" s="2061"/>
    </row>
    <row r="107" spans="1:10" ht="30.75" thickBot="1" x14ac:dyDescent="0.25">
      <c r="A107" s="2049">
        <v>3299</v>
      </c>
      <c r="B107" s="2056">
        <v>5229</v>
      </c>
      <c r="C107" s="2059">
        <v>32533012</v>
      </c>
      <c r="D107" s="1979" t="s">
        <v>1015</v>
      </c>
      <c r="E107" s="1989">
        <v>0</v>
      </c>
      <c r="F107" s="1989">
        <v>2052</v>
      </c>
      <c r="G107" s="1989">
        <v>807</v>
      </c>
      <c r="H107" s="1961">
        <f>G107/F107*100</f>
        <v>39.327485380116961</v>
      </c>
      <c r="J107" s="2061"/>
    </row>
    <row r="108" spans="1:10" ht="30.75" hidden="1" thickBot="1" x14ac:dyDescent="0.25">
      <c r="A108" s="2049">
        <v>3299</v>
      </c>
      <c r="B108" s="2056">
        <v>6351</v>
      </c>
      <c r="C108" s="2059">
        <v>32133887</v>
      </c>
      <c r="D108" s="1979" t="s">
        <v>1339</v>
      </c>
      <c r="E108" s="1989">
        <v>0</v>
      </c>
      <c r="F108" s="1989">
        <v>0</v>
      </c>
      <c r="G108" s="1989">
        <v>0</v>
      </c>
      <c r="H108" s="1961" t="e">
        <f>G108/F108*100</f>
        <v>#DIV/0!</v>
      </c>
      <c r="J108" s="2061"/>
    </row>
    <row r="109" spans="1:10" ht="30.75" hidden="1" thickBot="1" x14ac:dyDescent="0.25">
      <c r="A109" s="2049">
        <v>3299</v>
      </c>
      <c r="B109" s="2056">
        <v>6351</v>
      </c>
      <c r="C109" s="2059">
        <v>32533887</v>
      </c>
      <c r="D109" s="1979" t="s">
        <v>1339</v>
      </c>
      <c r="E109" s="1989">
        <v>0</v>
      </c>
      <c r="F109" s="1989">
        <v>0</v>
      </c>
      <c r="G109" s="1989">
        <v>0</v>
      </c>
      <c r="H109" s="1968" t="e">
        <f>G109/F109*100</f>
        <v>#DIV/0!</v>
      </c>
      <c r="J109" s="2061"/>
    </row>
    <row r="110" spans="1:10" s="1969" customFormat="1" ht="16.5" thickTop="1" thickBot="1" x14ac:dyDescent="0.3">
      <c r="A110" s="2750" t="s">
        <v>802</v>
      </c>
      <c r="B110" s="2751"/>
      <c r="C110" s="2751"/>
      <c r="D110" s="2751"/>
      <c r="E110" s="1957">
        <f>SUM(E106:E109)</f>
        <v>0</v>
      </c>
      <c r="F110" s="1957">
        <f>SUM(F106:F109)</f>
        <v>2414</v>
      </c>
      <c r="G110" s="1957">
        <f>SUM(G106:G109)</f>
        <v>950</v>
      </c>
      <c r="H110" s="1962">
        <f>G110/F110*100</f>
        <v>39.353769676884838</v>
      </c>
      <c r="I110" s="2063"/>
    </row>
    <row r="111" spans="1:10" ht="13.5" thickTop="1" x14ac:dyDescent="0.2">
      <c r="I111" s="1970"/>
    </row>
    <row r="112" spans="1:10" ht="15" x14ac:dyDescent="0.25">
      <c r="A112" s="2129" t="s">
        <v>1753</v>
      </c>
      <c r="B112" s="2003"/>
      <c r="C112" s="2003"/>
      <c r="D112" s="2003"/>
    </row>
    <row r="113" spans="1:10" ht="15.75" thickBot="1" x14ac:dyDescent="0.3">
      <c r="A113" s="2130" t="s">
        <v>1091</v>
      </c>
      <c r="B113" s="2131"/>
      <c r="C113" s="2131"/>
      <c r="H113" s="2043" t="s">
        <v>173</v>
      </c>
    </row>
    <row r="114" spans="1:10" s="1735" customFormat="1" ht="25.5" thickTop="1" thickBot="1" x14ac:dyDescent="0.25">
      <c r="A114" s="1943" t="s">
        <v>174</v>
      </c>
      <c r="B114" s="1944" t="s">
        <v>800</v>
      </c>
      <c r="C114" s="1944" t="s">
        <v>397</v>
      </c>
      <c r="D114" s="1945" t="s">
        <v>176</v>
      </c>
      <c r="E114" s="1976" t="s">
        <v>669</v>
      </c>
      <c r="F114" s="1976" t="s">
        <v>670</v>
      </c>
      <c r="G114" s="1977" t="s">
        <v>923</v>
      </c>
      <c r="H114" s="1978" t="s">
        <v>924</v>
      </c>
    </row>
    <row r="115" spans="1:10" s="1735" customFormat="1" ht="13.5" thickTop="1" thickBot="1" x14ac:dyDescent="0.25">
      <c r="A115" s="1740">
        <v>1</v>
      </c>
      <c r="B115" s="1739">
        <v>2</v>
      </c>
      <c r="C115" s="1739">
        <v>3</v>
      </c>
      <c r="D115" s="1739">
        <v>4</v>
      </c>
      <c r="E115" s="1738">
        <v>5</v>
      </c>
      <c r="F115" s="1738">
        <v>6</v>
      </c>
      <c r="G115" s="2028">
        <v>7</v>
      </c>
      <c r="H115" s="2054" t="s">
        <v>61</v>
      </c>
    </row>
    <row r="116" spans="1:10" ht="30.75" thickTop="1" x14ac:dyDescent="0.2">
      <c r="A116" s="2049">
        <v>3299</v>
      </c>
      <c r="B116" s="2056">
        <v>5229</v>
      </c>
      <c r="C116" s="2059">
        <v>32133012</v>
      </c>
      <c r="D116" s="1979" t="s">
        <v>1015</v>
      </c>
      <c r="E116" s="1989">
        <v>0</v>
      </c>
      <c r="F116" s="1989">
        <v>87</v>
      </c>
      <c r="G116" s="1989">
        <v>33</v>
      </c>
      <c r="H116" s="1961">
        <f>G116/F116*100</f>
        <v>37.931034482758619</v>
      </c>
      <c r="J116" s="2061"/>
    </row>
    <row r="117" spans="1:10" ht="30.75" thickBot="1" x14ac:dyDescent="0.25">
      <c r="A117" s="2049">
        <v>3299</v>
      </c>
      <c r="B117" s="2056">
        <v>5229</v>
      </c>
      <c r="C117" s="2059">
        <v>32533012</v>
      </c>
      <c r="D117" s="1979" t="s">
        <v>1015</v>
      </c>
      <c r="E117" s="1989">
        <v>0</v>
      </c>
      <c r="F117" s="1989">
        <v>493</v>
      </c>
      <c r="G117" s="1989">
        <v>189</v>
      </c>
      <c r="H117" s="1961">
        <f>G117/F117*100</f>
        <v>38.336713995943207</v>
      </c>
      <c r="J117" s="2061"/>
    </row>
    <row r="118" spans="1:10" ht="30.75" hidden="1" thickBot="1" x14ac:dyDescent="0.25">
      <c r="A118" s="2049">
        <v>3299</v>
      </c>
      <c r="B118" s="2056">
        <v>6351</v>
      </c>
      <c r="C118" s="2059">
        <v>32133887</v>
      </c>
      <c r="D118" s="1979" t="s">
        <v>1339</v>
      </c>
      <c r="E118" s="1989">
        <v>0</v>
      </c>
      <c r="F118" s="1989">
        <v>0</v>
      </c>
      <c r="G118" s="1989">
        <v>0</v>
      </c>
      <c r="H118" s="1961" t="e">
        <f>G118/F118*100</f>
        <v>#DIV/0!</v>
      </c>
      <c r="J118" s="2061"/>
    </row>
    <row r="119" spans="1:10" ht="30.75" hidden="1" thickBot="1" x14ac:dyDescent="0.25">
      <c r="A119" s="2049">
        <v>3299</v>
      </c>
      <c r="B119" s="2056">
        <v>6351</v>
      </c>
      <c r="C119" s="2059">
        <v>32533887</v>
      </c>
      <c r="D119" s="1979" t="s">
        <v>1339</v>
      </c>
      <c r="E119" s="1989">
        <v>0</v>
      </c>
      <c r="F119" s="1989">
        <v>0</v>
      </c>
      <c r="G119" s="1989">
        <v>0</v>
      </c>
      <c r="H119" s="1968" t="e">
        <f>G119/F119*100</f>
        <v>#DIV/0!</v>
      </c>
      <c r="J119" s="2061"/>
    </row>
    <row r="120" spans="1:10" s="1969" customFormat="1" ht="16.5" thickTop="1" thickBot="1" x14ac:dyDescent="0.3">
      <c r="A120" s="2750" t="s">
        <v>802</v>
      </c>
      <c r="B120" s="2751"/>
      <c r="C120" s="2751"/>
      <c r="D120" s="2751"/>
      <c r="E120" s="1957">
        <f>SUM(E116:E119)</f>
        <v>0</v>
      </c>
      <c r="F120" s="1957">
        <f>SUM(F116:F119)</f>
        <v>580</v>
      </c>
      <c r="G120" s="1957">
        <f>SUM(G116:G119)</f>
        <v>222</v>
      </c>
      <c r="H120" s="1962">
        <f>G120/F120*100</f>
        <v>38.275862068965516</v>
      </c>
      <c r="I120" s="2063"/>
    </row>
    <row r="121" spans="1:10" ht="13.5" thickTop="1" x14ac:dyDescent="0.2">
      <c r="I121" s="1970"/>
    </row>
    <row r="122" spans="1:10" ht="15" x14ac:dyDescent="0.25">
      <c r="A122" s="2129" t="s">
        <v>1092</v>
      </c>
      <c r="B122" s="2003"/>
      <c r="C122" s="2003"/>
      <c r="D122" s="2003"/>
    </row>
    <row r="123" spans="1:10" ht="15.75" thickBot="1" x14ac:dyDescent="0.3">
      <c r="A123" s="2130" t="s">
        <v>1093</v>
      </c>
      <c r="B123" s="2131"/>
      <c r="C123" s="2131"/>
      <c r="H123" s="2043" t="s">
        <v>173</v>
      </c>
    </row>
    <row r="124" spans="1:10" s="1735" customFormat="1" ht="25.5" thickTop="1" thickBot="1" x14ac:dyDescent="0.25">
      <c r="A124" s="1943" t="s">
        <v>174</v>
      </c>
      <c r="B124" s="1944" t="s">
        <v>800</v>
      </c>
      <c r="C124" s="1944" t="s">
        <v>397</v>
      </c>
      <c r="D124" s="1945" t="s">
        <v>176</v>
      </c>
      <c r="E124" s="1976" t="s">
        <v>669</v>
      </c>
      <c r="F124" s="1976" t="s">
        <v>670</v>
      </c>
      <c r="G124" s="1977" t="s">
        <v>923</v>
      </c>
      <c r="H124" s="1978" t="s">
        <v>924</v>
      </c>
    </row>
    <row r="125" spans="1:10" s="1735" customFormat="1" ht="13.5" thickTop="1" thickBot="1" x14ac:dyDescent="0.25">
      <c r="A125" s="1740">
        <v>1</v>
      </c>
      <c r="B125" s="1739">
        <v>2</v>
      </c>
      <c r="C125" s="1739">
        <v>3</v>
      </c>
      <c r="D125" s="1739">
        <v>4</v>
      </c>
      <c r="E125" s="1738">
        <v>5</v>
      </c>
      <c r="F125" s="1738">
        <v>6</v>
      </c>
      <c r="G125" s="2028">
        <v>7</v>
      </c>
      <c r="H125" s="2054" t="s">
        <v>61</v>
      </c>
    </row>
    <row r="126" spans="1:10" ht="30.75" thickTop="1" x14ac:dyDescent="0.2">
      <c r="A126" s="2049">
        <v>3299</v>
      </c>
      <c r="B126" s="2056">
        <v>5229</v>
      </c>
      <c r="C126" s="2059">
        <v>32133012</v>
      </c>
      <c r="D126" s="1979" t="s">
        <v>1015</v>
      </c>
      <c r="E126" s="1989">
        <v>0</v>
      </c>
      <c r="F126" s="1989">
        <v>340</v>
      </c>
      <c r="G126" s="1989">
        <v>212</v>
      </c>
      <c r="H126" s="1961">
        <f>G126/F126*100</f>
        <v>62.352941176470587</v>
      </c>
      <c r="J126" s="2061"/>
    </row>
    <row r="127" spans="1:10" ht="30.75" thickBot="1" x14ac:dyDescent="0.25">
      <c r="A127" s="2049">
        <v>3299</v>
      </c>
      <c r="B127" s="2056">
        <v>5229</v>
      </c>
      <c r="C127" s="2059">
        <v>32533012</v>
      </c>
      <c r="D127" s="1979" t="s">
        <v>1015</v>
      </c>
      <c r="E127" s="1989">
        <v>0</v>
      </c>
      <c r="F127" s="1989">
        <v>1927</v>
      </c>
      <c r="G127" s="1989">
        <v>1203</v>
      </c>
      <c r="H127" s="1961">
        <f>G127/F127*100</f>
        <v>62.428645563051376</v>
      </c>
      <c r="J127" s="2061"/>
    </row>
    <row r="128" spans="1:10" ht="30.75" hidden="1" thickBot="1" x14ac:dyDescent="0.25">
      <c r="A128" s="2049">
        <v>3299</v>
      </c>
      <c r="B128" s="2056">
        <v>6351</v>
      </c>
      <c r="C128" s="2059">
        <v>32133887</v>
      </c>
      <c r="D128" s="1979" t="s">
        <v>1339</v>
      </c>
      <c r="E128" s="1989">
        <v>0</v>
      </c>
      <c r="F128" s="1989">
        <v>0</v>
      </c>
      <c r="G128" s="1989">
        <v>0</v>
      </c>
      <c r="H128" s="1961" t="e">
        <f>G128/F128*100</f>
        <v>#DIV/0!</v>
      </c>
      <c r="J128" s="2061"/>
    </row>
    <row r="129" spans="1:12" ht="30.75" hidden="1" thickBot="1" x14ac:dyDescent="0.25">
      <c r="A129" s="2049">
        <v>3299</v>
      </c>
      <c r="B129" s="2056">
        <v>6351</v>
      </c>
      <c r="C129" s="2059">
        <v>32533887</v>
      </c>
      <c r="D129" s="1979" t="s">
        <v>1339</v>
      </c>
      <c r="E129" s="1989">
        <v>0</v>
      </c>
      <c r="F129" s="1989">
        <v>0</v>
      </c>
      <c r="G129" s="1989">
        <v>0</v>
      </c>
      <c r="H129" s="1968" t="e">
        <f>G129/F129*100</f>
        <v>#DIV/0!</v>
      </c>
      <c r="J129" s="2061"/>
    </row>
    <row r="130" spans="1:12" s="1969" customFormat="1" ht="16.5" thickTop="1" thickBot="1" x14ac:dyDescent="0.3">
      <c r="A130" s="2750" t="s">
        <v>802</v>
      </c>
      <c r="B130" s="2751"/>
      <c r="C130" s="2751"/>
      <c r="D130" s="2751"/>
      <c r="E130" s="1957">
        <f>SUM(E126:E129)</f>
        <v>0</v>
      </c>
      <c r="F130" s="1957">
        <f>SUM(F126:F129)</f>
        <v>2267</v>
      </c>
      <c r="G130" s="1957">
        <f>SUM(G126:G129)</f>
        <v>1415</v>
      </c>
      <c r="H130" s="1962">
        <f>G130/F130*100</f>
        <v>62.41729157476842</v>
      </c>
      <c r="I130" s="2063"/>
    </row>
    <row r="131" spans="1:12" ht="13.5" thickTop="1" x14ac:dyDescent="0.2">
      <c r="I131" s="1970"/>
    </row>
    <row r="132" spans="1:12" ht="15" x14ac:dyDescent="0.25">
      <c r="A132" s="2129"/>
      <c r="B132" s="2003"/>
      <c r="C132" s="2003"/>
      <c r="D132" s="2003"/>
    </row>
    <row r="133" spans="1:12" x14ac:dyDescent="0.2">
      <c r="I133" s="1970"/>
    </row>
    <row r="134" spans="1:12" x14ac:dyDescent="0.2">
      <c r="I134" s="1970"/>
    </row>
    <row r="135" spans="1:12" x14ac:dyDescent="0.2">
      <c r="I135" s="1970"/>
    </row>
    <row r="136" spans="1:12" x14ac:dyDescent="0.2">
      <c r="I136" s="1970"/>
    </row>
    <row r="138" spans="1:12" ht="16.5" x14ac:dyDescent="0.25">
      <c r="A138" s="2011" t="s">
        <v>487</v>
      </c>
      <c r="B138" s="2012"/>
      <c r="C138" s="2013"/>
      <c r="D138" s="2014"/>
      <c r="E138" s="2015">
        <f>SUM(E139:E141)</f>
        <v>0</v>
      </c>
      <c r="F138" s="2015">
        <f>F139+F140+F141+F142</f>
        <v>81267</v>
      </c>
      <c r="G138" s="2015">
        <f>G139+G140+G141+G142</f>
        <v>93267</v>
      </c>
      <c r="H138" s="2035">
        <f>G138/F138*100</f>
        <v>114.76614123814095</v>
      </c>
      <c r="J138" s="2017">
        <f>J139+J140+J141</f>
        <v>0</v>
      </c>
      <c r="K138" s="2017">
        <f>K139+K140+K141</f>
        <v>81267128.870000005</v>
      </c>
      <c r="L138" s="2017">
        <f>L139+L140+L141</f>
        <v>93267153.969999999</v>
      </c>
    </row>
    <row r="139" spans="1:12" ht="15" x14ac:dyDescent="0.2">
      <c r="A139" s="1696" t="s">
        <v>277</v>
      </c>
      <c r="B139" s="1699"/>
      <c r="C139" s="1694"/>
      <c r="D139" s="2018"/>
      <c r="E139" s="1697">
        <f>E10+E11+E12+E13+E14+E15+E16+E17+E18+E19+E20+E30+E37+E39+E46+E47+E56+E57+E66+E67+E86+E87+E96+E97+E106+E107+E116+E117+E126+E127</f>
        <v>0</v>
      </c>
      <c r="F139" s="1697">
        <f>F10+F11+F12+F13+F14+F15+F16+F17+F18+F19+F20+F30+F37+F39+F46+F47+F56+F57+F66+F67+F86+F87+F96+F97+F106+F107+F116+F117+F126+F127</f>
        <v>80658</v>
      </c>
      <c r="G139" s="1697">
        <f>G10+G11+G12+G13+G14+G15+G16+G17+G18+G19+G20+G30+G37+G39+G46+G47+G56+G57+G66+G67+G86+G87+G96+G97+G106+G107+G116+G117+G126+G127</f>
        <v>44834</v>
      </c>
      <c r="H139" s="2034">
        <f>G139/F139*100</f>
        <v>55.585310818517698</v>
      </c>
      <c r="J139" s="2019">
        <v>0</v>
      </c>
      <c r="K139" s="2019">
        <v>80659114.450000003</v>
      </c>
      <c r="L139" s="2019">
        <v>44834683.07</v>
      </c>
    </row>
    <row r="140" spans="1:12" ht="15" x14ac:dyDescent="0.2">
      <c r="A140" s="1696" t="s">
        <v>278</v>
      </c>
      <c r="B140" s="1695"/>
      <c r="C140" s="1694"/>
      <c r="D140" s="2020"/>
      <c r="E140" s="1697">
        <f>E21+E22+E23+E24+E25+E26+E27+E28+E48+E49+E98+E99</f>
        <v>0</v>
      </c>
      <c r="F140" s="1697">
        <f>F21+F22+F23+F24+F25+F26+F27+F28+F48+F49+F98+F99+F58+F59</f>
        <v>609</v>
      </c>
      <c r="G140" s="1697">
        <f>G21+G22+G23+G24+G25+G26+G27+G28+G48+G49+G98+G99+G58+G59</f>
        <v>384</v>
      </c>
      <c r="H140" s="2034">
        <f>G140/F140*100</f>
        <v>63.054187192118228</v>
      </c>
      <c r="J140" s="2019">
        <v>0</v>
      </c>
      <c r="K140" s="2019">
        <v>608014.42000000004</v>
      </c>
      <c r="L140" s="2019">
        <v>383126</v>
      </c>
    </row>
    <row r="141" spans="1:12" ht="15" x14ac:dyDescent="0.2">
      <c r="A141" s="1696" t="s">
        <v>488</v>
      </c>
      <c r="B141" s="1695"/>
      <c r="C141" s="1694"/>
      <c r="D141" s="2020"/>
      <c r="E141" s="1697">
        <v>0</v>
      </c>
      <c r="F141" s="1697">
        <v>0</v>
      </c>
      <c r="G141" s="1697">
        <f>G29</f>
        <v>48049</v>
      </c>
      <c r="H141" s="2034">
        <v>0</v>
      </c>
      <c r="J141" s="2019">
        <v>0</v>
      </c>
      <c r="K141" s="2019">
        <v>0</v>
      </c>
      <c r="L141" s="2019">
        <v>48049344.899999999</v>
      </c>
    </row>
    <row r="142" spans="1:12" ht="15" x14ac:dyDescent="0.2">
      <c r="A142" s="1696"/>
      <c r="B142" s="1695"/>
      <c r="C142" s="1694"/>
      <c r="D142" s="2020"/>
      <c r="E142" s="1697"/>
      <c r="F142" s="1697"/>
      <c r="G142" s="1697"/>
      <c r="H142" s="1693"/>
    </row>
    <row r="143" spans="1:12" ht="46.5" customHeight="1" thickBot="1" x14ac:dyDescent="0.4">
      <c r="A143" s="2746" t="s">
        <v>854</v>
      </c>
      <c r="B143" s="2747"/>
      <c r="C143" s="2747"/>
      <c r="D143" s="2747"/>
      <c r="E143" s="1687">
        <f>SUM(E138)</f>
        <v>0</v>
      </c>
      <c r="F143" s="1687">
        <f>SUM(F138)</f>
        <v>81267</v>
      </c>
      <c r="G143" s="1687">
        <f>SUM(G138)</f>
        <v>93267</v>
      </c>
      <c r="H143" s="1686">
        <f>(G143/F143)*100</f>
        <v>114.76614123814095</v>
      </c>
    </row>
    <row r="144" spans="1:12" ht="13.5" thickTop="1" x14ac:dyDescent="0.2"/>
    <row r="263" spans="1:5" ht="13.5" thickBot="1" x14ac:dyDescent="0.25">
      <c r="A263" s="1984"/>
      <c r="B263" s="1984"/>
      <c r="C263" s="1984"/>
      <c r="D263" s="2064"/>
      <c r="E263" s="2065"/>
    </row>
    <row r="264" spans="1:5" ht="13.5" thickTop="1" x14ac:dyDescent="0.2">
      <c r="A264" s="2009"/>
      <c r="B264" s="2009"/>
      <c r="C264" s="2009"/>
      <c r="D264" s="1998"/>
      <c r="E264" s="2066"/>
    </row>
    <row r="265" spans="1:5" x14ac:dyDescent="0.2">
      <c r="D265" s="1937" t="e">
        <f>#REF!+#REF!</f>
        <v>#REF!</v>
      </c>
    </row>
  </sheetData>
  <mergeCells count="12">
    <mergeCell ref="A143:D143"/>
    <mergeCell ref="A31:D31"/>
    <mergeCell ref="A40:D40"/>
    <mergeCell ref="A50:D50"/>
    <mergeCell ref="A60:D60"/>
    <mergeCell ref="A70:D70"/>
    <mergeCell ref="A80:D80"/>
    <mergeCell ref="A90:D90"/>
    <mergeCell ref="A100:D100"/>
    <mergeCell ref="A110:D110"/>
    <mergeCell ref="A120:D120"/>
    <mergeCell ref="A130:D130"/>
  </mergeCells>
  <pageMargins left="0.98425196850393704" right="0.78740157480314965" top="0.98425196850393704" bottom="0.98425196850393704" header="0.51181102362204722" footer="0.51181102362204722"/>
  <pageSetup paperSize="9" scale="65" firstPageNumber="147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2" manualBreakCount="2">
    <brk id="51" max="7" man="1"/>
    <brk id="120" max="7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52"/>
  <sheetViews>
    <sheetView showGridLines="0" view="pageBreakPreview" zoomScaleNormal="100" zoomScaleSheetLayoutView="100" workbookViewId="0">
      <selection activeCell="J226" sqref="J226:L228"/>
    </sheetView>
  </sheetViews>
  <sheetFormatPr defaultRowHeight="12.75" x14ac:dyDescent="0.2"/>
  <cols>
    <col min="1" max="1" width="5.7109375" style="1936" customWidth="1"/>
    <col min="2" max="2" width="6.7109375" style="1936" customWidth="1"/>
    <col min="3" max="3" width="8.85546875" style="1936" customWidth="1"/>
    <col min="4" max="4" width="46.85546875" style="1937" customWidth="1"/>
    <col min="5" max="5" width="12.85546875" style="1970" customWidth="1"/>
    <col min="6" max="6" width="15.5703125" style="1970" customWidth="1"/>
    <col min="7" max="7" width="15.85546875" style="1970" customWidth="1"/>
    <col min="8" max="8" width="8.140625" style="1937" customWidth="1"/>
    <col min="9" max="9" width="14.28515625" style="1937" bestFit="1" customWidth="1"/>
    <col min="10" max="10" width="14.7109375" style="1937" bestFit="1" customWidth="1"/>
    <col min="11" max="11" width="16" style="1937" bestFit="1" customWidth="1"/>
    <col min="12" max="12" width="15.5703125" style="1937" customWidth="1"/>
    <col min="13" max="256" width="9.140625" style="1937"/>
    <col min="257" max="257" width="5.7109375" style="1937" customWidth="1"/>
    <col min="258" max="258" width="6.7109375" style="1937" customWidth="1"/>
    <col min="259" max="259" width="8.85546875" style="1937" customWidth="1"/>
    <col min="260" max="260" width="46.42578125" style="1937" customWidth="1"/>
    <col min="261" max="261" width="12.85546875" style="1937" customWidth="1"/>
    <col min="262" max="262" width="15.5703125" style="1937" customWidth="1"/>
    <col min="263" max="263" width="15.85546875" style="1937" customWidth="1"/>
    <col min="264" max="264" width="6.42578125" style="1937" customWidth="1"/>
    <col min="265" max="265" width="14.28515625" style="1937" bestFit="1" customWidth="1"/>
    <col min="266" max="266" width="14.7109375" style="1937" bestFit="1" customWidth="1"/>
    <col min="267" max="267" width="16" style="1937" bestFit="1" customWidth="1"/>
    <col min="268" max="268" width="15.5703125" style="1937" customWidth="1"/>
    <col min="269" max="512" width="9.140625" style="1937"/>
    <col min="513" max="513" width="5.7109375" style="1937" customWidth="1"/>
    <col min="514" max="514" width="6.7109375" style="1937" customWidth="1"/>
    <col min="515" max="515" width="8.85546875" style="1937" customWidth="1"/>
    <col min="516" max="516" width="46.42578125" style="1937" customWidth="1"/>
    <col min="517" max="517" width="12.85546875" style="1937" customWidth="1"/>
    <col min="518" max="518" width="15.5703125" style="1937" customWidth="1"/>
    <col min="519" max="519" width="15.85546875" style="1937" customWidth="1"/>
    <col min="520" max="520" width="6.42578125" style="1937" customWidth="1"/>
    <col min="521" max="521" width="14.28515625" style="1937" bestFit="1" customWidth="1"/>
    <col min="522" max="522" width="14.7109375" style="1937" bestFit="1" customWidth="1"/>
    <col min="523" max="523" width="16" style="1937" bestFit="1" customWidth="1"/>
    <col min="524" max="524" width="15.5703125" style="1937" customWidth="1"/>
    <col min="525" max="768" width="9.140625" style="1937"/>
    <col min="769" max="769" width="5.7109375" style="1937" customWidth="1"/>
    <col min="770" max="770" width="6.7109375" style="1937" customWidth="1"/>
    <col min="771" max="771" width="8.85546875" style="1937" customWidth="1"/>
    <col min="772" max="772" width="46.42578125" style="1937" customWidth="1"/>
    <col min="773" max="773" width="12.85546875" style="1937" customWidth="1"/>
    <col min="774" max="774" width="15.5703125" style="1937" customWidth="1"/>
    <col min="775" max="775" width="15.85546875" style="1937" customWidth="1"/>
    <col min="776" max="776" width="6.42578125" style="1937" customWidth="1"/>
    <col min="777" max="777" width="14.28515625" style="1937" bestFit="1" customWidth="1"/>
    <col min="778" max="778" width="14.7109375" style="1937" bestFit="1" customWidth="1"/>
    <col min="779" max="779" width="16" style="1937" bestFit="1" customWidth="1"/>
    <col min="780" max="780" width="15.5703125" style="1937" customWidth="1"/>
    <col min="781" max="1024" width="9.140625" style="1937"/>
    <col min="1025" max="1025" width="5.7109375" style="1937" customWidth="1"/>
    <col min="1026" max="1026" width="6.7109375" style="1937" customWidth="1"/>
    <col min="1027" max="1027" width="8.85546875" style="1937" customWidth="1"/>
    <col min="1028" max="1028" width="46.42578125" style="1937" customWidth="1"/>
    <col min="1029" max="1029" width="12.85546875" style="1937" customWidth="1"/>
    <col min="1030" max="1030" width="15.5703125" style="1937" customWidth="1"/>
    <col min="1031" max="1031" width="15.85546875" style="1937" customWidth="1"/>
    <col min="1032" max="1032" width="6.42578125" style="1937" customWidth="1"/>
    <col min="1033" max="1033" width="14.28515625" style="1937" bestFit="1" customWidth="1"/>
    <col min="1034" max="1034" width="14.7109375" style="1937" bestFit="1" customWidth="1"/>
    <col min="1035" max="1035" width="16" style="1937" bestFit="1" customWidth="1"/>
    <col min="1036" max="1036" width="15.5703125" style="1937" customWidth="1"/>
    <col min="1037" max="1280" width="9.140625" style="1937"/>
    <col min="1281" max="1281" width="5.7109375" style="1937" customWidth="1"/>
    <col min="1282" max="1282" width="6.7109375" style="1937" customWidth="1"/>
    <col min="1283" max="1283" width="8.85546875" style="1937" customWidth="1"/>
    <col min="1284" max="1284" width="46.42578125" style="1937" customWidth="1"/>
    <col min="1285" max="1285" width="12.85546875" style="1937" customWidth="1"/>
    <col min="1286" max="1286" width="15.5703125" style="1937" customWidth="1"/>
    <col min="1287" max="1287" width="15.85546875" style="1937" customWidth="1"/>
    <col min="1288" max="1288" width="6.42578125" style="1937" customWidth="1"/>
    <col min="1289" max="1289" width="14.28515625" style="1937" bestFit="1" customWidth="1"/>
    <col min="1290" max="1290" width="14.7109375" style="1937" bestFit="1" customWidth="1"/>
    <col min="1291" max="1291" width="16" style="1937" bestFit="1" customWidth="1"/>
    <col min="1292" max="1292" width="15.5703125" style="1937" customWidth="1"/>
    <col min="1293" max="1536" width="9.140625" style="1937"/>
    <col min="1537" max="1537" width="5.7109375" style="1937" customWidth="1"/>
    <col min="1538" max="1538" width="6.7109375" style="1937" customWidth="1"/>
    <col min="1539" max="1539" width="8.85546875" style="1937" customWidth="1"/>
    <col min="1540" max="1540" width="46.42578125" style="1937" customWidth="1"/>
    <col min="1541" max="1541" width="12.85546875" style="1937" customWidth="1"/>
    <col min="1542" max="1542" width="15.5703125" style="1937" customWidth="1"/>
    <col min="1543" max="1543" width="15.85546875" style="1937" customWidth="1"/>
    <col min="1544" max="1544" width="6.42578125" style="1937" customWidth="1"/>
    <col min="1545" max="1545" width="14.28515625" style="1937" bestFit="1" customWidth="1"/>
    <col min="1546" max="1546" width="14.7109375" style="1937" bestFit="1" customWidth="1"/>
    <col min="1547" max="1547" width="16" style="1937" bestFit="1" customWidth="1"/>
    <col min="1548" max="1548" width="15.5703125" style="1937" customWidth="1"/>
    <col min="1549" max="1792" width="9.140625" style="1937"/>
    <col min="1793" max="1793" width="5.7109375" style="1937" customWidth="1"/>
    <col min="1794" max="1794" width="6.7109375" style="1937" customWidth="1"/>
    <col min="1795" max="1795" width="8.85546875" style="1937" customWidth="1"/>
    <col min="1796" max="1796" width="46.42578125" style="1937" customWidth="1"/>
    <col min="1797" max="1797" width="12.85546875" style="1937" customWidth="1"/>
    <col min="1798" max="1798" width="15.5703125" style="1937" customWidth="1"/>
    <col min="1799" max="1799" width="15.85546875" style="1937" customWidth="1"/>
    <col min="1800" max="1800" width="6.42578125" style="1937" customWidth="1"/>
    <col min="1801" max="1801" width="14.28515625" style="1937" bestFit="1" customWidth="1"/>
    <col min="1802" max="1802" width="14.7109375" style="1937" bestFit="1" customWidth="1"/>
    <col min="1803" max="1803" width="16" style="1937" bestFit="1" customWidth="1"/>
    <col min="1804" max="1804" width="15.5703125" style="1937" customWidth="1"/>
    <col min="1805" max="2048" width="9.140625" style="1937"/>
    <col min="2049" max="2049" width="5.7109375" style="1937" customWidth="1"/>
    <col min="2050" max="2050" width="6.7109375" style="1937" customWidth="1"/>
    <col min="2051" max="2051" width="8.85546875" style="1937" customWidth="1"/>
    <col min="2052" max="2052" width="46.42578125" style="1937" customWidth="1"/>
    <col min="2053" max="2053" width="12.85546875" style="1937" customWidth="1"/>
    <col min="2054" max="2054" width="15.5703125" style="1937" customWidth="1"/>
    <col min="2055" max="2055" width="15.85546875" style="1937" customWidth="1"/>
    <col min="2056" max="2056" width="6.42578125" style="1937" customWidth="1"/>
    <col min="2057" max="2057" width="14.28515625" style="1937" bestFit="1" customWidth="1"/>
    <col min="2058" max="2058" width="14.7109375" style="1937" bestFit="1" customWidth="1"/>
    <col min="2059" max="2059" width="16" style="1937" bestFit="1" customWidth="1"/>
    <col min="2060" max="2060" width="15.5703125" style="1937" customWidth="1"/>
    <col min="2061" max="2304" width="9.140625" style="1937"/>
    <col min="2305" max="2305" width="5.7109375" style="1937" customWidth="1"/>
    <col min="2306" max="2306" width="6.7109375" style="1937" customWidth="1"/>
    <col min="2307" max="2307" width="8.85546875" style="1937" customWidth="1"/>
    <col min="2308" max="2308" width="46.42578125" style="1937" customWidth="1"/>
    <col min="2309" max="2309" width="12.85546875" style="1937" customWidth="1"/>
    <col min="2310" max="2310" width="15.5703125" style="1937" customWidth="1"/>
    <col min="2311" max="2311" width="15.85546875" style="1937" customWidth="1"/>
    <col min="2312" max="2312" width="6.42578125" style="1937" customWidth="1"/>
    <col min="2313" max="2313" width="14.28515625" style="1937" bestFit="1" customWidth="1"/>
    <col min="2314" max="2314" width="14.7109375" style="1937" bestFit="1" customWidth="1"/>
    <col min="2315" max="2315" width="16" style="1937" bestFit="1" customWidth="1"/>
    <col min="2316" max="2316" width="15.5703125" style="1937" customWidth="1"/>
    <col min="2317" max="2560" width="9.140625" style="1937"/>
    <col min="2561" max="2561" width="5.7109375" style="1937" customWidth="1"/>
    <col min="2562" max="2562" width="6.7109375" style="1937" customWidth="1"/>
    <col min="2563" max="2563" width="8.85546875" style="1937" customWidth="1"/>
    <col min="2564" max="2564" width="46.42578125" style="1937" customWidth="1"/>
    <col min="2565" max="2565" width="12.85546875" style="1937" customWidth="1"/>
    <col min="2566" max="2566" width="15.5703125" style="1937" customWidth="1"/>
    <col min="2567" max="2567" width="15.85546875" style="1937" customWidth="1"/>
    <col min="2568" max="2568" width="6.42578125" style="1937" customWidth="1"/>
    <col min="2569" max="2569" width="14.28515625" style="1937" bestFit="1" customWidth="1"/>
    <col min="2570" max="2570" width="14.7109375" style="1937" bestFit="1" customWidth="1"/>
    <col min="2571" max="2571" width="16" style="1937" bestFit="1" customWidth="1"/>
    <col min="2572" max="2572" width="15.5703125" style="1937" customWidth="1"/>
    <col min="2573" max="2816" width="9.140625" style="1937"/>
    <col min="2817" max="2817" width="5.7109375" style="1937" customWidth="1"/>
    <col min="2818" max="2818" width="6.7109375" style="1937" customWidth="1"/>
    <col min="2819" max="2819" width="8.85546875" style="1937" customWidth="1"/>
    <col min="2820" max="2820" width="46.42578125" style="1937" customWidth="1"/>
    <col min="2821" max="2821" width="12.85546875" style="1937" customWidth="1"/>
    <col min="2822" max="2822" width="15.5703125" style="1937" customWidth="1"/>
    <col min="2823" max="2823" width="15.85546875" style="1937" customWidth="1"/>
    <col min="2824" max="2824" width="6.42578125" style="1937" customWidth="1"/>
    <col min="2825" max="2825" width="14.28515625" style="1937" bestFit="1" customWidth="1"/>
    <col min="2826" max="2826" width="14.7109375" style="1937" bestFit="1" customWidth="1"/>
    <col min="2827" max="2827" width="16" style="1937" bestFit="1" customWidth="1"/>
    <col min="2828" max="2828" width="15.5703125" style="1937" customWidth="1"/>
    <col min="2829" max="3072" width="9.140625" style="1937"/>
    <col min="3073" max="3073" width="5.7109375" style="1937" customWidth="1"/>
    <col min="3074" max="3074" width="6.7109375" style="1937" customWidth="1"/>
    <col min="3075" max="3075" width="8.85546875" style="1937" customWidth="1"/>
    <col min="3076" max="3076" width="46.42578125" style="1937" customWidth="1"/>
    <col min="3077" max="3077" width="12.85546875" style="1937" customWidth="1"/>
    <col min="3078" max="3078" width="15.5703125" style="1937" customWidth="1"/>
    <col min="3079" max="3079" width="15.85546875" style="1937" customWidth="1"/>
    <col min="3080" max="3080" width="6.42578125" style="1937" customWidth="1"/>
    <col min="3081" max="3081" width="14.28515625" style="1937" bestFit="1" customWidth="1"/>
    <col min="3082" max="3082" width="14.7109375" style="1937" bestFit="1" customWidth="1"/>
    <col min="3083" max="3083" width="16" style="1937" bestFit="1" customWidth="1"/>
    <col min="3084" max="3084" width="15.5703125" style="1937" customWidth="1"/>
    <col min="3085" max="3328" width="9.140625" style="1937"/>
    <col min="3329" max="3329" width="5.7109375" style="1937" customWidth="1"/>
    <col min="3330" max="3330" width="6.7109375" style="1937" customWidth="1"/>
    <col min="3331" max="3331" width="8.85546875" style="1937" customWidth="1"/>
    <col min="3332" max="3332" width="46.42578125" style="1937" customWidth="1"/>
    <col min="3333" max="3333" width="12.85546875" style="1937" customWidth="1"/>
    <col min="3334" max="3334" width="15.5703125" style="1937" customWidth="1"/>
    <col min="3335" max="3335" width="15.85546875" style="1937" customWidth="1"/>
    <col min="3336" max="3336" width="6.42578125" style="1937" customWidth="1"/>
    <col min="3337" max="3337" width="14.28515625" style="1937" bestFit="1" customWidth="1"/>
    <col min="3338" max="3338" width="14.7109375" style="1937" bestFit="1" customWidth="1"/>
    <col min="3339" max="3339" width="16" style="1937" bestFit="1" customWidth="1"/>
    <col min="3340" max="3340" width="15.5703125" style="1937" customWidth="1"/>
    <col min="3341" max="3584" width="9.140625" style="1937"/>
    <col min="3585" max="3585" width="5.7109375" style="1937" customWidth="1"/>
    <col min="3586" max="3586" width="6.7109375" style="1937" customWidth="1"/>
    <col min="3587" max="3587" width="8.85546875" style="1937" customWidth="1"/>
    <col min="3588" max="3588" width="46.42578125" style="1937" customWidth="1"/>
    <col min="3589" max="3589" width="12.85546875" style="1937" customWidth="1"/>
    <col min="3590" max="3590" width="15.5703125" style="1937" customWidth="1"/>
    <col min="3591" max="3591" width="15.85546875" style="1937" customWidth="1"/>
    <col min="3592" max="3592" width="6.42578125" style="1937" customWidth="1"/>
    <col min="3593" max="3593" width="14.28515625" style="1937" bestFit="1" customWidth="1"/>
    <col min="3594" max="3594" width="14.7109375" style="1937" bestFit="1" customWidth="1"/>
    <col min="3595" max="3595" width="16" style="1937" bestFit="1" customWidth="1"/>
    <col min="3596" max="3596" width="15.5703125" style="1937" customWidth="1"/>
    <col min="3597" max="3840" width="9.140625" style="1937"/>
    <col min="3841" max="3841" width="5.7109375" style="1937" customWidth="1"/>
    <col min="3842" max="3842" width="6.7109375" style="1937" customWidth="1"/>
    <col min="3843" max="3843" width="8.85546875" style="1937" customWidth="1"/>
    <col min="3844" max="3844" width="46.42578125" style="1937" customWidth="1"/>
    <col min="3845" max="3845" width="12.85546875" style="1937" customWidth="1"/>
    <col min="3846" max="3846" width="15.5703125" style="1937" customWidth="1"/>
    <col min="3847" max="3847" width="15.85546875" style="1937" customWidth="1"/>
    <col min="3848" max="3848" width="6.42578125" style="1937" customWidth="1"/>
    <col min="3849" max="3849" width="14.28515625" style="1937" bestFit="1" customWidth="1"/>
    <col min="3850" max="3850" width="14.7109375" style="1937" bestFit="1" customWidth="1"/>
    <col min="3851" max="3851" width="16" style="1937" bestFit="1" customWidth="1"/>
    <col min="3852" max="3852" width="15.5703125" style="1937" customWidth="1"/>
    <col min="3853" max="4096" width="9.140625" style="1937"/>
    <col min="4097" max="4097" width="5.7109375" style="1937" customWidth="1"/>
    <col min="4098" max="4098" width="6.7109375" style="1937" customWidth="1"/>
    <col min="4099" max="4099" width="8.85546875" style="1937" customWidth="1"/>
    <col min="4100" max="4100" width="46.42578125" style="1937" customWidth="1"/>
    <col min="4101" max="4101" width="12.85546875" style="1937" customWidth="1"/>
    <col min="4102" max="4102" width="15.5703125" style="1937" customWidth="1"/>
    <col min="4103" max="4103" width="15.85546875" style="1937" customWidth="1"/>
    <col min="4104" max="4104" width="6.42578125" style="1937" customWidth="1"/>
    <col min="4105" max="4105" width="14.28515625" style="1937" bestFit="1" customWidth="1"/>
    <col min="4106" max="4106" width="14.7109375" style="1937" bestFit="1" customWidth="1"/>
    <col min="4107" max="4107" width="16" style="1937" bestFit="1" customWidth="1"/>
    <col min="4108" max="4108" width="15.5703125" style="1937" customWidth="1"/>
    <col min="4109" max="4352" width="9.140625" style="1937"/>
    <col min="4353" max="4353" width="5.7109375" style="1937" customWidth="1"/>
    <col min="4354" max="4354" width="6.7109375" style="1937" customWidth="1"/>
    <col min="4355" max="4355" width="8.85546875" style="1937" customWidth="1"/>
    <col min="4356" max="4356" width="46.42578125" style="1937" customWidth="1"/>
    <col min="4357" max="4357" width="12.85546875" style="1937" customWidth="1"/>
    <col min="4358" max="4358" width="15.5703125" style="1937" customWidth="1"/>
    <col min="4359" max="4359" width="15.85546875" style="1937" customWidth="1"/>
    <col min="4360" max="4360" width="6.42578125" style="1937" customWidth="1"/>
    <col min="4361" max="4361" width="14.28515625" style="1937" bestFit="1" customWidth="1"/>
    <col min="4362" max="4362" width="14.7109375" style="1937" bestFit="1" customWidth="1"/>
    <col min="4363" max="4363" width="16" style="1937" bestFit="1" customWidth="1"/>
    <col min="4364" max="4364" width="15.5703125" style="1937" customWidth="1"/>
    <col min="4365" max="4608" width="9.140625" style="1937"/>
    <col min="4609" max="4609" width="5.7109375" style="1937" customWidth="1"/>
    <col min="4610" max="4610" width="6.7109375" style="1937" customWidth="1"/>
    <col min="4611" max="4611" width="8.85546875" style="1937" customWidth="1"/>
    <col min="4612" max="4612" width="46.42578125" style="1937" customWidth="1"/>
    <col min="4613" max="4613" width="12.85546875" style="1937" customWidth="1"/>
    <col min="4614" max="4614" width="15.5703125" style="1937" customWidth="1"/>
    <col min="4615" max="4615" width="15.85546875" style="1937" customWidth="1"/>
    <col min="4616" max="4616" width="6.42578125" style="1937" customWidth="1"/>
    <col min="4617" max="4617" width="14.28515625" style="1937" bestFit="1" customWidth="1"/>
    <col min="4618" max="4618" width="14.7109375" style="1937" bestFit="1" customWidth="1"/>
    <col min="4619" max="4619" width="16" style="1937" bestFit="1" customWidth="1"/>
    <col min="4620" max="4620" width="15.5703125" style="1937" customWidth="1"/>
    <col min="4621" max="4864" width="9.140625" style="1937"/>
    <col min="4865" max="4865" width="5.7109375" style="1937" customWidth="1"/>
    <col min="4866" max="4866" width="6.7109375" style="1937" customWidth="1"/>
    <col min="4867" max="4867" width="8.85546875" style="1937" customWidth="1"/>
    <col min="4868" max="4868" width="46.42578125" style="1937" customWidth="1"/>
    <col min="4869" max="4869" width="12.85546875" style="1937" customWidth="1"/>
    <col min="4870" max="4870" width="15.5703125" style="1937" customWidth="1"/>
    <col min="4871" max="4871" width="15.85546875" style="1937" customWidth="1"/>
    <col min="4872" max="4872" width="6.42578125" style="1937" customWidth="1"/>
    <col min="4873" max="4873" width="14.28515625" style="1937" bestFit="1" customWidth="1"/>
    <col min="4874" max="4874" width="14.7109375" style="1937" bestFit="1" customWidth="1"/>
    <col min="4875" max="4875" width="16" style="1937" bestFit="1" customWidth="1"/>
    <col min="4876" max="4876" width="15.5703125" style="1937" customWidth="1"/>
    <col min="4877" max="5120" width="9.140625" style="1937"/>
    <col min="5121" max="5121" width="5.7109375" style="1937" customWidth="1"/>
    <col min="5122" max="5122" width="6.7109375" style="1937" customWidth="1"/>
    <col min="5123" max="5123" width="8.85546875" style="1937" customWidth="1"/>
    <col min="5124" max="5124" width="46.42578125" style="1937" customWidth="1"/>
    <col min="5125" max="5125" width="12.85546875" style="1937" customWidth="1"/>
    <col min="5126" max="5126" width="15.5703125" style="1937" customWidth="1"/>
    <col min="5127" max="5127" width="15.85546875" style="1937" customWidth="1"/>
    <col min="5128" max="5128" width="6.42578125" style="1937" customWidth="1"/>
    <col min="5129" max="5129" width="14.28515625" style="1937" bestFit="1" customWidth="1"/>
    <col min="5130" max="5130" width="14.7109375" style="1937" bestFit="1" customWidth="1"/>
    <col min="5131" max="5131" width="16" style="1937" bestFit="1" customWidth="1"/>
    <col min="5132" max="5132" width="15.5703125" style="1937" customWidth="1"/>
    <col min="5133" max="5376" width="9.140625" style="1937"/>
    <col min="5377" max="5377" width="5.7109375" style="1937" customWidth="1"/>
    <col min="5378" max="5378" width="6.7109375" style="1937" customWidth="1"/>
    <col min="5379" max="5379" width="8.85546875" style="1937" customWidth="1"/>
    <col min="5380" max="5380" width="46.42578125" style="1937" customWidth="1"/>
    <col min="5381" max="5381" width="12.85546875" style="1937" customWidth="1"/>
    <col min="5382" max="5382" width="15.5703125" style="1937" customWidth="1"/>
    <col min="5383" max="5383" width="15.85546875" style="1937" customWidth="1"/>
    <col min="5384" max="5384" width="6.42578125" style="1937" customWidth="1"/>
    <col min="5385" max="5385" width="14.28515625" style="1937" bestFit="1" customWidth="1"/>
    <col min="5386" max="5386" width="14.7109375" style="1937" bestFit="1" customWidth="1"/>
    <col min="5387" max="5387" width="16" style="1937" bestFit="1" customWidth="1"/>
    <col min="5388" max="5388" width="15.5703125" style="1937" customWidth="1"/>
    <col min="5389" max="5632" width="9.140625" style="1937"/>
    <col min="5633" max="5633" width="5.7109375" style="1937" customWidth="1"/>
    <col min="5634" max="5634" width="6.7109375" style="1937" customWidth="1"/>
    <col min="5635" max="5635" width="8.85546875" style="1937" customWidth="1"/>
    <col min="5636" max="5636" width="46.42578125" style="1937" customWidth="1"/>
    <col min="5637" max="5637" width="12.85546875" style="1937" customWidth="1"/>
    <col min="5638" max="5638" width="15.5703125" style="1937" customWidth="1"/>
    <col min="5639" max="5639" width="15.85546875" style="1937" customWidth="1"/>
    <col min="5640" max="5640" width="6.42578125" style="1937" customWidth="1"/>
    <col min="5641" max="5641" width="14.28515625" style="1937" bestFit="1" customWidth="1"/>
    <col min="5642" max="5642" width="14.7109375" style="1937" bestFit="1" customWidth="1"/>
    <col min="5643" max="5643" width="16" style="1937" bestFit="1" customWidth="1"/>
    <col min="5644" max="5644" width="15.5703125" style="1937" customWidth="1"/>
    <col min="5645" max="5888" width="9.140625" style="1937"/>
    <col min="5889" max="5889" width="5.7109375" style="1937" customWidth="1"/>
    <col min="5890" max="5890" width="6.7109375" style="1937" customWidth="1"/>
    <col min="5891" max="5891" width="8.85546875" style="1937" customWidth="1"/>
    <col min="5892" max="5892" width="46.42578125" style="1937" customWidth="1"/>
    <col min="5893" max="5893" width="12.85546875" style="1937" customWidth="1"/>
    <col min="5894" max="5894" width="15.5703125" style="1937" customWidth="1"/>
    <col min="5895" max="5895" width="15.85546875" style="1937" customWidth="1"/>
    <col min="5896" max="5896" width="6.42578125" style="1937" customWidth="1"/>
    <col min="5897" max="5897" width="14.28515625" style="1937" bestFit="1" customWidth="1"/>
    <col min="5898" max="5898" width="14.7109375" style="1937" bestFit="1" customWidth="1"/>
    <col min="5899" max="5899" width="16" style="1937" bestFit="1" customWidth="1"/>
    <col min="5900" max="5900" width="15.5703125" style="1937" customWidth="1"/>
    <col min="5901" max="6144" width="9.140625" style="1937"/>
    <col min="6145" max="6145" width="5.7109375" style="1937" customWidth="1"/>
    <col min="6146" max="6146" width="6.7109375" style="1937" customWidth="1"/>
    <col min="6147" max="6147" width="8.85546875" style="1937" customWidth="1"/>
    <col min="6148" max="6148" width="46.42578125" style="1937" customWidth="1"/>
    <col min="6149" max="6149" width="12.85546875" style="1937" customWidth="1"/>
    <col min="6150" max="6150" width="15.5703125" style="1937" customWidth="1"/>
    <col min="6151" max="6151" width="15.85546875" style="1937" customWidth="1"/>
    <col min="6152" max="6152" width="6.42578125" style="1937" customWidth="1"/>
    <col min="6153" max="6153" width="14.28515625" style="1937" bestFit="1" customWidth="1"/>
    <col min="6154" max="6154" width="14.7109375" style="1937" bestFit="1" customWidth="1"/>
    <col min="6155" max="6155" width="16" style="1937" bestFit="1" customWidth="1"/>
    <col min="6156" max="6156" width="15.5703125" style="1937" customWidth="1"/>
    <col min="6157" max="6400" width="9.140625" style="1937"/>
    <col min="6401" max="6401" width="5.7109375" style="1937" customWidth="1"/>
    <col min="6402" max="6402" width="6.7109375" style="1937" customWidth="1"/>
    <col min="6403" max="6403" width="8.85546875" style="1937" customWidth="1"/>
    <col min="6404" max="6404" width="46.42578125" style="1937" customWidth="1"/>
    <col min="6405" max="6405" width="12.85546875" style="1937" customWidth="1"/>
    <col min="6406" max="6406" width="15.5703125" style="1937" customWidth="1"/>
    <col min="6407" max="6407" width="15.85546875" style="1937" customWidth="1"/>
    <col min="6408" max="6408" width="6.42578125" style="1937" customWidth="1"/>
    <col min="6409" max="6409" width="14.28515625" style="1937" bestFit="1" customWidth="1"/>
    <col min="6410" max="6410" width="14.7109375" style="1937" bestFit="1" customWidth="1"/>
    <col min="6411" max="6411" width="16" style="1937" bestFit="1" customWidth="1"/>
    <col min="6412" max="6412" width="15.5703125" style="1937" customWidth="1"/>
    <col min="6413" max="6656" width="9.140625" style="1937"/>
    <col min="6657" max="6657" width="5.7109375" style="1937" customWidth="1"/>
    <col min="6658" max="6658" width="6.7109375" style="1937" customWidth="1"/>
    <col min="6659" max="6659" width="8.85546875" style="1937" customWidth="1"/>
    <col min="6660" max="6660" width="46.42578125" style="1937" customWidth="1"/>
    <col min="6661" max="6661" width="12.85546875" style="1937" customWidth="1"/>
    <col min="6662" max="6662" width="15.5703125" style="1937" customWidth="1"/>
    <col min="6663" max="6663" width="15.85546875" style="1937" customWidth="1"/>
    <col min="6664" max="6664" width="6.42578125" style="1937" customWidth="1"/>
    <col min="6665" max="6665" width="14.28515625" style="1937" bestFit="1" customWidth="1"/>
    <col min="6666" max="6666" width="14.7109375" style="1937" bestFit="1" customWidth="1"/>
    <col min="6667" max="6667" width="16" style="1937" bestFit="1" customWidth="1"/>
    <col min="6668" max="6668" width="15.5703125" style="1937" customWidth="1"/>
    <col min="6669" max="6912" width="9.140625" style="1937"/>
    <col min="6913" max="6913" width="5.7109375" style="1937" customWidth="1"/>
    <col min="6914" max="6914" width="6.7109375" style="1937" customWidth="1"/>
    <col min="6915" max="6915" width="8.85546875" style="1937" customWidth="1"/>
    <col min="6916" max="6916" width="46.42578125" style="1937" customWidth="1"/>
    <col min="6917" max="6917" width="12.85546875" style="1937" customWidth="1"/>
    <col min="6918" max="6918" width="15.5703125" style="1937" customWidth="1"/>
    <col min="6919" max="6919" width="15.85546875" style="1937" customWidth="1"/>
    <col min="6920" max="6920" width="6.42578125" style="1937" customWidth="1"/>
    <col min="6921" max="6921" width="14.28515625" style="1937" bestFit="1" customWidth="1"/>
    <col min="6922" max="6922" width="14.7109375" style="1937" bestFit="1" customWidth="1"/>
    <col min="6923" max="6923" width="16" style="1937" bestFit="1" customWidth="1"/>
    <col min="6924" max="6924" width="15.5703125" style="1937" customWidth="1"/>
    <col min="6925" max="7168" width="9.140625" style="1937"/>
    <col min="7169" max="7169" width="5.7109375" style="1937" customWidth="1"/>
    <col min="7170" max="7170" width="6.7109375" style="1937" customWidth="1"/>
    <col min="7171" max="7171" width="8.85546875" style="1937" customWidth="1"/>
    <col min="7172" max="7172" width="46.42578125" style="1937" customWidth="1"/>
    <col min="7173" max="7173" width="12.85546875" style="1937" customWidth="1"/>
    <col min="7174" max="7174" width="15.5703125" style="1937" customWidth="1"/>
    <col min="7175" max="7175" width="15.85546875" style="1937" customWidth="1"/>
    <col min="7176" max="7176" width="6.42578125" style="1937" customWidth="1"/>
    <col min="7177" max="7177" width="14.28515625" style="1937" bestFit="1" customWidth="1"/>
    <col min="7178" max="7178" width="14.7109375" style="1937" bestFit="1" customWidth="1"/>
    <col min="7179" max="7179" width="16" style="1937" bestFit="1" customWidth="1"/>
    <col min="7180" max="7180" width="15.5703125" style="1937" customWidth="1"/>
    <col min="7181" max="7424" width="9.140625" style="1937"/>
    <col min="7425" max="7425" width="5.7109375" style="1937" customWidth="1"/>
    <col min="7426" max="7426" width="6.7109375" style="1937" customWidth="1"/>
    <col min="7427" max="7427" width="8.85546875" style="1937" customWidth="1"/>
    <col min="7428" max="7428" width="46.42578125" style="1937" customWidth="1"/>
    <col min="7429" max="7429" width="12.85546875" style="1937" customWidth="1"/>
    <col min="7430" max="7430" width="15.5703125" style="1937" customWidth="1"/>
    <col min="7431" max="7431" width="15.85546875" style="1937" customWidth="1"/>
    <col min="7432" max="7432" width="6.42578125" style="1937" customWidth="1"/>
    <col min="7433" max="7433" width="14.28515625" style="1937" bestFit="1" customWidth="1"/>
    <col min="7434" max="7434" width="14.7109375" style="1937" bestFit="1" customWidth="1"/>
    <col min="7435" max="7435" width="16" style="1937" bestFit="1" customWidth="1"/>
    <col min="7436" max="7436" width="15.5703125" style="1937" customWidth="1"/>
    <col min="7437" max="7680" width="9.140625" style="1937"/>
    <col min="7681" max="7681" width="5.7109375" style="1937" customWidth="1"/>
    <col min="7682" max="7682" width="6.7109375" style="1937" customWidth="1"/>
    <col min="7683" max="7683" width="8.85546875" style="1937" customWidth="1"/>
    <col min="7684" max="7684" width="46.42578125" style="1937" customWidth="1"/>
    <col min="7685" max="7685" width="12.85546875" style="1937" customWidth="1"/>
    <col min="7686" max="7686" width="15.5703125" style="1937" customWidth="1"/>
    <col min="7687" max="7687" width="15.85546875" style="1937" customWidth="1"/>
    <col min="7688" max="7688" width="6.42578125" style="1937" customWidth="1"/>
    <col min="7689" max="7689" width="14.28515625" style="1937" bestFit="1" customWidth="1"/>
    <col min="7690" max="7690" width="14.7109375" style="1937" bestFit="1" customWidth="1"/>
    <col min="7691" max="7691" width="16" style="1937" bestFit="1" customWidth="1"/>
    <col min="7692" max="7692" width="15.5703125" style="1937" customWidth="1"/>
    <col min="7693" max="7936" width="9.140625" style="1937"/>
    <col min="7937" max="7937" width="5.7109375" style="1937" customWidth="1"/>
    <col min="7938" max="7938" width="6.7109375" style="1937" customWidth="1"/>
    <col min="7939" max="7939" width="8.85546875" style="1937" customWidth="1"/>
    <col min="7940" max="7940" width="46.42578125" style="1937" customWidth="1"/>
    <col min="7941" max="7941" width="12.85546875" style="1937" customWidth="1"/>
    <col min="7942" max="7942" width="15.5703125" style="1937" customWidth="1"/>
    <col min="7943" max="7943" width="15.85546875" style="1937" customWidth="1"/>
    <col min="7944" max="7944" width="6.42578125" style="1937" customWidth="1"/>
    <col min="7945" max="7945" width="14.28515625" style="1937" bestFit="1" customWidth="1"/>
    <col min="7946" max="7946" width="14.7109375" style="1937" bestFit="1" customWidth="1"/>
    <col min="7947" max="7947" width="16" style="1937" bestFit="1" customWidth="1"/>
    <col min="7948" max="7948" width="15.5703125" style="1937" customWidth="1"/>
    <col min="7949" max="8192" width="9.140625" style="1937"/>
    <col min="8193" max="8193" width="5.7109375" style="1937" customWidth="1"/>
    <col min="8194" max="8194" width="6.7109375" style="1937" customWidth="1"/>
    <col min="8195" max="8195" width="8.85546875" style="1937" customWidth="1"/>
    <col min="8196" max="8196" width="46.42578125" style="1937" customWidth="1"/>
    <col min="8197" max="8197" width="12.85546875" style="1937" customWidth="1"/>
    <col min="8198" max="8198" width="15.5703125" style="1937" customWidth="1"/>
    <col min="8199" max="8199" width="15.85546875" style="1937" customWidth="1"/>
    <col min="8200" max="8200" width="6.42578125" style="1937" customWidth="1"/>
    <col min="8201" max="8201" width="14.28515625" style="1937" bestFit="1" customWidth="1"/>
    <col min="8202" max="8202" width="14.7109375" style="1937" bestFit="1" customWidth="1"/>
    <col min="8203" max="8203" width="16" style="1937" bestFit="1" customWidth="1"/>
    <col min="8204" max="8204" width="15.5703125" style="1937" customWidth="1"/>
    <col min="8205" max="8448" width="9.140625" style="1937"/>
    <col min="8449" max="8449" width="5.7109375" style="1937" customWidth="1"/>
    <col min="8450" max="8450" width="6.7109375" style="1937" customWidth="1"/>
    <col min="8451" max="8451" width="8.85546875" style="1937" customWidth="1"/>
    <col min="8452" max="8452" width="46.42578125" style="1937" customWidth="1"/>
    <col min="8453" max="8453" width="12.85546875" style="1937" customWidth="1"/>
    <col min="8454" max="8454" width="15.5703125" style="1937" customWidth="1"/>
    <col min="8455" max="8455" width="15.85546875" style="1937" customWidth="1"/>
    <col min="8456" max="8456" width="6.42578125" style="1937" customWidth="1"/>
    <col min="8457" max="8457" width="14.28515625" style="1937" bestFit="1" customWidth="1"/>
    <col min="8458" max="8458" width="14.7109375" style="1937" bestFit="1" customWidth="1"/>
    <col min="8459" max="8459" width="16" style="1937" bestFit="1" customWidth="1"/>
    <col min="8460" max="8460" width="15.5703125" style="1937" customWidth="1"/>
    <col min="8461" max="8704" width="9.140625" style="1937"/>
    <col min="8705" max="8705" width="5.7109375" style="1937" customWidth="1"/>
    <col min="8706" max="8706" width="6.7109375" style="1937" customWidth="1"/>
    <col min="8707" max="8707" width="8.85546875" style="1937" customWidth="1"/>
    <col min="8708" max="8708" width="46.42578125" style="1937" customWidth="1"/>
    <col min="8709" max="8709" width="12.85546875" style="1937" customWidth="1"/>
    <col min="8710" max="8710" width="15.5703125" style="1937" customWidth="1"/>
    <col min="8711" max="8711" width="15.85546875" style="1937" customWidth="1"/>
    <col min="8712" max="8712" width="6.42578125" style="1937" customWidth="1"/>
    <col min="8713" max="8713" width="14.28515625" style="1937" bestFit="1" customWidth="1"/>
    <col min="8714" max="8714" width="14.7109375" style="1937" bestFit="1" customWidth="1"/>
    <col min="8715" max="8715" width="16" style="1937" bestFit="1" customWidth="1"/>
    <col min="8716" max="8716" width="15.5703125" style="1937" customWidth="1"/>
    <col min="8717" max="8960" width="9.140625" style="1937"/>
    <col min="8961" max="8961" width="5.7109375" style="1937" customWidth="1"/>
    <col min="8962" max="8962" width="6.7109375" style="1937" customWidth="1"/>
    <col min="8963" max="8963" width="8.85546875" style="1937" customWidth="1"/>
    <col min="8964" max="8964" width="46.42578125" style="1937" customWidth="1"/>
    <col min="8965" max="8965" width="12.85546875" style="1937" customWidth="1"/>
    <col min="8966" max="8966" width="15.5703125" style="1937" customWidth="1"/>
    <col min="8967" max="8967" width="15.85546875" style="1937" customWidth="1"/>
    <col min="8968" max="8968" width="6.42578125" style="1937" customWidth="1"/>
    <col min="8969" max="8969" width="14.28515625" style="1937" bestFit="1" customWidth="1"/>
    <col min="8970" max="8970" width="14.7109375" style="1937" bestFit="1" customWidth="1"/>
    <col min="8971" max="8971" width="16" style="1937" bestFit="1" customWidth="1"/>
    <col min="8972" max="8972" width="15.5703125" style="1937" customWidth="1"/>
    <col min="8973" max="9216" width="9.140625" style="1937"/>
    <col min="9217" max="9217" width="5.7109375" style="1937" customWidth="1"/>
    <col min="9218" max="9218" width="6.7109375" style="1937" customWidth="1"/>
    <col min="9219" max="9219" width="8.85546875" style="1937" customWidth="1"/>
    <col min="9220" max="9220" width="46.42578125" style="1937" customWidth="1"/>
    <col min="9221" max="9221" width="12.85546875" style="1937" customWidth="1"/>
    <col min="9222" max="9222" width="15.5703125" style="1937" customWidth="1"/>
    <col min="9223" max="9223" width="15.85546875" style="1937" customWidth="1"/>
    <col min="9224" max="9224" width="6.42578125" style="1937" customWidth="1"/>
    <col min="9225" max="9225" width="14.28515625" style="1937" bestFit="1" customWidth="1"/>
    <col min="9226" max="9226" width="14.7109375" style="1937" bestFit="1" customWidth="1"/>
    <col min="9227" max="9227" width="16" style="1937" bestFit="1" customWidth="1"/>
    <col min="9228" max="9228" width="15.5703125" style="1937" customWidth="1"/>
    <col min="9229" max="9472" width="9.140625" style="1937"/>
    <col min="9473" max="9473" width="5.7109375" style="1937" customWidth="1"/>
    <col min="9474" max="9474" width="6.7109375" style="1937" customWidth="1"/>
    <col min="9475" max="9475" width="8.85546875" style="1937" customWidth="1"/>
    <col min="9476" max="9476" width="46.42578125" style="1937" customWidth="1"/>
    <col min="9477" max="9477" width="12.85546875" style="1937" customWidth="1"/>
    <col min="9478" max="9478" width="15.5703125" style="1937" customWidth="1"/>
    <col min="9479" max="9479" width="15.85546875" style="1937" customWidth="1"/>
    <col min="9480" max="9480" width="6.42578125" style="1937" customWidth="1"/>
    <col min="9481" max="9481" width="14.28515625" style="1937" bestFit="1" customWidth="1"/>
    <col min="9482" max="9482" width="14.7109375" style="1937" bestFit="1" customWidth="1"/>
    <col min="9483" max="9483" width="16" style="1937" bestFit="1" customWidth="1"/>
    <col min="9484" max="9484" width="15.5703125" style="1937" customWidth="1"/>
    <col min="9485" max="9728" width="9.140625" style="1937"/>
    <col min="9729" max="9729" width="5.7109375" style="1937" customWidth="1"/>
    <col min="9730" max="9730" width="6.7109375" style="1937" customWidth="1"/>
    <col min="9731" max="9731" width="8.85546875" style="1937" customWidth="1"/>
    <col min="9732" max="9732" width="46.42578125" style="1937" customWidth="1"/>
    <col min="9733" max="9733" width="12.85546875" style="1937" customWidth="1"/>
    <col min="9734" max="9734" width="15.5703125" style="1937" customWidth="1"/>
    <col min="9735" max="9735" width="15.85546875" style="1937" customWidth="1"/>
    <col min="9736" max="9736" width="6.42578125" style="1937" customWidth="1"/>
    <col min="9737" max="9737" width="14.28515625" style="1937" bestFit="1" customWidth="1"/>
    <col min="9738" max="9738" width="14.7109375" style="1937" bestFit="1" customWidth="1"/>
    <col min="9739" max="9739" width="16" style="1937" bestFit="1" customWidth="1"/>
    <col min="9740" max="9740" width="15.5703125" style="1937" customWidth="1"/>
    <col min="9741" max="9984" width="9.140625" style="1937"/>
    <col min="9985" max="9985" width="5.7109375" style="1937" customWidth="1"/>
    <col min="9986" max="9986" width="6.7109375" style="1937" customWidth="1"/>
    <col min="9987" max="9987" width="8.85546875" style="1937" customWidth="1"/>
    <col min="9988" max="9988" width="46.42578125" style="1937" customWidth="1"/>
    <col min="9989" max="9989" width="12.85546875" style="1937" customWidth="1"/>
    <col min="9990" max="9990" width="15.5703125" style="1937" customWidth="1"/>
    <col min="9991" max="9991" width="15.85546875" style="1937" customWidth="1"/>
    <col min="9992" max="9992" width="6.42578125" style="1937" customWidth="1"/>
    <col min="9993" max="9993" width="14.28515625" style="1937" bestFit="1" customWidth="1"/>
    <col min="9994" max="9994" width="14.7109375" style="1937" bestFit="1" customWidth="1"/>
    <col min="9995" max="9995" width="16" style="1937" bestFit="1" customWidth="1"/>
    <col min="9996" max="9996" width="15.5703125" style="1937" customWidth="1"/>
    <col min="9997" max="10240" width="9.140625" style="1937"/>
    <col min="10241" max="10241" width="5.7109375" style="1937" customWidth="1"/>
    <col min="10242" max="10242" width="6.7109375" style="1937" customWidth="1"/>
    <col min="10243" max="10243" width="8.85546875" style="1937" customWidth="1"/>
    <col min="10244" max="10244" width="46.42578125" style="1937" customWidth="1"/>
    <col min="10245" max="10245" width="12.85546875" style="1937" customWidth="1"/>
    <col min="10246" max="10246" width="15.5703125" style="1937" customWidth="1"/>
    <col min="10247" max="10247" width="15.85546875" style="1937" customWidth="1"/>
    <col min="10248" max="10248" width="6.42578125" style="1937" customWidth="1"/>
    <col min="10249" max="10249" width="14.28515625" style="1937" bestFit="1" customWidth="1"/>
    <col min="10250" max="10250" width="14.7109375" style="1937" bestFit="1" customWidth="1"/>
    <col min="10251" max="10251" width="16" style="1937" bestFit="1" customWidth="1"/>
    <col min="10252" max="10252" width="15.5703125" style="1937" customWidth="1"/>
    <col min="10253" max="10496" width="9.140625" style="1937"/>
    <col min="10497" max="10497" width="5.7109375" style="1937" customWidth="1"/>
    <col min="10498" max="10498" width="6.7109375" style="1937" customWidth="1"/>
    <col min="10499" max="10499" width="8.85546875" style="1937" customWidth="1"/>
    <col min="10500" max="10500" width="46.42578125" style="1937" customWidth="1"/>
    <col min="10501" max="10501" width="12.85546875" style="1937" customWidth="1"/>
    <col min="10502" max="10502" width="15.5703125" style="1937" customWidth="1"/>
    <col min="10503" max="10503" width="15.85546875" style="1937" customWidth="1"/>
    <col min="10504" max="10504" width="6.42578125" style="1937" customWidth="1"/>
    <col min="10505" max="10505" width="14.28515625" style="1937" bestFit="1" customWidth="1"/>
    <col min="10506" max="10506" width="14.7109375" style="1937" bestFit="1" customWidth="1"/>
    <col min="10507" max="10507" width="16" style="1937" bestFit="1" customWidth="1"/>
    <col min="10508" max="10508" width="15.5703125" style="1937" customWidth="1"/>
    <col min="10509" max="10752" width="9.140625" style="1937"/>
    <col min="10753" max="10753" width="5.7109375" style="1937" customWidth="1"/>
    <col min="10754" max="10754" width="6.7109375" style="1937" customWidth="1"/>
    <col min="10755" max="10755" width="8.85546875" style="1937" customWidth="1"/>
    <col min="10756" max="10756" width="46.42578125" style="1937" customWidth="1"/>
    <col min="10757" max="10757" width="12.85546875" style="1937" customWidth="1"/>
    <col min="10758" max="10758" width="15.5703125" style="1937" customWidth="1"/>
    <col min="10759" max="10759" width="15.85546875" style="1937" customWidth="1"/>
    <col min="10760" max="10760" width="6.42578125" style="1937" customWidth="1"/>
    <col min="10761" max="10761" width="14.28515625" style="1937" bestFit="1" customWidth="1"/>
    <col min="10762" max="10762" width="14.7109375" style="1937" bestFit="1" customWidth="1"/>
    <col min="10763" max="10763" width="16" style="1937" bestFit="1" customWidth="1"/>
    <col min="10764" max="10764" width="15.5703125" style="1937" customWidth="1"/>
    <col min="10765" max="11008" width="9.140625" style="1937"/>
    <col min="11009" max="11009" width="5.7109375" style="1937" customWidth="1"/>
    <col min="11010" max="11010" width="6.7109375" style="1937" customWidth="1"/>
    <col min="11011" max="11011" width="8.85546875" style="1937" customWidth="1"/>
    <col min="11012" max="11012" width="46.42578125" style="1937" customWidth="1"/>
    <col min="11013" max="11013" width="12.85546875" style="1937" customWidth="1"/>
    <col min="11014" max="11014" width="15.5703125" style="1937" customWidth="1"/>
    <col min="11015" max="11015" width="15.85546875" style="1937" customWidth="1"/>
    <col min="11016" max="11016" width="6.42578125" style="1937" customWidth="1"/>
    <col min="11017" max="11017" width="14.28515625" style="1937" bestFit="1" customWidth="1"/>
    <col min="11018" max="11018" width="14.7109375" style="1937" bestFit="1" customWidth="1"/>
    <col min="11019" max="11019" width="16" style="1937" bestFit="1" customWidth="1"/>
    <col min="11020" max="11020" width="15.5703125" style="1937" customWidth="1"/>
    <col min="11021" max="11264" width="9.140625" style="1937"/>
    <col min="11265" max="11265" width="5.7109375" style="1937" customWidth="1"/>
    <col min="11266" max="11266" width="6.7109375" style="1937" customWidth="1"/>
    <col min="11267" max="11267" width="8.85546875" style="1937" customWidth="1"/>
    <col min="11268" max="11268" width="46.42578125" style="1937" customWidth="1"/>
    <col min="11269" max="11269" width="12.85546875" style="1937" customWidth="1"/>
    <col min="11270" max="11270" width="15.5703125" style="1937" customWidth="1"/>
    <col min="11271" max="11271" width="15.85546875" style="1937" customWidth="1"/>
    <col min="11272" max="11272" width="6.42578125" style="1937" customWidth="1"/>
    <col min="11273" max="11273" width="14.28515625" style="1937" bestFit="1" customWidth="1"/>
    <col min="11274" max="11274" width="14.7109375" style="1937" bestFit="1" customWidth="1"/>
    <col min="11275" max="11275" width="16" style="1937" bestFit="1" customWidth="1"/>
    <col min="11276" max="11276" width="15.5703125" style="1937" customWidth="1"/>
    <col min="11277" max="11520" width="9.140625" style="1937"/>
    <col min="11521" max="11521" width="5.7109375" style="1937" customWidth="1"/>
    <col min="11522" max="11522" width="6.7109375" style="1937" customWidth="1"/>
    <col min="11523" max="11523" width="8.85546875" style="1937" customWidth="1"/>
    <col min="11524" max="11524" width="46.42578125" style="1937" customWidth="1"/>
    <col min="11525" max="11525" width="12.85546875" style="1937" customWidth="1"/>
    <col min="11526" max="11526" width="15.5703125" style="1937" customWidth="1"/>
    <col min="11527" max="11527" width="15.85546875" style="1937" customWidth="1"/>
    <col min="11528" max="11528" width="6.42578125" style="1937" customWidth="1"/>
    <col min="11529" max="11529" width="14.28515625" style="1937" bestFit="1" customWidth="1"/>
    <col min="11530" max="11530" width="14.7109375" style="1937" bestFit="1" customWidth="1"/>
    <col min="11531" max="11531" width="16" style="1937" bestFit="1" customWidth="1"/>
    <col min="11532" max="11532" width="15.5703125" style="1937" customWidth="1"/>
    <col min="11533" max="11776" width="9.140625" style="1937"/>
    <col min="11777" max="11777" width="5.7109375" style="1937" customWidth="1"/>
    <col min="11778" max="11778" width="6.7109375" style="1937" customWidth="1"/>
    <col min="11779" max="11779" width="8.85546875" style="1937" customWidth="1"/>
    <col min="11780" max="11780" width="46.42578125" style="1937" customWidth="1"/>
    <col min="11781" max="11781" width="12.85546875" style="1937" customWidth="1"/>
    <col min="11782" max="11782" width="15.5703125" style="1937" customWidth="1"/>
    <col min="11783" max="11783" width="15.85546875" style="1937" customWidth="1"/>
    <col min="11784" max="11784" width="6.42578125" style="1937" customWidth="1"/>
    <col min="11785" max="11785" width="14.28515625" style="1937" bestFit="1" customWidth="1"/>
    <col min="11786" max="11786" width="14.7109375" style="1937" bestFit="1" customWidth="1"/>
    <col min="11787" max="11787" width="16" style="1937" bestFit="1" customWidth="1"/>
    <col min="11788" max="11788" width="15.5703125" style="1937" customWidth="1"/>
    <col min="11789" max="12032" width="9.140625" style="1937"/>
    <col min="12033" max="12033" width="5.7109375" style="1937" customWidth="1"/>
    <col min="12034" max="12034" width="6.7109375" style="1937" customWidth="1"/>
    <col min="12035" max="12035" width="8.85546875" style="1937" customWidth="1"/>
    <col min="12036" max="12036" width="46.42578125" style="1937" customWidth="1"/>
    <col min="12037" max="12037" width="12.85546875" style="1937" customWidth="1"/>
    <col min="12038" max="12038" width="15.5703125" style="1937" customWidth="1"/>
    <col min="12039" max="12039" width="15.85546875" style="1937" customWidth="1"/>
    <col min="12040" max="12040" width="6.42578125" style="1937" customWidth="1"/>
    <col min="12041" max="12041" width="14.28515625" style="1937" bestFit="1" customWidth="1"/>
    <col min="12042" max="12042" width="14.7109375" style="1937" bestFit="1" customWidth="1"/>
    <col min="12043" max="12043" width="16" style="1937" bestFit="1" customWidth="1"/>
    <col min="12044" max="12044" width="15.5703125" style="1937" customWidth="1"/>
    <col min="12045" max="12288" width="9.140625" style="1937"/>
    <col min="12289" max="12289" width="5.7109375" style="1937" customWidth="1"/>
    <col min="12290" max="12290" width="6.7109375" style="1937" customWidth="1"/>
    <col min="12291" max="12291" width="8.85546875" style="1937" customWidth="1"/>
    <col min="12292" max="12292" width="46.42578125" style="1937" customWidth="1"/>
    <col min="12293" max="12293" width="12.85546875" style="1937" customWidth="1"/>
    <col min="12294" max="12294" width="15.5703125" style="1937" customWidth="1"/>
    <col min="12295" max="12295" width="15.85546875" style="1937" customWidth="1"/>
    <col min="12296" max="12296" width="6.42578125" style="1937" customWidth="1"/>
    <col min="12297" max="12297" width="14.28515625" style="1937" bestFit="1" customWidth="1"/>
    <col min="12298" max="12298" width="14.7109375" style="1937" bestFit="1" customWidth="1"/>
    <col min="12299" max="12299" width="16" style="1937" bestFit="1" customWidth="1"/>
    <col min="12300" max="12300" width="15.5703125" style="1937" customWidth="1"/>
    <col min="12301" max="12544" width="9.140625" style="1937"/>
    <col min="12545" max="12545" width="5.7109375" style="1937" customWidth="1"/>
    <col min="12546" max="12546" width="6.7109375" style="1937" customWidth="1"/>
    <col min="12547" max="12547" width="8.85546875" style="1937" customWidth="1"/>
    <col min="12548" max="12548" width="46.42578125" style="1937" customWidth="1"/>
    <col min="12549" max="12549" width="12.85546875" style="1937" customWidth="1"/>
    <col min="12550" max="12550" width="15.5703125" style="1937" customWidth="1"/>
    <col min="12551" max="12551" width="15.85546875" style="1937" customWidth="1"/>
    <col min="12552" max="12552" width="6.42578125" style="1937" customWidth="1"/>
    <col min="12553" max="12553" width="14.28515625" style="1937" bestFit="1" customWidth="1"/>
    <col min="12554" max="12554" width="14.7109375" style="1937" bestFit="1" customWidth="1"/>
    <col min="12555" max="12555" width="16" style="1937" bestFit="1" customWidth="1"/>
    <col min="12556" max="12556" width="15.5703125" style="1937" customWidth="1"/>
    <col min="12557" max="12800" width="9.140625" style="1937"/>
    <col min="12801" max="12801" width="5.7109375" style="1937" customWidth="1"/>
    <col min="12802" max="12802" width="6.7109375" style="1937" customWidth="1"/>
    <col min="12803" max="12803" width="8.85546875" style="1937" customWidth="1"/>
    <col min="12804" max="12804" width="46.42578125" style="1937" customWidth="1"/>
    <col min="12805" max="12805" width="12.85546875" style="1937" customWidth="1"/>
    <col min="12806" max="12806" width="15.5703125" style="1937" customWidth="1"/>
    <col min="12807" max="12807" width="15.85546875" style="1937" customWidth="1"/>
    <col min="12808" max="12808" width="6.42578125" style="1937" customWidth="1"/>
    <col min="12809" max="12809" width="14.28515625" style="1937" bestFit="1" customWidth="1"/>
    <col min="12810" max="12810" width="14.7109375" style="1937" bestFit="1" customWidth="1"/>
    <col min="12811" max="12811" width="16" style="1937" bestFit="1" customWidth="1"/>
    <col min="12812" max="12812" width="15.5703125" style="1937" customWidth="1"/>
    <col min="12813" max="13056" width="9.140625" style="1937"/>
    <col min="13057" max="13057" width="5.7109375" style="1937" customWidth="1"/>
    <col min="13058" max="13058" width="6.7109375" style="1937" customWidth="1"/>
    <col min="13059" max="13059" width="8.85546875" style="1937" customWidth="1"/>
    <col min="13060" max="13060" width="46.42578125" style="1937" customWidth="1"/>
    <col min="13061" max="13061" width="12.85546875" style="1937" customWidth="1"/>
    <col min="13062" max="13062" width="15.5703125" style="1937" customWidth="1"/>
    <col min="13063" max="13063" width="15.85546875" style="1937" customWidth="1"/>
    <col min="13064" max="13064" width="6.42578125" style="1937" customWidth="1"/>
    <col min="13065" max="13065" width="14.28515625" style="1937" bestFit="1" customWidth="1"/>
    <col min="13066" max="13066" width="14.7109375" style="1937" bestFit="1" customWidth="1"/>
    <col min="13067" max="13067" width="16" style="1937" bestFit="1" customWidth="1"/>
    <col min="13068" max="13068" width="15.5703125" style="1937" customWidth="1"/>
    <col min="13069" max="13312" width="9.140625" style="1937"/>
    <col min="13313" max="13313" width="5.7109375" style="1937" customWidth="1"/>
    <col min="13314" max="13314" width="6.7109375" style="1937" customWidth="1"/>
    <col min="13315" max="13315" width="8.85546875" style="1937" customWidth="1"/>
    <col min="13316" max="13316" width="46.42578125" style="1937" customWidth="1"/>
    <col min="13317" max="13317" width="12.85546875" style="1937" customWidth="1"/>
    <col min="13318" max="13318" width="15.5703125" style="1937" customWidth="1"/>
    <col min="13319" max="13319" width="15.85546875" style="1937" customWidth="1"/>
    <col min="13320" max="13320" width="6.42578125" style="1937" customWidth="1"/>
    <col min="13321" max="13321" width="14.28515625" style="1937" bestFit="1" customWidth="1"/>
    <col min="13322" max="13322" width="14.7109375" style="1937" bestFit="1" customWidth="1"/>
    <col min="13323" max="13323" width="16" style="1937" bestFit="1" customWidth="1"/>
    <col min="13324" max="13324" width="15.5703125" style="1937" customWidth="1"/>
    <col min="13325" max="13568" width="9.140625" style="1937"/>
    <col min="13569" max="13569" width="5.7109375" style="1937" customWidth="1"/>
    <col min="13570" max="13570" width="6.7109375" style="1937" customWidth="1"/>
    <col min="13571" max="13571" width="8.85546875" style="1937" customWidth="1"/>
    <col min="13572" max="13572" width="46.42578125" style="1937" customWidth="1"/>
    <col min="13573" max="13573" width="12.85546875" style="1937" customWidth="1"/>
    <col min="13574" max="13574" width="15.5703125" style="1937" customWidth="1"/>
    <col min="13575" max="13575" width="15.85546875" style="1937" customWidth="1"/>
    <col min="13576" max="13576" width="6.42578125" style="1937" customWidth="1"/>
    <col min="13577" max="13577" width="14.28515625" style="1937" bestFit="1" customWidth="1"/>
    <col min="13578" max="13578" width="14.7109375" style="1937" bestFit="1" customWidth="1"/>
    <col min="13579" max="13579" width="16" style="1937" bestFit="1" customWidth="1"/>
    <col min="13580" max="13580" width="15.5703125" style="1937" customWidth="1"/>
    <col min="13581" max="13824" width="9.140625" style="1937"/>
    <col min="13825" max="13825" width="5.7109375" style="1937" customWidth="1"/>
    <col min="13826" max="13826" width="6.7109375" style="1937" customWidth="1"/>
    <col min="13827" max="13827" width="8.85546875" style="1937" customWidth="1"/>
    <col min="13828" max="13828" width="46.42578125" style="1937" customWidth="1"/>
    <col min="13829" max="13829" width="12.85546875" style="1937" customWidth="1"/>
    <col min="13830" max="13830" width="15.5703125" style="1937" customWidth="1"/>
    <col min="13831" max="13831" width="15.85546875" style="1937" customWidth="1"/>
    <col min="13832" max="13832" width="6.42578125" style="1937" customWidth="1"/>
    <col min="13833" max="13833" width="14.28515625" style="1937" bestFit="1" customWidth="1"/>
    <col min="13834" max="13834" width="14.7109375" style="1937" bestFit="1" customWidth="1"/>
    <col min="13835" max="13835" width="16" style="1937" bestFit="1" customWidth="1"/>
    <col min="13836" max="13836" width="15.5703125" style="1937" customWidth="1"/>
    <col min="13837" max="14080" width="9.140625" style="1937"/>
    <col min="14081" max="14081" width="5.7109375" style="1937" customWidth="1"/>
    <col min="14082" max="14082" width="6.7109375" style="1937" customWidth="1"/>
    <col min="14083" max="14083" width="8.85546875" style="1937" customWidth="1"/>
    <col min="14084" max="14084" width="46.42578125" style="1937" customWidth="1"/>
    <col min="14085" max="14085" width="12.85546875" style="1937" customWidth="1"/>
    <col min="14086" max="14086" width="15.5703125" style="1937" customWidth="1"/>
    <col min="14087" max="14087" width="15.85546875" style="1937" customWidth="1"/>
    <col min="14088" max="14088" width="6.42578125" style="1937" customWidth="1"/>
    <col min="14089" max="14089" width="14.28515625" style="1937" bestFit="1" customWidth="1"/>
    <col min="14090" max="14090" width="14.7109375" style="1937" bestFit="1" customWidth="1"/>
    <col min="14091" max="14091" width="16" style="1937" bestFit="1" customWidth="1"/>
    <col min="14092" max="14092" width="15.5703125" style="1937" customWidth="1"/>
    <col min="14093" max="14336" width="9.140625" style="1937"/>
    <col min="14337" max="14337" width="5.7109375" style="1937" customWidth="1"/>
    <col min="14338" max="14338" width="6.7109375" style="1937" customWidth="1"/>
    <col min="14339" max="14339" width="8.85546875" style="1937" customWidth="1"/>
    <col min="14340" max="14340" width="46.42578125" style="1937" customWidth="1"/>
    <col min="14341" max="14341" width="12.85546875" style="1937" customWidth="1"/>
    <col min="14342" max="14342" width="15.5703125" style="1937" customWidth="1"/>
    <col min="14343" max="14343" width="15.85546875" style="1937" customWidth="1"/>
    <col min="14344" max="14344" width="6.42578125" style="1937" customWidth="1"/>
    <col min="14345" max="14345" width="14.28515625" style="1937" bestFit="1" customWidth="1"/>
    <col min="14346" max="14346" width="14.7109375" style="1937" bestFit="1" customWidth="1"/>
    <col min="14347" max="14347" width="16" style="1937" bestFit="1" customWidth="1"/>
    <col min="14348" max="14348" width="15.5703125" style="1937" customWidth="1"/>
    <col min="14349" max="14592" width="9.140625" style="1937"/>
    <col min="14593" max="14593" width="5.7109375" style="1937" customWidth="1"/>
    <col min="14594" max="14594" width="6.7109375" style="1937" customWidth="1"/>
    <col min="14595" max="14595" width="8.85546875" style="1937" customWidth="1"/>
    <col min="14596" max="14596" width="46.42578125" style="1937" customWidth="1"/>
    <col min="14597" max="14597" width="12.85546875" style="1937" customWidth="1"/>
    <col min="14598" max="14598" width="15.5703125" style="1937" customWidth="1"/>
    <col min="14599" max="14599" width="15.85546875" style="1937" customWidth="1"/>
    <col min="14600" max="14600" width="6.42578125" style="1937" customWidth="1"/>
    <col min="14601" max="14601" width="14.28515625" style="1937" bestFit="1" customWidth="1"/>
    <col min="14602" max="14602" width="14.7109375" style="1937" bestFit="1" customWidth="1"/>
    <col min="14603" max="14603" width="16" style="1937" bestFit="1" customWidth="1"/>
    <col min="14604" max="14604" width="15.5703125" style="1937" customWidth="1"/>
    <col min="14605" max="14848" width="9.140625" style="1937"/>
    <col min="14849" max="14849" width="5.7109375" style="1937" customWidth="1"/>
    <col min="14850" max="14850" width="6.7109375" style="1937" customWidth="1"/>
    <col min="14851" max="14851" width="8.85546875" style="1937" customWidth="1"/>
    <col min="14852" max="14852" width="46.42578125" style="1937" customWidth="1"/>
    <col min="14853" max="14853" width="12.85546875" style="1937" customWidth="1"/>
    <col min="14854" max="14854" width="15.5703125" style="1937" customWidth="1"/>
    <col min="14855" max="14855" width="15.85546875" style="1937" customWidth="1"/>
    <col min="14856" max="14856" width="6.42578125" style="1937" customWidth="1"/>
    <col min="14857" max="14857" width="14.28515625" style="1937" bestFit="1" customWidth="1"/>
    <col min="14858" max="14858" width="14.7109375" style="1937" bestFit="1" customWidth="1"/>
    <col min="14859" max="14859" width="16" style="1937" bestFit="1" customWidth="1"/>
    <col min="14860" max="14860" width="15.5703125" style="1937" customWidth="1"/>
    <col min="14861" max="15104" width="9.140625" style="1937"/>
    <col min="15105" max="15105" width="5.7109375" style="1937" customWidth="1"/>
    <col min="15106" max="15106" width="6.7109375" style="1937" customWidth="1"/>
    <col min="15107" max="15107" width="8.85546875" style="1937" customWidth="1"/>
    <col min="15108" max="15108" width="46.42578125" style="1937" customWidth="1"/>
    <col min="15109" max="15109" width="12.85546875" style="1937" customWidth="1"/>
    <col min="15110" max="15110" width="15.5703125" style="1937" customWidth="1"/>
    <col min="15111" max="15111" width="15.85546875" style="1937" customWidth="1"/>
    <col min="15112" max="15112" width="6.42578125" style="1937" customWidth="1"/>
    <col min="15113" max="15113" width="14.28515625" style="1937" bestFit="1" customWidth="1"/>
    <col min="15114" max="15114" width="14.7109375" style="1937" bestFit="1" customWidth="1"/>
    <col min="15115" max="15115" width="16" style="1937" bestFit="1" customWidth="1"/>
    <col min="15116" max="15116" width="15.5703125" style="1937" customWidth="1"/>
    <col min="15117" max="15360" width="9.140625" style="1937"/>
    <col min="15361" max="15361" width="5.7109375" style="1937" customWidth="1"/>
    <col min="15362" max="15362" width="6.7109375" style="1937" customWidth="1"/>
    <col min="15363" max="15363" width="8.85546875" style="1937" customWidth="1"/>
    <col min="15364" max="15364" width="46.42578125" style="1937" customWidth="1"/>
    <col min="15365" max="15365" width="12.85546875" style="1937" customWidth="1"/>
    <col min="15366" max="15366" width="15.5703125" style="1937" customWidth="1"/>
    <col min="15367" max="15367" width="15.85546875" style="1937" customWidth="1"/>
    <col min="15368" max="15368" width="6.42578125" style="1937" customWidth="1"/>
    <col min="15369" max="15369" width="14.28515625" style="1937" bestFit="1" customWidth="1"/>
    <col min="15370" max="15370" width="14.7109375" style="1937" bestFit="1" customWidth="1"/>
    <col min="15371" max="15371" width="16" style="1937" bestFit="1" customWidth="1"/>
    <col min="15372" max="15372" width="15.5703125" style="1937" customWidth="1"/>
    <col min="15373" max="15616" width="9.140625" style="1937"/>
    <col min="15617" max="15617" width="5.7109375" style="1937" customWidth="1"/>
    <col min="15618" max="15618" width="6.7109375" style="1937" customWidth="1"/>
    <col min="15619" max="15619" width="8.85546875" style="1937" customWidth="1"/>
    <col min="15620" max="15620" width="46.42578125" style="1937" customWidth="1"/>
    <col min="15621" max="15621" width="12.85546875" style="1937" customWidth="1"/>
    <col min="15622" max="15622" width="15.5703125" style="1937" customWidth="1"/>
    <col min="15623" max="15623" width="15.85546875" style="1937" customWidth="1"/>
    <col min="15624" max="15624" width="6.42578125" style="1937" customWidth="1"/>
    <col min="15625" max="15625" width="14.28515625" style="1937" bestFit="1" customWidth="1"/>
    <col min="15626" max="15626" width="14.7109375" style="1937" bestFit="1" customWidth="1"/>
    <col min="15627" max="15627" width="16" style="1937" bestFit="1" customWidth="1"/>
    <col min="15628" max="15628" width="15.5703125" style="1937" customWidth="1"/>
    <col min="15629" max="15872" width="9.140625" style="1937"/>
    <col min="15873" max="15873" width="5.7109375" style="1937" customWidth="1"/>
    <col min="15874" max="15874" width="6.7109375" style="1937" customWidth="1"/>
    <col min="15875" max="15875" width="8.85546875" style="1937" customWidth="1"/>
    <col min="15876" max="15876" width="46.42578125" style="1937" customWidth="1"/>
    <col min="15877" max="15877" width="12.85546875" style="1937" customWidth="1"/>
    <col min="15878" max="15878" width="15.5703125" style="1937" customWidth="1"/>
    <col min="15879" max="15879" width="15.85546875" style="1937" customWidth="1"/>
    <col min="15880" max="15880" width="6.42578125" style="1937" customWidth="1"/>
    <col min="15881" max="15881" width="14.28515625" style="1937" bestFit="1" customWidth="1"/>
    <col min="15882" max="15882" width="14.7109375" style="1937" bestFit="1" customWidth="1"/>
    <col min="15883" max="15883" width="16" style="1937" bestFit="1" customWidth="1"/>
    <col min="15884" max="15884" width="15.5703125" style="1937" customWidth="1"/>
    <col min="15885" max="16128" width="9.140625" style="1937"/>
    <col min="16129" max="16129" width="5.7109375" style="1937" customWidth="1"/>
    <col min="16130" max="16130" width="6.7109375" style="1937" customWidth="1"/>
    <col min="16131" max="16131" width="8.85546875" style="1937" customWidth="1"/>
    <col min="16132" max="16132" width="46.42578125" style="1937" customWidth="1"/>
    <col min="16133" max="16133" width="12.85546875" style="1937" customWidth="1"/>
    <col min="16134" max="16134" width="15.5703125" style="1937" customWidth="1"/>
    <col min="16135" max="16135" width="15.85546875" style="1937" customWidth="1"/>
    <col min="16136" max="16136" width="6.42578125" style="1937" customWidth="1"/>
    <col min="16137" max="16137" width="14.28515625" style="1937" bestFit="1" customWidth="1"/>
    <col min="16138" max="16138" width="14.7109375" style="1937" bestFit="1" customWidth="1"/>
    <col min="16139" max="16139" width="16" style="1937" bestFit="1" customWidth="1"/>
    <col min="16140" max="16140" width="15.5703125" style="1937" customWidth="1"/>
    <col min="16141" max="16384" width="9.140625" style="1937"/>
  </cols>
  <sheetData>
    <row r="1" spans="1:8" ht="19.5" customHeight="1" thickBot="1" x14ac:dyDescent="0.3">
      <c r="A1" s="1820" t="s">
        <v>1094</v>
      </c>
      <c r="B1" s="1819"/>
      <c r="C1" s="1932"/>
      <c r="D1" s="1817"/>
      <c r="E1" s="1816"/>
      <c r="F1" s="1817"/>
      <c r="G1" s="2053"/>
      <c r="H1" s="1820"/>
    </row>
    <row r="2" spans="1:8" ht="18" x14ac:dyDescent="0.25">
      <c r="A2" s="1941"/>
      <c r="B2" s="1973"/>
      <c r="C2" s="1973"/>
      <c r="D2" s="1973"/>
      <c r="E2" s="1973"/>
      <c r="F2" s="1973"/>
      <c r="G2" s="1973"/>
      <c r="H2" s="2027" t="s">
        <v>1095</v>
      </c>
    </row>
    <row r="3" spans="1:8" ht="18" x14ac:dyDescent="0.25">
      <c r="A3" s="1815" t="s">
        <v>387</v>
      </c>
      <c r="B3" s="1973"/>
      <c r="C3" s="1935" t="s">
        <v>363</v>
      </c>
      <c r="D3" s="1973"/>
      <c r="E3" s="1973"/>
      <c r="F3" s="1973"/>
      <c r="G3" s="1973"/>
      <c r="H3" s="2027"/>
    </row>
    <row r="4" spans="1:8" ht="18" x14ac:dyDescent="0.25">
      <c r="A4" s="1941"/>
      <c r="B4" s="1973"/>
      <c r="C4" s="1935" t="s">
        <v>364</v>
      </c>
      <c r="D4" s="1973"/>
      <c r="E4" s="1973"/>
      <c r="F4" s="1973"/>
      <c r="G4" s="1973"/>
      <c r="H4" s="2027"/>
    </row>
    <row r="5" spans="1:8" ht="18" x14ac:dyDescent="0.25">
      <c r="A5" s="1940" t="s">
        <v>1096</v>
      </c>
      <c r="B5" s="1973"/>
      <c r="C5" s="1973"/>
      <c r="D5" s="1973"/>
      <c r="E5" s="1973"/>
      <c r="F5" s="1973"/>
      <c r="G5" s="1973"/>
      <c r="H5" s="2027"/>
    </row>
    <row r="6" spans="1:8" ht="18" x14ac:dyDescent="0.25">
      <c r="A6" s="1940"/>
      <c r="B6" s="1973"/>
      <c r="C6" s="1973"/>
      <c r="D6" s="1973"/>
      <c r="E6" s="1973"/>
      <c r="F6" s="1973"/>
      <c r="G6" s="1973"/>
      <c r="H6" s="2027"/>
    </row>
    <row r="7" spans="1:8" ht="15" hidden="1" x14ac:dyDescent="0.25">
      <c r="A7" s="2129" t="s">
        <v>1097</v>
      </c>
      <c r="B7" s="2003"/>
      <c r="C7" s="2003"/>
      <c r="D7" s="2003"/>
    </row>
    <row r="8" spans="1:8" ht="15" hidden="1" x14ac:dyDescent="0.25">
      <c r="A8" s="2130" t="s">
        <v>1098</v>
      </c>
      <c r="B8" s="2131"/>
      <c r="C8" s="2131"/>
      <c r="H8" s="2043" t="s">
        <v>173</v>
      </c>
    </row>
    <row r="9" spans="1:8" s="1735" customFormat="1" ht="25.5" hidden="1" thickTop="1" thickBot="1" x14ac:dyDescent="0.25">
      <c r="A9" s="1943" t="s">
        <v>174</v>
      </c>
      <c r="B9" s="1944" t="s">
        <v>800</v>
      </c>
      <c r="C9" s="1944" t="s">
        <v>397</v>
      </c>
      <c r="D9" s="1945" t="s">
        <v>176</v>
      </c>
      <c r="E9" s="1976" t="s">
        <v>669</v>
      </c>
      <c r="F9" s="1976" t="s">
        <v>670</v>
      </c>
      <c r="G9" s="1977" t="s">
        <v>923</v>
      </c>
      <c r="H9" s="1978" t="s">
        <v>924</v>
      </c>
    </row>
    <row r="10" spans="1:8" s="1735" customFormat="1" ht="13.5" hidden="1" thickTop="1" thickBot="1" x14ac:dyDescent="0.25">
      <c r="A10" s="1740">
        <v>1</v>
      </c>
      <c r="B10" s="1739">
        <v>2</v>
      </c>
      <c r="C10" s="1739">
        <v>3</v>
      </c>
      <c r="D10" s="1739">
        <v>4</v>
      </c>
      <c r="E10" s="1738">
        <v>5</v>
      </c>
      <c r="F10" s="1738">
        <v>6</v>
      </c>
      <c r="G10" s="2028">
        <v>7</v>
      </c>
      <c r="H10" s="2054" t="s">
        <v>61</v>
      </c>
    </row>
    <row r="11" spans="1:8" s="2060" customFormat="1" ht="15.75" hidden="1" customHeight="1" thickTop="1" x14ac:dyDescent="0.2">
      <c r="A11" s="2049">
        <v>4399</v>
      </c>
      <c r="B11" s="2056">
        <v>5011</v>
      </c>
      <c r="C11" s="2057">
        <v>33113233</v>
      </c>
      <c r="D11" s="1979" t="s">
        <v>219</v>
      </c>
      <c r="E11" s="1989">
        <v>0</v>
      </c>
      <c r="F11" s="1989"/>
      <c r="G11" s="1989"/>
      <c r="H11" s="1961" t="e">
        <f t="shared" ref="H11:H20" si="0">G11/F11*100</f>
        <v>#DIV/0!</v>
      </c>
    </row>
    <row r="12" spans="1:8" s="2060" customFormat="1" ht="15" hidden="1" x14ac:dyDescent="0.2">
      <c r="A12" s="2049">
        <v>4399</v>
      </c>
      <c r="B12" s="2056">
        <v>5011</v>
      </c>
      <c r="C12" s="2057">
        <v>33513233</v>
      </c>
      <c r="D12" s="1979" t="s">
        <v>219</v>
      </c>
      <c r="E12" s="1989">
        <v>0</v>
      </c>
      <c r="F12" s="1989"/>
      <c r="G12" s="1989"/>
      <c r="H12" s="1961" t="e">
        <f t="shared" si="0"/>
        <v>#DIV/0!</v>
      </c>
    </row>
    <row r="13" spans="1:8" s="2060" customFormat="1" ht="15" hidden="1" customHeight="1" x14ac:dyDescent="0.2">
      <c r="A13" s="2049">
        <v>4399</v>
      </c>
      <c r="B13" s="2056">
        <v>5021</v>
      </c>
      <c r="C13" s="2057">
        <v>33113233</v>
      </c>
      <c r="D13" s="1979" t="s">
        <v>409</v>
      </c>
      <c r="E13" s="1989">
        <v>0</v>
      </c>
      <c r="F13" s="1989"/>
      <c r="G13" s="1989"/>
      <c r="H13" s="1961" t="e">
        <f t="shared" si="0"/>
        <v>#DIV/0!</v>
      </c>
    </row>
    <row r="14" spans="1:8" s="2060" customFormat="1" ht="15" hidden="1" customHeight="1" x14ac:dyDescent="0.2">
      <c r="A14" s="2049">
        <v>4399</v>
      </c>
      <c r="B14" s="2056">
        <v>5021</v>
      </c>
      <c r="C14" s="2057">
        <v>33513233</v>
      </c>
      <c r="D14" s="1979" t="s">
        <v>409</v>
      </c>
      <c r="E14" s="1989">
        <v>0</v>
      </c>
      <c r="F14" s="1989"/>
      <c r="G14" s="1989"/>
      <c r="H14" s="1961" t="e">
        <f t="shared" si="0"/>
        <v>#DIV/0!</v>
      </c>
    </row>
    <row r="15" spans="1:8" s="2060" customFormat="1" ht="30" hidden="1" customHeight="1" x14ac:dyDescent="0.2">
      <c r="A15" s="2049">
        <v>4399</v>
      </c>
      <c r="B15" s="2056">
        <v>5031</v>
      </c>
      <c r="C15" s="2057">
        <v>33113233</v>
      </c>
      <c r="D15" s="1979" t="s">
        <v>1362</v>
      </c>
      <c r="E15" s="1989">
        <v>0</v>
      </c>
      <c r="F15" s="1989"/>
      <c r="G15" s="1989"/>
      <c r="H15" s="1961" t="e">
        <f t="shared" si="0"/>
        <v>#DIV/0!</v>
      </c>
    </row>
    <row r="16" spans="1:8" s="2060" customFormat="1" ht="30" hidden="1" customHeight="1" x14ac:dyDescent="0.2">
      <c r="A16" s="2049">
        <v>4399</v>
      </c>
      <c r="B16" s="2056">
        <v>5031</v>
      </c>
      <c r="C16" s="2057">
        <v>33513233</v>
      </c>
      <c r="D16" s="1979" t="s">
        <v>1362</v>
      </c>
      <c r="E16" s="1989">
        <v>0</v>
      </c>
      <c r="F16" s="1989"/>
      <c r="G16" s="1989"/>
      <c r="H16" s="1961" t="e">
        <f t="shared" si="0"/>
        <v>#DIV/0!</v>
      </c>
    </row>
    <row r="17" spans="1:8" s="2060" customFormat="1" ht="30" hidden="1" x14ac:dyDescent="0.2">
      <c r="A17" s="2049">
        <v>4399</v>
      </c>
      <c r="B17" s="2056">
        <v>5032</v>
      </c>
      <c r="C17" s="2057">
        <v>33113233</v>
      </c>
      <c r="D17" s="1979" t="s">
        <v>1236</v>
      </c>
      <c r="E17" s="1989">
        <v>0</v>
      </c>
      <c r="F17" s="1989"/>
      <c r="G17" s="1989"/>
      <c r="H17" s="1961" t="e">
        <f t="shared" si="0"/>
        <v>#DIV/0!</v>
      </c>
    </row>
    <row r="18" spans="1:8" s="2060" customFormat="1" ht="30" hidden="1" x14ac:dyDescent="0.2">
      <c r="A18" s="2049">
        <v>4399</v>
      </c>
      <c r="B18" s="2056">
        <v>5032</v>
      </c>
      <c r="C18" s="2057">
        <v>33513233</v>
      </c>
      <c r="D18" s="1979" t="s">
        <v>1236</v>
      </c>
      <c r="E18" s="1989">
        <v>0</v>
      </c>
      <c r="F18" s="1989"/>
      <c r="G18" s="1989"/>
      <c r="H18" s="1961" t="e">
        <f t="shared" si="0"/>
        <v>#DIV/0!</v>
      </c>
    </row>
    <row r="19" spans="1:8" s="2060" customFormat="1" ht="15" hidden="1" x14ac:dyDescent="0.2">
      <c r="A19" s="2049">
        <v>4399</v>
      </c>
      <c r="B19" s="2056">
        <v>5137</v>
      </c>
      <c r="C19" s="2057">
        <v>33113233</v>
      </c>
      <c r="D19" s="1979" t="s">
        <v>167</v>
      </c>
      <c r="E19" s="1989">
        <v>0</v>
      </c>
      <c r="F19" s="1989"/>
      <c r="G19" s="1989"/>
      <c r="H19" s="1961" t="e">
        <f t="shared" si="0"/>
        <v>#DIV/0!</v>
      </c>
    </row>
    <row r="20" spans="1:8" s="2060" customFormat="1" ht="15" hidden="1" x14ac:dyDescent="0.2">
      <c r="A20" s="2049">
        <v>4399</v>
      </c>
      <c r="B20" s="2056">
        <v>5137</v>
      </c>
      <c r="C20" s="2057">
        <v>33513233</v>
      </c>
      <c r="D20" s="1979" t="s">
        <v>167</v>
      </c>
      <c r="E20" s="1989">
        <v>0</v>
      </c>
      <c r="F20" s="1989"/>
      <c r="G20" s="1989"/>
      <c r="H20" s="1961" t="e">
        <f t="shared" si="0"/>
        <v>#DIV/0!</v>
      </c>
    </row>
    <row r="21" spans="1:8" s="1990" customFormat="1" ht="15" hidden="1" x14ac:dyDescent="0.2">
      <c r="A21" s="2049">
        <v>4399</v>
      </c>
      <c r="B21" s="2058">
        <v>5139</v>
      </c>
      <c r="C21" s="2057">
        <v>33113233</v>
      </c>
      <c r="D21" s="1979" t="s">
        <v>284</v>
      </c>
      <c r="E21" s="1989">
        <v>0</v>
      </c>
      <c r="F21" s="1989"/>
      <c r="G21" s="1989"/>
      <c r="H21" s="1961">
        <v>0</v>
      </c>
    </row>
    <row r="22" spans="1:8" s="1990" customFormat="1" ht="15" hidden="1" x14ac:dyDescent="0.2">
      <c r="A22" s="2049">
        <v>4399</v>
      </c>
      <c r="B22" s="2058">
        <v>5139</v>
      </c>
      <c r="C22" s="2057">
        <v>33513233</v>
      </c>
      <c r="D22" s="1979" t="s">
        <v>284</v>
      </c>
      <c r="E22" s="1989">
        <v>0</v>
      </c>
      <c r="F22" s="1989"/>
      <c r="G22" s="1989"/>
      <c r="H22" s="1961" t="e">
        <f t="shared" ref="H22:H36" si="1">G22/F22*100</f>
        <v>#DIV/0!</v>
      </c>
    </row>
    <row r="23" spans="1:8" ht="15.75" hidden="1" customHeight="1" x14ac:dyDescent="0.2">
      <c r="A23" s="2049">
        <v>4399</v>
      </c>
      <c r="B23" s="2058">
        <v>5162</v>
      </c>
      <c r="C23" s="2057">
        <v>33113233</v>
      </c>
      <c r="D23" s="1979" t="s">
        <v>904</v>
      </c>
      <c r="E23" s="1989">
        <v>0</v>
      </c>
      <c r="F23" s="1989"/>
      <c r="G23" s="1989"/>
      <c r="H23" s="1961" t="e">
        <f t="shared" si="1"/>
        <v>#DIV/0!</v>
      </c>
    </row>
    <row r="24" spans="1:8" ht="15.75" hidden="1" customHeight="1" x14ac:dyDescent="0.2">
      <c r="A24" s="2049">
        <v>4399</v>
      </c>
      <c r="B24" s="2058">
        <v>5162</v>
      </c>
      <c r="C24" s="2057">
        <v>33513233</v>
      </c>
      <c r="D24" s="1979" t="s">
        <v>904</v>
      </c>
      <c r="E24" s="1989">
        <v>0</v>
      </c>
      <c r="F24" s="1989"/>
      <c r="G24" s="1989"/>
      <c r="H24" s="1961" t="e">
        <f t="shared" si="1"/>
        <v>#DIV/0!</v>
      </c>
    </row>
    <row r="25" spans="1:8" ht="15.75" hidden="1" customHeight="1" x14ac:dyDescent="0.2">
      <c r="A25" s="2049">
        <v>4399</v>
      </c>
      <c r="B25" s="2058">
        <v>5164</v>
      </c>
      <c r="C25" s="2057">
        <v>33113233</v>
      </c>
      <c r="D25" s="1979" t="s">
        <v>182</v>
      </c>
      <c r="E25" s="1989">
        <v>0</v>
      </c>
      <c r="F25" s="1989"/>
      <c r="G25" s="1989"/>
      <c r="H25" s="1961" t="e">
        <f t="shared" si="1"/>
        <v>#DIV/0!</v>
      </c>
    </row>
    <row r="26" spans="1:8" ht="15.75" hidden="1" customHeight="1" x14ac:dyDescent="0.2">
      <c r="A26" s="2049">
        <v>4399</v>
      </c>
      <c r="B26" s="2058">
        <v>5164</v>
      </c>
      <c r="C26" s="2057">
        <v>33513233</v>
      </c>
      <c r="D26" s="1979" t="s">
        <v>182</v>
      </c>
      <c r="E26" s="1989">
        <v>0</v>
      </c>
      <c r="F26" s="1989"/>
      <c r="G26" s="1989"/>
      <c r="H26" s="1961" t="e">
        <f t="shared" si="1"/>
        <v>#DIV/0!</v>
      </c>
    </row>
    <row r="27" spans="1:8" ht="15.75" hidden="1" customHeight="1" x14ac:dyDescent="0.2">
      <c r="A27" s="2049">
        <v>4399</v>
      </c>
      <c r="B27" s="2058">
        <v>5166</v>
      </c>
      <c r="C27" s="2057">
        <v>33113233</v>
      </c>
      <c r="D27" s="1979" t="s">
        <v>646</v>
      </c>
      <c r="E27" s="1989">
        <v>0</v>
      </c>
      <c r="F27" s="1989"/>
      <c r="G27" s="1989"/>
      <c r="H27" s="1961" t="e">
        <f t="shared" si="1"/>
        <v>#DIV/0!</v>
      </c>
    </row>
    <row r="28" spans="1:8" ht="15.75" hidden="1" customHeight="1" x14ac:dyDescent="0.2">
      <c r="A28" s="2049">
        <v>4399</v>
      </c>
      <c r="B28" s="2058">
        <v>5166</v>
      </c>
      <c r="C28" s="2057">
        <v>33513233</v>
      </c>
      <c r="D28" s="1979" t="s">
        <v>646</v>
      </c>
      <c r="E28" s="1989">
        <v>0</v>
      </c>
      <c r="F28" s="1989"/>
      <c r="G28" s="1989"/>
      <c r="H28" s="1961" t="e">
        <f t="shared" si="1"/>
        <v>#DIV/0!</v>
      </c>
    </row>
    <row r="29" spans="1:8" ht="15.75" hidden="1" customHeight="1" x14ac:dyDescent="0.2">
      <c r="A29" s="2049">
        <v>4399</v>
      </c>
      <c r="B29" s="2058">
        <v>5169</v>
      </c>
      <c r="C29" s="2057">
        <v>33113233</v>
      </c>
      <c r="D29" s="1979" t="s">
        <v>892</v>
      </c>
      <c r="E29" s="1989">
        <v>0</v>
      </c>
      <c r="F29" s="1989"/>
      <c r="G29" s="1989"/>
      <c r="H29" s="1961" t="e">
        <f t="shared" si="1"/>
        <v>#DIV/0!</v>
      </c>
    </row>
    <row r="30" spans="1:8" ht="15.75" hidden="1" customHeight="1" x14ac:dyDescent="0.2">
      <c r="A30" s="2049">
        <v>4399</v>
      </c>
      <c r="B30" s="2056">
        <v>5169</v>
      </c>
      <c r="C30" s="2057">
        <v>33513233</v>
      </c>
      <c r="D30" s="1979" t="s">
        <v>892</v>
      </c>
      <c r="E30" s="1989">
        <v>0</v>
      </c>
      <c r="F30" s="1989"/>
      <c r="G30" s="1989"/>
      <c r="H30" s="1961" t="e">
        <f t="shared" si="1"/>
        <v>#DIV/0!</v>
      </c>
    </row>
    <row r="31" spans="1:8" ht="15.75" hidden="1" customHeight="1" x14ac:dyDescent="0.2">
      <c r="A31" s="2049">
        <v>4399</v>
      </c>
      <c r="B31" s="2056">
        <v>5173</v>
      </c>
      <c r="C31" s="2057">
        <v>33113233</v>
      </c>
      <c r="D31" s="1979" t="s">
        <v>1211</v>
      </c>
      <c r="E31" s="1989">
        <v>0</v>
      </c>
      <c r="F31" s="1989"/>
      <c r="G31" s="1989"/>
      <c r="H31" s="1961" t="e">
        <f t="shared" si="1"/>
        <v>#DIV/0!</v>
      </c>
    </row>
    <row r="32" spans="1:8" ht="15.75" hidden="1" customHeight="1" x14ac:dyDescent="0.2">
      <c r="A32" s="2049">
        <v>4399</v>
      </c>
      <c r="B32" s="2056">
        <v>5173</v>
      </c>
      <c r="C32" s="2057">
        <v>33513233</v>
      </c>
      <c r="D32" s="1979" t="s">
        <v>1211</v>
      </c>
      <c r="E32" s="1989">
        <v>0</v>
      </c>
      <c r="F32" s="1989"/>
      <c r="G32" s="1989"/>
      <c r="H32" s="1961" t="e">
        <f t="shared" si="1"/>
        <v>#DIV/0!</v>
      </c>
    </row>
    <row r="33" spans="1:9" ht="15.75" hidden="1" customHeight="1" x14ac:dyDescent="0.2">
      <c r="A33" s="2049">
        <v>4399</v>
      </c>
      <c r="B33" s="2056">
        <v>5424</v>
      </c>
      <c r="C33" s="2057">
        <v>33113233</v>
      </c>
      <c r="D33" s="1979" t="s">
        <v>688</v>
      </c>
      <c r="E33" s="1989">
        <v>0</v>
      </c>
      <c r="F33" s="1989"/>
      <c r="G33" s="1989"/>
      <c r="H33" s="1961" t="e">
        <f t="shared" si="1"/>
        <v>#DIV/0!</v>
      </c>
    </row>
    <row r="34" spans="1:9" s="1990" customFormat="1" ht="15.75" hidden="1" customHeight="1" x14ac:dyDescent="0.2">
      <c r="A34" s="2049">
        <v>4399</v>
      </c>
      <c r="B34" s="2056">
        <v>5424</v>
      </c>
      <c r="C34" s="2057">
        <v>33513233</v>
      </c>
      <c r="D34" s="1979" t="s">
        <v>688</v>
      </c>
      <c r="E34" s="1989">
        <v>0</v>
      </c>
      <c r="F34" s="1989"/>
      <c r="G34" s="1989"/>
      <c r="H34" s="1961" t="e">
        <f t="shared" si="1"/>
        <v>#DIV/0!</v>
      </c>
    </row>
    <row r="35" spans="1:9" s="1990" customFormat="1" ht="30" hidden="1" customHeight="1" thickBot="1" x14ac:dyDescent="0.25">
      <c r="A35" s="2049">
        <v>6402</v>
      </c>
      <c r="B35" s="2056">
        <v>5364</v>
      </c>
      <c r="C35" s="2057">
        <v>19</v>
      </c>
      <c r="D35" s="1979" t="s">
        <v>1579</v>
      </c>
      <c r="E35" s="1989">
        <v>0</v>
      </c>
      <c r="F35" s="1989"/>
      <c r="G35" s="1989"/>
      <c r="H35" s="1968" t="e">
        <f t="shared" si="1"/>
        <v>#DIV/0!</v>
      </c>
    </row>
    <row r="36" spans="1:9" s="1969" customFormat="1" ht="16.5" hidden="1" thickTop="1" thickBot="1" x14ac:dyDescent="0.3">
      <c r="A36" s="2750" t="s">
        <v>802</v>
      </c>
      <c r="B36" s="2751"/>
      <c r="C36" s="2751"/>
      <c r="D36" s="2751"/>
      <c r="E36" s="1957">
        <f>SUM(E11:E35)</f>
        <v>0</v>
      </c>
      <c r="F36" s="1957">
        <f>SUM(F11:F35)</f>
        <v>0</v>
      </c>
      <c r="G36" s="1957">
        <f>SUM(G11:G35)</f>
        <v>0</v>
      </c>
      <c r="H36" s="1968" t="e">
        <f t="shared" si="1"/>
        <v>#DIV/0!</v>
      </c>
      <c r="I36" s="2063"/>
    </row>
    <row r="37" spans="1:9" hidden="1" x14ac:dyDescent="0.2">
      <c r="I37" s="1970"/>
    </row>
    <row r="38" spans="1:9" ht="15" x14ac:dyDescent="0.25">
      <c r="A38" s="2129" t="s">
        <v>1100</v>
      </c>
      <c r="B38" s="2003"/>
      <c r="C38" s="2003"/>
      <c r="D38" s="2003"/>
    </row>
    <row r="39" spans="1:9" ht="15.75" thickBot="1" x14ac:dyDescent="0.3">
      <c r="A39" s="2130" t="s">
        <v>1101</v>
      </c>
      <c r="B39" s="2131"/>
      <c r="C39" s="2131"/>
      <c r="H39" s="2043" t="s">
        <v>173</v>
      </c>
    </row>
    <row r="40" spans="1:9" s="1735" customFormat="1" ht="25.5" thickTop="1" thickBot="1" x14ac:dyDescent="0.25">
      <c r="A40" s="1943" t="s">
        <v>174</v>
      </c>
      <c r="B40" s="1944" t="s">
        <v>800</v>
      </c>
      <c r="C40" s="1944" t="s">
        <v>397</v>
      </c>
      <c r="D40" s="1945" t="s">
        <v>176</v>
      </c>
      <c r="E40" s="1976" t="s">
        <v>669</v>
      </c>
      <c r="F40" s="1976" t="s">
        <v>670</v>
      </c>
      <c r="G40" s="1977" t="s">
        <v>923</v>
      </c>
      <c r="H40" s="1978" t="s">
        <v>924</v>
      </c>
    </row>
    <row r="41" spans="1:9" s="1735" customFormat="1" ht="13.5" thickTop="1" thickBot="1" x14ac:dyDescent="0.25">
      <c r="A41" s="1740">
        <v>1</v>
      </c>
      <c r="B41" s="1739">
        <v>2</v>
      </c>
      <c r="C41" s="1739">
        <v>3</v>
      </c>
      <c r="D41" s="1739">
        <v>4</v>
      </c>
      <c r="E41" s="1738">
        <v>5</v>
      </c>
      <c r="F41" s="1738">
        <v>6</v>
      </c>
      <c r="G41" s="2028">
        <v>7</v>
      </c>
      <c r="H41" s="2054" t="s">
        <v>61</v>
      </c>
    </row>
    <row r="42" spans="1:9" s="2060" customFormat="1" ht="15.75" customHeight="1" thickTop="1" x14ac:dyDescent="0.2">
      <c r="A42" s="2049">
        <v>4378</v>
      </c>
      <c r="B42" s="2056">
        <v>5011</v>
      </c>
      <c r="C42" s="2057">
        <v>33113233</v>
      </c>
      <c r="D42" s="1979" t="s">
        <v>219</v>
      </c>
      <c r="E42" s="1989">
        <v>0</v>
      </c>
      <c r="F42" s="1989">
        <v>36</v>
      </c>
      <c r="G42" s="1989">
        <v>36</v>
      </c>
      <c r="H42" s="1961">
        <f t="shared" ref="H42:H53" si="2">G42/F42*100</f>
        <v>100</v>
      </c>
    </row>
    <row r="43" spans="1:9" s="2060" customFormat="1" ht="15" x14ac:dyDescent="0.2">
      <c r="A43" s="2049">
        <v>4378</v>
      </c>
      <c r="B43" s="2056">
        <v>5011</v>
      </c>
      <c r="C43" s="2057">
        <v>33513233</v>
      </c>
      <c r="D43" s="1979" t="s">
        <v>219</v>
      </c>
      <c r="E43" s="1989">
        <v>0</v>
      </c>
      <c r="F43" s="1989">
        <v>202</v>
      </c>
      <c r="G43" s="1989">
        <v>202</v>
      </c>
      <c r="H43" s="1961">
        <f t="shared" si="2"/>
        <v>100</v>
      </c>
    </row>
    <row r="44" spans="1:9" s="2060" customFormat="1" ht="15" customHeight="1" x14ac:dyDescent="0.2">
      <c r="A44" s="2049">
        <v>4378</v>
      </c>
      <c r="B44" s="2056">
        <v>5021</v>
      </c>
      <c r="C44" s="2057">
        <v>33113233</v>
      </c>
      <c r="D44" s="1979" t="s">
        <v>409</v>
      </c>
      <c r="E44" s="1989">
        <v>0</v>
      </c>
      <c r="F44" s="1989">
        <v>4</v>
      </c>
      <c r="G44" s="1989">
        <v>4</v>
      </c>
      <c r="H44" s="1961">
        <f t="shared" si="2"/>
        <v>100</v>
      </c>
    </row>
    <row r="45" spans="1:9" s="2060" customFormat="1" ht="15" customHeight="1" x14ac:dyDescent="0.2">
      <c r="A45" s="2049">
        <v>4378</v>
      </c>
      <c r="B45" s="2056">
        <v>5021</v>
      </c>
      <c r="C45" s="2057">
        <v>33513233</v>
      </c>
      <c r="D45" s="1979" t="s">
        <v>409</v>
      </c>
      <c r="E45" s="1989">
        <v>0</v>
      </c>
      <c r="F45" s="1989">
        <v>23</v>
      </c>
      <c r="G45" s="1989">
        <v>23</v>
      </c>
      <c r="H45" s="1961">
        <f t="shared" si="2"/>
        <v>100</v>
      </c>
    </row>
    <row r="46" spans="1:9" s="2060" customFormat="1" ht="30" customHeight="1" x14ac:dyDescent="0.2">
      <c r="A46" s="2049">
        <v>4378</v>
      </c>
      <c r="B46" s="2056">
        <v>5031</v>
      </c>
      <c r="C46" s="2057">
        <v>33113233</v>
      </c>
      <c r="D46" s="1979" t="s">
        <v>1362</v>
      </c>
      <c r="E46" s="1989">
        <v>0</v>
      </c>
      <c r="F46" s="1989">
        <v>10</v>
      </c>
      <c r="G46" s="1989">
        <v>10</v>
      </c>
      <c r="H46" s="1961">
        <f t="shared" si="2"/>
        <v>100</v>
      </c>
    </row>
    <row r="47" spans="1:9" s="2060" customFormat="1" ht="30" customHeight="1" x14ac:dyDescent="0.2">
      <c r="A47" s="2049">
        <v>4378</v>
      </c>
      <c r="B47" s="2056">
        <v>5031</v>
      </c>
      <c r="C47" s="2057">
        <v>33513233</v>
      </c>
      <c r="D47" s="1979" t="s">
        <v>1362</v>
      </c>
      <c r="E47" s="1989">
        <v>0</v>
      </c>
      <c r="F47" s="1989">
        <v>56</v>
      </c>
      <c r="G47" s="1989">
        <v>56</v>
      </c>
      <c r="H47" s="1961">
        <f t="shared" si="2"/>
        <v>100</v>
      </c>
    </row>
    <row r="48" spans="1:9" s="2060" customFormat="1" ht="30" x14ac:dyDescent="0.2">
      <c r="A48" s="2049">
        <v>4378</v>
      </c>
      <c r="B48" s="2056">
        <v>5032</v>
      </c>
      <c r="C48" s="2057">
        <v>33113233</v>
      </c>
      <c r="D48" s="1979" t="s">
        <v>1236</v>
      </c>
      <c r="E48" s="1989">
        <v>0</v>
      </c>
      <c r="F48" s="1989">
        <v>3</v>
      </c>
      <c r="G48" s="1989">
        <v>3</v>
      </c>
      <c r="H48" s="1961">
        <f t="shared" si="2"/>
        <v>100</v>
      </c>
    </row>
    <row r="49" spans="1:8" s="2060" customFormat="1" ht="30" x14ac:dyDescent="0.2">
      <c r="A49" s="2049">
        <v>4378</v>
      </c>
      <c r="B49" s="2056">
        <v>5032</v>
      </c>
      <c r="C49" s="2057">
        <v>33513233</v>
      </c>
      <c r="D49" s="1979" t="s">
        <v>1236</v>
      </c>
      <c r="E49" s="1989">
        <v>0</v>
      </c>
      <c r="F49" s="1989">
        <v>20</v>
      </c>
      <c r="G49" s="1989">
        <v>20</v>
      </c>
      <c r="H49" s="1961">
        <f t="shared" si="2"/>
        <v>100</v>
      </c>
    </row>
    <row r="50" spans="1:8" s="2060" customFormat="1" ht="15" hidden="1" x14ac:dyDescent="0.2">
      <c r="A50" s="2049">
        <v>4378</v>
      </c>
      <c r="B50" s="2056">
        <v>5137</v>
      </c>
      <c r="C50" s="2057">
        <v>33113233</v>
      </c>
      <c r="D50" s="1979" t="s">
        <v>167</v>
      </c>
      <c r="E50" s="1989">
        <v>0</v>
      </c>
      <c r="F50" s="1989">
        <v>0</v>
      </c>
      <c r="G50" s="1989">
        <v>0</v>
      </c>
      <c r="H50" s="1961" t="e">
        <f t="shared" si="2"/>
        <v>#DIV/0!</v>
      </c>
    </row>
    <row r="51" spans="1:8" s="2060" customFormat="1" ht="15" hidden="1" x14ac:dyDescent="0.2">
      <c r="A51" s="2049">
        <v>4378</v>
      </c>
      <c r="B51" s="2056">
        <v>5137</v>
      </c>
      <c r="C51" s="2057">
        <v>33513233</v>
      </c>
      <c r="D51" s="1979" t="s">
        <v>167</v>
      </c>
      <c r="E51" s="1989">
        <v>0</v>
      </c>
      <c r="F51" s="1989">
        <v>0</v>
      </c>
      <c r="G51" s="1989">
        <v>0</v>
      </c>
      <c r="H51" s="1961" t="e">
        <f t="shared" si="2"/>
        <v>#DIV/0!</v>
      </c>
    </row>
    <row r="52" spans="1:8" s="1990" customFormat="1" ht="15" hidden="1" x14ac:dyDescent="0.2">
      <c r="A52" s="2049">
        <v>4378</v>
      </c>
      <c r="B52" s="2058">
        <v>5139</v>
      </c>
      <c r="C52" s="2057">
        <v>33113233</v>
      </c>
      <c r="D52" s="1979" t="s">
        <v>284</v>
      </c>
      <c r="E52" s="1989">
        <v>0</v>
      </c>
      <c r="F52" s="1989"/>
      <c r="G52" s="1989"/>
      <c r="H52" s="1961" t="e">
        <f t="shared" si="2"/>
        <v>#DIV/0!</v>
      </c>
    </row>
    <row r="53" spans="1:8" s="1990" customFormat="1" ht="15" hidden="1" x14ac:dyDescent="0.2">
      <c r="A53" s="2049">
        <v>4378</v>
      </c>
      <c r="B53" s="2058">
        <v>5139</v>
      </c>
      <c r="C53" s="2057">
        <v>33513233</v>
      </c>
      <c r="D53" s="1979" t="s">
        <v>284</v>
      </c>
      <c r="E53" s="1989">
        <v>0</v>
      </c>
      <c r="F53" s="1989"/>
      <c r="G53" s="1989"/>
      <c r="H53" s="1961" t="e">
        <f t="shared" si="2"/>
        <v>#DIV/0!</v>
      </c>
    </row>
    <row r="54" spans="1:8" ht="15" hidden="1" x14ac:dyDescent="0.2">
      <c r="A54" s="2049">
        <v>4378</v>
      </c>
      <c r="B54" s="2058">
        <v>5162</v>
      </c>
      <c r="C54" s="2057">
        <v>33113233</v>
      </c>
      <c r="D54" s="1979" t="s">
        <v>904</v>
      </c>
      <c r="E54" s="1989">
        <v>0</v>
      </c>
      <c r="F54" s="1989">
        <v>0</v>
      </c>
      <c r="G54" s="1989">
        <v>0</v>
      </c>
      <c r="H54" s="1961">
        <v>0</v>
      </c>
    </row>
    <row r="55" spans="1:8" ht="15" hidden="1" x14ac:dyDescent="0.2">
      <c r="A55" s="2049">
        <v>4378</v>
      </c>
      <c r="B55" s="2058">
        <v>5162</v>
      </c>
      <c r="C55" s="2057">
        <v>33513233</v>
      </c>
      <c r="D55" s="1979" t="s">
        <v>904</v>
      </c>
      <c r="E55" s="1989">
        <v>0</v>
      </c>
      <c r="F55" s="1989">
        <v>0</v>
      </c>
      <c r="G55" s="1989">
        <v>0</v>
      </c>
      <c r="H55" s="1961" t="e">
        <f t="shared" ref="H55:H64" si="3">G55/F55*100</f>
        <v>#DIV/0!</v>
      </c>
    </row>
    <row r="56" spans="1:8" ht="15" x14ac:dyDescent="0.2">
      <c r="A56" s="2049">
        <v>4378</v>
      </c>
      <c r="B56" s="2058">
        <v>5166</v>
      </c>
      <c r="C56" s="2057">
        <v>33113233</v>
      </c>
      <c r="D56" s="1979" t="s">
        <v>646</v>
      </c>
      <c r="E56" s="1989">
        <v>0</v>
      </c>
      <c r="F56" s="1989">
        <v>64</v>
      </c>
      <c r="G56" s="1989">
        <v>64</v>
      </c>
      <c r="H56" s="1961">
        <f t="shared" si="3"/>
        <v>100</v>
      </c>
    </row>
    <row r="57" spans="1:8" ht="15" x14ac:dyDescent="0.2">
      <c r="A57" s="2049">
        <v>4378</v>
      </c>
      <c r="B57" s="2058">
        <v>5166</v>
      </c>
      <c r="C57" s="2057">
        <v>33513233</v>
      </c>
      <c r="D57" s="1979" t="s">
        <v>646</v>
      </c>
      <c r="E57" s="1989">
        <v>0</v>
      </c>
      <c r="F57" s="1989">
        <v>360</v>
      </c>
      <c r="G57" s="1989">
        <v>360</v>
      </c>
      <c r="H57" s="1961">
        <f t="shared" si="3"/>
        <v>100</v>
      </c>
    </row>
    <row r="58" spans="1:8" ht="15" x14ac:dyDescent="0.2">
      <c r="A58" s="2049">
        <v>4378</v>
      </c>
      <c r="B58" s="2058">
        <v>5169</v>
      </c>
      <c r="C58" s="2057">
        <v>33113233</v>
      </c>
      <c r="D58" s="1979" t="s">
        <v>892</v>
      </c>
      <c r="E58" s="1989">
        <v>0</v>
      </c>
      <c r="F58" s="1989">
        <v>560</v>
      </c>
      <c r="G58" s="1989">
        <v>560</v>
      </c>
      <c r="H58" s="1961">
        <f t="shared" si="3"/>
        <v>100</v>
      </c>
    </row>
    <row r="59" spans="1:8" ht="15" x14ac:dyDescent="0.2">
      <c r="A59" s="2049">
        <v>4378</v>
      </c>
      <c r="B59" s="2056">
        <v>5169</v>
      </c>
      <c r="C59" s="2057">
        <v>33513233</v>
      </c>
      <c r="D59" s="1979" t="s">
        <v>892</v>
      </c>
      <c r="E59" s="1989">
        <v>0</v>
      </c>
      <c r="F59" s="1989">
        <v>3172</v>
      </c>
      <c r="G59" s="1989">
        <v>3172</v>
      </c>
      <c r="H59" s="1961">
        <f t="shared" si="3"/>
        <v>100</v>
      </c>
    </row>
    <row r="60" spans="1:8" ht="15.75" customHeight="1" x14ac:dyDescent="0.2">
      <c r="A60" s="2049">
        <v>4378</v>
      </c>
      <c r="B60" s="2056">
        <v>5175</v>
      </c>
      <c r="C60" s="2057">
        <v>33113233</v>
      </c>
      <c r="D60" s="1979" t="s">
        <v>707</v>
      </c>
      <c r="E60" s="1989">
        <v>0</v>
      </c>
      <c r="F60" s="1989">
        <v>2</v>
      </c>
      <c r="G60" s="1989">
        <v>2</v>
      </c>
      <c r="H60" s="1961">
        <f t="shared" si="3"/>
        <v>100</v>
      </c>
    </row>
    <row r="61" spans="1:8" ht="15.75" customHeight="1" x14ac:dyDescent="0.2">
      <c r="A61" s="2049">
        <v>4378</v>
      </c>
      <c r="B61" s="2056">
        <v>5175</v>
      </c>
      <c r="C61" s="2057">
        <v>33513233</v>
      </c>
      <c r="D61" s="1979" t="s">
        <v>707</v>
      </c>
      <c r="E61" s="1989">
        <v>0</v>
      </c>
      <c r="F61" s="1989">
        <v>12</v>
      </c>
      <c r="G61" s="1989">
        <v>12</v>
      </c>
      <c r="H61" s="1961">
        <f>G61/F61*100</f>
        <v>100</v>
      </c>
    </row>
    <row r="62" spans="1:8" ht="15" x14ac:dyDescent="0.2">
      <c r="A62" s="2049">
        <v>4378</v>
      </c>
      <c r="B62" s="2056">
        <v>5424</v>
      </c>
      <c r="C62" s="2057">
        <v>33113233</v>
      </c>
      <c r="D62" s="1979" t="s">
        <v>688</v>
      </c>
      <c r="E62" s="1989">
        <v>0</v>
      </c>
      <c r="F62" s="1989">
        <v>0</v>
      </c>
      <c r="G62" s="1989">
        <v>0</v>
      </c>
      <c r="H62" s="1961">
        <v>0</v>
      </c>
    </row>
    <row r="63" spans="1:8" ht="15" x14ac:dyDescent="0.2">
      <c r="A63" s="2049">
        <v>4378</v>
      </c>
      <c r="B63" s="2056">
        <v>5424</v>
      </c>
      <c r="C63" s="2057">
        <v>33513233</v>
      </c>
      <c r="D63" s="1979" t="s">
        <v>688</v>
      </c>
      <c r="E63" s="1989">
        <v>0</v>
      </c>
      <c r="F63" s="1989">
        <v>1</v>
      </c>
      <c r="G63" s="1989">
        <v>1</v>
      </c>
      <c r="H63" s="1961">
        <f t="shared" si="3"/>
        <v>100</v>
      </c>
    </row>
    <row r="64" spans="1:8" ht="15" hidden="1" x14ac:dyDescent="0.2">
      <c r="A64" s="2049">
        <v>4378</v>
      </c>
      <c r="B64" s="2056">
        <v>5901</v>
      </c>
      <c r="C64" s="2057">
        <v>33113233</v>
      </c>
      <c r="D64" s="1979" t="s">
        <v>639</v>
      </c>
      <c r="E64" s="1989">
        <v>0</v>
      </c>
      <c r="F64" s="1989">
        <v>0</v>
      </c>
      <c r="G64" s="1989">
        <v>0</v>
      </c>
      <c r="H64" s="1961" t="e">
        <f t="shared" si="3"/>
        <v>#DIV/0!</v>
      </c>
    </row>
    <row r="65" spans="1:9" s="1990" customFormat="1" ht="15.75" thickBot="1" x14ac:dyDescent="0.25">
      <c r="A65" s="2049">
        <v>6330</v>
      </c>
      <c r="B65" s="2056">
        <v>5345</v>
      </c>
      <c r="C65" s="2057">
        <v>0</v>
      </c>
      <c r="D65" s="1979" t="s">
        <v>806</v>
      </c>
      <c r="E65" s="1989">
        <v>0</v>
      </c>
      <c r="F65" s="1989">
        <v>0</v>
      </c>
      <c r="G65" s="1989">
        <v>3072</v>
      </c>
      <c r="H65" s="1968">
        <v>0</v>
      </c>
    </row>
    <row r="66" spans="1:9" s="1969" customFormat="1" ht="16.5" thickTop="1" thickBot="1" x14ac:dyDescent="0.3">
      <c r="A66" s="2750" t="s">
        <v>802</v>
      </c>
      <c r="B66" s="2751"/>
      <c r="C66" s="2751"/>
      <c r="D66" s="2751"/>
      <c r="E66" s="1957">
        <f>SUM(E42:E65)</f>
        <v>0</v>
      </c>
      <c r="F66" s="1957">
        <f>SUM(F42:F65)</f>
        <v>4525</v>
      </c>
      <c r="G66" s="1957">
        <f>SUM(G42:G65)</f>
        <v>7597</v>
      </c>
      <c r="H66" s="1962">
        <f>G66/F66*100</f>
        <v>167.88950276243094</v>
      </c>
      <c r="I66" s="2063"/>
    </row>
    <row r="67" spans="1:9" s="1969" customFormat="1" ht="15.75" thickTop="1" x14ac:dyDescent="0.25">
      <c r="A67" s="1963"/>
      <c r="B67" s="1963"/>
      <c r="C67" s="1963"/>
      <c r="D67" s="1963"/>
      <c r="E67" s="1964"/>
      <c r="F67" s="1964"/>
      <c r="G67" s="1964"/>
      <c r="H67" s="1995"/>
      <c r="I67" s="2063"/>
    </row>
    <row r="68" spans="1:9" s="1969" customFormat="1" ht="15" hidden="1" x14ac:dyDescent="0.25">
      <c r="A68" s="1963"/>
      <c r="B68" s="1963"/>
      <c r="C68" s="1963"/>
      <c r="D68" s="1963"/>
      <c r="E68" s="1964"/>
      <c r="F68" s="1964"/>
      <c r="G68" s="1964"/>
      <c r="H68" s="1995"/>
      <c r="I68" s="2063"/>
    </row>
    <row r="69" spans="1:9" s="1969" customFormat="1" ht="15" hidden="1" x14ac:dyDescent="0.25">
      <c r="A69" s="1963"/>
      <c r="B69" s="1963"/>
      <c r="C69" s="1963"/>
      <c r="D69" s="1963"/>
      <c r="E69" s="1964"/>
      <c r="F69" s="1964"/>
      <c r="G69" s="1964"/>
      <c r="H69" s="1995"/>
      <c r="I69" s="2063"/>
    </row>
    <row r="70" spans="1:9" s="1969" customFormat="1" ht="15" hidden="1" x14ac:dyDescent="0.25">
      <c r="A70" s="1963"/>
      <c r="B70" s="1963"/>
      <c r="C70" s="1963"/>
      <c r="D70" s="1963"/>
      <c r="E70" s="1964"/>
      <c r="F70" s="1964"/>
      <c r="G70" s="1964"/>
      <c r="H70" s="1995"/>
      <c r="I70" s="2063"/>
    </row>
    <row r="71" spans="1:9" s="1969" customFormat="1" ht="15" hidden="1" x14ac:dyDescent="0.25">
      <c r="A71" s="1963"/>
      <c r="B71" s="1963"/>
      <c r="C71" s="1963"/>
      <c r="D71" s="1963"/>
      <c r="E71" s="1964"/>
      <c r="F71" s="1964"/>
      <c r="G71" s="1964"/>
      <c r="H71" s="1995"/>
      <c r="I71" s="2063"/>
    </row>
    <row r="72" spans="1:9" s="1969" customFormat="1" ht="15" x14ac:dyDescent="0.25">
      <c r="A72" s="1963"/>
      <c r="B72" s="1963"/>
      <c r="C72" s="1963"/>
      <c r="D72" s="1963"/>
      <c r="E72" s="1964"/>
      <c r="F72" s="1964"/>
      <c r="G72" s="1964"/>
      <c r="H72" s="1995"/>
      <c r="I72" s="2063"/>
    </row>
    <row r="73" spans="1:9" s="1969" customFormat="1" ht="6" customHeight="1" x14ac:dyDescent="0.25">
      <c r="A73" s="1963"/>
      <c r="B73" s="1963"/>
      <c r="C73" s="1963"/>
      <c r="D73" s="1963"/>
      <c r="E73" s="1964"/>
      <c r="F73" s="1964"/>
      <c r="G73" s="1964"/>
      <c r="H73" s="1995"/>
      <c r="I73" s="2063"/>
    </row>
    <row r="74" spans="1:9" ht="15" x14ac:dyDescent="0.25">
      <c r="A74" s="2129" t="s">
        <v>1660</v>
      </c>
      <c r="B74" s="2003"/>
      <c r="C74" s="2003"/>
      <c r="D74" s="2003"/>
    </row>
    <row r="75" spans="1:9" ht="15.75" thickBot="1" x14ac:dyDescent="0.3">
      <c r="A75" s="2130" t="s">
        <v>1661</v>
      </c>
      <c r="B75" s="2131"/>
      <c r="C75" s="2131"/>
      <c r="H75" s="2043" t="s">
        <v>173</v>
      </c>
    </row>
    <row r="76" spans="1:9" s="1735" customFormat="1" ht="25.5" thickTop="1" thickBot="1" x14ac:dyDescent="0.25">
      <c r="A76" s="1943" t="s">
        <v>174</v>
      </c>
      <c r="B76" s="1944" t="s">
        <v>800</v>
      </c>
      <c r="C76" s="1944" t="s">
        <v>397</v>
      </c>
      <c r="D76" s="1945" t="s">
        <v>176</v>
      </c>
      <c r="E76" s="1976" t="s">
        <v>669</v>
      </c>
      <c r="F76" s="1976" t="s">
        <v>670</v>
      </c>
      <c r="G76" s="1977" t="s">
        <v>923</v>
      </c>
      <c r="H76" s="1978" t="s">
        <v>924</v>
      </c>
    </row>
    <row r="77" spans="1:9" s="1735" customFormat="1" ht="13.5" thickTop="1" thickBot="1" x14ac:dyDescent="0.25">
      <c r="A77" s="1740">
        <v>1</v>
      </c>
      <c r="B77" s="1739">
        <v>2</v>
      </c>
      <c r="C77" s="1739">
        <v>3</v>
      </c>
      <c r="D77" s="1739">
        <v>4</v>
      </c>
      <c r="E77" s="1738">
        <v>5</v>
      </c>
      <c r="F77" s="1738">
        <v>6</v>
      </c>
      <c r="G77" s="2028">
        <v>7</v>
      </c>
      <c r="H77" s="2054" t="s">
        <v>61</v>
      </c>
    </row>
    <row r="78" spans="1:9" s="2060" customFormat="1" ht="15.75" customHeight="1" thickTop="1" x14ac:dyDescent="0.2">
      <c r="A78" s="2049">
        <v>4399</v>
      </c>
      <c r="B78" s="2056">
        <v>5011</v>
      </c>
      <c r="C78" s="2057">
        <v>33113233</v>
      </c>
      <c r="D78" s="1979" t="s">
        <v>219</v>
      </c>
      <c r="E78" s="1989">
        <v>0</v>
      </c>
      <c r="F78" s="1989">
        <v>48</v>
      </c>
      <c r="G78" s="1989">
        <v>27</v>
      </c>
      <c r="H78" s="1961">
        <f t="shared" ref="H78:H89" si="4">G78/F78*100</f>
        <v>56.25</v>
      </c>
    </row>
    <row r="79" spans="1:9" s="2060" customFormat="1" ht="15" x14ac:dyDescent="0.2">
      <c r="A79" s="2049">
        <v>4399</v>
      </c>
      <c r="B79" s="2056">
        <v>5011</v>
      </c>
      <c r="C79" s="2057">
        <v>33513233</v>
      </c>
      <c r="D79" s="1979" t="s">
        <v>219</v>
      </c>
      <c r="E79" s="1989">
        <v>0</v>
      </c>
      <c r="F79" s="1989">
        <v>273</v>
      </c>
      <c r="G79" s="1989">
        <v>152</v>
      </c>
      <c r="H79" s="1961">
        <f t="shared" si="4"/>
        <v>55.677655677655679</v>
      </c>
    </row>
    <row r="80" spans="1:9" s="2060" customFormat="1" ht="15" customHeight="1" x14ac:dyDescent="0.2">
      <c r="A80" s="2049">
        <v>4399</v>
      </c>
      <c r="B80" s="2056">
        <v>5021</v>
      </c>
      <c r="C80" s="2057">
        <v>33113233</v>
      </c>
      <c r="D80" s="1979" t="s">
        <v>409</v>
      </c>
      <c r="E80" s="1989">
        <v>0</v>
      </c>
      <c r="F80" s="1989">
        <v>64</v>
      </c>
      <c r="G80" s="1989">
        <v>45</v>
      </c>
      <c r="H80" s="1961">
        <f t="shared" si="4"/>
        <v>70.3125</v>
      </c>
    </row>
    <row r="81" spans="1:8" s="2060" customFormat="1" ht="15" customHeight="1" x14ac:dyDescent="0.2">
      <c r="A81" s="2049">
        <v>4399</v>
      </c>
      <c r="B81" s="2056">
        <v>5021</v>
      </c>
      <c r="C81" s="2057">
        <v>33513233</v>
      </c>
      <c r="D81" s="1979" t="s">
        <v>409</v>
      </c>
      <c r="E81" s="1989">
        <v>0</v>
      </c>
      <c r="F81" s="1989">
        <v>362</v>
      </c>
      <c r="G81" s="1989">
        <v>256</v>
      </c>
      <c r="H81" s="1961">
        <f t="shared" si="4"/>
        <v>70.718232044198885</v>
      </c>
    </row>
    <row r="82" spans="1:8" s="2060" customFormat="1" ht="30" customHeight="1" x14ac:dyDescent="0.2">
      <c r="A82" s="2049">
        <v>4399</v>
      </c>
      <c r="B82" s="2056">
        <v>5031</v>
      </c>
      <c r="C82" s="2057">
        <v>33113233</v>
      </c>
      <c r="D82" s="1979" t="s">
        <v>1362</v>
      </c>
      <c r="E82" s="1989">
        <v>0</v>
      </c>
      <c r="F82" s="1989">
        <v>25</v>
      </c>
      <c r="G82" s="1989">
        <v>14</v>
      </c>
      <c r="H82" s="1961">
        <f t="shared" si="4"/>
        <v>56.000000000000007</v>
      </c>
    </row>
    <row r="83" spans="1:8" s="2060" customFormat="1" ht="30" customHeight="1" x14ac:dyDescent="0.2">
      <c r="A83" s="2049">
        <v>4399</v>
      </c>
      <c r="B83" s="2056">
        <v>5031</v>
      </c>
      <c r="C83" s="2057">
        <v>33513233</v>
      </c>
      <c r="D83" s="1979" t="s">
        <v>1362</v>
      </c>
      <c r="E83" s="1989">
        <v>0</v>
      </c>
      <c r="F83" s="1989">
        <v>140</v>
      </c>
      <c r="G83" s="1989">
        <v>80</v>
      </c>
      <c r="H83" s="1961">
        <f t="shared" si="4"/>
        <v>57.142857142857139</v>
      </c>
    </row>
    <row r="84" spans="1:8" s="2060" customFormat="1" ht="30" x14ac:dyDescent="0.2">
      <c r="A84" s="2049">
        <v>4399</v>
      </c>
      <c r="B84" s="2056">
        <v>5032</v>
      </c>
      <c r="C84" s="2057">
        <v>33113233</v>
      </c>
      <c r="D84" s="1979" t="s">
        <v>1236</v>
      </c>
      <c r="E84" s="1989">
        <v>0</v>
      </c>
      <c r="F84" s="1989">
        <v>9</v>
      </c>
      <c r="G84" s="1989">
        <v>5</v>
      </c>
      <c r="H84" s="1961">
        <f t="shared" si="4"/>
        <v>55.555555555555557</v>
      </c>
    </row>
    <row r="85" spans="1:8" s="2060" customFormat="1" ht="30" x14ac:dyDescent="0.2">
      <c r="A85" s="2049">
        <v>4399</v>
      </c>
      <c r="B85" s="2056">
        <v>5032</v>
      </c>
      <c r="C85" s="2057">
        <v>33513233</v>
      </c>
      <c r="D85" s="1979" t="s">
        <v>1236</v>
      </c>
      <c r="E85" s="1989">
        <v>0</v>
      </c>
      <c r="F85" s="1989">
        <v>51</v>
      </c>
      <c r="G85" s="1989">
        <v>28</v>
      </c>
      <c r="H85" s="1961">
        <f t="shared" si="4"/>
        <v>54.901960784313729</v>
      </c>
    </row>
    <row r="86" spans="1:8" s="2060" customFormat="1" ht="15" x14ac:dyDescent="0.2">
      <c r="A86" s="2049">
        <v>4399</v>
      </c>
      <c r="B86" s="2056">
        <v>5137</v>
      </c>
      <c r="C86" s="2057">
        <v>33113233</v>
      </c>
      <c r="D86" s="1979" t="s">
        <v>167</v>
      </c>
      <c r="E86" s="1989">
        <v>0</v>
      </c>
      <c r="F86" s="1989">
        <v>2</v>
      </c>
      <c r="G86" s="1989">
        <v>1</v>
      </c>
      <c r="H86" s="1961">
        <f t="shared" si="4"/>
        <v>50</v>
      </c>
    </row>
    <row r="87" spans="1:8" s="2060" customFormat="1" ht="15" x14ac:dyDescent="0.2">
      <c r="A87" s="2049">
        <v>4399</v>
      </c>
      <c r="B87" s="2056">
        <v>5137</v>
      </c>
      <c r="C87" s="2057">
        <v>33513233</v>
      </c>
      <c r="D87" s="1979" t="s">
        <v>167</v>
      </c>
      <c r="E87" s="1989">
        <v>0</v>
      </c>
      <c r="F87" s="1989">
        <v>10</v>
      </c>
      <c r="G87" s="1989">
        <v>3</v>
      </c>
      <c r="H87" s="1961">
        <f t="shared" si="4"/>
        <v>30</v>
      </c>
    </row>
    <row r="88" spans="1:8" s="1990" customFormat="1" ht="15" x14ac:dyDescent="0.2">
      <c r="A88" s="2049">
        <v>4399</v>
      </c>
      <c r="B88" s="2058">
        <v>5139</v>
      </c>
      <c r="C88" s="2057">
        <v>33113233</v>
      </c>
      <c r="D88" s="1979" t="s">
        <v>284</v>
      </c>
      <c r="E88" s="1989">
        <v>0</v>
      </c>
      <c r="F88" s="1989">
        <v>5</v>
      </c>
      <c r="G88" s="1989">
        <v>3</v>
      </c>
      <c r="H88" s="1961">
        <f t="shared" si="4"/>
        <v>60</v>
      </c>
    </row>
    <row r="89" spans="1:8" s="1990" customFormat="1" ht="15" x14ac:dyDescent="0.2">
      <c r="A89" s="2049">
        <v>4399</v>
      </c>
      <c r="B89" s="2058">
        <v>5139</v>
      </c>
      <c r="C89" s="2057">
        <v>33513233</v>
      </c>
      <c r="D89" s="1979" t="s">
        <v>284</v>
      </c>
      <c r="E89" s="1989">
        <v>0</v>
      </c>
      <c r="F89" s="1989">
        <v>30</v>
      </c>
      <c r="G89" s="1989">
        <v>20</v>
      </c>
      <c r="H89" s="1961">
        <f t="shared" si="4"/>
        <v>66.666666666666657</v>
      </c>
    </row>
    <row r="90" spans="1:8" ht="15" x14ac:dyDescent="0.2">
      <c r="A90" s="2049">
        <v>4399</v>
      </c>
      <c r="B90" s="2058">
        <v>5162</v>
      </c>
      <c r="C90" s="2057">
        <v>33113233</v>
      </c>
      <c r="D90" s="1979" t="s">
        <v>904</v>
      </c>
      <c r="E90" s="1989">
        <v>0</v>
      </c>
      <c r="F90" s="1989">
        <v>0</v>
      </c>
      <c r="G90" s="1989">
        <v>0</v>
      </c>
      <c r="H90" s="1961">
        <v>0</v>
      </c>
    </row>
    <row r="91" spans="1:8" ht="15" x14ac:dyDescent="0.2">
      <c r="A91" s="2049">
        <v>4399</v>
      </c>
      <c r="B91" s="2058">
        <v>5162</v>
      </c>
      <c r="C91" s="2057">
        <v>33513233</v>
      </c>
      <c r="D91" s="1979" t="s">
        <v>904</v>
      </c>
      <c r="E91" s="1989">
        <v>0</v>
      </c>
      <c r="F91" s="1989">
        <v>1</v>
      </c>
      <c r="G91" s="1989">
        <v>0</v>
      </c>
      <c r="H91" s="1961">
        <f t="shared" ref="H91:H98" si="5">G91/F91*100</f>
        <v>0</v>
      </c>
    </row>
    <row r="92" spans="1:8" ht="15" x14ac:dyDescent="0.2">
      <c r="A92" s="2049">
        <v>4399</v>
      </c>
      <c r="B92" s="2058">
        <v>5164</v>
      </c>
      <c r="C92" s="2057">
        <v>33113233</v>
      </c>
      <c r="D92" s="1979" t="s">
        <v>182</v>
      </c>
      <c r="E92" s="1989">
        <v>0</v>
      </c>
      <c r="F92" s="1989">
        <v>2</v>
      </c>
      <c r="G92" s="1989">
        <v>2</v>
      </c>
      <c r="H92" s="1961">
        <f t="shared" si="5"/>
        <v>100</v>
      </c>
    </row>
    <row r="93" spans="1:8" ht="15" x14ac:dyDescent="0.2">
      <c r="A93" s="2049">
        <v>4399</v>
      </c>
      <c r="B93" s="2058">
        <v>5164</v>
      </c>
      <c r="C93" s="2057">
        <v>33513233</v>
      </c>
      <c r="D93" s="1979" t="s">
        <v>182</v>
      </c>
      <c r="E93" s="1989">
        <v>0</v>
      </c>
      <c r="F93" s="1989">
        <v>9</v>
      </c>
      <c r="G93" s="1989">
        <v>9</v>
      </c>
      <c r="H93" s="1961">
        <f t="shared" si="5"/>
        <v>100</v>
      </c>
    </row>
    <row r="94" spans="1:8" ht="15" x14ac:dyDescent="0.2">
      <c r="A94" s="2049">
        <v>4399</v>
      </c>
      <c r="B94" s="2058">
        <v>5166</v>
      </c>
      <c r="C94" s="2057">
        <v>33113233</v>
      </c>
      <c r="D94" s="1979" t="s">
        <v>646</v>
      </c>
      <c r="E94" s="1989">
        <v>0</v>
      </c>
      <c r="F94" s="1989">
        <v>148</v>
      </c>
      <c r="G94" s="1989">
        <v>133</v>
      </c>
      <c r="H94" s="1961">
        <f t="shared" si="5"/>
        <v>89.86486486486487</v>
      </c>
    </row>
    <row r="95" spans="1:8" ht="15" x14ac:dyDescent="0.2">
      <c r="A95" s="2049">
        <v>4399</v>
      </c>
      <c r="B95" s="2058">
        <v>5166</v>
      </c>
      <c r="C95" s="2057">
        <v>33513233</v>
      </c>
      <c r="D95" s="1979" t="s">
        <v>646</v>
      </c>
      <c r="E95" s="1989">
        <v>0</v>
      </c>
      <c r="F95" s="1989">
        <v>836</v>
      </c>
      <c r="G95" s="1989">
        <v>755</v>
      </c>
      <c r="H95" s="1961">
        <f t="shared" si="5"/>
        <v>90.311004784689004</v>
      </c>
    </row>
    <row r="96" spans="1:8" ht="15" x14ac:dyDescent="0.2">
      <c r="A96" s="2049">
        <v>4399</v>
      </c>
      <c r="B96" s="2058">
        <v>5169</v>
      </c>
      <c r="C96" s="2057">
        <v>33113233</v>
      </c>
      <c r="D96" s="1979" t="s">
        <v>892</v>
      </c>
      <c r="E96" s="1989">
        <v>0</v>
      </c>
      <c r="F96" s="1989">
        <v>131</v>
      </c>
      <c r="G96" s="1989">
        <v>53</v>
      </c>
      <c r="H96" s="1961">
        <f t="shared" si="5"/>
        <v>40.458015267175576</v>
      </c>
    </row>
    <row r="97" spans="1:9" ht="15" x14ac:dyDescent="0.2">
      <c r="A97" s="2049">
        <v>4399</v>
      </c>
      <c r="B97" s="2056">
        <v>5169</v>
      </c>
      <c r="C97" s="2057">
        <v>33513233</v>
      </c>
      <c r="D97" s="1979" t="s">
        <v>892</v>
      </c>
      <c r="E97" s="1989">
        <v>0</v>
      </c>
      <c r="F97" s="1989">
        <v>745</v>
      </c>
      <c r="G97" s="1989">
        <v>300</v>
      </c>
      <c r="H97" s="1961">
        <f t="shared" si="5"/>
        <v>40.268456375838923</v>
      </c>
    </row>
    <row r="98" spans="1:9" ht="15.75" customHeight="1" x14ac:dyDescent="0.2">
      <c r="A98" s="2049">
        <v>4399</v>
      </c>
      <c r="B98" s="2056">
        <v>5175</v>
      </c>
      <c r="C98" s="2057">
        <v>33113233</v>
      </c>
      <c r="D98" s="1979" t="s">
        <v>707</v>
      </c>
      <c r="E98" s="1989">
        <v>0</v>
      </c>
      <c r="F98" s="1989">
        <v>28</v>
      </c>
      <c r="G98" s="1989">
        <v>14</v>
      </c>
      <c r="H98" s="1961">
        <f t="shared" si="5"/>
        <v>50</v>
      </c>
    </row>
    <row r="99" spans="1:9" ht="15.75" customHeight="1" x14ac:dyDescent="0.2">
      <c r="A99" s="2049">
        <v>4399</v>
      </c>
      <c r="B99" s="2056">
        <v>5175</v>
      </c>
      <c r="C99" s="2057">
        <v>33513233</v>
      </c>
      <c r="D99" s="1979" t="s">
        <v>707</v>
      </c>
      <c r="E99" s="1989">
        <v>0</v>
      </c>
      <c r="F99" s="1989">
        <v>161</v>
      </c>
      <c r="G99" s="1989">
        <v>81</v>
      </c>
      <c r="H99" s="1961">
        <f>G99/F99*100</f>
        <v>50.310559006211179</v>
      </c>
    </row>
    <row r="100" spans="1:9" ht="15" x14ac:dyDescent="0.2">
      <c r="A100" s="2049">
        <v>4399</v>
      </c>
      <c r="B100" s="2056">
        <v>5424</v>
      </c>
      <c r="C100" s="2057">
        <v>33113233</v>
      </c>
      <c r="D100" s="1979" t="s">
        <v>688</v>
      </c>
      <c r="E100" s="1989">
        <v>0</v>
      </c>
      <c r="F100" s="1989">
        <v>0</v>
      </c>
      <c r="G100" s="1989">
        <v>0</v>
      </c>
      <c r="H100" s="1961">
        <v>0</v>
      </c>
    </row>
    <row r="101" spans="1:9" ht="15" x14ac:dyDescent="0.2">
      <c r="A101" s="2049">
        <v>4399</v>
      </c>
      <c r="B101" s="2056">
        <v>5424</v>
      </c>
      <c r="C101" s="2057">
        <v>33513233</v>
      </c>
      <c r="D101" s="1979" t="s">
        <v>688</v>
      </c>
      <c r="E101" s="1989">
        <v>0</v>
      </c>
      <c r="F101" s="1989">
        <v>2</v>
      </c>
      <c r="G101" s="1989">
        <v>1</v>
      </c>
      <c r="H101" s="1961">
        <f>G101/F101*100</f>
        <v>50</v>
      </c>
    </row>
    <row r="102" spans="1:9" ht="15" hidden="1" x14ac:dyDescent="0.2">
      <c r="A102" s="2049">
        <v>4378</v>
      </c>
      <c r="B102" s="2056">
        <v>5901</v>
      </c>
      <c r="C102" s="2057">
        <v>33113233</v>
      </c>
      <c r="D102" s="1979" t="s">
        <v>639</v>
      </c>
      <c r="E102" s="1989">
        <v>0</v>
      </c>
      <c r="F102" s="1989">
        <v>0</v>
      </c>
      <c r="G102" s="1989">
        <v>0</v>
      </c>
      <c r="H102" s="1961" t="e">
        <f>G102/F102*100</f>
        <v>#DIV/0!</v>
      </c>
    </row>
    <row r="103" spans="1:9" s="1990" customFormat="1" ht="15.75" thickBot="1" x14ac:dyDescent="0.25">
      <c r="A103" s="2049">
        <v>6330</v>
      </c>
      <c r="B103" s="2056">
        <v>5345</v>
      </c>
      <c r="C103" s="2057">
        <v>0</v>
      </c>
      <c r="D103" s="1979" t="s">
        <v>806</v>
      </c>
      <c r="E103" s="1989">
        <v>0</v>
      </c>
      <c r="F103" s="1989">
        <v>0</v>
      </c>
      <c r="G103" s="1989">
        <v>2109</v>
      </c>
      <c r="H103" s="1968">
        <v>0</v>
      </c>
    </row>
    <row r="104" spans="1:9" s="1969" customFormat="1" ht="16.5" thickTop="1" thickBot="1" x14ac:dyDescent="0.3">
      <c r="A104" s="2750" t="s">
        <v>802</v>
      </c>
      <c r="B104" s="2751"/>
      <c r="C104" s="2751"/>
      <c r="D104" s="2751"/>
      <c r="E104" s="1957">
        <f>SUM(E78:E103)</f>
        <v>0</v>
      </c>
      <c r="F104" s="1957">
        <f>SUM(F78:F103)</f>
        <v>3082</v>
      </c>
      <c r="G104" s="1957">
        <f>SUM(G78:G103)</f>
        <v>4091</v>
      </c>
      <c r="H104" s="1962">
        <f>G104/F104*100</f>
        <v>132.73848150551589</v>
      </c>
      <c r="I104" s="2063"/>
    </row>
    <row r="105" spans="1:9" ht="13.5" thickTop="1" x14ac:dyDescent="0.2">
      <c r="I105" s="1970"/>
    </row>
    <row r="106" spans="1:9" ht="15" x14ac:dyDescent="0.25">
      <c r="A106" s="2129" t="s">
        <v>580</v>
      </c>
      <c r="B106" s="2003"/>
      <c r="C106" s="2003"/>
      <c r="D106" s="2003"/>
    </row>
    <row r="107" spans="1:9" ht="15.75" thickBot="1" x14ac:dyDescent="0.3">
      <c r="A107" s="2130" t="s">
        <v>58</v>
      </c>
      <c r="B107" s="2131"/>
      <c r="C107" s="2131"/>
      <c r="H107" s="2043" t="s">
        <v>173</v>
      </c>
    </row>
    <row r="108" spans="1:9" s="1735" customFormat="1" ht="25.5" thickTop="1" thickBot="1" x14ac:dyDescent="0.25">
      <c r="A108" s="1943" t="s">
        <v>174</v>
      </c>
      <c r="B108" s="1944" t="s">
        <v>800</v>
      </c>
      <c r="C108" s="1944" t="s">
        <v>397</v>
      </c>
      <c r="D108" s="1945" t="s">
        <v>176</v>
      </c>
      <c r="E108" s="1976" t="s">
        <v>669</v>
      </c>
      <c r="F108" s="1976" t="s">
        <v>670</v>
      </c>
      <c r="G108" s="1977" t="s">
        <v>923</v>
      </c>
      <c r="H108" s="1978" t="s">
        <v>924</v>
      </c>
    </row>
    <row r="109" spans="1:9" s="1735" customFormat="1" ht="13.5" thickTop="1" thickBot="1" x14ac:dyDescent="0.25">
      <c r="A109" s="1740">
        <v>1</v>
      </c>
      <c r="B109" s="1739">
        <v>2</v>
      </c>
      <c r="C109" s="1739">
        <v>3</v>
      </c>
      <c r="D109" s="1739">
        <v>4</v>
      </c>
      <c r="E109" s="1738">
        <v>5</v>
      </c>
      <c r="F109" s="1738">
        <v>6</v>
      </c>
      <c r="G109" s="2028">
        <v>7</v>
      </c>
      <c r="H109" s="2054" t="s">
        <v>61</v>
      </c>
    </row>
    <row r="110" spans="1:9" s="2060" customFormat="1" ht="15.75" customHeight="1" thickTop="1" x14ac:dyDescent="0.2">
      <c r="A110" s="2049">
        <v>6172</v>
      </c>
      <c r="B110" s="2056">
        <v>5011</v>
      </c>
      <c r="C110" s="2057">
        <v>33100880</v>
      </c>
      <c r="D110" s="1979" t="s">
        <v>219</v>
      </c>
      <c r="E110" s="1989">
        <v>0</v>
      </c>
      <c r="F110" s="1989">
        <v>14</v>
      </c>
      <c r="G110" s="1989">
        <v>0</v>
      </c>
      <c r="H110" s="1961">
        <f t="shared" ref="H110:H137" si="6">G110/F110*100</f>
        <v>0</v>
      </c>
    </row>
    <row r="111" spans="1:9" s="2060" customFormat="1" ht="15" x14ac:dyDescent="0.2">
      <c r="A111" s="2049">
        <v>6172</v>
      </c>
      <c r="B111" s="2056">
        <v>5011</v>
      </c>
      <c r="C111" s="2057">
        <v>33514013</v>
      </c>
      <c r="D111" s="1979" t="s">
        <v>219</v>
      </c>
      <c r="E111" s="1989">
        <v>0</v>
      </c>
      <c r="F111" s="1989">
        <v>79</v>
      </c>
      <c r="G111" s="1989">
        <v>0</v>
      </c>
      <c r="H111" s="1961">
        <f t="shared" si="6"/>
        <v>0</v>
      </c>
    </row>
    <row r="112" spans="1:9" s="2060" customFormat="1" ht="15" x14ac:dyDescent="0.2">
      <c r="A112" s="2049">
        <v>6172</v>
      </c>
      <c r="B112" s="2056">
        <v>5021</v>
      </c>
      <c r="C112" s="2057">
        <v>33100880</v>
      </c>
      <c r="D112" s="1979" t="s">
        <v>409</v>
      </c>
      <c r="E112" s="1989">
        <v>0</v>
      </c>
      <c r="F112" s="1989">
        <v>2</v>
      </c>
      <c r="G112" s="1989">
        <v>0</v>
      </c>
      <c r="H112" s="1961">
        <f t="shared" si="6"/>
        <v>0</v>
      </c>
    </row>
    <row r="113" spans="1:8" s="2060" customFormat="1" ht="15" x14ac:dyDescent="0.2">
      <c r="A113" s="2049">
        <v>6172</v>
      </c>
      <c r="B113" s="2056">
        <v>5021</v>
      </c>
      <c r="C113" s="2057">
        <v>33514013</v>
      </c>
      <c r="D113" s="1979" t="s">
        <v>409</v>
      </c>
      <c r="E113" s="1989">
        <v>0</v>
      </c>
      <c r="F113" s="1989">
        <v>14</v>
      </c>
      <c r="G113" s="1989">
        <v>0</v>
      </c>
      <c r="H113" s="1961">
        <f t="shared" si="6"/>
        <v>0</v>
      </c>
    </row>
    <row r="114" spans="1:8" s="2060" customFormat="1" ht="30" customHeight="1" x14ac:dyDescent="0.2">
      <c r="A114" s="2049">
        <v>6172</v>
      </c>
      <c r="B114" s="2056">
        <v>5031</v>
      </c>
      <c r="C114" s="2057">
        <v>33100880</v>
      </c>
      <c r="D114" s="1979" t="s">
        <v>1362</v>
      </c>
      <c r="E114" s="1989">
        <v>0</v>
      </c>
      <c r="F114" s="1989">
        <v>4</v>
      </c>
      <c r="G114" s="1989">
        <v>0</v>
      </c>
      <c r="H114" s="1961">
        <f t="shared" si="6"/>
        <v>0</v>
      </c>
    </row>
    <row r="115" spans="1:8" s="2060" customFormat="1" ht="30" customHeight="1" x14ac:dyDescent="0.2">
      <c r="A115" s="2049">
        <v>6172</v>
      </c>
      <c r="B115" s="2056">
        <v>5031</v>
      </c>
      <c r="C115" s="2057">
        <v>33514013</v>
      </c>
      <c r="D115" s="1979" t="s">
        <v>1362</v>
      </c>
      <c r="E115" s="1989">
        <v>0</v>
      </c>
      <c r="F115" s="1989">
        <v>23</v>
      </c>
      <c r="G115" s="1989">
        <v>0</v>
      </c>
      <c r="H115" s="1961">
        <f t="shared" si="6"/>
        <v>0</v>
      </c>
    </row>
    <row r="116" spans="1:8" s="2060" customFormat="1" ht="30" x14ac:dyDescent="0.2">
      <c r="A116" s="2049">
        <v>6172</v>
      </c>
      <c r="B116" s="2056">
        <v>5032</v>
      </c>
      <c r="C116" s="2057">
        <v>33100880</v>
      </c>
      <c r="D116" s="1979" t="s">
        <v>1236</v>
      </c>
      <c r="E116" s="1989">
        <v>0</v>
      </c>
      <c r="F116" s="1989">
        <v>1</v>
      </c>
      <c r="G116" s="1989">
        <v>0</v>
      </c>
      <c r="H116" s="1961">
        <f t="shared" si="6"/>
        <v>0</v>
      </c>
    </row>
    <row r="117" spans="1:8" s="2060" customFormat="1" ht="30" x14ac:dyDescent="0.2">
      <c r="A117" s="2049">
        <v>6172</v>
      </c>
      <c r="B117" s="2056">
        <v>5032</v>
      </c>
      <c r="C117" s="2057">
        <v>33514013</v>
      </c>
      <c r="D117" s="1979" t="s">
        <v>1236</v>
      </c>
      <c r="E117" s="1989">
        <v>0</v>
      </c>
      <c r="F117" s="1989">
        <v>8</v>
      </c>
      <c r="G117" s="1989">
        <v>0</v>
      </c>
      <c r="H117" s="1961">
        <f t="shared" si="6"/>
        <v>0</v>
      </c>
    </row>
    <row r="118" spans="1:8" s="2060" customFormat="1" ht="15" hidden="1" x14ac:dyDescent="0.2">
      <c r="A118" s="2049">
        <v>6172</v>
      </c>
      <c r="B118" s="2056">
        <v>5137</v>
      </c>
      <c r="C118" s="2057">
        <v>33100880</v>
      </c>
      <c r="D118" s="1979" t="s">
        <v>167</v>
      </c>
      <c r="E118" s="1989">
        <v>0</v>
      </c>
      <c r="F118" s="1989"/>
      <c r="G118" s="1989"/>
      <c r="H118" s="1961" t="e">
        <f t="shared" si="6"/>
        <v>#DIV/0!</v>
      </c>
    </row>
    <row r="119" spans="1:8" s="2060" customFormat="1" ht="15" hidden="1" x14ac:dyDescent="0.2">
      <c r="A119" s="2049">
        <v>6172</v>
      </c>
      <c r="B119" s="2056">
        <v>5137</v>
      </c>
      <c r="C119" s="2057">
        <v>33514013</v>
      </c>
      <c r="D119" s="1979" t="s">
        <v>167</v>
      </c>
      <c r="E119" s="1989">
        <v>0</v>
      </c>
      <c r="F119" s="1989"/>
      <c r="G119" s="1989"/>
      <c r="H119" s="1961" t="e">
        <f t="shared" si="6"/>
        <v>#DIV/0!</v>
      </c>
    </row>
    <row r="120" spans="1:8" s="1990" customFormat="1" ht="15" hidden="1" x14ac:dyDescent="0.2">
      <c r="A120" s="2049">
        <v>6172</v>
      </c>
      <c r="B120" s="2058">
        <v>5139</v>
      </c>
      <c r="C120" s="2057">
        <v>33100880</v>
      </c>
      <c r="D120" s="1979" t="s">
        <v>284</v>
      </c>
      <c r="E120" s="1989">
        <v>0</v>
      </c>
      <c r="F120" s="1989"/>
      <c r="G120" s="1989"/>
      <c r="H120" s="1961" t="e">
        <f t="shared" si="6"/>
        <v>#DIV/0!</v>
      </c>
    </row>
    <row r="121" spans="1:8" s="1990" customFormat="1" ht="15" hidden="1" x14ac:dyDescent="0.2">
      <c r="A121" s="2049">
        <v>6172</v>
      </c>
      <c r="B121" s="2058">
        <v>5139</v>
      </c>
      <c r="C121" s="2057">
        <v>33514013</v>
      </c>
      <c r="D121" s="1979" t="s">
        <v>284</v>
      </c>
      <c r="E121" s="1989">
        <v>0</v>
      </c>
      <c r="F121" s="1989"/>
      <c r="G121" s="1989"/>
      <c r="H121" s="1961" t="e">
        <f t="shared" si="6"/>
        <v>#DIV/0!</v>
      </c>
    </row>
    <row r="122" spans="1:8" ht="15" hidden="1" x14ac:dyDescent="0.2">
      <c r="A122" s="2049">
        <v>6172</v>
      </c>
      <c r="B122" s="2058">
        <v>5164</v>
      </c>
      <c r="C122" s="2057">
        <v>33100880</v>
      </c>
      <c r="D122" s="1979" t="s">
        <v>182</v>
      </c>
      <c r="E122" s="1989">
        <v>0</v>
      </c>
      <c r="F122" s="1989"/>
      <c r="G122" s="1989"/>
      <c r="H122" s="1961" t="e">
        <f t="shared" si="6"/>
        <v>#DIV/0!</v>
      </c>
    </row>
    <row r="123" spans="1:8" ht="15" hidden="1" x14ac:dyDescent="0.2">
      <c r="A123" s="2049">
        <v>6172</v>
      </c>
      <c r="B123" s="2058">
        <v>5164</v>
      </c>
      <c r="C123" s="2057">
        <v>33514013</v>
      </c>
      <c r="D123" s="1979" t="s">
        <v>182</v>
      </c>
      <c r="E123" s="1989">
        <v>0</v>
      </c>
      <c r="F123" s="1989"/>
      <c r="G123" s="1989"/>
      <c r="H123" s="1961" t="e">
        <f t="shared" si="6"/>
        <v>#DIV/0!</v>
      </c>
    </row>
    <row r="124" spans="1:8" ht="15" x14ac:dyDescent="0.2">
      <c r="A124" s="2049">
        <v>6172</v>
      </c>
      <c r="B124" s="2058">
        <v>5166</v>
      </c>
      <c r="C124" s="2057">
        <v>33100880</v>
      </c>
      <c r="D124" s="1979" t="s">
        <v>646</v>
      </c>
      <c r="E124" s="1989">
        <v>387</v>
      </c>
      <c r="F124" s="1989">
        <v>397</v>
      </c>
      <c r="G124" s="1989">
        <v>397</v>
      </c>
      <c r="H124" s="1961">
        <f t="shared" si="6"/>
        <v>100</v>
      </c>
    </row>
    <row r="125" spans="1:8" ht="15" hidden="1" x14ac:dyDescent="0.2">
      <c r="A125" s="2049">
        <v>6172</v>
      </c>
      <c r="B125" s="2058">
        <v>5166</v>
      </c>
      <c r="C125" s="2057">
        <v>33500881</v>
      </c>
      <c r="D125" s="1979" t="s">
        <v>646</v>
      </c>
      <c r="E125" s="1989"/>
      <c r="F125" s="1989"/>
      <c r="G125" s="1989"/>
      <c r="H125" s="1961" t="e">
        <f t="shared" si="6"/>
        <v>#DIV/0!</v>
      </c>
    </row>
    <row r="126" spans="1:8" ht="15" x14ac:dyDescent="0.2">
      <c r="A126" s="2049">
        <v>6172</v>
      </c>
      <c r="B126" s="2058">
        <v>5166</v>
      </c>
      <c r="C126" s="2057">
        <v>33514013</v>
      </c>
      <c r="D126" s="1979" t="s">
        <v>646</v>
      </c>
      <c r="E126" s="1989">
        <v>0</v>
      </c>
      <c r="F126" s="1989">
        <v>2411</v>
      </c>
      <c r="G126" s="1989">
        <v>2247</v>
      </c>
      <c r="H126" s="1961">
        <f t="shared" si="6"/>
        <v>93.197843218581497</v>
      </c>
    </row>
    <row r="127" spans="1:8" ht="15" hidden="1" x14ac:dyDescent="0.2">
      <c r="A127" s="2049">
        <v>6172</v>
      </c>
      <c r="B127" s="2058">
        <v>5166</v>
      </c>
      <c r="C127" s="2057">
        <v>38100880</v>
      </c>
      <c r="D127" s="1979" t="s">
        <v>646</v>
      </c>
      <c r="E127" s="1989"/>
      <c r="F127" s="1989"/>
      <c r="G127" s="1989"/>
      <c r="H127" s="1961">
        <v>0</v>
      </c>
    </row>
    <row r="128" spans="1:8" ht="15" hidden="1" x14ac:dyDescent="0.2">
      <c r="A128" s="2049">
        <v>6172</v>
      </c>
      <c r="B128" s="2058">
        <v>5169</v>
      </c>
      <c r="C128" s="2057">
        <v>33100880</v>
      </c>
      <c r="D128" s="1979" t="s">
        <v>892</v>
      </c>
      <c r="E128" s="1989">
        <v>0</v>
      </c>
      <c r="F128" s="1989"/>
      <c r="G128" s="1989"/>
      <c r="H128" s="1961" t="e">
        <f t="shared" si="6"/>
        <v>#DIV/0!</v>
      </c>
    </row>
    <row r="129" spans="1:9" ht="15" hidden="1" x14ac:dyDescent="0.2">
      <c r="A129" s="2049">
        <v>6172</v>
      </c>
      <c r="B129" s="2056">
        <v>5169</v>
      </c>
      <c r="C129" s="2057">
        <v>33514013</v>
      </c>
      <c r="D129" s="1979" t="s">
        <v>892</v>
      </c>
      <c r="E129" s="1989">
        <v>0</v>
      </c>
      <c r="F129" s="1989"/>
      <c r="G129" s="1989"/>
      <c r="H129" s="1961" t="e">
        <f t="shared" si="6"/>
        <v>#DIV/0!</v>
      </c>
    </row>
    <row r="130" spans="1:9" ht="15" hidden="1" x14ac:dyDescent="0.2">
      <c r="A130" s="2049">
        <v>6172</v>
      </c>
      <c r="B130" s="2056">
        <v>5172</v>
      </c>
      <c r="C130" s="2057">
        <v>33100880</v>
      </c>
      <c r="D130" s="1979" t="s">
        <v>939</v>
      </c>
      <c r="E130" s="1989">
        <v>0</v>
      </c>
      <c r="F130" s="1989"/>
      <c r="G130" s="1989"/>
      <c r="H130" s="1961" t="e">
        <f t="shared" si="6"/>
        <v>#DIV/0!</v>
      </c>
    </row>
    <row r="131" spans="1:9" ht="15" hidden="1" x14ac:dyDescent="0.2">
      <c r="A131" s="2049">
        <v>6172</v>
      </c>
      <c r="B131" s="2056">
        <v>5172</v>
      </c>
      <c r="C131" s="2057">
        <v>33500881</v>
      </c>
      <c r="D131" s="1979" t="s">
        <v>939</v>
      </c>
      <c r="E131" s="1989">
        <v>0</v>
      </c>
      <c r="F131" s="1989"/>
      <c r="G131" s="1989"/>
      <c r="H131" s="1961" t="e">
        <f t="shared" si="6"/>
        <v>#DIV/0!</v>
      </c>
    </row>
    <row r="132" spans="1:9" ht="15.75" customHeight="1" x14ac:dyDescent="0.2">
      <c r="A132" s="2049">
        <v>6172</v>
      </c>
      <c r="B132" s="2056">
        <v>5175</v>
      </c>
      <c r="C132" s="2057">
        <v>33100880</v>
      </c>
      <c r="D132" s="1979" t="s">
        <v>1099</v>
      </c>
      <c r="E132" s="1989">
        <v>0</v>
      </c>
      <c r="F132" s="1989">
        <v>1</v>
      </c>
      <c r="G132" s="1989">
        <v>0</v>
      </c>
      <c r="H132" s="1961">
        <f t="shared" si="6"/>
        <v>0</v>
      </c>
    </row>
    <row r="133" spans="1:9" s="1990" customFormat="1" ht="15.75" customHeight="1" x14ac:dyDescent="0.2">
      <c r="A133" s="2049">
        <v>6172</v>
      </c>
      <c r="B133" s="2056">
        <v>5175</v>
      </c>
      <c r="C133" s="2057">
        <v>33514013</v>
      </c>
      <c r="D133" s="1979" t="s">
        <v>1099</v>
      </c>
      <c r="E133" s="1989">
        <v>0</v>
      </c>
      <c r="F133" s="1989">
        <v>9</v>
      </c>
      <c r="G133" s="1989">
        <v>0</v>
      </c>
      <c r="H133" s="1961">
        <f t="shared" si="6"/>
        <v>0</v>
      </c>
    </row>
    <row r="134" spans="1:9" s="1990" customFormat="1" ht="15" hidden="1" x14ac:dyDescent="0.2">
      <c r="A134" s="2049">
        <v>6172</v>
      </c>
      <c r="B134" s="2056">
        <v>6111</v>
      </c>
      <c r="C134" s="2057">
        <v>33100880</v>
      </c>
      <c r="D134" s="1979" t="s">
        <v>939</v>
      </c>
      <c r="E134" s="1989">
        <v>0</v>
      </c>
      <c r="F134" s="1989"/>
      <c r="G134" s="1989"/>
      <c r="H134" s="1961" t="e">
        <f t="shared" si="6"/>
        <v>#DIV/0!</v>
      </c>
    </row>
    <row r="135" spans="1:9" s="1990" customFormat="1" ht="15.75" hidden="1" thickBot="1" x14ac:dyDescent="0.25">
      <c r="A135" s="2069">
        <v>6172</v>
      </c>
      <c r="B135" s="2070">
        <v>6111</v>
      </c>
      <c r="C135" s="2128">
        <v>33500881</v>
      </c>
      <c r="D135" s="1985" t="s">
        <v>939</v>
      </c>
      <c r="E135" s="1986">
        <v>0</v>
      </c>
      <c r="F135" s="1986"/>
      <c r="G135" s="1986"/>
      <c r="H135" s="1968" t="e">
        <f t="shared" si="6"/>
        <v>#DIV/0!</v>
      </c>
    </row>
    <row r="136" spans="1:9" s="1990" customFormat="1" ht="15.75" customHeight="1" thickBot="1" x14ac:dyDescent="0.25">
      <c r="A136" s="2049">
        <v>6330</v>
      </c>
      <c r="B136" s="2056">
        <v>5345</v>
      </c>
      <c r="C136" s="2057">
        <v>0</v>
      </c>
      <c r="D136" s="1979" t="s">
        <v>806</v>
      </c>
      <c r="E136" s="1989">
        <v>0</v>
      </c>
      <c r="F136" s="1989">
        <v>0</v>
      </c>
      <c r="G136" s="1989">
        <v>552</v>
      </c>
      <c r="H136" s="1968">
        <v>0</v>
      </c>
    </row>
    <row r="137" spans="1:9" s="1969" customFormat="1" ht="16.5" thickTop="1" thickBot="1" x14ac:dyDescent="0.3">
      <c r="A137" s="2750" t="s">
        <v>802</v>
      </c>
      <c r="B137" s="2751"/>
      <c r="C137" s="2751"/>
      <c r="D137" s="2751"/>
      <c r="E137" s="1957">
        <f>SUM(E110:E136)</f>
        <v>387</v>
      </c>
      <c r="F137" s="1957">
        <f>SUM(F110:F136)</f>
        <v>2963</v>
      </c>
      <c r="G137" s="1957">
        <f>SUM(G110:G136)</f>
        <v>3196</v>
      </c>
      <c r="H137" s="1968">
        <f t="shared" si="6"/>
        <v>107.8636517043537</v>
      </c>
      <c r="I137" s="2063"/>
    </row>
    <row r="138" spans="1:9" ht="13.5" thickTop="1" x14ac:dyDescent="0.2">
      <c r="I138" s="1970"/>
    </row>
    <row r="139" spans="1:9" ht="15" x14ac:dyDescent="0.25">
      <c r="A139" s="2129" t="s">
        <v>1102</v>
      </c>
      <c r="B139" s="2003"/>
      <c r="C139" s="2003"/>
      <c r="D139" s="2003"/>
    </row>
    <row r="140" spans="1:9" ht="15.75" thickBot="1" x14ac:dyDescent="0.3">
      <c r="A140" s="2130" t="s">
        <v>1103</v>
      </c>
      <c r="B140" s="2131"/>
      <c r="C140" s="2131"/>
      <c r="H140" s="2043" t="s">
        <v>173</v>
      </c>
    </row>
    <row r="141" spans="1:9" s="1735" customFormat="1" ht="25.5" thickTop="1" thickBot="1" x14ac:dyDescent="0.25">
      <c r="A141" s="1943" t="s">
        <v>174</v>
      </c>
      <c r="B141" s="1944" t="s">
        <v>800</v>
      </c>
      <c r="C141" s="1944" t="s">
        <v>397</v>
      </c>
      <c r="D141" s="1945" t="s">
        <v>176</v>
      </c>
      <c r="E141" s="1976" t="s">
        <v>669</v>
      </c>
      <c r="F141" s="1976" t="s">
        <v>670</v>
      </c>
      <c r="G141" s="1977" t="s">
        <v>923</v>
      </c>
      <c r="H141" s="1978" t="s">
        <v>924</v>
      </c>
    </row>
    <row r="142" spans="1:9" s="1735" customFormat="1" ht="13.5" thickTop="1" thickBot="1" x14ac:dyDescent="0.25">
      <c r="A142" s="1740">
        <v>1</v>
      </c>
      <c r="B142" s="1739">
        <v>2</v>
      </c>
      <c r="C142" s="1739">
        <v>3</v>
      </c>
      <c r="D142" s="1739">
        <v>4</v>
      </c>
      <c r="E142" s="1738">
        <v>5</v>
      </c>
      <c r="F142" s="1738">
        <v>6</v>
      </c>
      <c r="G142" s="2028">
        <v>7</v>
      </c>
      <c r="H142" s="2054" t="s">
        <v>61</v>
      </c>
    </row>
    <row r="143" spans="1:9" s="2060" customFormat="1" ht="15.75" hidden="1" customHeight="1" thickTop="1" x14ac:dyDescent="0.2">
      <c r="A143" s="2049">
        <v>6172</v>
      </c>
      <c r="B143" s="2056">
        <v>5011</v>
      </c>
      <c r="C143" s="2057">
        <v>33100880</v>
      </c>
      <c r="D143" s="1979" t="s">
        <v>219</v>
      </c>
      <c r="E143" s="1989"/>
      <c r="F143" s="1989"/>
      <c r="G143" s="1989"/>
      <c r="H143" s="1961" t="e">
        <f t="shared" ref="H143:H165" si="7">G143/F143*100</f>
        <v>#DIV/0!</v>
      </c>
    </row>
    <row r="144" spans="1:9" s="2060" customFormat="1" ht="15.75" hidden="1" thickTop="1" x14ac:dyDescent="0.2">
      <c r="A144" s="2049">
        <v>6172</v>
      </c>
      <c r="B144" s="2056">
        <v>5011</v>
      </c>
      <c r="C144" s="2057">
        <v>33514012</v>
      </c>
      <c r="D144" s="1979" t="s">
        <v>219</v>
      </c>
      <c r="E144" s="1989"/>
      <c r="F144" s="1989"/>
      <c r="G144" s="1989"/>
      <c r="H144" s="1961" t="e">
        <f t="shared" si="7"/>
        <v>#DIV/0!</v>
      </c>
    </row>
    <row r="145" spans="1:8" s="2060" customFormat="1" ht="15.75" hidden="1" thickTop="1" x14ac:dyDescent="0.2">
      <c r="A145" s="2049">
        <v>6172</v>
      </c>
      <c r="B145" s="2056">
        <v>5021</v>
      </c>
      <c r="C145" s="2057">
        <v>33100880</v>
      </c>
      <c r="D145" s="1979" t="s">
        <v>409</v>
      </c>
      <c r="E145" s="1989"/>
      <c r="F145" s="1989"/>
      <c r="G145" s="1989"/>
      <c r="H145" s="1961" t="e">
        <f t="shared" si="7"/>
        <v>#DIV/0!</v>
      </c>
    </row>
    <row r="146" spans="1:8" s="2060" customFormat="1" ht="15.75" hidden="1" thickTop="1" x14ac:dyDescent="0.2">
      <c r="A146" s="2049">
        <v>6172</v>
      </c>
      <c r="B146" s="2056">
        <v>5021</v>
      </c>
      <c r="C146" s="2057">
        <v>33500881</v>
      </c>
      <c r="D146" s="1979" t="s">
        <v>409</v>
      </c>
      <c r="E146" s="1989"/>
      <c r="F146" s="1989"/>
      <c r="G146" s="1989"/>
      <c r="H146" s="1961" t="e">
        <f t="shared" si="7"/>
        <v>#DIV/0!</v>
      </c>
    </row>
    <row r="147" spans="1:8" s="2060" customFormat="1" ht="15.75" hidden="1" thickTop="1" x14ac:dyDescent="0.2">
      <c r="A147" s="2049">
        <v>6172</v>
      </c>
      <c r="B147" s="2056">
        <v>5021</v>
      </c>
      <c r="C147" s="2057">
        <v>33514012</v>
      </c>
      <c r="D147" s="1979" t="s">
        <v>409</v>
      </c>
      <c r="E147" s="1989"/>
      <c r="F147" s="1989"/>
      <c r="G147" s="1989"/>
      <c r="H147" s="1961" t="e">
        <f t="shared" si="7"/>
        <v>#DIV/0!</v>
      </c>
    </row>
    <row r="148" spans="1:8" s="2060" customFormat="1" ht="30" hidden="1" customHeight="1" x14ac:dyDescent="0.2">
      <c r="A148" s="2049">
        <v>6172</v>
      </c>
      <c r="B148" s="2056">
        <v>5031</v>
      </c>
      <c r="C148" s="2057">
        <v>33100880</v>
      </c>
      <c r="D148" s="1979" t="s">
        <v>1362</v>
      </c>
      <c r="E148" s="1989"/>
      <c r="F148" s="1989"/>
      <c r="G148" s="1989"/>
      <c r="H148" s="1961" t="e">
        <f t="shared" si="7"/>
        <v>#DIV/0!</v>
      </c>
    </row>
    <row r="149" spans="1:8" s="2060" customFormat="1" ht="30" hidden="1" customHeight="1" x14ac:dyDescent="0.2">
      <c r="A149" s="2049">
        <v>6172</v>
      </c>
      <c r="B149" s="2056">
        <v>5031</v>
      </c>
      <c r="C149" s="2057">
        <v>33514012</v>
      </c>
      <c r="D149" s="1979" t="s">
        <v>1362</v>
      </c>
      <c r="E149" s="1989"/>
      <c r="F149" s="1989"/>
      <c r="G149" s="1989"/>
      <c r="H149" s="1961" t="e">
        <f t="shared" si="7"/>
        <v>#DIV/0!</v>
      </c>
    </row>
    <row r="150" spans="1:8" s="2060" customFormat="1" ht="30.75" hidden="1" thickTop="1" x14ac:dyDescent="0.2">
      <c r="A150" s="2049">
        <v>6172</v>
      </c>
      <c r="B150" s="2056">
        <v>5032</v>
      </c>
      <c r="C150" s="2057">
        <v>33100880</v>
      </c>
      <c r="D150" s="1979" t="s">
        <v>1236</v>
      </c>
      <c r="E150" s="1989"/>
      <c r="F150" s="1989"/>
      <c r="G150" s="1989"/>
      <c r="H150" s="1961" t="e">
        <f t="shared" si="7"/>
        <v>#DIV/0!</v>
      </c>
    </row>
    <row r="151" spans="1:8" s="2060" customFormat="1" ht="30.75" hidden="1" thickTop="1" x14ac:dyDescent="0.2">
      <c r="A151" s="2049">
        <v>6172</v>
      </c>
      <c r="B151" s="2056">
        <v>5032</v>
      </c>
      <c r="C151" s="2057">
        <v>33514012</v>
      </c>
      <c r="D151" s="1979" t="s">
        <v>1236</v>
      </c>
      <c r="E151" s="1989"/>
      <c r="F151" s="1989"/>
      <c r="G151" s="1989"/>
      <c r="H151" s="1961" t="e">
        <f t="shared" si="7"/>
        <v>#DIV/0!</v>
      </c>
    </row>
    <row r="152" spans="1:8" s="2060" customFormat="1" ht="15.75" hidden="1" thickTop="1" x14ac:dyDescent="0.2">
      <c r="A152" s="2049">
        <v>6172</v>
      </c>
      <c r="B152" s="2056">
        <v>5137</v>
      </c>
      <c r="C152" s="2057">
        <v>33100880</v>
      </c>
      <c r="D152" s="1979" t="s">
        <v>167</v>
      </c>
      <c r="E152" s="1989"/>
      <c r="F152" s="1989"/>
      <c r="G152" s="1989"/>
      <c r="H152" s="1961" t="e">
        <f t="shared" si="7"/>
        <v>#DIV/0!</v>
      </c>
    </row>
    <row r="153" spans="1:8" s="2060" customFormat="1" ht="15.75" hidden="1" thickTop="1" x14ac:dyDescent="0.2">
      <c r="A153" s="2049">
        <v>6172</v>
      </c>
      <c r="B153" s="2056">
        <v>5137</v>
      </c>
      <c r="C153" s="2057">
        <v>33514012</v>
      </c>
      <c r="D153" s="1979" t="s">
        <v>167</v>
      </c>
      <c r="E153" s="1989"/>
      <c r="F153" s="1989"/>
      <c r="G153" s="1989"/>
      <c r="H153" s="1961" t="e">
        <f t="shared" si="7"/>
        <v>#DIV/0!</v>
      </c>
    </row>
    <row r="154" spans="1:8" s="1990" customFormat="1" ht="15.75" hidden="1" thickTop="1" x14ac:dyDescent="0.2">
      <c r="A154" s="2049">
        <v>6172</v>
      </c>
      <c r="B154" s="2058">
        <v>5139</v>
      </c>
      <c r="C154" s="2057">
        <v>33100880</v>
      </c>
      <c r="D154" s="1979" t="s">
        <v>284</v>
      </c>
      <c r="E154" s="1989"/>
      <c r="F154" s="1989"/>
      <c r="G154" s="1989"/>
      <c r="H154" s="1961" t="e">
        <f t="shared" si="7"/>
        <v>#DIV/0!</v>
      </c>
    </row>
    <row r="155" spans="1:8" s="1990" customFormat="1" ht="15.75" hidden="1" thickTop="1" x14ac:dyDescent="0.2">
      <c r="A155" s="2049">
        <v>6172</v>
      </c>
      <c r="B155" s="2058">
        <v>5139</v>
      </c>
      <c r="C155" s="2057">
        <v>33500881</v>
      </c>
      <c r="D155" s="1979" t="s">
        <v>284</v>
      </c>
      <c r="E155" s="1989"/>
      <c r="F155" s="1989"/>
      <c r="G155" s="1989"/>
      <c r="H155" s="1961" t="e">
        <f t="shared" si="7"/>
        <v>#DIV/0!</v>
      </c>
    </row>
    <row r="156" spans="1:8" ht="15.75" hidden="1" thickTop="1" x14ac:dyDescent="0.2">
      <c r="A156" s="2049">
        <v>6172</v>
      </c>
      <c r="B156" s="2058">
        <v>5139</v>
      </c>
      <c r="C156" s="2057">
        <v>33514012</v>
      </c>
      <c r="D156" s="1979" t="s">
        <v>284</v>
      </c>
      <c r="E156" s="1989"/>
      <c r="F156" s="1989"/>
      <c r="G156" s="1989"/>
      <c r="H156" s="1961" t="e">
        <f t="shared" si="7"/>
        <v>#DIV/0!</v>
      </c>
    </row>
    <row r="157" spans="1:8" ht="15.75" hidden="1" thickTop="1" x14ac:dyDescent="0.2">
      <c r="A157" s="2049">
        <v>6172</v>
      </c>
      <c r="B157" s="2058">
        <v>5162</v>
      </c>
      <c r="C157" s="2057">
        <v>33513233</v>
      </c>
      <c r="D157" s="1979" t="s">
        <v>904</v>
      </c>
      <c r="E157" s="1989"/>
      <c r="F157" s="1989"/>
      <c r="G157" s="1989"/>
      <c r="H157" s="1961" t="e">
        <f t="shared" si="7"/>
        <v>#DIV/0!</v>
      </c>
    </row>
    <row r="158" spans="1:8" ht="15.75" hidden="1" thickTop="1" x14ac:dyDescent="0.2">
      <c r="A158" s="2049">
        <v>6172</v>
      </c>
      <c r="B158" s="2058">
        <v>5166</v>
      </c>
      <c r="C158" s="2057">
        <v>33113233</v>
      </c>
      <c r="D158" s="1979" t="s">
        <v>646</v>
      </c>
      <c r="E158" s="1989"/>
      <c r="F158" s="1989"/>
      <c r="G158" s="1989"/>
      <c r="H158" s="1961" t="e">
        <f t="shared" si="7"/>
        <v>#DIV/0!</v>
      </c>
    </row>
    <row r="159" spans="1:8" ht="15.75" hidden="1" thickTop="1" x14ac:dyDescent="0.2">
      <c r="A159" s="2049">
        <v>6172</v>
      </c>
      <c r="B159" s="2058">
        <v>5166</v>
      </c>
      <c r="C159" s="2057">
        <v>33100880</v>
      </c>
      <c r="D159" s="1979" t="s">
        <v>646</v>
      </c>
      <c r="E159" s="1989"/>
      <c r="F159" s="1989"/>
      <c r="G159" s="1989"/>
      <c r="H159" s="1961" t="e">
        <f t="shared" si="7"/>
        <v>#DIV/0!</v>
      </c>
    </row>
    <row r="160" spans="1:8" ht="15.75" hidden="1" thickTop="1" x14ac:dyDescent="0.2">
      <c r="A160" s="2049">
        <v>6172</v>
      </c>
      <c r="B160" s="2058">
        <v>5166</v>
      </c>
      <c r="C160" s="2057">
        <v>33500881</v>
      </c>
      <c r="D160" s="1979" t="s">
        <v>646</v>
      </c>
      <c r="E160" s="1989"/>
      <c r="F160" s="1989"/>
      <c r="G160" s="1989"/>
      <c r="H160" s="1961">
        <v>0</v>
      </c>
    </row>
    <row r="161" spans="1:9" ht="15.75" hidden="1" thickTop="1" x14ac:dyDescent="0.2">
      <c r="A161" s="2049">
        <v>6172</v>
      </c>
      <c r="B161" s="2058">
        <v>5166</v>
      </c>
      <c r="C161" s="2057">
        <v>33514012</v>
      </c>
      <c r="D161" s="1979" t="s">
        <v>646</v>
      </c>
      <c r="E161" s="1989"/>
      <c r="F161" s="1989"/>
      <c r="G161" s="1989"/>
      <c r="H161" s="1961" t="e">
        <f t="shared" si="7"/>
        <v>#DIV/0!</v>
      </c>
    </row>
    <row r="162" spans="1:9" ht="15.75" hidden="1" thickTop="1" x14ac:dyDescent="0.2">
      <c r="A162" s="2049">
        <v>6172</v>
      </c>
      <c r="B162" s="2056">
        <v>5173</v>
      </c>
      <c r="C162" s="2057">
        <v>33113233</v>
      </c>
      <c r="D162" s="1979" t="s">
        <v>1211</v>
      </c>
      <c r="E162" s="1989">
        <v>0</v>
      </c>
      <c r="F162" s="1989">
        <v>0</v>
      </c>
      <c r="G162" s="1989">
        <v>0</v>
      </c>
      <c r="H162" s="1961" t="e">
        <f t="shared" si="7"/>
        <v>#DIV/0!</v>
      </c>
    </row>
    <row r="163" spans="1:9" ht="15.75" hidden="1" thickTop="1" x14ac:dyDescent="0.2">
      <c r="A163" s="2049">
        <v>6172</v>
      </c>
      <c r="B163" s="2056">
        <v>5173</v>
      </c>
      <c r="C163" s="2057">
        <v>33513233</v>
      </c>
      <c r="D163" s="1979" t="s">
        <v>1211</v>
      </c>
      <c r="E163" s="1989">
        <v>0</v>
      </c>
      <c r="F163" s="1989">
        <v>0</v>
      </c>
      <c r="G163" s="1989">
        <v>0</v>
      </c>
      <c r="H163" s="1961" t="e">
        <f t="shared" si="7"/>
        <v>#DIV/0!</v>
      </c>
    </row>
    <row r="164" spans="1:9" ht="15.75" hidden="1" thickTop="1" x14ac:dyDescent="0.2">
      <c r="A164" s="2049">
        <v>6172</v>
      </c>
      <c r="B164" s="2056">
        <v>5901</v>
      </c>
      <c r="C164" s="2057">
        <v>33100880</v>
      </c>
      <c r="D164" s="1979" t="s">
        <v>639</v>
      </c>
      <c r="E164" s="1989">
        <v>0</v>
      </c>
      <c r="F164" s="1989">
        <v>0</v>
      </c>
      <c r="G164" s="1989">
        <v>0</v>
      </c>
      <c r="H164" s="1961" t="e">
        <f t="shared" si="7"/>
        <v>#DIV/0!</v>
      </c>
    </row>
    <row r="165" spans="1:9" s="1990" customFormat="1" ht="31.5" thickTop="1" thickBot="1" x14ac:dyDescent="0.25">
      <c r="A165" s="2049">
        <v>6402</v>
      </c>
      <c r="B165" s="2056">
        <v>5364</v>
      </c>
      <c r="C165" s="2057">
        <v>19</v>
      </c>
      <c r="D165" s="1979" t="s">
        <v>1886</v>
      </c>
      <c r="E165" s="1989">
        <v>0</v>
      </c>
      <c r="F165" s="1989">
        <v>21</v>
      </c>
      <c r="G165" s="1989">
        <v>21</v>
      </c>
      <c r="H165" s="1961">
        <f t="shared" si="7"/>
        <v>100</v>
      </c>
    </row>
    <row r="166" spans="1:9" s="1990" customFormat="1" ht="15.75" hidden="1" thickBot="1" x14ac:dyDescent="0.25">
      <c r="A166" s="2049">
        <v>6330</v>
      </c>
      <c r="B166" s="2056">
        <v>5345</v>
      </c>
      <c r="C166" s="2057">
        <v>0</v>
      </c>
      <c r="D166" s="1979" t="s">
        <v>806</v>
      </c>
      <c r="E166" s="1989">
        <v>0</v>
      </c>
      <c r="F166" s="1989">
        <v>0</v>
      </c>
      <c r="G166" s="1989">
        <v>0</v>
      </c>
      <c r="H166" s="1968">
        <v>0</v>
      </c>
    </row>
    <row r="167" spans="1:9" s="1969" customFormat="1" ht="16.5" thickTop="1" thickBot="1" x14ac:dyDescent="0.3">
      <c r="A167" s="2750" t="s">
        <v>802</v>
      </c>
      <c r="B167" s="2751"/>
      <c r="C167" s="2751"/>
      <c r="D167" s="2751"/>
      <c r="E167" s="1957">
        <f>SUM(E143:E166)</f>
        <v>0</v>
      </c>
      <c r="F167" s="1957">
        <f>SUM(F143:F166)</f>
        <v>21</v>
      </c>
      <c r="G167" s="1957">
        <f>SUM(G143:G166)</f>
        <v>21</v>
      </c>
      <c r="H167" s="1962">
        <f>G167/F167*100</f>
        <v>100</v>
      </c>
      <c r="I167" s="2063"/>
    </row>
    <row r="168" spans="1:9" ht="13.5" thickTop="1" x14ac:dyDescent="0.2">
      <c r="I168" s="1970"/>
    </row>
    <row r="169" spans="1:9" ht="15" x14ac:dyDescent="0.25">
      <c r="A169" s="2129" t="s">
        <v>1887</v>
      </c>
      <c r="B169" s="2003"/>
      <c r="C169" s="2003"/>
      <c r="D169" s="2003"/>
    </row>
    <row r="170" spans="1:9" ht="15.75" thickBot="1" x14ac:dyDescent="0.3">
      <c r="A170" s="2130" t="s">
        <v>1888</v>
      </c>
      <c r="B170" s="2131"/>
      <c r="C170" s="2131"/>
      <c r="H170" s="2043" t="s">
        <v>173</v>
      </c>
    </row>
    <row r="171" spans="1:9" s="1735" customFormat="1" ht="25.5" thickTop="1" thickBot="1" x14ac:dyDescent="0.25">
      <c r="A171" s="1943" t="s">
        <v>174</v>
      </c>
      <c r="B171" s="1944" t="s">
        <v>800</v>
      </c>
      <c r="C171" s="1944" t="s">
        <v>397</v>
      </c>
      <c r="D171" s="1945" t="s">
        <v>176</v>
      </c>
      <c r="E171" s="1976" t="s">
        <v>669</v>
      </c>
      <c r="F171" s="1976" t="s">
        <v>670</v>
      </c>
      <c r="G171" s="1977" t="s">
        <v>923</v>
      </c>
      <c r="H171" s="1978" t="s">
        <v>924</v>
      </c>
    </row>
    <row r="172" spans="1:9" s="1735" customFormat="1" ht="13.5" thickTop="1" thickBot="1" x14ac:dyDescent="0.25">
      <c r="A172" s="1740">
        <v>1</v>
      </c>
      <c r="B172" s="1739">
        <v>2</v>
      </c>
      <c r="C172" s="1739">
        <v>3</v>
      </c>
      <c r="D172" s="1739">
        <v>4</v>
      </c>
      <c r="E172" s="1738">
        <v>5</v>
      </c>
      <c r="F172" s="1738">
        <v>6</v>
      </c>
      <c r="G172" s="2028">
        <v>7</v>
      </c>
      <c r="H172" s="2054" t="s">
        <v>61</v>
      </c>
    </row>
    <row r="173" spans="1:9" s="2060" customFormat="1" ht="15.75" customHeight="1" thickTop="1" x14ac:dyDescent="0.2">
      <c r="A173" s="2049">
        <v>4378</v>
      </c>
      <c r="B173" s="2056">
        <v>5011</v>
      </c>
      <c r="C173" s="2057">
        <v>33113233</v>
      </c>
      <c r="D173" s="1979" t="s">
        <v>219</v>
      </c>
      <c r="E173" s="1989">
        <v>0</v>
      </c>
      <c r="F173" s="1989">
        <v>12</v>
      </c>
      <c r="G173" s="1989">
        <v>6</v>
      </c>
      <c r="H173" s="1961">
        <f t="shared" ref="H173:H189" si="8">G173/F173*100</f>
        <v>50</v>
      </c>
    </row>
    <row r="174" spans="1:9" s="2060" customFormat="1" ht="15" x14ac:dyDescent="0.2">
      <c r="A174" s="2049">
        <v>4378</v>
      </c>
      <c r="B174" s="2056">
        <v>5011</v>
      </c>
      <c r="C174" s="2057">
        <v>33513233</v>
      </c>
      <c r="D174" s="1979" t="s">
        <v>219</v>
      </c>
      <c r="E174" s="1989">
        <v>0</v>
      </c>
      <c r="F174" s="1989">
        <v>68</v>
      </c>
      <c r="G174" s="1989">
        <v>33</v>
      </c>
      <c r="H174" s="1961">
        <f t="shared" si="8"/>
        <v>48.529411764705884</v>
      </c>
    </row>
    <row r="175" spans="1:9" s="2060" customFormat="1" ht="15" x14ac:dyDescent="0.2">
      <c r="A175" s="2049">
        <v>4378</v>
      </c>
      <c r="B175" s="2056">
        <v>5021</v>
      </c>
      <c r="C175" s="2057">
        <v>33113233</v>
      </c>
      <c r="D175" s="1979" t="s">
        <v>409</v>
      </c>
      <c r="E175" s="1989">
        <v>0</v>
      </c>
      <c r="F175" s="1989">
        <v>1</v>
      </c>
      <c r="G175" s="1989">
        <v>0</v>
      </c>
      <c r="H175" s="1961">
        <f t="shared" si="8"/>
        <v>0</v>
      </c>
    </row>
    <row r="176" spans="1:9" s="2060" customFormat="1" ht="15" x14ac:dyDescent="0.2">
      <c r="A176" s="2049">
        <v>4378</v>
      </c>
      <c r="B176" s="2056">
        <v>5021</v>
      </c>
      <c r="C176" s="2057">
        <v>33513233</v>
      </c>
      <c r="D176" s="1979" t="s">
        <v>409</v>
      </c>
      <c r="E176" s="1989">
        <v>0</v>
      </c>
      <c r="F176" s="1989">
        <v>4</v>
      </c>
      <c r="G176" s="1989">
        <v>0</v>
      </c>
      <c r="H176" s="1961">
        <f t="shared" si="8"/>
        <v>0</v>
      </c>
    </row>
    <row r="177" spans="1:8" s="2060" customFormat="1" ht="15" hidden="1" x14ac:dyDescent="0.2">
      <c r="A177" s="2049">
        <v>4378</v>
      </c>
      <c r="B177" s="2056">
        <v>5021</v>
      </c>
      <c r="C177" s="2057">
        <v>33113233</v>
      </c>
      <c r="D177" s="1979" t="s">
        <v>409</v>
      </c>
      <c r="E177" s="1989"/>
      <c r="F177" s="1989"/>
      <c r="G177" s="1989"/>
      <c r="H177" s="1961" t="e">
        <f t="shared" si="8"/>
        <v>#DIV/0!</v>
      </c>
    </row>
    <row r="178" spans="1:8" s="2060" customFormat="1" ht="30" customHeight="1" x14ac:dyDescent="0.2">
      <c r="A178" s="2049">
        <v>4378</v>
      </c>
      <c r="B178" s="2056">
        <v>5031</v>
      </c>
      <c r="C178" s="2057">
        <v>33513233</v>
      </c>
      <c r="D178" s="1979" t="s">
        <v>1362</v>
      </c>
      <c r="E178" s="1989">
        <v>0</v>
      </c>
      <c r="F178" s="1989">
        <v>4</v>
      </c>
      <c r="G178" s="1989">
        <v>1</v>
      </c>
      <c r="H178" s="1961">
        <f t="shared" si="8"/>
        <v>25</v>
      </c>
    </row>
    <row r="179" spans="1:8" s="2060" customFormat="1" ht="30" customHeight="1" x14ac:dyDescent="0.2">
      <c r="A179" s="2049">
        <v>4378</v>
      </c>
      <c r="B179" s="2056">
        <v>5031</v>
      </c>
      <c r="C179" s="2057">
        <v>33113233</v>
      </c>
      <c r="D179" s="1979" t="s">
        <v>1362</v>
      </c>
      <c r="E179" s="1989">
        <v>0</v>
      </c>
      <c r="F179" s="1989">
        <v>21</v>
      </c>
      <c r="G179" s="1989">
        <v>8</v>
      </c>
      <c r="H179" s="1961">
        <f t="shared" si="8"/>
        <v>38.095238095238095</v>
      </c>
    </row>
    <row r="180" spans="1:8" s="2060" customFormat="1" ht="30" x14ac:dyDescent="0.2">
      <c r="A180" s="2049">
        <v>4378</v>
      </c>
      <c r="B180" s="2056">
        <v>5032</v>
      </c>
      <c r="C180" s="2057">
        <v>33513233</v>
      </c>
      <c r="D180" s="1979" t="s">
        <v>1236</v>
      </c>
      <c r="E180" s="1989">
        <v>0</v>
      </c>
      <c r="F180" s="1989">
        <v>2</v>
      </c>
      <c r="G180" s="1989">
        <v>1</v>
      </c>
      <c r="H180" s="1961">
        <f t="shared" si="8"/>
        <v>50</v>
      </c>
    </row>
    <row r="181" spans="1:8" s="2060" customFormat="1" ht="30" x14ac:dyDescent="0.2">
      <c r="A181" s="2049">
        <v>4378</v>
      </c>
      <c r="B181" s="2056">
        <v>5032</v>
      </c>
      <c r="C181" s="2057">
        <v>33113233</v>
      </c>
      <c r="D181" s="1979" t="s">
        <v>1236</v>
      </c>
      <c r="E181" s="1989">
        <v>0</v>
      </c>
      <c r="F181" s="1989">
        <v>8</v>
      </c>
      <c r="G181" s="1989">
        <v>3</v>
      </c>
      <c r="H181" s="1961">
        <f t="shared" si="8"/>
        <v>37.5</v>
      </c>
    </row>
    <row r="182" spans="1:8" s="2060" customFormat="1" ht="15" hidden="1" x14ac:dyDescent="0.2">
      <c r="A182" s="2049">
        <v>4378</v>
      </c>
      <c r="B182" s="2056">
        <v>5137</v>
      </c>
      <c r="C182" s="2057">
        <v>33513233</v>
      </c>
      <c r="D182" s="1979" t="s">
        <v>167</v>
      </c>
      <c r="E182" s="1989"/>
      <c r="F182" s="1989"/>
      <c r="G182" s="1989"/>
      <c r="H182" s="1961" t="e">
        <f t="shared" si="8"/>
        <v>#DIV/0!</v>
      </c>
    </row>
    <row r="183" spans="1:8" s="2060" customFormat="1" ht="15" hidden="1" x14ac:dyDescent="0.2">
      <c r="A183" s="2049">
        <v>4378</v>
      </c>
      <c r="B183" s="2056">
        <v>5137</v>
      </c>
      <c r="C183" s="2057">
        <v>33514012</v>
      </c>
      <c r="D183" s="1979" t="s">
        <v>167</v>
      </c>
      <c r="E183" s="1989"/>
      <c r="F183" s="1989"/>
      <c r="G183" s="1989"/>
      <c r="H183" s="1961" t="e">
        <f t="shared" si="8"/>
        <v>#DIV/0!</v>
      </c>
    </row>
    <row r="184" spans="1:8" s="1990" customFormat="1" ht="15" x14ac:dyDescent="0.2">
      <c r="A184" s="2049">
        <v>4378</v>
      </c>
      <c r="B184" s="2058">
        <v>5139</v>
      </c>
      <c r="C184" s="2057">
        <v>33113233</v>
      </c>
      <c r="D184" s="1979" t="s">
        <v>284</v>
      </c>
      <c r="E184" s="1989">
        <v>0</v>
      </c>
      <c r="F184" s="1989">
        <v>4</v>
      </c>
      <c r="G184" s="1989">
        <v>0</v>
      </c>
      <c r="H184" s="1961">
        <f t="shared" si="8"/>
        <v>0</v>
      </c>
    </row>
    <row r="185" spans="1:8" s="1990" customFormat="1" ht="15" x14ac:dyDescent="0.2">
      <c r="A185" s="2049">
        <v>4378</v>
      </c>
      <c r="B185" s="2058">
        <v>5139</v>
      </c>
      <c r="C185" s="2057">
        <v>33513233</v>
      </c>
      <c r="D185" s="1979" t="s">
        <v>284</v>
      </c>
      <c r="E185" s="1989">
        <v>0</v>
      </c>
      <c r="F185" s="1989">
        <v>26</v>
      </c>
      <c r="G185" s="1989">
        <v>0</v>
      </c>
      <c r="H185" s="1961">
        <f t="shared" si="8"/>
        <v>0</v>
      </c>
    </row>
    <row r="186" spans="1:8" ht="15" hidden="1" x14ac:dyDescent="0.2">
      <c r="A186" s="2049">
        <v>4378</v>
      </c>
      <c r="B186" s="2058">
        <v>5139</v>
      </c>
      <c r="C186" s="2057">
        <v>33113233</v>
      </c>
      <c r="D186" s="1979" t="s">
        <v>284</v>
      </c>
      <c r="E186" s="1989"/>
      <c r="F186" s="1989"/>
      <c r="G186" s="1989"/>
      <c r="H186" s="1961" t="e">
        <f t="shared" si="8"/>
        <v>#DIV/0!</v>
      </c>
    </row>
    <row r="187" spans="1:8" ht="15" hidden="1" x14ac:dyDescent="0.2">
      <c r="A187" s="2049">
        <v>4378</v>
      </c>
      <c r="B187" s="2058">
        <v>5162</v>
      </c>
      <c r="C187" s="2057">
        <v>33513233</v>
      </c>
      <c r="D187" s="1979" t="s">
        <v>904</v>
      </c>
      <c r="E187" s="1989"/>
      <c r="F187" s="1989"/>
      <c r="G187" s="1989"/>
      <c r="H187" s="1961" t="e">
        <f t="shared" si="8"/>
        <v>#DIV/0!</v>
      </c>
    </row>
    <row r="188" spans="1:8" ht="15" hidden="1" x14ac:dyDescent="0.2">
      <c r="A188" s="2049">
        <v>4378</v>
      </c>
      <c r="B188" s="2058">
        <v>5166</v>
      </c>
      <c r="C188" s="2057">
        <v>33113233</v>
      </c>
      <c r="D188" s="1979" t="s">
        <v>646</v>
      </c>
      <c r="E188" s="1989"/>
      <c r="F188" s="1989"/>
      <c r="G188" s="1989"/>
      <c r="H188" s="1961" t="e">
        <f t="shared" si="8"/>
        <v>#DIV/0!</v>
      </c>
    </row>
    <row r="189" spans="1:8" ht="15" x14ac:dyDescent="0.2">
      <c r="A189" s="2049">
        <v>4378</v>
      </c>
      <c r="B189" s="2058">
        <v>5166</v>
      </c>
      <c r="C189" s="2057">
        <v>33113233</v>
      </c>
      <c r="D189" s="1979" t="s">
        <v>646</v>
      </c>
      <c r="E189" s="1989">
        <v>0</v>
      </c>
      <c r="F189" s="1989">
        <v>30</v>
      </c>
      <c r="G189" s="1989">
        <v>6</v>
      </c>
      <c r="H189" s="1961">
        <f t="shared" si="8"/>
        <v>20</v>
      </c>
    </row>
    <row r="190" spans="1:8" ht="15" x14ac:dyDescent="0.2">
      <c r="A190" s="2049">
        <v>4378</v>
      </c>
      <c r="B190" s="2058">
        <v>5166</v>
      </c>
      <c r="C190" s="2057">
        <v>33513233</v>
      </c>
      <c r="D190" s="1979" t="s">
        <v>646</v>
      </c>
      <c r="E190" s="1989">
        <v>0</v>
      </c>
      <c r="F190" s="1989">
        <v>170</v>
      </c>
      <c r="G190" s="1989">
        <v>33</v>
      </c>
      <c r="H190" s="1961">
        <v>0</v>
      </c>
    </row>
    <row r="191" spans="1:8" ht="15" hidden="1" x14ac:dyDescent="0.2">
      <c r="A191" s="2049">
        <v>4378</v>
      </c>
      <c r="B191" s="2058">
        <v>5166</v>
      </c>
      <c r="C191" s="2057">
        <v>33113233</v>
      </c>
      <c r="D191" s="1979" t="s">
        <v>646</v>
      </c>
      <c r="E191" s="1989"/>
      <c r="F191" s="1989"/>
      <c r="G191" s="1989"/>
      <c r="H191" s="1961" t="e">
        <f>G191/F191*100</f>
        <v>#DIV/0!</v>
      </c>
    </row>
    <row r="192" spans="1:8" ht="15" x14ac:dyDescent="0.2">
      <c r="A192" s="2049">
        <v>4378</v>
      </c>
      <c r="B192" s="2056">
        <v>5169</v>
      </c>
      <c r="C192" s="2057">
        <v>33113233</v>
      </c>
      <c r="D192" s="1979" t="s">
        <v>892</v>
      </c>
      <c r="E192" s="1989">
        <v>0</v>
      </c>
      <c r="F192" s="1989">
        <v>464</v>
      </c>
      <c r="G192" s="1989">
        <v>209</v>
      </c>
      <c r="H192" s="1961">
        <f>G192/F192*100</f>
        <v>45.043103448275865</v>
      </c>
    </row>
    <row r="193" spans="1:9" ht="15" x14ac:dyDescent="0.2">
      <c r="A193" s="2049">
        <v>4378</v>
      </c>
      <c r="B193" s="2056">
        <v>5169</v>
      </c>
      <c r="C193" s="2057">
        <v>33513233</v>
      </c>
      <c r="D193" s="1979" t="s">
        <v>892</v>
      </c>
      <c r="E193" s="1989">
        <v>0</v>
      </c>
      <c r="F193" s="1989">
        <v>2627</v>
      </c>
      <c r="G193" s="1989">
        <v>1185</v>
      </c>
      <c r="H193" s="1961">
        <f>G193/F193*100</f>
        <v>45.108488770460603</v>
      </c>
    </row>
    <row r="194" spans="1:9" ht="15" x14ac:dyDescent="0.2">
      <c r="A194" s="2049">
        <v>4378</v>
      </c>
      <c r="B194" s="2056">
        <v>5175</v>
      </c>
      <c r="C194" s="2057">
        <v>33113233</v>
      </c>
      <c r="D194" s="1979" t="s">
        <v>707</v>
      </c>
      <c r="E194" s="1989">
        <v>0</v>
      </c>
      <c r="F194" s="1989">
        <v>3</v>
      </c>
      <c r="G194" s="1989">
        <v>0</v>
      </c>
      <c r="H194" s="1961">
        <f>G194/F194*100</f>
        <v>0</v>
      </c>
    </row>
    <row r="195" spans="1:9" s="1990" customFormat="1" ht="15" x14ac:dyDescent="0.2">
      <c r="A195" s="2049">
        <v>4378</v>
      </c>
      <c r="B195" s="2056">
        <v>5175</v>
      </c>
      <c r="C195" s="2057">
        <v>33513233</v>
      </c>
      <c r="D195" s="1979" t="s">
        <v>707</v>
      </c>
      <c r="E195" s="1989">
        <v>0</v>
      </c>
      <c r="F195" s="1989">
        <v>17</v>
      </c>
      <c r="G195" s="1989">
        <v>0</v>
      </c>
      <c r="H195" s="1961">
        <f>G195/F195*100</f>
        <v>0</v>
      </c>
    </row>
    <row r="196" spans="1:9" s="1990" customFormat="1" ht="15.75" thickBot="1" x14ac:dyDescent="0.25">
      <c r="A196" s="2049">
        <v>6330</v>
      </c>
      <c r="B196" s="2056">
        <v>5345</v>
      </c>
      <c r="C196" s="2057">
        <v>0</v>
      </c>
      <c r="D196" s="1979" t="s">
        <v>806</v>
      </c>
      <c r="E196" s="1989">
        <v>0</v>
      </c>
      <c r="F196" s="1989">
        <v>0</v>
      </c>
      <c r="G196" s="1989">
        <v>3461</v>
      </c>
      <c r="H196" s="1968">
        <v>0</v>
      </c>
    </row>
    <row r="197" spans="1:9" s="1969" customFormat="1" ht="16.5" thickTop="1" thickBot="1" x14ac:dyDescent="0.3">
      <c r="A197" s="2750" t="s">
        <v>802</v>
      </c>
      <c r="B197" s="2751"/>
      <c r="C197" s="2751"/>
      <c r="D197" s="2751"/>
      <c r="E197" s="1957">
        <f>SUM(E173:E196)</f>
        <v>0</v>
      </c>
      <c r="F197" s="1957">
        <f>SUM(F173:F196)</f>
        <v>3461</v>
      </c>
      <c r="G197" s="1957">
        <f>SUM(G173:G196)</f>
        <v>4946</v>
      </c>
      <c r="H197" s="1962">
        <f>G197/F197*100</f>
        <v>142.90667437156893</v>
      </c>
      <c r="I197" s="2063"/>
    </row>
    <row r="198" spans="1:9" ht="13.5" thickTop="1" x14ac:dyDescent="0.2">
      <c r="I198" s="1970"/>
    </row>
    <row r="199" spans="1:9" hidden="1" x14ac:dyDescent="0.2">
      <c r="I199" s="1970"/>
    </row>
    <row r="200" spans="1:9" hidden="1" x14ac:dyDescent="0.2">
      <c r="I200" s="1970"/>
    </row>
    <row r="201" spans="1:9" hidden="1" x14ac:dyDescent="0.2">
      <c r="I201" s="1970"/>
    </row>
    <row r="202" spans="1:9" hidden="1" x14ac:dyDescent="0.2">
      <c r="I202" s="1970"/>
    </row>
    <row r="203" spans="1:9" hidden="1" x14ac:dyDescent="0.2">
      <c r="I203" s="1970"/>
    </row>
    <row r="204" spans="1:9" hidden="1" x14ac:dyDescent="0.2">
      <c r="I204" s="1970"/>
    </row>
    <row r="205" spans="1:9" hidden="1" x14ac:dyDescent="0.2">
      <c r="I205" s="1970"/>
    </row>
    <row r="206" spans="1:9" hidden="1" x14ac:dyDescent="0.2">
      <c r="I206" s="1970"/>
    </row>
    <row r="207" spans="1:9" hidden="1" x14ac:dyDescent="0.2">
      <c r="I207" s="1970"/>
    </row>
    <row r="208" spans="1:9" hidden="1" x14ac:dyDescent="0.2">
      <c r="I208" s="1970"/>
    </row>
    <row r="209" spans="1:9" hidden="1" x14ac:dyDescent="0.2">
      <c r="I209" s="1970"/>
    </row>
    <row r="210" spans="1:9" hidden="1" x14ac:dyDescent="0.2">
      <c r="I210" s="1970"/>
    </row>
    <row r="211" spans="1:9" hidden="1" x14ac:dyDescent="0.2">
      <c r="I211" s="1970"/>
    </row>
    <row r="212" spans="1:9" hidden="1" x14ac:dyDescent="0.2">
      <c r="I212" s="1970"/>
    </row>
    <row r="213" spans="1:9" hidden="1" x14ac:dyDescent="0.2">
      <c r="I213" s="1970"/>
    </row>
    <row r="214" spans="1:9" hidden="1" x14ac:dyDescent="0.2">
      <c r="I214" s="1970"/>
    </row>
    <row r="215" spans="1:9" ht="15" hidden="1" x14ac:dyDescent="0.25">
      <c r="A215" s="2129" t="s">
        <v>1662</v>
      </c>
      <c r="B215" s="2003"/>
      <c r="C215" s="2003"/>
      <c r="D215" s="2003"/>
    </row>
    <row r="216" spans="1:9" ht="15" hidden="1" x14ac:dyDescent="0.25">
      <c r="A216" s="2130" t="s">
        <v>1663</v>
      </c>
      <c r="B216" s="2131"/>
      <c r="C216" s="2131"/>
      <c r="H216" s="2043" t="s">
        <v>173</v>
      </c>
    </row>
    <row r="217" spans="1:9" s="1735" customFormat="1" ht="25.5" hidden="1" thickTop="1" thickBot="1" x14ac:dyDescent="0.25">
      <c r="A217" s="1943" t="s">
        <v>174</v>
      </c>
      <c r="B217" s="1944" t="s">
        <v>800</v>
      </c>
      <c r="C217" s="1944" t="s">
        <v>397</v>
      </c>
      <c r="D217" s="1945" t="s">
        <v>176</v>
      </c>
      <c r="E217" s="1976" t="s">
        <v>669</v>
      </c>
      <c r="F217" s="1976" t="s">
        <v>670</v>
      </c>
      <c r="G217" s="1977" t="s">
        <v>923</v>
      </c>
      <c r="H217" s="1978" t="s">
        <v>924</v>
      </c>
    </row>
    <row r="218" spans="1:9" s="1735" customFormat="1" ht="13.5" hidden="1" thickTop="1" thickBot="1" x14ac:dyDescent="0.25">
      <c r="A218" s="1740">
        <v>1</v>
      </c>
      <c r="B218" s="1739">
        <v>2</v>
      </c>
      <c r="C218" s="1739">
        <v>3</v>
      </c>
      <c r="D218" s="1739">
        <v>4</v>
      </c>
      <c r="E218" s="1738">
        <v>5</v>
      </c>
      <c r="F218" s="1738">
        <v>6</v>
      </c>
      <c r="G218" s="2028">
        <v>7</v>
      </c>
      <c r="H218" s="2054" t="s">
        <v>61</v>
      </c>
    </row>
    <row r="219" spans="1:9" s="2060" customFormat="1" ht="15.75" hidden="1" customHeight="1" thickTop="1" thickBot="1" x14ac:dyDescent="0.25">
      <c r="A219" s="2049">
        <v>6402</v>
      </c>
      <c r="B219" s="2056">
        <v>5363</v>
      </c>
      <c r="C219" s="2057">
        <v>19</v>
      </c>
      <c r="D219" s="1979" t="s">
        <v>1664</v>
      </c>
      <c r="E219" s="1989">
        <v>0</v>
      </c>
      <c r="F219" s="1989">
        <v>0</v>
      </c>
      <c r="G219" s="1989">
        <v>0</v>
      </c>
      <c r="H219" s="1961" t="e">
        <f>G219/F219*100</f>
        <v>#DIV/0!</v>
      </c>
    </row>
    <row r="220" spans="1:9" s="1969" customFormat="1" ht="16.5" hidden="1" thickTop="1" thickBot="1" x14ac:dyDescent="0.3">
      <c r="A220" s="2750" t="s">
        <v>802</v>
      </c>
      <c r="B220" s="2751"/>
      <c r="C220" s="2751"/>
      <c r="D220" s="2751"/>
      <c r="E220" s="1957">
        <f>SUM(E219)</f>
        <v>0</v>
      </c>
      <c r="F220" s="1957">
        <f>SUM(F219)</f>
        <v>0</v>
      </c>
      <c r="G220" s="1957">
        <f>SUM(G219)</f>
        <v>0</v>
      </c>
      <c r="H220" s="1962" t="e">
        <f>G220/F220*100</f>
        <v>#DIV/0!</v>
      </c>
      <c r="I220" s="2063"/>
    </row>
    <row r="221" spans="1:9" x14ac:dyDescent="0.2">
      <c r="I221" s="1970"/>
    </row>
    <row r="222" spans="1:9" x14ac:dyDescent="0.2">
      <c r="I222" s="1970"/>
    </row>
    <row r="223" spans="1:9" x14ac:dyDescent="0.2">
      <c r="I223" s="1970"/>
    </row>
    <row r="225" spans="1:12" ht="16.5" x14ac:dyDescent="0.25">
      <c r="A225" s="2011" t="s">
        <v>487</v>
      </c>
      <c r="B225" s="2012"/>
      <c r="C225" s="2013"/>
      <c r="D225" s="2014"/>
      <c r="E225" s="2015">
        <f>SUM(E226:E228)</f>
        <v>387</v>
      </c>
      <c r="F225" s="2015">
        <f>F226+F227+F228+F229</f>
        <v>14052</v>
      </c>
      <c r="G225" s="2015">
        <f>G226+G227+G228+G229</f>
        <v>19851</v>
      </c>
      <c r="H225" s="2035">
        <f>G225/F225*100</f>
        <v>141.26814688300598</v>
      </c>
      <c r="J225" s="2017">
        <f>J226+J227+J228</f>
        <v>387000</v>
      </c>
      <c r="K225" s="2017">
        <f>K226+K227+K228</f>
        <v>14051669.130000001</v>
      </c>
      <c r="L225" s="2017">
        <f>L226+L227+L228</f>
        <v>19851322.68</v>
      </c>
    </row>
    <row r="226" spans="1:12" ht="15" x14ac:dyDescent="0.2">
      <c r="A226" s="1696" t="s">
        <v>277</v>
      </c>
      <c r="B226" s="1699"/>
      <c r="C226" s="1694"/>
      <c r="D226" s="2018"/>
      <c r="E226" s="1697">
        <f>E42+E43+E44+E45+E46+E47+E48+E49+E56+E57+E58+E59+E60+E61+E62+E63+E78+E79+E80+E82+E81+E83+E84+E85+E86+E87+E88+E89+E90+E91+E92+E93+E94+E95+E96+E97+E98+E99+E100+E101+E110+E111+E112+E113+E114+E115+E116+E117+E124+E126+E132+E133+E165+E173+E174+E175+E176+E178+E179+E180+E181+E184+E185+E189+E190+E192+E193+E194+E195</f>
        <v>387</v>
      </c>
      <c r="F226" s="1697">
        <f>F42+F43+F44+F45+F46+F47+F48+F49+F56+F57+F58+F59+F60+F61+F62+F63+F78+F79+F80+F82+F81+F83+F84+F85+F86+F87+F88+F89+F90+F91+F92+F93+F94+F95+F96+F97+F98+F99+F100+F101+F110+F111+F112+F113+F114+F115+F116+F117+F124+F126+F132+F133+F165+F173+F174+F175+F176+F178+F179+F180+F181+F184+F185+F189+F190+F192+F193+F194+F195</f>
        <v>14052</v>
      </c>
      <c r="G226" s="1697">
        <f>G42+G43+G44+G45+G46+G47+G48+G49+G56+G57+G58+G59+G60+G61+G62+G63+G78+G79+G80+G82+G81+G83+G84+G85+G86+G87+G88+G89+G90+G91+G92+G93+G94+G95+G96+G97+G98+G99+G100+G101+G110+G111+G112+G113+G114+G115+G116+G117+G124+G126+G132+G133+G165+G173+G174+G175+G176+G178+G179+G180+G181+G184+G185+G189+G190+G192+G193+G194+G195</f>
        <v>10657</v>
      </c>
      <c r="H226" s="2034">
        <f>G226/F226*100</f>
        <v>75.839738115570725</v>
      </c>
      <c r="J226" s="2019">
        <v>387000</v>
      </c>
      <c r="K226" s="2019">
        <v>14051669.130000001</v>
      </c>
      <c r="L226" s="2019">
        <v>10657735.449999999</v>
      </c>
    </row>
    <row r="227" spans="1:12" ht="15" x14ac:dyDescent="0.2">
      <c r="A227" s="1696" t="s">
        <v>278</v>
      </c>
      <c r="B227" s="1695"/>
      <c r="C227" s="1694"/>
      <c r="D227" s="2020"/>
      <c r="E227" s="1697">
        <v>0</v>
      </c>
      <c r="F227" s="1697">
        <v>0</v>
      </c>
      <c r="G227" s="1697">
        <v>0</v>
      </c>
      <c r="H227" s="2034">
        <v>0</v>
      </c>
      <c r="J227" s="2019">
        <v>0</v>
      </c>
      <c r="K227" s="2019">
        <v>0</v>
      </c>
      <c r="L227" s="2019">
        <v>0</v>
      </c>
    </row>
    <row r="228" spans="1:12" ht="15" x14ac:dyDescent="0.2">
      <c r="A228" s="1696" t="s">
        <v>488</v>
      </c>
      <c r="B228" s="1695"/>
      <c r="C228" s="1694"/>
      <c r="D228" s="2020"/>
      <c r="E228" s="1697">
        <f>E65+E103+E136+E166+E196</f>
        <v>0</v>
      </c>
      <c r="F228" s="1697">
        <f>F65+F103+F136+F166+F196</f>
        <v>0</v>
      </c>
      <c r="G228" s="1697">
        <f>G65+G103+G136+G166+G196</f>
        <v>9194</v>
      </c>
      <c r="H228" s="2034">
        <v>0</v>
      </c>
      <c r="J228" s="2019">
        <v>0</v>
      </c>
      <c r="K228" s="2019">
        <v>0</v>
      </c>
      <c r="L228" s="2019">
        <v>9193587.2300000004</v>
      </c>
    </row>
    <row r="229" spans="1:12" ht="15" x14ac:dyDescent="0.2">
      <c r="A229" s="1696"/>
      <c r="B229" s="1695"/>
      <c r="C229" s="1694"/>
      <c r="D229" s="2020"/>
      <c r="E229" s="1697"/>
      <c r="F229" s="1697"/>
      <c r="G229" s="1697"/>
      <c r="H229" s="1693"/>
    </row>
    <row r="230" spans="1:12" ht="46.5" customHeight="1" thickBot="1" x14ac:dyDescent="0.4">
      <c r="A230" s="2746" t="s">
        <v>1104</v>
      </c>
      <c r="B230" s="2747"/>
      <c r="C230" s="2747"/>
      <c r="D230" s="2747"/>
      <c r="E230" s="1687">
        <f>SUM(E225)</f>
        <v>387</v>
      </c>
      <c r="F230" s="1687">
        <f>SUM(F225)</f>
        <v>14052</v>
      </c>
      <c r="G230" s="1687">
        <f>SUM(G225)</f>
        <v>19851</v>
      </c>
      <c r="H230" s="1686">
        <f>(G230/F230)*100</f>
        <v>141.26814688300598</v>
      </c>
    </row>
    <row r="231" spans="1:12" ht="13.5" thickTop="1" x14ac:dyDescent="0.2"/>
    <row r="350" spans="1:5" ht="13.5" thickBot="1" x14ac:dyDescent="0.25">
      <c r="A350" s="1984"/>
      <c r="B350" s="1984"/>
      <c r="C350" s="1984"/>
      <c r="D350" s="2064"/>
      <c r="E350" s="2065"/>
    </row>
    <row r="351" spans="1:5" ht="13.5" thickTop="1" x14ac:dyDescent="0.2">
      <c r="A351" s="2009"/>
      <c r="B351" s="2009"/>
      <c r="C351" s="2009"/>
      <c r="D351" s="1998"/>
      <c r="E351" s="2066"/>
    </row>
    <row r="352" spans="1:5" x14ac:dyDescent="0.2">
      <c r="D352" s="1937" t="e">
        <f>#REF!+#REF!</f>
        <v>#REF!</v>
      </c>
    </row>
  </sheetData>
  <mergeCells count="8">
    <mergeCell ref="A220:D220"/>
    <mergeCell ref="A230:D230"/>
    <mergeCell ref="A36:D36"/>
    <mergeCell ref="A66:D66"/>
    <mergeCell ref="A104:D104"/>
    <mergeCell ref="A137:D137"/>
    <mergeCell ref="A167:D167"/>
    <mergeCell ref="A197:D197"/>
  </mergeCells>
  <pageMargins left="0.98425196850393704" right="0.78740157480314965" top="0.98425196850393704" bottom="0.98425196850393704" header="0.51181102362204722" footer="0.51181102362204722"/>
  <pageSetup paperSize="9" scale="63" firstPageNumber="150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1" manualBreakCount="1">
    <brk id="104" max="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25"/>
  <sheetViews>
    <sheetView view="pageBreakPreview" zoomScaleNormal="100" zoomScaleSheetLayoutView="100" workbookViewId="0">
      <selection activeCell="I82" sqref="I82"/>
    </sheetView>
  </sheetViews>
  <sheetFormatPr defaultRowHeight="12.75" x14ac:dyDescent="0.2"/>
  <cols>
    <col min="1" max="1" width="5" style="2139" customWidth="1"/>
    <col min="2" max="2" width="6.7109375" style="2139" customWidth="1"/>
    <col min="3" max="3" width="8.85546875" style="2139" customWidth="1"/>
    <col min="4" max="4" width="47.85546875" style="2139" customWidth="1"/>
    <col min="5" max="5" width="12.85546875" style="2139" customWidth="1"/>
    <col min="6" max="6" width="15.5703125" style="2139" customWidth="1"/>
    <col min="7" max="7" width="15.85546875" style="2139" customWidth="1"/>
    <col min="8" max="8" width="9.140625" style="2139" customWidth="1"/>
    <col min="9" max="10" width="9.140625" style="2139"/>
    <col min="11" max="11" width="18.85546875" style="2139" customWidth="1"/>
    <col min="12" max="12" width="17.7109375" style="2139" customWidth="1"/>
    <col min="13" max="256" width="9.140625" style="2139"/>
    <col min="257" max="257" width="4.7109375" style="2139" customWidth="1"/>
    <col min="258" max="258" width="6.7109375" style="2139" customWidth="1"/>
    <col min="259" max="259" width="8.85546875" style="2139" customWidth="1"/>
    <col min="260" max="260" width="47.85546875" style="2139" customWidth="1"/>
    <col min="261" max="261" width="12.85546875" style="2139" customWidth="1"/>
    <col min="262" max="262" width="15.5703125" style="2139" customWidth="1"/>
    <col min="263" max="263" width="15.85546875" style="2139" customWidth="1"/>
    <col min="264" max="264" width="6.42578125" style="2139" customWidth="1"/>
    <col min="265" max="266" width="9.140625" style="2139"/>
    <col min="267" max="267" width="18.85546875" style="2139" customWidth="1"/>
    <col min="268" max="268" width="17.7109375" style="2139" customWidth="1"/>
    <col min="269" max="512" width="9.140625" style="2139"/>
    <col min="513" max="513" width="4.7109375" style="2139" customWidth="1"/>
    <col min="514" max="514" width="6.7109375" style="2139" customWidth="1"/>
    <col min="515" max="515" width="8.85546875" style="2139" customWidth="1"/>
    <col min="516" max="516" width="47.85546875" style="2139" customWidth="1"/>
    <col min="517" max="517" width="12.85546875" style="2139" customWidth="1"/>
    <col min="518" max="518" width="15.5703125" style="2139" customWidth="1"/>
    <col min="519" max="519" width="15.85546875" style="2139" customWidth="1"/>
    <col min="520" max="520" width="6.42578125" style="2139" customWidth="1"/>
    <col min="521" max="522" width="9.140625" style="2139"/>
    <col min="523" max="523" width="18.85546875" style="2139" customWidth="1"/>
    <col min="524" max="524" width="17.7109375" style="2139" customWidth="1"/>
    <col min="525" max="768" width="9.140625" style="2139"/>
    <col min="769" max="769" width="4.7109375" style="2139" customWidth="1"/>
    <col min="770" max="770" width="6.7109375" style="2139" customWidth="1"/>
    <col min="771" max="771" width="8.85546875" style="2139" customWidth="1"/>
    <col min="772" max="772" width="47.85546875" style="2139" customWidth="1"/>
    <col min="773" max="773" width="12.85546875" style="2139" customWidth="1"/>
    <col min="774" max="774" width="15.5703125" style="2139" customWidth="1"/>
    <col min="775" max="775" width="15.85546875" style="2139" customWidth="1"/>
    <col min="776" max="776" width="6.42578125" style="2139" customWidth="1"/>
    <col min="777" max="778" width="9.140625" style="2139"/>
    <col min="779" max="779" width="18.85546875" style="2139" customWidth="1"/>
    <col min="780" max="780" width="17.7109375" style="2139" customWidth="1"/>
    <col min="781" max="1024" width="9.140625" style="2139"/>
    <col min="1025" max="1025" width="4.7109375" style="2139" customWidth="1"/>
    <col min="1026" max="1026" width="6.7109375" style="2139" customWidth="1"/>
    <col min="1027" max="1027" width="8.85546875" style="2139" customWidth="1"/>
    <col min="1028" max="1028" width="47.85546875" style="2139" customWidth="1"/>
    <col min="1029" max="1029" width="12.85546875" style="2139" customWidth="1"/>
    <col min="1030" max="1030" width="15.5703125" style="2139" customWidth="1"/>
    <col min="1031" max="1031" width="15.85546875" style="2139" customWidth="1"/>
    <col min="1032" max="1032" width="6.42578125" style="2139" customWidth="1"/>
    <col min="1033" max="1034" width="9.140625" style="2139"/>
    <col min="1035" max="1035" width="18.85546875" style="2139" customWidth="1"/>
    <col min="1036" max="1036" width="17.7109375" style="2139" customWidth="1"/>
    <col min="1037" max="1280" width="9.140625" style="2139"/>
    <col min="1281" max="1281" width="4.7109375" style="2139" customWidth="1"/>
    <col min="1282" max="1282" width="6.7109375" style="2139" customWidth="1"/>
    <col min="1283" max="1283" width="8.85546875" style="2139" customWidth="1"/>
    <col min="1284" max="1284" width="47.85546875" style="2139" customWidth="1"/>
    <col min="1285" max="1285" width="12.85546875" style="2139" customWidth="1"/>
    <col min="1286" max="1286" width="15.5703125" style="2139" customWidth="1"/>
    <col min="1287" max="1287" width="15.85546875" style="2139" customWidth="1"/>
    <col min="1288" max="1288" width="6.42578125" style="2139" customWidth="1"/>
    <col min="1289" max="1290" width="9.140625" style="2139"/>
    <col min="1291" max="1291" width="18.85546875" style="2139" customWidth="1"/>
    <col min="1292" max="1292" width="17.7109375" style="2139" customWidth="1"/>
    <col min="1293" max="1536" width="9.140625" style="2139"/>
    <col min="1537" max="1537" width="4.7109375" style="2139" customWidth="1"/>
    <col min="1538" max="1538" width="6.7109375" style="2139" customWidth="1"/>
    <col min="1539" max="1539" width="8.85546875" style="2139" customWidth="1"/>
    <col min="1540" max="1540" width="47.85546875" style="2139" customWidth="1"/>
    <col min="1541" max="1541" width="12.85546875" style="2139" customWidth="1"/>
    <col min="1542" max="1542" width="15.5703125" style="2139" customWidth="1"/>
    <col min="1543" max="1543" width="15.85546875" style="2139" customWidth="1"/>
    <col min="1544" max="1544" width="6.42578125" style="2139" customWidth="1"/>
    <col min="1545" max="1546" width="9.140625" style="2139"/>
    <col min="1547" max="1547" width="18.85546875" style="2139" customWidth="1"/>
    <col min="1548" max="1548" width="17.7109375" style="2139" customWidth="1"/>
    <col min="1549" max="1792" width="9.140625" style="2139"/>
    <col min="1793" max="1793" width="4.7109375" style="2139" customWidth="1"/>
    <col min="1794" max="1794" width="6.7109375" style="2139" customWidth="1"/>
    <col min="1795" max="1795" width="8.85546875" style="2139" customWidth="1"/>
    <col min="1796" max="1796" width="47.85546875" style="2139" customWidth="1"/>
    <col min="1797" max="1797" width="12.85546875" style="2139" customWidth="1"/>
    <col min="1798" max="1798" width="15.5703125" style="2139" customWidth="1"/>
    <col min="1799" max="1799" width="15.85546875" style="2139" customWidth="1"/>
    <col min="1800" max="1800" width="6.42578125" style="2139" customWidth="1"/>
    <col min="1801" max="1802" width="9.140625" style="2139"/>
    <col min="1803" max="1803" width="18.85546875" style="2139" customWidth="1"/>
    <col min="1804" max="1804" width="17.7109375" style="2139" customWidth="1"/>
    <col min="1805" max="2048" width="9.140625" style="2139"/>
    <col min="2049" max="2049" width="4.7109375" style="2139" customWidth="1"/>
    <col min="2050" max="2050" width="6.7109375" style="2139" customWidth="1"/>
    <col min="2051" max="2051" width="8.85546875" style="2139" customWidth="1"/>
    <col min="2052" max="2052" width="47.85546875" style="2139" customWidth="1"/>
    <col min="2053" max="2053" width="12.85546875" style="2139" customWidth="1"/>
    <col min="2054" max="2054" width="15.5703125" style="2139" customWidth="1"/>
    <col min="2055" max="2055" width="15.85546875" style="2139" customWidth="1"/>
    <col min="2056" max="2056" width="6.42578125" style="2139" customWidth="1"/>
    <col min="2057" max="2058" width="9.140625" style="2139"/>
    <col min="2059" max="2059" width="18.85546875" style="2139" customWidth="1"/>
    <col min="2060" max="2060" width="17.7109375" style="2139" customWidth="1"/>
    <col min="2061" max="2304" width="9.140625" style="2139"/>
    <col min="2305" max="2305" width="4.7109375" style="2139" customWidth="1"/>
    <col min="2306" max="2306" width="6.7109375" style="2139" customWidth="1"/>
    <col min="2307" max="2307" width="8.85546875" style="2139" customWidth="1"/>
    <col min="2308" max="2308" width="47.85546875" style="2139" customWidth="1"/>
    <col min="2309" max="2309" width="12.85546875" style="2139" customWidth="1"/>
    <col min="2310" max="2310" width="15.5703125" style="2139" customWidth="1"/>
    <col min="2311" max="2311" width="15.85546875" style="2139" customWidth="1"/>
    <col min="2312" max="2312" width="6.42578125" style="2139" customWidth="1"/>
    <col min="2313" max="2314" width="9.140625" style="2139"/>
    <col min="2315" max="2315" width="18.85546875" style="2139" customWidth="1"/>
    <col min="2316" max="2316" width="17.7109375" style="2139" customWidth="1"/>
    <col min="2317" max="2560" width="9.140625" style="2139"/>
    <col min="2561" max="2561" width="4.7109375" style="2139" customWidth="1"/>
    <col min="2562" max="2562" width="6.7109375" style="2139" customWidth="1"/>
    <col min="2563" max="2563" width="8.85546875" style="2139" customWidth="1"/>
    <col min="2564" max="2564" width="47.85546875" style="2139" customWidth="1"/>
    <col min="2565" max="2565" width="12.85546875" style="2139" customWidth="1"/>
    <col min="2566" max="2566" width="15.5703125" style="2139" customWidth="1"/>
    <col min="2567" max="2567" width="15.85546875" style="2139" customWidth="1"/>
    <col min="2568" max="2568" width="6.42578125" style="2139" customWidth="1"/>
    <col min="2569" max="2570" width="9.140625" style="2139"/>
    <col min="2571" max="2571" width="18.85546875" style="2139" customWidth="1"/>
    <col min="2572" max="2572" width="17.7109375" style="2139" customWidth="1"/>
    <col min="2573" max="2816" width="9.140625" style="2139"/>
    <col min="2817" max="2817" width="4.7109375" style="2139" customWidth="1"/>
    <col min="2818" max="2818" width="6.7109375" style="2139" customWidth="1"/>
    <col min="2819" max="2819" width="8.85546875" style="2139" customWidth="1"/>
    <col min="2820" max="2820" width="47.85546875" style="2139" customWidth="1"/>
    <col min="2821" max="2821" width="12.85546875" style="2139" customWidth="1"/>
    <col min="2822" max="2822" width="15.5703125" style="2139" customWidth="1"/>
    <col min="2823" max="2823" width="15.85546875" style="2139" customWidth="1"/>
    <col min="2824" max="2824" width="6.42578125" style="2139" customWidth="1"/>
    <col min="2825" max="2826" width="9.140625" style="2139"/>
    <col min="2827" max="2827" width="18.85546875" style="2139" customWidth="1"/>
    <col min="2828" max="2828" width="17.7109375" style="2139" customWidth="1"/>
    <col min="2829" max="3072" width="9.140625" style="2139"/>
    <col min="3073" max="3073" width="4.7109375" style="2139" customWidth="1"/>
    <col min="3074" max="3074" width="6.7109375" style="2139" customWidth="1"/>
    <col min="3075" max="3075" width="8.85546875" style="2139" customWidth="1"/>
    <col min="3076" max="3076" width="47.85546875" style="2139" customWidth="1"/>
    <col min="3077" max="3077" width="12.85546875" style="2139" customWidth="1"/>
    <col min="3078" max="3078" width="15.5703125" style="2139" customWidth="1"/>
    <col min="3079" max="3079" width="15.85546875" style="2139" customWidth="1"/>
    <col min="3080" max="3080" width="6.42578125" style="2139" customWidth="1"/>
    <col min="3081" max="3082" width="9.140625" style="2139"/>
    <col min="3083" max="3083" width="18.85546875" style="2139" customWidth="1"/>
    <col min="3084" max="3084" width="17.7109375" style="2139" customWidth="1"/>
    <col min="3085" max="3328" width="9.140625" style="2139"/>
    <col min="3329" max="3329" width="4.7109375" style="2139" customWidth="1"/>
    <col min="3330" max="3330" width="6.7109375" style="2139" customWidth="1"/>
    <col min="3331" max="3331" width="8.85546875" style="2139" customWidth="1"/>
    <col min="3332" max="3332" width="47.85546875" style="2139" customWidth="1"/>
    <col min="3333" max="3333" width="12.85546875" style="2139" customWidth="1"/>
    <col min="3334" max="3334" width="15.5703125" style="2139" customWidth="1"/>
    <col min="3335" max="3335" width="15.85546875" style="2139" customWidth="1"/>
    <col min="3336" max="3336" width="6.42578125" style="2139" customWidth="1"/>
    <col min="3337" max="3338" width="9.140625" style="2139"/>
    <col min="3339" max="3339" width="18.85546875" style="2139" customWidth="1"/>
    <col min="3340" max="3340" width="17.7109375" style="2139" customWidth="1"/>
    <col min="3341" max="3584" width="9.140625" style="2139"/>
    <col min="3585" max="3585" width="4.7109375" style="2139" customWidth="1"/>
    <col min="3586" max="3586" width="6.7109375" style="2139" customWidth="1"/>
    <col min="3587" max="3587" width="8.85546875" style="2139" customWidth="1"/>
    <col min="3588" max="3588" width="47.85546875" style="2139" customWidth="1"/>
    <col min="3589" max="3589" width="12.85546875" style="2139" customWidth="1"/>
    <col min="3590" max="3590" width="15.5703125" style="2139" customWidth="1"/>
    <col min="3591" max="3591" width="15.85546875" style="2139" customWidth="1"/>
    <col min="3592" max="3592" width="6.42578125" style="2139" customWidth="1"/>
    <col min="3593" max="3594" width="9.140625" style="2139"/>
    <col min="3595" max="3595" width="18.85546875" style="2139" customWidth="1"/>
    <col min="3596" max="3596" width="17.7109375" style="2139" customWidth="1"/>
    <col min="3597" max="3840" width="9.140625" style="2139"/>
    <col min="3841" max="3841" width="4.7109375" style="2139" customWidth="1"/>
    <col min="3842" max="3842" width="6.7109375" style="2139" customWidth="1"/>
    <col min="3843" max="3843" width="8.85546875" style="2139" customWidth="1"/>
    <col min="3844" max="3844" width="47.85546875" style="2139" customWidth="1"/>
    <col min="3845" max="3845" width="12.85546875" style="2139" customWidth="1"/>
    <col min="3846" max="3846" width="15.5703125" style="2139" customWidth="1"/>
    <col min="3847" max="3847" width="15.85546875" style="2139" customWidth="1"/>
    <col min="3848" max="3848" width="6.42578125" style="2139" customWidth="1"/>
    <col min="3849" max="3850" width="9.140625" style="2139"/>
    <col min="3851" max="3851" width="18.85546875" style="2139" customWidth="1"/>
    <col min="3852" max="3852" width="17.7109375" style="2139" customWidth="1"/>
    <col min="3853" max="4096" width="9.140625" style="2139"/>
    <col min="4097" max="4097" width="4.7109375" style="2139" customWidth="1"/>
    <col min="4098" max="4098" width="6.7109375" style="2139" customWidth="1"/>
    <col min="4099" max="4099" width="8.85546875" style="2139" customWidth="1"/>
    <col min="4100" max="4100" width="47.85546875" style="2139" customWidth="1"/>
    <col min="4101" max="4101" width="12.85546875" style="2139" customWidth="1"/>
    <col min="4102" max="4102" width="15.5703125" style="2139" customWidth="1"/>
    <col min="4103" max="4103" width="15.85546875" style="2139" customWidth="1"/>
    <col min="4104" max="4104" width="6.42578125" style="2139" customWidth="1"/>
    <col min="4105" max="4106" width="9.140625" style="2139"/>
    <col min="4107" max="4107" width="18.85546875" style="2139" customWidth="1"/>
    <col min="4108" max="4108" width="17.7109375" style="2139" customWidth="1"/>
    <col min="4109" max="4352" width="9.140625" style="2139"/>
    <col min="4353" max="4353" width="4.7109375" style="2139" customWidth="1"/>
    <col min="4354" max="4354" width="6.7109375" style="2139" customWidth="1"/>
    <col min="4355" max="4355" width="8.85546875" style="2139" customWidth="1"/>
    <col min="4356" max="4356" width="47.85546875" style="2139" customWidth="1"/>
    <col min="4357" max="4357" width="12.85546875" style="2139" customWidth="1"/>
    <col min="4358" max="4358" width="15.5703125" style="2139" customWidth="1"/>
    <col min="4359" max="4359" width="15.85546875" style="2139" customWidth="1"/>
    <col min="4360" max="4360" width="6.42578125" style="2139" customWidth="1"/>
    <col min="4361" max="4362" width="9.140625" style="2139"/>
    <col min="4363" max="4363" width="18.85546875" style="2139" customWidth="1"/>
    <col min="4364" max="4364" width="17.7109375" style="2139" customWidth="1"/>
    <col min="4365" max="4608" width="9.140625" style="2139"/>
    <col min="4609" max="4609" width="4.7109375" style="2139" customWidth="1"/>
    <col min="4610" max="4610" width="6.7109375" style="2139" customWidth="1"/>
    <col min="4611" max="4611" width="8.85546875" style="2139" customWidth="1"/>
    <col min="4612" max="4612" width="47.85546875" style="2139" customWidth="1"/>
    <col min="4613" max="4613" width="12.85546875" style="2139" customWidth="1"/>
    <col min="4614" max="4614" width="15.5703125" style="2139" customWidth="1"/>
    <col min="4615" max="4615" width="15.85546875" style="2139" customWidth="1"/>
    <col min="4616" max="4616" width="6.42578125" style="2139" customWidth="1"/>
    <col min="4617" max="4618" width="9.140625" style="2139"/>
    <col min="4619" max="4619" width="18.85546875" style="2139" customWidth="1"/>
    <col min="4620" max="4620" width="17.7109375" style="2139" customWidth="1"/>
    <col min="4621" max="4864" width="9.140625" style="2139"/>
    <col min="4865" max="4865" width="4.7109375" style="2139" customWidth="1"/>
    <col min="4866" max="4866" width="6.7109375" style="2139" customWidth="1"/>
    <col min="4867" max="4867" width="8.85546875" style="2139" customWidth="1"/>
    <col min="4868" max="4868" width="47.85546875" style="2139" customWidth="1"/>
    <col min="4869" max="4869" width="12.85546875" style="2139" customWidth="1"/>
    <col min="4870" max="4870" width="15.5703125" style="2139" customWidth="1"/>
    <col min="4871" max="4871" width="15.85546875" style="2139" customWidth="1"/>
    <col min="4872" max="4872" width="6.42578125" style="2139" customWidth="1"/>
    <col min="4873" max="4874" width="9.140625" style="2139"/>
    <col min="4875" max="4875" width="18.85546875" style="2139" customWidth="1"/>
    <col min="4876" max="4876" width="17.7109375" style="2139" customWidth="1"/>
    <col min="4877" max="5120" width="9.140625" style="2139"/>
    <col min="5121" max="5121" width="4.7109375" style="2139" customWidth="1"/>
    <col min="5122" max="5122" width="6.7109375" style="2139" customWidth="1"/>
    <col min="5123" max="5123" width="8.85546875" style="2139" customWidth="1"/>
    <col min="5124" max="5124" width="47.85546875" style="2139" customWidth="1"/>
    <col min="5125" max="5125" width="12.85546875" style="2139" customWidth="1"/>
    <col min="5126" max="5126" width="15.5703125" style="2139" customWidth="1"/>
    <col min="5127" max="5127" width="15.85546875" style="2139" customWidth="1"/>
    <col min="5128" max="5128" width="6.42578125" style="2139" customWidth="1"/>
    <col min="5129" max="5130" width="9.140625" style="2139"/>
    <col min="5131" max="5131" width="18.85546875" style="2139" customWidth="1"/>
    <col min="5132" max="5132" width="17.7109375" style="2139" customWidth="1"/>
    <col min="5133" max="5376" width="9.140625" style="2139"/>
    <col min="5377" max="5377" width="4.7109375" style="2139" customWidth="1"/>
    <col min="5378" max="5378" width="6.7109375" style="2139" customWidth="1"/>
    <col min="5379" max="5379" width="8.85546875" style="2139" customWidth="1"/>
    <col min="5380" max="5380" width="47.85546875" style="2139" customWidth="1"/>
    <col min="5381" max="5381" width="12.85546875" style="2139" customWidth="1"/>
    <col min="5382" max="5382" width="15.5703125" style="2139" customWidth="1"/>
    <col min="5383" max="5383" width="15.85546875" style="2139" customWidth="1"/>
    <col min="5384" max="5384" width="6.42578125" style="2139" customWidth="1"/>
    <col min="5385" max="5386" width="9.140625" style="2139"/>
    <col min="5387" max="5387" width="18.85546875" style="2139" customWidth="1"/>
    <col min="5388" max="5388" width="17.7109375" style="2139" customWidth="1"/>
    <col min="5389" max="5632" width="9.140625" style="2139"/>
    <col min="5633" max="5633" width="4.7109375" style="2139" customWidth="1"/>
    <col min="5634" max="5634" width="6.7109375" style="2139" customWidth="1"/>
    <col min="5635" max="5635" width="8.85546875" style="2139" customWidth="1"/>
    <col min="5636" max="5636" width="47.85546875" style="2139" customWidth="1"/>
    <col min="5637" max="5637" width="12.85546875" style="2139" customWidth="1"/>
    <col min="5638" max="5638" width="15.5703125" style="2139" customWidth="1"/>
    <col min="5639" max="5639" width="15.85546875" style="2139" customWidth="1"/>
    <col min="5640" max="5640" width="6.42578125" style="2139" customWidth="1"/>
    <col min="5641" max="5642" width="9.140625" style="2139"/>
    <col min="5643" max="5643" width="18.85546875" style="2139" customWidth="1"/>
    <col min="5644" max="5644" width="17.7109375" style="2139" customWidth="1"/>
    <col min="5645" max="5888" width="9.140625" style="2139"/>
    <col min="5889" max="5889" width="4.7109375" style="2139" customWidth="1"/>
    <col min="5890" max="5890" width="6.7109375" style="2139" customWidth="1"/>
    <col min="5891" max="5891" width="8.85546875" style="2139" customWidth="1"/>
    <col min="5892" max="5892" width="47.85546875" style="2139" customWidth="1"/>
    <col min="5893" max="5893" width="12.85546875" style="2139" customWidth="1"/>
    <col min="5894" max="5894" width="15.5703125" style="2139" customWidth="1"/>
    <col min="5895" max="5895" width="15.85546875" style="2139" customWidth="1"/>
    <col min="5896" max="5896" width="6.42578125" style="2139" customWidth="1"/>
    <col min="5897" max="5898" width="9.140625" style="2139"/>
    <col min="5899" max="5899" width="18.85546875" style="2139" customWidth="1"/>
    <col min="5900" max="5900" width="17.7109375" style="2139" customWidth="1"/>
    <col min="5901" max="6144" width="9.140625" style="2139"/>
    <col min="6145" max="6145" width="4.7109375" style="2139" customWidth="1"/>
    <col min="6146" max="6146" width="6.7109375" style="2139" customWidth="1"/>
    <col min="6147" max="6147" width="8.85546875" style="2139" customWidth="1"/>
    <col min="6148" max="6148" width="47.85546875" style="2139" customWidth="1"/>
    <col min="6149" max="6149" width="12.85546875" style="2139" customWidth="1"/>
    <col min="6150" max="6150" width="15.5703125" style="2139" customWidth="1"/>
    <col min="6151" max="6151" width="15.85546875" style="2139" customWidth="1"/>
    <col min="6152" max="6152" width="6.42578125" style="2139" customWidth="1"/>
    <col min="6153" max="6154" width="9.140625" style="2139"/>
    <col min="6155" max="6155" width="18.85546875" style="2139" customWidth="1"/>
    <col min="6156" max="6156" width="17.7109375" style="2139" customWidth="1"/>
    <col min="6157" max="6400" width="9.140625" style="2139"/>
    <col min="6401" max="6401" width="4.7109375" style="2139" customWidth="1"/>
    <col min="6402" max="6402" width="6.7109375" style="2139" customWidth="1"/>
    <col min="6403" max="6403" width="8.85546875" style="2139" customWidth="1"/>
    <col min="6404" max="6404" width="47.85546875" style="2139" customWidth="1"/>
    <col min="6405" max="6405" width="12.85546875" style="2139" customWidth="1"/>
    <col min="6406" max="6406" width="15.5703125" style="2139" customWidth="1"/>
    <col min="6407" max="6407" width="15.85546875" style="2139" customWidth="1"/>
    <col min="6408" max="6408" width="6.42578125" style="2139" customWidth="1"/>
    <col min="6409" max="6410" width="9.140625" style="2139"/>
    <col min="6411" max="6411" width="18.85546875" style="2139" customWidth="1"/>
    <col min="6412" max="6412" width="17.7109375" style="2139" customWidth="1"/>
    <col min="6413" max="6656" width="9.140625" style="2139"/>
    <col min="6657" max="6657" width="4.7109375" style="2139" customWidth="1"/>
    <col min="6658" max="6658" width="6.7109375" style="2139" customWidth="1"/>
    <col min="6659" max="6659" width="8.85546875" style="2139" customWidth="1"/>
    <col min="6660" max="6660" width="47.85546875" style="2139" customWidth="1"/>
    <col min="6661" max="6661" width="12.85546875" style="2139" customWidth="1"/>
    <col min="6662" max="6662" width="15.5703125" style="2139" customWidth="1"/>
    <col min="6663" max="6663" width="15.85546875" style="2139" customWidth="1"/>
    <col min="6664" max="6664" width="6.42578125" style="2139" customWidth="1"/>
    <col min="6665" max="6666" width="9.140625" style="2139"/>
    <col min="6667" max="6667" width="18.85546875" style="2139" customWidth="1"/>
    <col min="6668" max="6668" width="17.7109375" style="2139" customWidth="1"/>
    <col min="6669" max="6912" width="9.140625" style="2139"/>
    <col min="6913" max="6913" width="4.7109375" style="2139" customWidth="1"/>
    <col min="6914" max="6914" width="6.7109375" style="2139" customWidth="1"/>
    <col min="6915" max="6915" width="8.85546875" style="2139" customWidth="1"/>
    <col min="6916" max="6916" width="47.85546875" style="2139" customWidth="1"/>
    <col min="6917" max="6917" width="12.85546875" style="2139" customWidth="1"/>
    <col min="6918" max="6918" width="15.5703125" style="2139" customWidth="1"/>
    <col min="6919" max="6919" width="15.85546875" style="2139" customWidth="1"/>
    <col min="6920" max="6920" width="6.42578125" style="2139" customWidth="1"/>
    <col min="6921" max="6922" width="9.140625" style="2139"/>
    <col min="6923" max="6923" width="18.85546875" style="2139" customWidth="1"/>
    <col min="6924" max="6924" width="17.7109375" style="2139" customWidth="1"/>
    <col min="6925" max="7168" width="9.140625" style="2139"/>
    <col min="7169" max="7169" width="4.7109375" style="2139" customWidth="1"/>
    <col min="7170" max="7170" width="6.7109375" style="2139" customWidth="1"/>
    <col min="7171" max="7171" width="8.85546875" style="2139" customWidth="1"/>
    <col min="7172" max="7172" width="47.85546875" style="2139" customWidth="1"/>
    <col min="7173" max="7173" width="12.85546875" style="2139" customWidth="1"/>
    <col min="7174" max="7174" width="15.5703125" style="2139" customWidth="1"/>
    <col min="7175" max="7175" width="15.85546875" style="2139" customWidth="1"/>
    <col min="7176" max="7176" width="6.42578125" style="2139" customWidth="1"/>
    <col min="7177" max="7178" width="9.140625" style="2139"/>
    <col min="7179" max="7179" width="18.85546875" style="2139" customWidth="1"/>
    <col min="7180" max="7180" width="17.7109375" style="2139" customWidth="1"/>
    <col min="7181" max="7424" width="9.140625" style="2139"/>
    <col min="7425" max="7425" width="4.7109375" style="2139" customWidth="1"/>
    <col min="7426" max="7426" width="6.7109375" style="2139" customWidth="1"/>
    <col min="7427" max="7427" width="8.85546875" style="2139" customWidth="1"/>
    <col min="7428" max="7428" width="47.85546875" style="2139" customWidth="1"/>
    <col min="7429" max="7429" width="12.85546875" style="2139" customWidth="1"/>
    <col min="7430" max="7430" width="15.5703125" style="2139" customWidth="1"/>
    <col min="7431" max="7431" width="15.85546875" style="2139" customWidth="1"/>
    <col min="7432" max="7432" width="6.42578125" style="2139" customWidth="1"/>
    <col min="7433" max="7434" width="9.140625" style="2139"/>
    <col min="7435" max="7435" width="18.85546875" style="2139" customWidth="1"/>
    <col min="7436" max="7436" width="17.7109375" style="2139" customWidth="1"/>
    <col min="7437" max="7680" width="9.140625" style="2139"/>
    <col min="7681" max="7681" width="4.7109375" style="2139" customWidth="1"/>
    <col min="7682" max="7682" width="6.7109375" style="2139" customWidth="1"/>
    <col min="7683" max="7683" width="8.85546875" style="2139" customWidth="1"/>
    <col min="7684" max="7684" width="47.85546875" style="2139" customWidth="1"/>
    <col min="7685" max="7685" width="12.85546875" style="2139" customWidth="1"/>
    <col min="7686" max="7686" width="15.5703125" style="2139" customWidth="1"/>
    <col min="7687" max="7687" width="15.85546875" style="2139" customWidth="1"/>
    <col min="7688" max="7688" width="6.42578125" style="2139" customWidth="1"/>
    <col min="7689" max="7690" width="9.140625" style="2139"/>
    <col min="7691" max="7691" width="18.85546875" style="2139" customWidth="1"/>
    <col min="7692" max="7692" width="17.7109375" style="2139" customWidth="1"/>
    <col min="7693" max="7936" width="9.140625" style="2139"/>
    <col min="7937" max="7937" width="4.7109375" style="2139" customWidth="1"/>
    <col min="7938" max="7938" width="6.7109375" style="2139" customWidth="1"/>
    <col min="7939" max="7939" width="8.85546875" style="2139" customWidth="1"/>
    <col min="7940" max="7940" width="47.85546875" style="2139" customWidth="1"/>
    <col min="7941" max="7941" width="12.85546875" style="2139" customWidth="1"/>
    <col min="7942" max="7942" width="15.5703125" style="2139" customWidth="1"/>
    <col min="7943" max="7943" width="15.85546875" style="2139" customWidth="1"/>
    <col min="7944" max="7944" width="6.42578125" style="2139" customWidth="1"/>
    <col min="7945" max="7946" width="9.140625" style="2139"/>
    <col min="7947" max="7947" width="18.85546875" style="2139" customWidth="1"/>
    <col min="7948" max="7948" width="17.7109375" style="2139" customWidth="1"/>
    <col min="7949" max="8192" width="9.140625" style="2139"/>
    <col min="8193" max="8193" width="4.7109375" style="2139" customWidth="1"/>
    <col min="8194" max="8194" width="6.7109375" style="2139" customWidth="1"/>
    <col min="8195" max="8195" width="8.85546875" style="2139" customWidth="1"/>
    <col min="8196" max="8196" width="47.85546875" style="2139" customWidth="1"/>
    <col min="8197" max="8197" width="12.85546875" style="2139" customWidth="1"/>
    <col min="8198" max="8198" width="15.5703125" style="2139" customWidth="1"/>
    <col min="8199" max="8199" width="15.85546875" style="2139" customWidth="1"/>
    <col min="8200" max="8200" width="6.42578125" style="2139" customWidth="1"/>
    <col min="8201" max="8202" width="9.140625" style="2139"/>
    <col min="8203" max="8203" width="18.85546875" style="2139" customWidth="1"/>
    <col min="8204" max="8204" width="17.7109375" style="2139" customWidth="1"/>
    <col min="8205" max="8448" width="9.140625" style="2139"/>
    <col min="8449" max="8449" width="4.7109375" style="2139" customWidth="1"/>
    <col min="8450" max="8450" width="6.7109375" style="2139" customWidth="1"/>
    <col min="8451" max="8451" width="8.85546875" style="2139" customWidth="1"/>
    <col min="8452" max="8452" width="47.85546875" style="2139" customWidth="1"/>
    <col min="8453" max="8453" width="12.85546875" style="2139" customWidth="1"/>
    <col min="8454" max="8454" width="15.5703125" style="2139" customWidth="1"/>
    <col min="8455" max="8455" width="15.85546875" style="2139" customWidth="1"/>
    <col min="8456" max="8456" width="6.42578125" style="2139" customWidth="1"/>
    <col min="8457" max="8458" width="9.140625" style="2139"/>
    <col min="8459" max="8459" width="18.85546875" style="2139" customWidth="1"/>
    <col min="8460" max="8460" width="17.7109375" style="2139" customWidth="1"/>
    <col min="8461" max="8704" width="9.140625" style="2139"/>
    <col min="8705" max="8705" width="4.7109375" style="2139" customWidth="1"/>
    <col min="8706" max="8706" width="6.7109375" style="2139" customWidth="1"/>
    <col min="8707" max="8707" width="8.85546875" style="2139" customWidth="1"/>
    <col min="8708" max="8708" width="47.85546875" style="2139" customWidth="1"/>
    <col min="8709" max="8709" width="12.85546875" style="2139" customWidth="1"/>
    <col min="8710" max="8710" width="15.5703125" style="2139" customWidth="1"/>
    <col min="8711" max="8711" width="15.85546875" style="2139" customWidth="1"/>
    <col min="8712" max="8712" width="6.42578125" style="2139" customWidth="1"/>
    <col min="8713" max="8714" width="9.140625" style="2139"/>
    <col min="8715" max="8715" width="18.85546875" style="2139" customWidth="1"/>
    <col min="8716" max="8716" width="17.7109375" style="2139" customWidth="1"/>
    <col min="8717" max="8960" width="9.140625" style="2139"/>
    <col min="8961" max="8961" width="4.7109375" style="2139" customWidth="1"/>
    <col min="8962" max="8962" width="6.7109375" style="2139" customWidth="1"/>
    <col min="8963" max="8963" width="8.85546875" style="2139" customWidth="1"/>
    <col min="8964" max="8964" width="47.85546875" style="2139" customWidth="1"/>
    <col min="8965" max="8965" width="12.85546875" style="2139" customWidth="1"/>
    <col min="8966" max="8966" width="15.5703125" style="2139" customWidth="1"/>
    <col min="8967" max="8967" width="15.85546875" style="2139" customWidth="1"/>
    <col min="8968" max="8968" width="6.42578125" style="2139" customWidth="1"/>
    <col min="8969" max="8970" width="9.140625" style="2139"/>
    <col min="8971" max="8971" width="18.85546875" style="2139" customWidth="1"/>
    <col min="8972" max="8972" width="17.7109375" style="2139" customWidth="1"/>
    <col min="8973" max="9216" width="9.140625" style="2139"/>
    <col min="9217" max="9217" width="4.7109375" style="2139" customWidth="1"/>
    <col min="9218" max="9218" width="6.7109375" style="2139" customWidth="1"/>
    <col min="9219" max="9219" width="8.85546875" style="2139" customWidth="1"/>
    <col min="9220" max="9220" width="47.85546875" style="2139" customWidth="1"/>
    <col min="9221" max="9221" width="12.85546875" style="2139" customWidth="1"/>
    <col min="9222" max="9222" width="15.5703125" style="2139" customWidth="1"/>
    <col min="9223" max="9223" width="15.85546875" style="2139" customWidth="1"/>
    <col min="9224" max="9224" width="6.42578125" style="2139" customWidth="1"/>
    <col min="9225" max="9226" width="9.140625" style="2139"/>
    <col min="9227" max="9227" width="18.85546875" style="2139" customWidth="1"/>
    <col min="9228" max="9228" width="17.7109375" style="2139" customWidth="1"/>
    <col min="9229" max="9472" width="9.140625" style="2139"/>
    <col min="9473" max="9473" width="4.7109375" style="2139" customWidth="1"/>
    <col min="9474" max="9474" width="6.7109375" style="2139" customWidth="1"/>
    <col min="9475" max="9475" width="8.85546875" style="2139" customWidth="1"/>
    <col min="9476" max="9476" width="47.85546875" style="2139" customWidth="1"/>
    <col min="9477" max="9477" width="12.85546875" style="2139" customWidth="1"/>
    <col min="9478" max="9478" width="15.5703125" style="2139" customWidth="1"/>
    <col min="9479" max="9479" width="15.85546875" style="2139" customWidth="1"/>
    <col min="9480" max="9480" width="6.42578125" style="2139" customWidth="1"/>
    <col min="9481" max="9482" width="9.140625" style="2139"/>
    <col min="9483" max="9483" width="18.85546875" style="2139" customWidth="1"/>
    <col min="9484" max="9484" width="17.7109375" style="2139" customWidth="1"/>
    <col min="9485" max="9728" width="9.140625" style="2139"/>
    <col min="9729" max="9729" width="4.7109375" style="2139" customWidth="1"/>
    <col min="9730" max="9730" width="6.7109375" style="2139" customWidth="1"/>
    <col min="9731" max="9731" width="8.85546875" style="2139" customWidth="1"/>
    <col min="9732" max="9732" width="47.85546875" style="2139" customWidth="1"/>
    <col min="9733" max="9733" width="12.85546875" style="2139" customWidth="1"/>
    <col min="9734" max="9734" width="15.5703125" style="2139" customWidth="1"/>
    <col min="9735" max="9735" width="15.85546875" style="2139" customWidth="1"/>
    <col min="9736" max="9736" width="6.42578125" style="2139" customWidth="1"/>
    <col min="9737" max="9738" width="9.140625" style="2139"/>
    <col min="9739" max="9739" width="18.85546875" style="2139" customWidth="1"/>
    <col min="9740" max="9740" width="17.7109375" style="2139" customWidth="1"/>
    <col min="9741" max="9984" width="9.140625" style="2139"/>
    <col min="9985" max="9985" width="4.7109375" style="2139" customWidth="1"/>
    <col min="9986" max="9986" width="6.7109375" style="2139" customWidth="1"/>
    <col min="9987" max="9987" width="8.85546875" style="2139" customWidth="1"/>
    <col min="9988" max="9988" width="47.85546875" style="2139" customWidth="1"/>
    <col min="9989" max="9989" width="12.85546875" style="2139" customWidth="1"/>
    <col min="9990" max="9990" width="15.5703125" style="2139" customWidth="1"/>
    <col min="9991" max="9991" width="15.85546875" style="2139" customWidth="1"/>
    <col min="9992" max="9992" width="6.42578125" style="2139" customWidth="1"/>
    <col min="9993" max="9994" width="9.140625" style="2139"/>
    <col min="9995" max="9995" width="18.85546875" style="2139" customWidth="1"/>
    <col min="9996" max="9996" width="17.7109375" style="2139" customWidth="1"/>
    <col min="9997" max="10240" width="9.140625" style="2139"/>
    <col min="10241" max="10241" width="4.7109375" style="2139" customWidth="1"/>
    <col min="10242" max="10242" width="6.7109375" style="2139" customWidth="1"/>
    <col min="10243" max="10243" width="8.85546875" style="2139" customWidth="1"/>
    <col min="10244" max="10244" width="47.85546875" style="2139" customWidth="1"/>
    <col min="10245" max="10245" width="12.85546875" style="2139" customWidth="1"/>
    <col min="10246" max="10246" width="15.5703125" style="2139" customWidth="1"/>
    <col min="10247" max="10247" width="15.85546875" style="2139" customWidth="1"/>
    <col min="10248" max="10248" width="6.42578125" style="2139" customWidth="1"/>
    <col min="10249" max="10250" width="9.140625" style="2139"/>
    <col min="10251" max="10251" width="18.85546875" style="2139" customWidth="1"/>
    <col min="10252" max="10252" width="17.7109375" style="2139" customWidth="1"/>
    <col min="10253" max="10496" width="9.140625" style="2139"/>
    <col min="10497" max="10497" width="4.7109375" style="2139" customWidth="1"/>
    <col min="10498" max="10498" width="6.7109375" style="2139" customWidth="1"/>
    <col min="10499" max="10499" width="8.85546875" style="2139" customWidth="1"/>
    <col min="10500" max="10500" width="47.85546875" style="2139" customWidth="1"/>
    <col min="10501" max="10501" width="12.85546875" style="2139" customWidth="1"/>
    <col min="10502" max="10502" width="15.5703125" style="2139" customWidth="1"/>
    <col min="10503" max="10503" width="15.85546875" style="2139" customWidth="1"/>
    <col min="10504" max="10504" width="6.42578125" style="2139" customWidth="1"/>
    <col min="10505" max="10506" width="9.140625" style="2139"/>
    <col min="10507" max="10507" width="18.85546875" style="2139" customWidth="1"/>
    <col min="10508" max="10508" width="17.7109375" style="2139" customWidth="1"/>
    <col min="10509" max="10752" width="9.140625" style="2139"/>
    <col min="10753" max="10753" width="4.7109375" style="2139" customWidth="1"/>
    <col min="10754" max="10754" width="6.7109375" style="2139" customWidth="1"/>
    <col min="10755" max="10755" width="8.85546875" style="2139" customWidth="1"/>
    <col min="10756" max="10756" width="47.85546875" style="2139" customWidth="1"/>
    <col min="10757" max="10757" width="12.85546875" style="2139" customWidth="1"/>
    <col min="10758" max="10758" width="15.5703125" style="2139" customWidth="1"/>
    <col min="10759" max="10759" width="15.85546875" style="2139" customWidth="1"/>
    <col min="10760" max="10760" width="6.42578125" style="2139" customWidth="1"/>
    <col min="10761" max="10762" width="9.140625" style="2139"/>
    <col min="10763" max="10763" width="18.85546875" style="2139" customWidth="1"/>
    <col min="10764" max="10764" width="17.7109375" style="2139" customWidth="1"/>
    <col min="10765" max="11008" width="9.140625" style="2139"/>
    <col min="11009" max="11009" width="4.7109375" style="2139" customWidth="1"/>
    <col min="11010" max="11010" width="6.7109375" style="2139" customWidth="1"/>
    <col min="11011" max="11011" width="8.85546875" style="2139" customWidth="1"/>
    <col min="11012" max="11012" width="47.85546875" style="2139" customWidth="1"/>
    <col min="11013" max="11013" width="12.85546875" style="2139" customWidth="1"/>
    <col min="11014" max="11014" width="15.5703125" style="2139" customWidth="1"/>
    <col min="11015" max="11015" width="15.85546875" style="2139" customWidth="1"/>
    <col min="11016" max="11016" width="6.42578125" style="2139" customWidth="1"/>
    <col min="11017" max="11018" width="9.140625" style="2139"/>
    <col min="11019" max="11019" width="18.85546875" style="2139" customWidth="1"/>
    <col min="11020" max="11020" width="17.7109375" style="2139" customWidth="1"/>
    <col min="11021" max="11264" width="9.140625" style="2139"/>
    <col min="11265" max="11265" width="4.7109375" style="2139" customWidth="1"/>
    <col min="11266" max="11266" width="6.7109375" style="2139" customWidth="1"/>
    <col min="11267" max="11267" width="8.85546875" style="2139" customWidth="1"/>
    <col min="11268" max="11268" width="47.85546875" style="2139" customWidth="1"/>
    <col min="11269" max="11269" width="12.85546875" style="2139" customWidth="1"/>
    <col min="11270" max="11270" width="15.5703125" style="2139" customWidth="1"/>
    <col min="11271" max="11271" width="15.85546875" style="2139" customWidth="1"/>
    <col min="11272" max="11272" width="6.42578125" style="2139" customWidth="1"/>
    <col min="11273" max="11274" width="9.140625" style="2139"/>
    <col min="11275" max="11275" width="18.85546875" style="2139" customWidth="1"/>
    <col min="11276" max="11276" width="17.7109375" style="2139" customWidth="1"/>
    <col min="11277" max="11520" width="9.140625" style="2139"/>
    <col min="11521" max="11521" width="4.7109375" style="2139" customWidth="1"/>
    <col min="11522" max="11522" width="6.7109375" style="2139" customWidth="1"/>
    <col min="11523" max="11523" width="8.85546875" style="2139" customWidth="1"/>
    <col min="11524" max="11524" width="47.85546875" style="2139" customWidth="1"/>
    <col min="11525" max="11525" width="12.85546875" style="2139" customWidth="1"/>
    <col min="11526" max="11526" width="15.5703125" style="2139" customWidth="1"/>
    <col min="11527" max="11527" width="15.85546875" style="2139" customWidth="1"/>
    <col min="11528" max="11528" width="6.42578125" style="2139" customWidth="1"/>
    <col min="11529" max="11530" width="9.140625" style="2139"/>
    <col min="11531" max="11531" width="18.85546875" style="2139" customWidth="1"/>
    <col min="11532" max="11532" width="17.7109375" style="2139" customWidth="1"/>
    <col min="11533" max="11776" width="9.140625" style="2139"/>
    <col min="11777" max="11777" width="4.7109375" style="2139" customWidth="1"/>
    <col min="11778" max="11778" width="6.7109375" style="2139" customWidth="1"/>
    <col min="11779" max="11779" width="8.85546875" style="2139" customWidth="1"/>
    <col min="11780" max="11780" width="47.85546875" style="2139" customWidth="1"/>
    <col min="11781" max="11781" width="12.85546875" style="2139" customWidth="1"/>
    <col min="11782" max="11782" width="15.5703125" style="2139" customWidth="1"/>
    <col min="11783" max="11783" width="15.85546875" style="2139" customWidth="1"/>
    <col min="11784" max="11784" width="6.42578125" style="2139" customWidth="1"/>
    <col min="11785" max="11786" width="9.140625" style="2139"/>
    <col min="11787" max="11787" width="18.85546875" style="2139" customWidth="1"/>
    <col min="11788" max="11788" width="17.7109375" style="2139" customWidth="1"/>
    <col min="11789" max="12032" width="9.140625" style="2139"/>
    <col min="12033" max="12033" width="4.7109375" style="2139" customWidth="1"/>
    <col min="12034" max="12034" width="6.7109375" style="2139" customWidth="1"/>
    <col min="12035" max="12035" width="8.85546875" style="2139" customWidth="1"/>
    <col min="12036" max="12036" width="47.85546875" style="2139" customWidth="1"/>
    <col min="12037" max="12037" width="12.85546875" style="2139" customWidth="1"/>
    <col min="12038" max="12038" width="15.5703125" style="2139" customWidth="1"/>
    <col min="12039" max="12039" width="15.85546875" style="2139" customWidth="1"/>
    <col min="12040" max="12040" width="6.42578125" style="2139" customWidth="1"/>
    <col min="12041" max="12042" width="9.140625" style="2139"/>
    <col min="12043" max="12043" width="18.85546875" style="2139" customWidth="1"/>
    <col min="12044" max="12044" width="17.7109375" style="2139" customWidth="1"/>
    <col min="12045" max="12288" width="9.140625" style="2139"/>
    <col min="12289" max="12289" width="4.7109375" style="2139" customWidth="1"/>
    <col min="12290" max="12290" width="6.7109375" style="2139" customWidth="1"/>
    <col min="12291" max="12291" width="8.85546875" style="2139" customWidth="1"/>
    <col min="12292" max="12292" width="47.85546875" style="2139" customWidth="1"/>
    <col min="12293" max="12293" width="12.85546875" style="2139" customWidth="1"/>
    <col min="12294" max="12294" width="15.5703125" style="2139" customWidth="1"/>
    <col min="12295" max="12295" width="15.85546875" style="2139" customWidth="1"/>
    <col min="12296" max="12296" width="6.42578125" style="2139" customWidth="1"/>
    <col min="12297" max="12298" width="9.140625" style="2139"/>
    <col min="12299" max="12299" width="18.85546875" style="2139" customWidth="1"/>
    <col min="12300" max="12300" width="17.7109375" style="2139" customWidth="1"/>
    <col min="12301" max="12544" width="9.140625" style="2139"/>
    <col min="12545" max="12545" width="4.7109375" style="2139" customWidth="1"/>
    <col min="12546" max="12546" width="6.7109375" style="2139" customWidth="1"/>
    <col min="12547" max="12547" width="8.85546875" style="2139" customWidth="1"/>
    <col min="12548" max="12548" width="47.85546875" style="2139" customWidth="1"/>
    <col min="12549" max="12549" width="12.85546875" style="2139" customWidth="1"/>
    <col min="12550" max="12550" width="15.5703125" style="2139" customWidth="1"/>
    <col min="12551" max="12551" width="15.85546875" style="2139" customWidth="1"/>
    <col min="12552" max="12552" width="6.42578125" style="2139" customWidth="1"/>
    <col min="12553" max="12554" width="9.140625" style="2139"/>
    <col min="12555" max="12555" width="18.85546875" style="2139" customWidth="1"/>
    <col min="12556" max="12556" width="17.7109375" style="2139" customWidth="1"/>
    <col min="12557" max="12800" width="9.140625" style="2139"/>
    <col min="12801" max="12801" width="4.7109375" style="2139" customWidth="1"/>
    <col min="12802" max="12802" width="6.7109375" style="2139" customWidth="1"/>
    <col min="12803" max="12803" width="8.85546875" style="2139" customWidth="1"/>
    <col min="12804" max="12804" width="47.85546875" style="2139" customWidth="1"/>
    <col min="12805" max="12805" width="12.85546875" style="2139" customWidth="1"/>
    <col min="12806" max="12806" width="15.5703125" style="2139" customWidth="1"/>
    <col min="12807" max="12807" width="15.85546875" style="2139" customWidth="1"/>
    <col min="12808" max="12808" width="6.42578125" style="2139" customWidth="1"/>
    <col min="12809" max="12810" width="9.140625" style="2139"/>
    <col min="12811" max="12811" width="18.85546875" style="2139" customWidth="1"/>
    <col min="12812" max="12812" width="17.7109375" style="2139" customWidth="1"/>
    <col min="12813" max="13056" width="9.140625" style="2139"/>
    <col min="13057" max="13057" width="4.7109375" style="2139" customWidth="1"/>
    <col min="13058" max="13058" width="6.7109375" style="2139" customWidth="1"/>
    <col min="13059" max="13059" width="8.85546875" style="2139" customWidth="1"/>
    <col min="13060" max="13060" width="47.85546875" style="2139" customWidth="1"/>
    <col min="13061" max="13061" width="12.85546875" style="2139" customWidth="1"/>
    <col min="13062" max="13062" width="15.5703125" style="2139" customWidth="1"/>
    <col min="13063" max="13063" width="15.85546875" style="2139" customWidth="1"/>
    <col min="13064" max="13064" width="6.42578125" style="2139" customWidth="1"/>
    <col min="13065" max="13066" width="9.140625" style="2139"/>
    <col min="13067" max="13067" width="18.85546875" style="2139" customWidth="1"/>
    <col min="13068" max="13068" width="17.7109375" style="2139" customWidth="1"/>
    <col min="13069" max="13312" width="9.140625" style="2139"/>
    <col min="13313" max="13313" width="4.7109375" style="2139" customWidth="1"/>
    <col min="13314" max="13314" width="6.7109375" style="2139" customWidth="1"/>
    <col min="13315" max="13315" width="8.85546875" style="2139" customWidth="1"/>
    <col min="13316" max="13316" width="47.85546875" style="2139" customWidth="1"/>
    <col min="13317" max="13317" width="12.85546875" style="2139" customWidth="1"/>
    <col min="13318" max="13318" width="15.5703125" style="2139" customWidth="1"/>
    <col min="13319" max="13319" width="15.85546875" style="2139" customWidth="1"/>
    <col min="13320" max="13320" width="6.42578125" style="2139" customWidth="1"/>
    <col min="13321" max="13322" width="9.140625" style="2139"/>
    <col min="13323" max="13323" width="18.85546875" style="2139" customWidth="1"/>
    <col min="13324" max="13324" width="17.7109375" style="2139" customWidth="1"/>
    <col min="13325" max="13568" width="9.140625" style="2139"/>
    <col min="13569" max="13569" width="4.7109375" style="2139" customWidth="1"/>
    <col min="13570" max="13570" width="6.7109375" style="2139" customWidth="1"/>
    <col min="13571" max="13571" width="8.85546875" style="2139" customWidth="1"/>
    <col min="13572" max="13572" width="47.85546875" style="2139" customWidth="1"/>
    <col min="13573" max="13573" width="12.85546875" style="2139" customWidth="1"/>
    <col min="13574" max="13574" width="15.5703125" style="2139" customWidth="1"/>
    <col min="13575" max="13575" width="15.85546875" style="2139" customWidth="1"/>
    <col min="13576" max="13576" width="6.42578125" style="2139" customWidth="1"/>
    <col min="13577" max="13578" width="9.140625" style="2139"/>
    <col min="13579" max="13579" width="18.85546875" style="2139" customWidth="1"/>
    <col min="13580" max="13580" width="17.7109375" style="2139" customWidth="1"/>
    <col min="13581" max="13824" width="9.140625" style="2139"/>
    <col min="13825" max="13825" width="4.7109375" style="2139" customWidth="1"/>
    <col min="13826" max="13826" width="6.7109375" style="2139" customWidth="1"/>
    <col min="13827" max="13827" width="8.85546875" style="2139" customWidth="1"/>
    <col min="13828" max="13828" width="47.85546875" style="2139" customWidth="1"/>
    <col min="13829" max="13829" width="12.85546875" style="2139" customWidth="1"/>
    <col min="13830" max="13830" width="15.5703125" style="2139" customWidth="1"/>
    <col min="13831" max="13831" width="15.85546875" style="2139" customWidth="1"/>
    <col min="13832" max="13832" width="6.42578125" style="2139" customWidth="1"/>
    <col min="13833" max="13834" width="9.140625" style="2139"/>
    <col min="13835" max="13835" width="18.85546875" style="2139" customWidth="1"/>
    <col min="13836" max="13836" width="17.7109375" style="2139" customWidth="1"/>
    <col min="13837" max="14080" width="9.140625" style="2139"/>
    <col min="14081" max="14081" width="4.7109375" style="2139" customWidth="1"/>
    <col min="14082" max="14082" width="6.7109375" style="2139" customWidth="1"/>
    <col min="14083" max="14083" width="8.85546875" style="2139" customWidth="1"/>
    <col min="14084" max="14084" width="47.85546875" style="2139" customWidth="1"/>
    <col min="14085" max="14085" width="12.85546875" style="2139" customWidth="1"/>
    <col min="14086" max="14086" width="15.5703125" style="2139" customWidth="1"/>
    <col min="14087" max="14087" width="15.85546875" style="2139" customWidth="1"/>
    <col min="14088" max="14088" width="6.42578125" style="2139" customWidth="1"/>
    <col min="14089" max="14090" width="9.140625" style="2139"/>
    <col min="14091" max="14091" width="18.85546875" style="2139" customWidth="1"/>
    <col min="14092" max="14092" width="17.7109375" style="2139" customWidth="1"/>
    <col min="14093" max="14336" width="9.140625" style="2139"/>
    <col min="14337" max="14337" width="4.7109375" style="2139" customWidth="1"/>
    <col min="14338" max="14338" width="6.7109375" style="2139" customWidth="1"/>
    <col min="14339" max="14339" width="8.85546875" style="2139" customWidth="1"/>
    <col min="14340" max="14340" width="47.85546875" style="2139" customWidth="1"/>
    <col min="14341" max="14341" width="12.85546875" style="2139" customWidth="1"/>
    <col min="14342" max="14342" width="15.5703125" style="2139" customWidth="1"/>
    <col min="14343" max="14343" width="15.85546875" style="2139" customWidth="1"/>
    <col min="14344" max="14344" width="6.42578125" style="2139" customWidth="1"/>
    <col min="14345" max="14346" width="9.140625" style="2139"/>
    <col min="14347" max="14347" width="18.85546875" style="2139" customWidth="1"/>
    <col min="14348" max="14348" width="17.7109375" style="2139" customWidth="1"/>
    <col min="14349" max="14592" width="9.140625" style="2139"/>
    <col min="14593" max="14593" width="4.7109375" style="2139" customWidth="1"/>
    <col min="14594" max="14594" width="6.7109375" style="2139" customWidth="1"/>
    <col min="14595" max="14595" width="8.85546875" style="2139" customWidth="1"/>
    <col min="14596" max="14596" width="47.85546875" style="2139" customWidth="1"/>
    <col min="14597" max="14597" width="12.85546875" style="2139" customWidth="1"/>
    <col min="14598" max="14598" width="15.5703125" style="2139" customWidth="1"/>
    <col min="14599" max="14599" width="15.85546875" style="2139" customWidth="1"/>
    <col min="14600" max="14600" width="6.42578125" style="2139" customWidth="1"/>
    <col min="14601" max="14602" width="9.140625" style="2139"/>
    <col min="14603" max="14603" width="18.85546875" style="2139" customWidth="1"/>
    <col min="14604" max="14604" width="17.7109375" style="2139" customWidth="1"/>
    <col min="14605" max="14848" width="9.140625" style="2139"/>
    <col min="14849" max="14849" width="4.7109375" style="2139" customWidth="1"/>
    <col min="14850" max="14850" width="6.7109375" style="2139" customWidth="1"/>
    <col min="14851" max="14851" width="8.85546875" style="2139" customWidth="1"/>
    <col min="14852" max="14852" width="47.85546875" style="2139" customWidth="1"/>
    <col min="14853" max="14853" width="12.85546875" style="2139" customWidth="1"/>
    <col min="14854" max="14854" width="15.5703125" style="2139" customWidth="1"/>
    <col min="14855" max="14855" width="15.85546875" style="2139" customWidth="1"/>
    <col min="14856" max="14856" width="6.42578125" style="2139" customWidth="1"/>
    <col min="14857" max="14858" width="9.140625" style="2139"/>
    <col min="14859" max="14859" width="18.85546875" style="2139" customWidth="1"/>
    <col min="14860" max="14860" width="17.7109375" style="2139" customWidth="1"/>
    <col min="14861" max="15104" width="9.140625" style="2139"/>
    <col min="15105" max="15105" width="4.7109375" style="2139" customWidth="1"/>
    <col min="15106" max="15106" width="6.7109375" style="2139" customWidth="1"/>
    <col min="15107" max="15107" width="8.85546875" style="2139" customWidth="1"/>
    <col min="15108" max="15108" width="47.85546875" style="2139" customWidth="1"/>
    <col min="15109" max="15109" width="12.85546875" style="2139" customWidth="1"/>
    <col min="15110" max="15110" width="15.5703125" style="2139" customWidth="1"/>
    <col min="15111" max="15111" width="15.85546875" style="2139" customWidth="1"/>
    <col min="15112" max="15112" width="6.42578125" style="2139" customWidth="1"/>
    <col min="15113" max="15114" width="9.140625" style="2139"/>
    <col min="15115" max="15115" width="18.85546875" style="2139" customWidth="1"/>
    <col min="15116" max="15116" width="17.7109375" style="2139" customWidth="1"/>
    <col min="15117" max="15360" width="9.140625" style="2139"/>
    <col min="15361" max="15361" width="4.7109375" style="2139" customWidth="1"/>
    <col min="15362" max="15362" width="6.7109375" style="2139" customWidth="1"/>
    <col min="15363" max="15363" width="8.85546875" style="2139" customWidth="1"/>
    <col min="15364" max="15364" width="47.85546875" style="2139" customWidth="1"/>
    <col min="15365" max="15365" width="12.85546875" style="2139" customWidth="1"/>
    <col min="15366" max="15366" width="15.5703125" style="2139" customWidth="1"/>
    <col min="15367" max="15367" width="15.85546875" style="2139" customWidth="1"/>
    <col min="15368" max="15368" width="6.42578125" style="2139" customWidth="1"/>
    <col min="15369" max="15370" width="9.140625" style="2139"/>
    <col min="15371" max="15371" width="18.85546875" style="2139" customWidth="1"/>
    <col min="15372" max="15372" width="17.7109375" style="2139" customWidth="1"/>
    <col min="15373" max="15616" width="9.140625" style="2139"/>
    <col min="15617" max="15617" width="4.7109375" style="2139" customWidth="1"/>
    <col min="15618" max="15618" width="6.7109375" style="2139" customWidth="1"/>
    <col min="15619" max="15619" width="8.85546875" style="2139" customWidth="1"/>
    <col min="15620" max="15620" width="47.85546875" style="2139" customWidth="1"/>
    <col min="15621" max="15621" width="12.85546875" style="2139" customWidth="1"/>
    <col min="15622" max="15622" width="15.5703125" style="2139" customWidth="1"/>
    <col min="15623" max="15623" width="15.85546875" style="2139" customWidth="1"/>
    <col min="15624" max="15624" width="6.42578125" style="2139" customWidth="1"/>
    <col min="15625" max="15626" width="9.140625" style="2139"/>
    <col min="15627" max="15627" width="18.85546875" style="2139" customWidth="1"/>
    <col min="15628" max="15628" width="17.7109375" style="2139" customWidth="1"/>
    <col min="15629" max="15872" width="9.140625" style="2139"/>
    <col min="15873" max="15873" width="4.7109375" style="2139" customWidth="1"/>
    <col min="15874" max="15874" width="6.7109375" style="2139" customWidth="1"/>
    <col min="15875" max="15875" width="8.85546875" style="2139" customWidth="1"/>
    <col min="15876" max="15876" width="47.85546875" style="2139" customWidth="1"/>
    <col min="15877" max="15877" width="12.85546875" style="2139" customWidth="1"/>
    <col min="15878" max="15878" width="15.5703125" style="2139" customWidth="1"/>
    <col min="15879" max="15879" width="15.85546875" style="2139" customWidth="1"/>
    <col min="15880" max="15880" width="6.42578125" style="2139" customWidth="1"/>
    <col min="15881" max="15882" width="9.140625" style="2139"/>
    <col min="15883" max="15883" width="18.85546875" style="2139" customWidth="1"/>
    <col min="15884" max="15884" width="17.7109375" style="2139" customWidth="1"/>
    <col min="15885" max="16128" width="9.140625" style="2139"/>
    <col min="16129" max="16129" width="4.7109375" style="2139" customWidth="1"/>
    <col min="16130" max="16130" width="6.7109375" style="2139" customWidth="1"/>
    <col min="16131" max="16131" width="8.85546875" style="2139" customWidth="1"/>
    <col min="16132" max="16132" width="47.85546875" style="2139" customWidth="1"/>
    <col min="16133" max="16133" width="12.85546875" style="2139" customWidth="1"/>
    <col min="16134" max="16134" width="15.5703125" style="2139" customWidth="1"/>
    <col min="16135" max="16135" width="15.85546875" style="2139" customWidth="1"/>
    <col min="16136" max="16136" width="6.42578125" style="2139" customWidth="1"/>
    <col min="16137" max="16138" width="9.140625" style="2139"/>
    <col min="16139" max="16139" width="18.85546875" style="2139" customWidth="1"/>
    <col min="16140" max="16140" width="17.7109375" style="2139" customWidth="1"/>
    <col min="16141" max="16384" width="9.140625" style="2139"/>
  </cols>
  <sheetData>
    <row r="1" spans="1:8" ht="18.75" thickBot="1" x14ac:dyDescent="0.3">
      <c r="A1" s="2133" t="s">
        <v>1477</v>
      </c>
      <c r="B1" s="2134"/>
      <c r="C1" s="2135"/>
      <c r="D1" s="2136"/>
      <c r="E1" s="2137"/>
      <c r="F1" s="2136"/>
      <c r="G1" s="2138"/>
      <c r="H1" s="2133"/>
    </row>
    <row r="2" spans="1:8" ht="18" x14ac:dyDescent="0.25">
      <c r="A2" s="2140"/>
      <c r="B2" s="2141"/>
      <c r="C2" s="2141"/>
      <c r="D2" s="2141"/>
      <c r="E2" s="2141"/>
      <c r="F2" s="2141"/>
      <c r="G2" s="2141"/>
      <c r="H2" s="2142" t="s">
        <v>1476</v>
      </c>
    </row>
    <row r="3" spans="1:8" ht="18" x14ac:dyDescent="0.25">
      <c r="A3" s="2143" t="s">
        <v>387</v>
      </c>
      <c r="B3" s="2141"/>
      <c r="C3" s="2144" t="s">
        <v>363</v>
      </c>
      <c r="D3" s="2141"/>
      <c r="E3" s="2141"/>
      <c r="F3" s="2141"/>
      <c r="G3" s="2141"/>
      <c r="H3" s="2142"/>
    </row>
    <row r="4" spans="1:8" ht="18" x14ac:dyDescent="0.25">
      <c r="A4" s="2140"/>
      <c r="B4" s="2141"/>
      <c r="C4" s="2144" t="s">
        <v>364</v>
      </c>
      <c r="D4" s="2141"/>
      <c r="E4" s="2141"/>
      <c r="F4" s="2141"/>
      <c r="G4" s="2141"/>
      <c r="H4" s="2142"/>
    </row>
    <row r="5" spans="1:8" ht="18" x14ac:dyDescent="0.25">
      <c r="A5" s="2145" t="s">
        <v>1475</v>
      </c>
      <c r="B5" s="2141"/>
      <c r="C5" s="2141"/>
      <c r="D5" s="2141"/>
      <c r="E5" s="2141"/>
      <c r="F5" s="2141"/>
      <c r="G5" s="2141"/>
      <c r="H5" s="2142"/>
    </row>
    <row r="6" spans="1:8" x14ac:dyDescent="0.2">
      <c r="A6" s="2146"/>
      <c r="B6" s="2146"/>
      <c r="C6" s="2146"/>
      <c r="E6" s="2147"/>
      <c r="F6" s="2147"/>
      <c r="G6" s="2147"/>
    </row>
    <row r="7" spans="1:8" ht="15.75" thickBot="1" x14ac:dyDescent="0.3">
      <c r="A7" s="2132" t="s">
        <v>263</v>
      </c>
      <c r="B7" s="2146"/>
      <c r="C7" s="2146"/>
      <c r="E7" s="2147"/>
      <c r="F7" s="2147"/>
      <c r="G7" s="2147"/>
      <c r="H7" s="2148" t="s">
        <v>173</v>
      </c>
    </row>
    <row r="8" spans="1:8" ht="25.5" thickTop="1" thickBot="1" x14ac:dyDescent="0.25">
      <c r="A8" s="2149" t="s">
        <v>174</v>
      </c>
      <c r="B8" s="2150" t="s">
        <v>800</v>
      </c>
      <c r="C8" s="2150" t="s">
        <v>397</v>
      </c>
      <c r="D8" s="2151" t="s">
        <v>176</v>
      </c>
      <c r="E8" s="2152" t="s">
        <v>669</v>
      </c>
      <c r="F8" s="2152" t="s">
        <v>670</v>
      </c>
      <c r="G8" s="2153" t="s">
        <v>923</v>
      </c>
      <c r="H8" s="2154" t="s">
        <v>924</v>
      </c>
    </row>
    <row r="9" spans="1:8" ht="14.25" thickTop="1" thickBot="1" x14ac:dyDescent="0.25">
      <c r="A9" s="2155">
        <v>1</v>
      </c>
      <c r="B9" s="2156">
        <v>2</v>
      </c>
      <c r="C9" s="2156">
        <v>3</v>
      </c>
      <c r="D9" s="2156">
        <v>4</v>
      </c>
      <c r="E9" s="2157">
        <v>5</v>
      </c>
      <c r="F9" s="2157">
        <v>6</v>
      </c>
      <c r="G9" s="2158">
        <v>7</v>
      </c>
      <c r="H9" s="2159" t="s">
        <v>61</v>
      </c>
    </row>
    <row r="10" spans="1:8" ht="45.75" thickTop="1" x14ac:dyDescent="0.2">
      <c r="A10" s="2160">
        <v>3299</v>
      </c>
      <c r="B10" s="2161">
        <v>5213</v>
      </c>
      <c r="C10" s="2161">
        <v>32133006</v>
      </c>
      <c r="D10" s="2162" t="s">
        <v>1323</v>
      </c>
      <c r="E10" s="2163">
        <v>0</v>
      </c>
      <c r="F10" s="2163">
        <v>181</v>
      </c>
      <c r="G10" s="2163">
        <v>181</v>
      </c>
      <c r="H10" s="2164">
        <f t="shared" ref="H10:H28" si="0">G10/F10*100</f>
        <v>100</v>
      </c>
    </row>
    <row r="11" spans="1:8" ht="45" x14ac:dyDescent="0.2">
      <c r="A11" s="2165">
        <v>3299</v>
      </c>
      <c r="B11" s="2166">
        <v>5213</v>
      </c>
      <c r="C11" s="2166">
        <v>32533006</v>
      </c>
      <c r="D11" s="2167" t="s">
        <v>1323</v>
      </c>
      <c r="E11" s="2168">
        <v>0</v>
      </c>
      <c r="F11" s="2168">
        <v>1028</v>
      </c>
      <c r="G11" s="2168">
        <v>1027</v>
      </c>
      <c r="H11" s="2169">
        <f t="shared" si="0"/>
        <v>99.902723735408557</v>
      </c>
    </row>
    <row r="12" spans="1:8" ht="30" x14ac:dyDescent="0.2">
      <c r="A12" s="2165">
        <v>3299</v>
      </c>
      <c r="B12" s="2166">
        <v>5221</v>
      </c>
      <c r="C12" s="2166">
        <v>32133030</v>
      </c>
      <c r="D12" s="2167" t="s">
        <v>1380</v>
      </c>
      <c r="E12" s="2168">
        <v>0</v>
      </c>
      <c r="F12" s="2168">
        <v>400</v>
      </c>
      <c r="G12" s="2168">
        <v>399</v>
      </c>
      <c r="H12" s="2169">
        <f t="shared" si="0"/>
        <v>99.75</v>
      </c>
    </row>
    <row r="13" spans="1:8" ht="30" x14ac:dyDescent="0.2">
      <c r="A13" s="2165">
        <v>3299</v>
      </c>
      <c r="B13" s="2166">
        <v>5221</v>
      </c>
      <c r="C13" s="2166">
        <v>32533030</v>
      </c>
      <c r="D13" s="2167" t="s">
        <v>1380</v>
      </c>
      <c r="E13" s="2168">
        <v>0</v>
      </c>
      <c r="F13" s="2168">
        <v>2268</v>
      </c>
      <c r="G13" s="2168">
        <v>2264</v>
      </c>
      <c r="H13" s="2169">
        <f t="shared" si="0"/>
        <v>99.82363315696648</v>
      </c>
    </row>
    <row r="14" spans="1:8" ht="31.5" customHeight="1" x14ac:dyDescent="0.2">
      <c r="A14" s="2165">
        <v>3299</v>
      </c>
      <c r="B14" s="2166">
        <v>5229</v>
      </c>
      <c r="C14" s="2166">
        <v>32133030</v>
      </c>
      <c r="D14" s="2167" t="s">
        <v>1015</v>
      </c>
      <c r="E14" s="2168">
        <v>0</v>
      </c>
      <c r="F14" s="2168">
        <v>441</v>
      </c>
      <c r="G14" s="2168">
        <v>248</v>
      </c>
      <c r="H14" s="2169">
        <f t="shared" si="0"/>
        <v>56.235827664399096</v>
      </c>
    </row>
    <row r="15" spans="1:8" ht="30" x14ac:dyDescent="0.2">
      <c r="A15" s="2165">
        <v>3299</v>
      </c>
      <c r="B15" s="2166">
        <v>5229</v>
      </c>
      <c r="C15" s="2166">
        <v>32533030</v>
      </c>
      <c r="D15" s="2167" t="s">
        <v>1015</v>
      </c>
      <c r="E15" s="2168">
        <v>0</v>
      </c>
      <c r="F15" s="2168">
        <v>2501</v>
      </c>
      <c r="G15" s="2168">
        <v>1404</v>
      </c>
      <c r="H15" s="2169">
        <f t="shared" si="0"/>
        <v>56.137544982007192</v>
      </c>
    </row>
    <row r="16" spans="1:8" ht="15" x14ac:dyDescent="0.2">
      <c r="A16" s="2165">
        <v>3299</v>
      </c>
      <c r="B16" s="2166">
        <v>5332</v>
      </c>
      <c r="C16" s="2170">
        <v>32133006</v>
      </c>
      <c r="D16" s="2167" t="s">
        <v>656</v>
      </c>
      <c r="E16" s="2168">
        <v>0</v>
      </c>
      <c r="F16" s="2168">
        <v>196</v>
      </c>
      <c r="G16" s="2168">
        <v>196</v>
      </c>
      <c r="H16" s="2169">
        <f t="shared" si="0"/>
        <v>100</v>
      </c>
    </row>
    <row r="17" spans="1:9" ht="15" x14ac:dyDescent="0.2">
      <c r="A17" s="2165">
        <v>3299</v>
      </c>
      <c r="B17" s="2166">
        <v>5332</v>
      </c>
      <c r="C17" s="2170">
        <v>32533006</v>
      </c>
      <c r="D17" s="2167" t="s">
        <v>656</v>
      </c>
      <c r="E17" s="2168">
        <v>0</v>
      </c>
      <c r="F17" s="2168">
        <v>1113</v>
      </c>
      <c r="G17" s="2168">
        <v>1112</v>
      </c>
      <c r="H17" s="2169">
        <f t="shared" si="0"/>
        <v>99.910152740341417</v>
      </c>
    </row>
    <row r="18" spans="1:9" ht="15" customHeight="1" x14ac:dyDescent="0.2">
      <c r="A18" s="2165">
        <v>3299</v>
      </c>
      <c r="B18" s="2166">
        <v>5901</v>
      </c>
      <c r="C18" s="2170">
        <v>32133030</v>
      </c>
      <c r="D18" s="2167" t="s">
        <v>639</v>
      </c>
      <c r="E18" s="2168">
        <v>0</v>
      </c>
      <c r="F18" s="2168">
        <v>229</v>
      </c>
      <c r="G18" s="2168">
        <v>0</v>
      </c>
      <c r="H18" s="2169">
        <f t="shared" si="0"/>
        <v>0</v>
      </c>
    </row>
    <row r="19" spans="1:9" ht="15" customHeight="1" x14ac:dyDescent="0.2">
      <c r="A19" s="2165">
        <v>3299</v>
      </c>
      <c r="B19" s="2166">
        <v>5901</v>
      </c>
      <c r="C19" s="2170">
        <v>32533030</v>
      </c>
      <c r="D19" s="2167" t="s">
        <v>639</v>
      </c>
      <c r="E19" s="2168">
        <v>0</v>
      </c>
      <c r="F19" s="2168">
        <v>1297</v>
      </c>
      <c r="G19" s="2168">
        <v>0</v>
      </c>
      <c r="H19" s="2169">
        <f t="shared" si="0"/>
        <v>0</v>
      </c>
    </row>
    <row r="20" spans="1:9" ht="30" hidden="1" customHeight="1" x14ac:dyDescent="0.2">
      <c r="A20" s="2165">
        <v>3299</v>
      </c>
      <c r="B20" s="2166">
        <v>6313</v>
      </c>
      <c r="C20" s="2170">
        <v>32133006</v>
      </c>
      <c r="D20" s="2167" t="s">
        <v>583</v>
      </c>
      <c r="E20" s="2168">
        <v>0</v>
      </c>
      <c r="F20" s="2168">
        <v>0</v>
      </c>
      <c r="G20" s="2168">
        <v>0</v>
      </c>
      <c r="H20" s="2169" t="e">
        <f t="shared" si="0"/>
        <v>#DIV/0!</v>
      </c>
    </row>
    <row r="21" spans="1:9" ht="30" hidden="1" customHeight="1" x14ac:dyDescent="0.2">
      <c r="A21" s="2165">
        <v>3299</v>
      </c>
      <c r="B21" s="2166">
        <v>6313</v>
      </c>
      <c r="C21" s="2170">
        <v>32533006</v>
      </c>
      <c r="D21" s="2167" t="s">
        <v>583</v>
      </c>
      <c r="E21" s="2168">
        <v>0</v>
      </c>
      <c r="F21" s="2168">
        <v>0</v>
      </c>
      <c r="G21" s="2168">
        <v>0</v>
      </c>
      <c r="H21" s="2169" t="e">
        <f t="shared" si="0"/>
        <v>#DIV/0!</v>
      </c>
    </row>
    <row r="22" spans="1:9" ht="30" hidden="1" customHeight="1" x14ac:dyDescent="0.2">
      <c r="A22" s="2165">
        <v>3299</v>
      </c>
      <c r="B22" s="2166">
        <v>6323</v>
      </c>
      <c r="C22" s="2170">
        <v>32133006</v>
      </c>
      <c r="D22" s="2167" t="s">
        <v>584</v>
      </c>
      <c r="E22" s="2168">
        <v>0</v>
      </c>
      <c r="F22" s="2168">
        <v>0</v>
      </c>
      <c r="G22" s="2168">
        <v>0</v>
      </c>
      <c r="H22" s="2169" t="e">
        <f t="shared" si="0"/>
        <v>#DIV/0!</v>
      </c>
    </row>
    <row r="23" spans="1:9" ht="30" hidden="1" customHeight="1" x14ac:dyDescent="0.2">
      <c r="A23" s="2165">
        <v>3299</v>
      </c>
      <c r="B23" s="2166">
        <v>6323</v>
      </c>
      <c r="C23" s="2170">
        <v>32533006</v>
      </c>
      <c r="D23" s="2167" t="s">
        <v>584</v>
      </c>
      <c r="E23" s="2168">
        <v>0</v>
      </c>
      <c r="F23" s="2168">
        <v>0</v>
      </c>
      <c r="G23" s="2168">
        <v>0</v>
      </c>
      <c r="H23" s="2169" t="e">
        <f t="shared" si="0"/>
        <v>#DIV/0!</v>
      </c>
    </row>
    <row r="24" spans="1:9" ht="15" customHeight="1" x14ac:dyDescent="0.2">
      <c r="A24" s="2165">
        <v>3636</v>
      </c>
      <c r="B24" s="2166">
        <v>6901</v>
      </c>
      <c r="C24" s="2170">
        <v>32133926</v>
      </c>
      <c r="D24" s="2167" t="s">
        <v>449</v>
      </c>
      <c r="E24" s="2168">
        <v>0</v>
      </c>
      <c r="F24" s="2168">
        <v>12</v>
      </c>
      <c r="G24" s="2168">
        <v>0</v>
      </c>
      <c r="H24" s="2169">
        <f t="shared" si="0"/>
        <v>0</v>
      </c>
    </row>
    <row r="25" spans="1:9" ht="15" x14ac:dyDescent="0.2">
      <c r="A25" s="2165">
        <v>3636</v>
      </c>
      <c r="B25" s="2166">
        <v>6901</v>
      </c>
      <c r="C25" s="2170">
        <v>32533926</v>
      </c>
      <c r="D25" s="2167" t="s">
        <v>449</v>
      </c>
      <c r="E25" s="2168">
        <v>0</v>
      </c>
      <c r="F25" s="2168">
        <v>67</v>
      </c>
      <c r="G25" s="2168">
        <v>0</v>
      </c>
      <c r="H25" s="2169">
        <f t="shared" si="0"/>
        <v>0</v>
      </c>
    </row>
    <row r="26" spans="1:9" ht="15.75" thickBot="1" x14ac:dyDescent="0.25">
      <c r="A26" s="2165">
        <v>6330</v>
      </c>
      <c r="B26" s="2166">
        <v>5345</v>
      </c>
      <c r="C26" s="2170">
        <v>0</v>
      </c>
      <c r="D26" s="2167" t="s">
        <v>806</v>
      </c>
      <c r="E26" s="2168">
        <v>0</v>
      </c>
      <c r="F26" s="2168">
        <v>0</v>
      </c>
      <c r="G26" s="2168">
        <v>30822</v>
      </c>
      <c r="H26" s="2169">
        <v>0</v>
      </c>
    </row>
    <row r="27" spans="1:9" ht="15.75" hidden="1" thickBot="1" x14ac:dyDescent="0.25">
      <c r="A27" s="2165">
        <v>6402</v>
      </c>
      <c r="B27" s="2166">
        <v>5363</v>
      </c>
      <c r="C27" s="2170">
        <v>19</v>
      </c>
      <c r="D27" s="2167" t="s">
        <v>1652</v>
      </c>
      <c r="E27" s="2168">
        <v>0</v>
      </c>
      <c r="F27" s="2168">
        <v>0</v>
      </c>
      <c r="G27" s="2168">
        <v>0</v>
      </c>
      <c r="H27" s="2169">
        <v>0</v>
      </c>
    </row>
    <row r="28" spans="1:9" ht="16.5" thickTop="1" thickBot="1" x14ac:dyDescent="0.3">
      <c r="A28" s="2766" t="s">
        <v>802</v>
      </c>
      <c r="B28" s="2767"/>
      <c r="C28" s="2767"/>
      <c r="D28" s="2767"/>
      <c r="E28" s="2172">
        <f>SUM(E10:E27)</f>
        <v>0</v>
      </c>
      <c r="F28" s="2172">
        <f>SUM(F10:F27)</f>
        <v>9733</v>
      </c>
      <c r="G28" s="2172">
        <f>SUM(G10:G27)</f>
        <v>37653</v>
      </c>
      <c r="H28" s="2173">
        <f t="shared" si="0"/>
        <v>386.85913901160995</v>
      </c>
    </row>
    <row r="29" spans="1:9" ht="13.5" thickTop="1" x14ac:dyDescent="0.2"/>
    <row r="31" spans="1:9" ht="15" x14ac:dyDescent="0.25">
      <c r="A31" s="2132" t="s">
        <v>1754</v>
      </c>
      <c r="B31" s="2146"/>
      <c r="C31" s="2146"/>
      <c r="D31" s="2146"/>
      <c r="F31" s="2147"/>
      <c r="G31" s="2147"/>
      <c r="H31" s="2147"/>
      <c r="I31" s="2147"/>
    </row>
    <row r="32" spans="1:9" ht="15.75" thickBot="1" x14ac:dyDescent="0.3">
      <c r="A32" s="2132" t="s">
        <v>1665</v>
      </c>
      <c r="B32" s="2146"/>
      <c r="C32" s="2146"/>
      <c r="D32" s="2146"/>
      <c r="F32" s="2147"/>
      <c r="G32" s="2147"/>
      <c r="H32" s="2148" t="s">
        <v>173</v>
      </c>
      <c r="I32" s="2147"/>
    </row>
    <row r="33" spans="1:9" ht="25.5" thickTop="1" thickBot="1" x14ac:dyDescent="0.25">
      <c r="A33" s="2149" t="s">
        <v>174</v>
      </c>
      <c r="B33" s="2150" t="s">
        <v>800</v>
      </c>
      <c r="C33" s="2150" t="s">
        <v>397</v>
      </c>
      <c r="D33" s="2151" t="s">
        <v>176</v>
      </c>
      <c r="E33" s="2152" t="s">
        <v>669</v>
      </c>
      <c r="F33" s="2152" t="s">
        <v>670</v>
      </c>
      <c r="G33" s="2153" t="s">
        <v>923</v>
      </c>
      <c r="H33" s="2154" t="s">
        <v>924</v>
      </c>
      <c r="I33" s="2147"/>
    </row>
    <row r="34" spans="1:9" ht="14.25" thickTop="1" thickBot="1" x14ac:dyDescent="0.25">
      <c r="A34" s="2155">
        <v>1</v>
      </c>
      <c r="B34" s="2156">
        <v>2</v>
      </c>
      <c r="C34" s="2156">
        <v>3</v>
      </c>
      <c r="D34" s="2156">
        <v>5</v>
      </c>
      <c r="E34" s="2157">
        <v>6</v>
      </c>
      <c r="F34" s="2157">
        <v>7</v>
      </c>
      <c r="G34" s="2158">
        <v>8</v>
      </c>
      <c r="H34" s="2174" t="s">
        <v>801</v>
      </c>
      <c r="I34" s="2147"/>
    </row>
    <row r="35" spans="1:9" ht="30.75" thickTop="1" x14ac:dyDescent="0.2">
      <c r="A35" s="2165">
        <v>3299</v>
      </c>
      <c r="B35" s="2166">
        <v>5336</v>
      </c>
      <c r="C35" s="2166">
        <v>32133030</v>
      </c>
      <c r="D35" s="2167" t="s">
        <v>1325</v>
      </c>
      <c r="E35" s="2163">
        <v>0</v>
      </c>
      <c r="F35" s="2163">
        <v>138</v>
      </c>
      <c r="G35" s="2175">
        <v>83</v>
      </c>
      <c r="H35" s="2164">
        <f>G35/F35*100</f>
        <v>60.144927536231883</v>
      </c>
      <c r="I35" s="2147"/>
    </row>
    <row r="36" spans="1:9" ht="30.75" thickBot="1" x14ac:dyDescent="0.25">
      <c r="A36" s="2165">
        <v>3299</v>
      </c>
      <c r="B36" s="2166">
        <v>5336</v>
      </c>
      <c r="C36" s="2166">
        <v>32533030</v>
      </c>
      <c r="D36" s="2167" t="s">
        <v>1325</v>
      </c>
      <c r="E36" s="2168">
        <v>0</v>
      </c>
      <c r="F36" s="2168">
        <v>780</v>
      </c>
      <c r="G36" s="2176">
        <v>470</v>
      </c>
      <c r="H36" s="2169">
        <f>G36/F36*100</f>
        <v>60.256410256410255</v>
      </c>
      <c r="I36" s="2147"/>
    </row>
    <row r="37" spans="1:9" ht="30.75" hidden="1" thickBot="1" x14ac:dyDescent="0.25">
      <c r="A37" s="2165">
        <v>3299</v>
      </c>
      <c r="B37" s="2166">
        <v>6351</v>
      </c>
      <c r="C37" s="2166">
        <v>32133926</v>
      </c>
      <c r="D37" s="2167" t="s">
        <v>1339</v>
      </c>
      <c r="E37" s="2168">
        <v>0</v>
      </c>
      <c r="F37" s="2168">
        <v>0</v>
      </c>
      <c r="G37" s="2176">
        <v>0</v>
      </c>
      <c r="H37" s="2169" t="e">
        <f>G37/F37*100</f>
        <v>#DIV/0!</v>
      </c>
      <c r="I37" s="2147"/>
    </row>
    <row r="38" spans="1:9" ht="30.75" hidden="1" thickBot="1" x14ac:dyDescent="0.25">
      <c r="A38" s="2165">
        <v>3299</v>
      </c>
      <c r="B38" s="2166">
        <v>6351</v>
      </c>
      <c r="C38" s="2166">
        <v>32533926</v>
      </c>
      <c r="D38" s="2167" t="s">
        <v>1339</v>
      </c>
      <c r="E38" s="2168">
        <v>0</v>
      </c>
      <c r="F38" s="2168">
        <v>0</v>
      </c>
      <c r="G38" s="2176">
        <v>0</v>
      </c>
      <c r="H38" s="2169" t="e">
        <f>G38/F38*100</f>
        <v>#DIV/0!</v>
      </c>
      <c r="I38" s="2147"/>
    </row>
    <row r="39" spans="1:9" ht="16.5" thickTop="1" thickBot="1" x14ac:dyDescent="0.3">
      <c r="A39" s="2177" t="s">
        <v>802</v>
      </c>
      <c r="B39" s="2178"/>
      <c r="C39" s="2178"/>
      <c r="D39" s="2179"/>
      <c r="E39" s="2172">
        <f>SUM(E35:E38)</f>
        <v>0</v>
      </c>
      <c r="F39" s="2172">
        <f>SUM(F35:F38)</f>
        <v>918</v>
      </c>
      <c r="G39" s="2172">
        <f>SUM(G35:G38)</f>
        <v>553</v>
      </c>
      <c r="H39" s="2173">
        <f>G39/F39*100</f>
        <v>60.239651416122008</v>
      </c>
      <c r="I39" s="2147"/>
    </row>
    <row r="40" spans="1:9" ht="13.5" thickTop="1" x14ac:dyDescent="0.2">
      <c r="A40" s="2146"/>
      <c r="B40" s="2146"/>
      <c r="C40" s="2146"/>
      <c r="E40" s="2147"/>
      <c r="F40" s="2147"/>
      <c r="G40" s="2147"/>
      <c r="I40" s="2147"/>
    </row>
    <row r="41" spans="1:9" ht="15" x14ac:dyDescent="0.25">
      <c r="A41" s="2132" t="s">
        <v>1889</v>
      </c>
      <c r="B41" s="2146"/>
      <c r="C41" s="2146"/>
      <c r="D41" s="2146"/>
      <c r="F41" s="2147"/>
      <c r="G41" s="2147"/>
      <c r="H41" s="2147"/>
      <c r="I41" s="2147"/>
    </row>
    <row r="42" spans="1:9" ht="15.75" thickBot="1" x14ac:dyDescent="0.3">
      <c r="A42" s="2132" t="s">
        <v>1324</v>
      </c>
      <c r="B42" s="2146"/>
      <c r="C42" s="2146"/>
      <c r="D42" s="2146"/>
      <c r="F42" s="2147"/>
      <c r="G42" s="2147"/>
      <c r="H42" s="2148" t="s">
        <v>173</v>
      </c>
      <c r="I42" s="2147"/>
    </row>
    <row r="43" spans="1:9" ht="25.5" thickTop="1" thickBot="1" x14ac:dyDescent="0.25">
      <c r="A43" s="2149" t="s">
        <v>174</v>
      </c>
      <c r="B43" s="2150" t="s">
        <v>800</v>
      </c>
      <c r="C43" s="2150" t="s">
        <v>397</v>
      </c>
      <c r="D43" s="2151" t="s">
        <v>176</v>
      </c>
      <c r="E43" s="2152" t="s">
        <v>669</v>
      </c>
      <c r="F43" s="2152" t="s">
        <v>670</v>
      </c>
      <c r="G43" s="2153" t="s">
        <v>923</v>
      </c>
      <c r="H43" s="2154" t="s">
        <v>924</v>
      </c>
      <c r="I43" s="2147"/>
    </row>
    <row r="44" spans="1:9" ht="14.25" thickTop="1" thickBot="1" x14ac:dyDescent="0.25">
      <c r="A44" s="2155">
        <v>1</v>
      </c>
      <c r="B44" s="2156">
        <v>2</v>
      </c>
      <c r="C44" s="2156">
        <v>3</v>
      </c>
      <c r="D44" s="2156">
        <v>5</v>
      </c>
      <c r="E44" s="2157">
        <v>6</v>
      </c>
      <c r="F44" s="2157">
        <v>7</v>
      </c>
      <c r="G44" s="2158">
        <v>8</v>
      </c>
      <c r="H44" s="2174" t="s">
        <v>801</v>
      </c>
      <c r="I44" s="2147"/>
    </row>
    <row r="45" spans="1:9" ht="30.75" thickTop="1" x14ac:dyDescent="0.2">
      <c r="A45" s="2165">
        <v>3299</v>
      </c>
      <c r="B45" s="2166">
        <v>5336</v>
      </c>
      <c r="C45" s="2166">
        <v>32133030</v>
      </c>
      <c r="D45" s="2167" t="s">
        <v>1325</v>
      </c>
      <c r="E45" s="2163">
        <v>0</v>
      </c>
      <c r="F45" s="2163">
        <v>83</v>
      </c>
      <c r="G45" s="2175">
        <v>83</v>
      </c>
      <c r="H45" s="2164">
        <f>G45/F45*100</f>
        <v>100</v>
      </c>
      <c r="I45" s="2147"/>
    </row>
    <row r="46" spans="1:9" ht="30.75" thickBot="1" x14ac:dyDescent="0.25">
      <c r="A46" s="2165">
        <v>3299</v>
      </c>
      <c r="B46" s="2166">
        <v>5336</v>
      </c>
      <c r="C46" s="2166">
        <v>32533030</v>
      </c>
      <c r="D46" s="2167" t="s">
        <v>1325</v>
      </c>
      <c r="E46" s="2168">
        <v>0</v>
      </c>
      <c r="F46" s="2168">
        <v>472</v>
      </c>
      <c r="G46" s="2176">
        <v>471</v>
      </c>
      <c r="H46" s="2169">
        <f>G46/F46*100</f>
        <v>99.788135593220346</v>
      </c>
      <c r="I46" s="2147"/>
    </row>
    <row r="47" spans="1:9" ht="30.75" hidden="1" thickBot="1" x14ac:dyDescent="0.25">
      <c r="A47" s="2165">
        <v>3299</v>
      </c>
      <c r="B47" s="2166">
        <v>6351</v>
      </c>
      <c r="C47" s="2166">
        <v>32133006</v>
      </c>
      <c r="D47" s="2167" t="s">
        <v>1339</v>
      </c>
      <c r="E47" s="2168">
        <v>0</v>
      </c>
      <c r="F47" s="2168">
        <v>0</v>
      </c>
      <c r="G47" s="2176">
        <v>0</v>
      </c>
      <c r="H47" s="2169" t="e">
        <f>G47/F47*100</f>
        <v>#DIV/0!</v>
      </c>
      <c r="I47" s="2147"/>
    </row>
    <row r="48" spans="1:9" ht="30.75" hidden="1" thickBot="1" x14ac:dyDescent="0.25">
      <c r="A48" s="2165">
        <v>3299</v>
      </c>
      <c r="B48" s="2166">
        <v>6351</v>
      </c>
      <c r="C48" s="2166">
        <v>32533006</v>
      </c>
      <c r="D48" s="2167" t="s">
        <v>1339</v>
      </c>
      <c r="E48" s="2168">
        <v>0</v>
      </c>
      <c r="F48" s="2168">
        <v>0</v>
      </c>
      <c r="G48" s="2176">
        <v>0</v>
      </c>
      <c r="H48" s="2169" t="e">
        <f>G48/F48*100</f>
        <v>#DIV/0!</v>
      </c>
      <c r="I48" s="2147"/>
    </row>
    <row r="49" spans="1:9" ht="16.5" thickTop="1" thickBot="1" x14ac:dyDescent="0.3">
      <c r="A49" s="2177" t="s">
        <v>802</v>
      </c>
      <c r="B49" s="2178"/>
      <c r="C49" s="2178"/>
      <c r="D49" s="2179"/>
      <c r="E49" s="2172">
        <f>SUM(E45:E48)</f>
        <v>0</v>
      </c>
      <c r="F49" s="2172">
        <f>SUM(F45:F48)</f>
        <v>555</v>
      </c>
      <c r="G49" s="2172">
        <f>SUM(G45:G48)</f>
        <v>554</v>
      </c>
      <c r="H49" s="2173">
        <f>G49/F49*100</f>
        <v>99.819819819819827</v>
      </c>
      <c r="I49" s="2147"/>
    </row>
    <row r="50" spans="1:9" ht="13.5" thickTop="1" x14ac:dyDescent="0.2">
      <c r="A50" s="2146"/>
      <c r="B50" s="2146"/>
      <c r="C50" s="2146"/>
      <c r="E50" s="2147"/>
      <c r="F50" s="2147"/>
      <c r="G50" s="2147"/>
      <c r="I50" s="2147"/>
    </row>
    <row r="51" spans="1:9" ht="15" x14ac:dyDescent="0.25">
      <c r="A51" s="2132" t="s">
        <v>349</v>
      </c>
      <c r="B51" s="2146"/>
      <c r="C51" s="2146"/>
      <c r="D51" s="2146"/>
      <c r="F51" s="2147"/>
      <c r="G51" s="2147"/>
      <c r="H51" s="2147"/>
      <c r="I51" s="2147"/>
    </row>
    <row r="52" spans="1:9" ht="15.75" thickBot="1" x14ac:dyDescent="0.3">
      <c r="A52" s="2132" t="s">
        <v>1890</v>
      </c>
      <c r="B52" s="2146"/>
      <c r="C52" s="2146"/>
      <c r="D52" s="2146"/>
      <c r="F52" s="2147"/>
      <c r="G52" s="2147"/>
      <c r="H52" s="2148" t="s">
        <v>173</v>
      </c>
      <c r="I52" s="2147"/>
    </row>
    <row r="53" spans="1:9" ht="25.5" thickTop="1" thickBot="1" x14ac:dyDescent="0.25">
      <c r="A53" s="2149" t="s">
        <v>174</v>
      </c>
      <c r="B53" s="2150" t="s">
        <v>800</v>
      </c>
      <c r="C53" s="2150" t="s">
        <v>397</v>
      </c>
      <c r="D53" s="2151" t="s">
        <v>176</v>
      </c>
      <c r="E53" s="2152" t="s">
        <v>669</v>
      </c>
      <c r="F53" s="2152" t="s">
        <v>670</v>
      </c>
      <c r="G53" s="2153" t="s">
        <v>923</v>
      </c>
      <c r="H53" s="2154" t="s">
        <v>924</v>
      </c>
      <c r="I53" s="2147"/>
    </row>
    <row r="54" spans="1:9" ht="14.25" thickTop="1" thickBot="1" x14ac:dyDescent="0.25">
      <c r="A54" s="2155">
        <v>1</v>
      </c>
      <c r="B54" s="2156">
        <v>2</v>
      </c>
      <c r="C54" s="2156">
        <v>3</v>
      </c>
      <c r="D54" s="2156">
        <v>5</v>
      </c>
      <c r="E54" s="2157">
        <v>6</v>
      </c>
      <c r="F54" s="2157">
        <v>7</v>
      </c>
      <c r="G54" s="2158">
        <v>8</v>
      </c>
      <c r="H54" s="2174" t="s">
        <v>801</v>
      </c>
      <c r="I54" s="2147"/>
    </row>
    <row r="55" spans="1:9" ht="30.75" thickTop="1" x14ac:dyDescent="0.2">
      <c r="A55" s="2165">
        <v>3299</v>
      </c>
      <c r="B55" s="2166">
        <v>5336</v>
      </c>
      <c r="C55" s="2166">
        <v>32133030</v>
      </c>
      <c r="D55" s="2167" t="s">
        <v>1325</v>
      </c>
      <c r="E55" s="2163">
        <v>0</v>
      </c>
      <c r="F55" s="2163">
        <v>46</v>
      </c>
      <c r="G55" s="2175">
        <v>46</v>
      </c>
      <c r="H55" s="2164">
        <f>G55/F55*100</f>
        <v>100</v>
      </c>
      <c r="I55" s="2147"/>
    </row>
    <row r="56" spans="1:9" ht="30.75" thickBot="1" x14ac:dyDescent="0.25">
      <c r="A56" s="2165">
        <v>3299</v>
      </c>
      <c r="B56" s="2166">
        <v>5336</v>
      </c>
      <c r="C56" s="2166">
        <v>32533030</v>
      </c>
      <c r="D56" s="2167" t="s">
        <v>1325</v>
      </c>
      <c r="E56" s="2168">
        <v>0</v>
      </c>
      <c r="F56" s="2168">
        <v>260</v>
      </c>
      <c r="G56" s="2176">
        <v>259</v>
      </c>
      <c r="H56" s="2169">
        <f>G56/F56*100</f>
        <v>99.615384615384613</v>
      </c>
      <c r="I56" s="2147"/>
    </row>
    <row r="57" spans="1:9" ht="30.75" hidden="1" thickBot="1" x14ac:dyDescent="0.25">
      <c r="A57" s="2165">
        <v>3299</v>
      </c>
      <c r="B57" s="2166">
        <v>6351</v>
      </c>
      <c r="C57" s="2166">
        <v>32133006</v>
      </c>
      <c r="D57" s="2167" t="s">
        <v>1339</v>
      </c>
      <c r="E57" s="2168">
        <v>0</v>
      </c>
      <c r="F57" s="2168">
        <v>0</v>
      </c>
      <c r="G57" s="2176">
        <v>0</v>
      </c>
      <c r="H57" s="2169" t="e">
        <f>G57/F57*100</f>
        <v>#DIV/0!</v>
      </c>
      <c r="I57" s="2147"/>
    </row>
    <row r="58" spans="1:9" ht="30.75" hidden="1" thickBot="1" x14ac:dyDescent="0.25">
      <c r="A58" s="2165">
        <v>3299</v>
      </c>
      <c r="B58" s="2166">
        <v>6351</v>
      </c>
      <c r="C58" s="2166">
        <v>32533006</v>
      </c>
      <c r="D58" s="2167" t="s">
        <v>1339</v>
      </c>
      <c r="E58" s="2168">
        <v>0</v>
      </c>
      <c r="F58" s="2168">
        <v>0</v>
      </c>
      <c r="G58" s="2176">
        <v>0</v>
      </c>
      <c r="H58" s="2169" t="e">
        <f>G58/F58*100</f>
        <v>#DIV/0!</v>
      </c>
      <c r="I58" s="2147"/>
    </row>
    <row r="59" spans="1:9" ht="16.5" thickTop="1" thickBot="1" x14ac:dyDescent="0.3">
      <c r="A59" s="2177" t="s">
        <v>802</v>
      </c>
      <c r="B59" s="2178"/>
      <c r="C59" s="2178"/>
      <c r="D59" s="2179"/>
      <c r="E59" s="2172">
        <f>SUM(E55:E58)</f>
        <v>0</v>
      </c>
      <c r="F59" s="2172">
        <f>SUM(F55:F58)</f>
        <v>306</v>
      </c>
      <c r="G59" s="2172">
        <f>SUM(G55:G58)</f>
        <v>305</v>
      </c>
      <c r="H59" s="2173">
        <f>G59/F59*100</f>
        <v>99.673202614379079</v>
      </c>
      <c r="I59" s="2147"/>
    </row>
    <row r="60" spans="1:9" ht="13.5" thickTop="1" x14ac:dyDescent="0.2">
      <c r="A60" s="2146"/>
      <c r="B60" s="2146"/>
      <c r="C60" s="2146"/>
      <c r="E60" s="2147"/>
      <c r="F60" s="2147"/>
      <c r="G60" s="2147"/>
      <c r="I60" s="2147"/>
    </row>
    <row r="61" spans="1:9" ht="15" x14ac:dyDescent="0.25">
      <c r="A61" s="2132" t="s">
        <v>1666</v>
      </c>
      <c r="B61" s="2146"/>
      <c r="C61" s="2146"/>
      <c r="D61" s="2146"/>
      <c r="F61" s="2147"/>
      <c r="G61" s="2147"/>
      <c r="H61" s="2147"/>
      <c r="I61" s="2147"/>
    </row>
    <row r="62" spans="1:9" ht="15.75" thickBot="1" x14ac:dyDescent="0.3">
      <c r="A62" s="2132" t="s">
        <v>1328</v>
      </c>
      <c r="B62" s="2146"/>
      <c r="C62" s="2146"/>
      <c r="D62" s="2146"/>
      <c r="F62" s="2147"/>
      <c r="G62" s="2147"/>
      <c r="H62" s="2148" t="s">
        <v>173</v>
      </c>
      <c r="I62" s="2147"/>
    </row>
    <row r="63" spans="1:9" ht="25.5" thickTop="1" thickBot="1" x14ac:dyDescent="0.25">
      <c r="A63" s="2149" t="s">
        <v>174</v>
      </c>
      <c r="B63" s="2150" t="s">
        <v>800</v>
      </c>
      <c r="C63" s="2150" t="s">
        <v>397</v>
      </c>
      <c r="D63" s="2151" t="s">
        <v>176</v>
      </c>
      <c r="E63" s="2152" t="s">
        <v>669</v>
      </c>
      <c r="F63" s="2152" t="s">
        <v>670</v>
      </c>
      <c r="G63" s="2153" t="s">
        <v>923</v>
      </c>
      <c r="H63" s="2154" t="s">
        <v>924</v>
      </c>
      <c r="I63" s="2147"/>
    </row>
    <row r="64" spans="1:9" ht="14.25" thickTop="1" thickBot="1" x14ac:dyDescent="0.25">
      <c r="A64" s="2155">
        <v>1</v>
      </c>
      <c r="B64" s="2156">
        <v>2</v>
      </c>
      <c r="C64" s="2156">
        <v>3</v>
      </c>
      <c r="D64" s="2156">
        <v>5</v>
      </c>
      <c r="E64" s="2157">
        <v>6</v>
      </c>
      <c r="F64" s="2157">
        <v>7</v>
      </c>
      <c r="G64" s="2158">
        <v>8</v>
      </c>
      <c r="H64" s="2174" t="s">
        <v>801</v>
      </c>
      <c r="I64" s="2147"/>
    </row>
    <row r="65" spans="1:9" ht="30.75" thickTop="1" x14ac:dyDescent="0.2">
      <c r="A65" s="2165">
        <v>3299</v>
      </c>
      <c r="B65" s="2166">
        <v>5336</v>
      </c>
      <c r="C65" s="2166">
        <v>32133030</v>
      </c>
      <c r="D65" s="2167" t="s">
        <v>1325</v>
      </c>
      <c r="E65" s="2163">
        <v>0</v>
      </c>
      <c r="F65" s="2163">
        <v>441</v>
      </c>
      <c r="G65" s="2175">
        <v>398</v>
      </c>
      <c r="H65" s="2164">
        <f>G65/F65*100</f>
        <v>90.249433106575964</v>
      </c>
      <c r="I65" s="2147"/>
    </row>
    <row r="66" spans="1:9" ht="30.75" thickBot="1" x14ac:dyDescent="0.25">
      <c r="A66" s="2165">
        <v>3299</v>
      </c>
      <c r="B66" s="2166">
        <v>5336</v>
      </c>
      <c r="C66" s="2166">
        <v>32533030</v>
      </c>
      <c r="D66" s="2167" t="s">
        <v>1325</v>
      </c>
      <c r="E66" s="2168">
        <v>0</v>
      </c>
      <c r="F66" s="2168">
        <v>2498</v>
      </c>
      <c r="G66" s="2176">
        <v>2255</v>
      </c>
      <c r="H66" s="2169">
        <f>G66/F66*100</f>
        <v>90.272217774219371</v>
      </c>
      <c r="I66" s="2147"/>
    </row>
    <row r="67" spans="1:9" ht="30.75" hidden="1" thickBot="1" x14ac:dyDescent="0.25">
      <c r="A67" s="2165">
        <v>3299</v>
      </c>
      <c r="B67" s="2166">
        <v>6351</v>
      </c>
      <c r="C67" s="2166">
        <v>32133006</v>
      </c>
      <c r="D67" s="2167" t="s">
        <v>1339</v>
      </c>
      <c r="E67" s="2168">
        <v>0</v>
      </c>
      <c r="F67" s="2168">
        <v>0</v>
      </c>
      <c r="G67" s="2176">
        <v>0</v>
      </c>
      <c r="H67" s="2169" t="e">
        <f>G67/F67*100</f>
        <v>#DIV/0!</v>
      </c>
      <c r="I67" s="2147"/>
    </row>
    <row r="68" spans="1:9" ht="30.75" hidden="1" thickBot="1" x14ac:dyDescent="0.25">
      <c r="A68" s="2165">
        <v>3299</v>
      </c>
      <c r="B68" s="2166">
        <v>6351</v>
      </c>
      <c r="C68" s="2166">
        <v>32533006</v>
      </c>
      <c r="D68" s="2167" t="s">
        <v>1339</v>
      </c>
      <c r="E68" s="2168">
        <v>0</v>
      </c>
      <c r="F68" s="2168">
        <v>0</v>
      </c>
      <c r="G68" s="2176">
        <v>0</v>
      </c>
      <c r="H68" s="2169" t="e">
        <f>G68/F68*100</f>
        <v>#DIV/0!</v>
      </c>
      <c r="I68" s="2147"/>
    </row>
    <row r="69" spans="1:9" ht="16.5" thickTop="1" thickBot="1" x14ac:dyDescent="0.3">
      <c r="A69" s="2177" t="s">
        <v>802</v>
      </c>
      <c r="B69" s="2178"/>
      <c r="C69" s="2178"/>
      <c r="D69" s="2179"/>
      <c r="E69" s="2172">
        <f>SUM(E65:E68)</f>
        <v>0</v>
      </c>
      <c r="F69" s="2172">
        <f>SUM(F65:F68)</f>
        <v>2939</v>
      </c>
      <c r="G69" s="2172">
        <f>SUM(G65:G68)</f>
        <v>2653</v>
      </c>
      <c r="H69" s="2173">
        <f>G69/F69*100</f>
        <v>90.268798911194281</v>
      </c>
      <c r="I69" s="2147"/>
    </row>
    <row r="70" spans="1:9" ht="15.75" thickTop="1" x14ac:dyDescent="0.25">
      <c r="A70" s="2357"/>
      <c r="B70" s="2357"/>
      <c r="C70" s="2357"/>
      <c r="D70" s="2357"/>
      <c r="E70" s="2213"/>
      <c r="F70" s="2213"/>
      <c r="G70" s="2213"/>
      <c r="H70" s="2214"/>
      <c r="I70" s="2147"/>
    </row>
    <row r="71" spans="1:9" ht="15" x14ac:dyDescent="0.25">
      <c r="A71" s="2132" t="s">
        <v>351</v>
      </c>
      <c r="B71" s="2146"/>
      <c r="C71" s="2146"/>
      <c r="D71" s="2146"/>
      <c r="F71" s="2147"/>
      <c r="G71" s="2147"/>
      <c r="H71" s="2147"/>
      <c r="I71" s="2147"/>
    </row>
    <row r="72" spans="1:9" ht="15.75" thickBot="1" x14ac:dyDescent="0.3">
      <c r="A72" s="2132" t="s">
        <v>1200</v>
      </c>
      <c r="B72" s="2146"/>
      <c r="C72" s="2146"/>
      <c r="D72" s="2146"/>
      <c r="F72" s="2147"/>
      <c r="G72" s="2147"/>
      <c r="H72" s="2148" t="s">
        <v>173</v>
      </c>
      <c r="I72" s="2147"/>
    </row>
    <row r="73" spans="1:9" ht="25.5" thickTop="1" thickBot="1" x14ac:dyDescent="0.25">
      <c r="A73" s="2149" t="s">
        <v>174</v>
      </c>
      <c r="B73" s="2150" t="s">
        <v>800</v>
      </c>
      <c r="C73" s="2150" t="s">
        <v>397</v>
      </c>
      <c r="D73" s="2151" t="s">
        <v>176</v>
      </c>
      <c r="E73" s="2152" t="s">
        <v>669</v>
      </c>
      <c r="F73" s="2152" t="s">
        <v>670</v>
      </c>
      <c r="G73" s="2153" t="s">
        <v>923</v>
      </c>
      <c r="H73" s="2154" t="s">
        <v>924</v>
      </c>
      <c r="I73" s="2147"/>
    </row>
    <row r="74" spans="1:9" ht="14.25" thickTop="1" thickBot="1" x14ac:dyDescent="0.25">
      <c r="A74" s="2155">
        <v>1</v>
      </c>
      <c r="B74" s="2156">
        <v>2</v>
      </c>
      <c r="C74" s="2156">
        <v>3</v>
      </c>
      <c r="D74" s="2156">
        <v>5</v>
      </c>
      <c r="E74" s="2157">
        <v>6</v>
      </c>
      <c r="F74" s="2157">
        <v>7</v>
      </c>
      <c r="G74" s="2158">
        <v>8</v>
      </c>
      <c r="H74" s="2174" t="s">
        <v>801</v>
      </c>
      <c r="I74" s="2147"/>
    </row>
    <row r="75" spans="1:9" ht="30.75" thickTop="1" x14ac:dyDescent="0.2">
      <c r="A75" s="2165">
        <v>3299</v>
      </c>
      <c r="B75" s="2166">
        <v>5336</v>
      </c>
      <c r="C75" s="2166">
        <v>32133030</v>
      </c>
      <c r="D75" s="2167" t="s">
        <v>1325</v>
      </c>
      <c r="E75" s="2163">
        <v>0</v>
      </c>
      <c r="F75" s="2163">
        <v>67</v>
      </c>
      <c r="G75" s="2175">
        <v>67</v>
      </c>
      <c r="H75" s="2164">
        <f>G75/F75*100</f>
        <v>100</v>
      </c>
      <c r="I75" s="2147"/>
    </row>
    <row r="76" spans="1:9" ht="30" x14ac:dyDescent="0.2">
      <c r="A76" s="2165">
        <v>3299</v>
      </c>
      <c r="B76" s="2166">
        <v>5336</v>
      </c>
      <c r="C76" s="2166">
        <v>32533030</v>
      </c>
      <c r="D76" s="2167" t="s">
        <v>1325</v>
      </c>
      <c r="E76" s="2168">
        <v>0</v>
      </c>
      <c r="F76" s="2168">
        <v>382</v>
      </c>
      <c r="G76" s="2176">
        <v>382</v>
      </c>
      <c r="H76" s="2169">
        <f>G76/F76*100</f>
        <v>100</v>
      </c>
      <c r="I76" s="2147"/>
    </row>
    <row r="77" spans="1:9" ht="30" x14ac:dyDescent="0.2">
      <c r="A77" s="2165">
        <v>3299</v>
      </c>
      <c r="B77" s="2166">
        <v>6351</v>
      </c>
      <c r="C77" s="2166">
        <v>32133006</v>
      </c>
      <c r="D77" s="2167" t="s">
        <v>1339</v>
      </c>
      <c r="E77" s="2168">
        <v>0</v>
      </c>
      <c r="F77" s="2168">
        <v>33</v>
      </c>
      <c r="G77" s="2176">
        <v>33</v>
      </c>
      <c r="H77" s="2169">
        <f>G77/F77*100</f>
        <v>100</v>
      </c>
      <c r="I77" s="2147"/>
    </row>
    <row r="78" spans="1:9" ht="30.75" thickBot="1" x14ac:dyDescent="0.25">
      <c r="A78" s="2165">
        <v>3299</v>
      </c>
      <c r="B78" s="2166">
        <v>6351</v>
      </c>
      <c r="C78" s="2166">
        <v>32533006</v>
      </c>
      <c r="D78" s="2167" t="s">
        <v>1339</v>
      </c>
      <c r="E78" s="2168">
        <v>0</v>
      </c>
      <c r="F78" s="2168">
        <v>189</v>
      </c>
      <c r="G78" s="2176">
        <v>189</v>
      </c>
      <c r="H78" s="2169">
        <f>G78/F78*100</f>
        <v>100</v>
      </c>
      <c r="I78" s="2147"/>
    </row>
    <row r="79" spans="1:9" ht="16.5" thickTop="1" thickBot="1" x14ac:dyDescent="0.3">
      <c r="A79" s="2177" t="s">
        <v>802</v>
      </c>
      <c r="B79" s="2178"/>
      <c r="C79" s="2178"/>
      <c r="D79" s="2179"/>
      <c r="E79" s="2172">
        <f>SUM(E75:E78)</f>
        <v>0</v>
      </c>
      <c r="F79" s="2172">
        <f>SUM(F75:F78)</f>
        <v>671</v>
      </c>
      <c r="G79" s="2172">
        <f>SUM(G75:G78)</f>
        <v>671</v>
      </c>
      <c r="H79" s="2173">
        <f>G79/F79*100</f>
        <v>100</v>
      </c>
      <c r="I79" s="2147"/>
    </row>
    <row r="80" spans="1:9" ht="15.75" thickTop="1" x14ac:dyDescent="0.25">
      <c r="A80" s="2357"/>
      <c r="B80" s="2357"/>
      <c r="C80" s="2357"/>
      <c r="D80" s="2357"/>
      <c r="E80" s="2213"/>
      <c r="F80" s="2213"/>
      <c r="G80" s="2213"/>
      <c r="H80" s="2214"/>
      <c r="I80" s="2147"/>
    </row>
    <row r="81" spans="1:9" ht="15" x14ac:dyDescent="0.25">
      <c r="A81" s="2132" t="s">
        <v>1298</v>
      </c>
      <c r="B81" s="2146"/>
      <c r="C81" s="2146"/>
      <c r="D81" s="2146"/>
      <c r="F81" s="2147"/>
      <c r="G81" s="2147"/>
      <c r="H81" s="2147"/>
      <c r="I81" s="2147"/>
    </row>
    <row r="82" spans="1:9" ht="15.75" thickBot="1" x14ac:dyDescent="0.3">
      <c r="A82" s="2132" t="s">
        <v>587</v>
      </c>
      <c r="B82" s="2146"/>
      <c r="C82" s="2146"/>
      <c r="D82" s="2146"/>
      <c r="F82" s="2147"/>
      <c r="G82" s="2147"/>
      <c r="H82" s="2148" t="s">
        <v>173</v>
      </c>
      <c r="I82" s="2147"/>
    </row>
    <row r="83" spans="1:9" ht="25.5" thickTop="1" thickBot="1" x14ac:dyDescent="0.25">
      <c r="A83" s="2149" t="s">
        <v>174</v>
      </c>
      <c r="B83" s="2150" t="s">
        <v>800</v>
      </c>
      <c r="C83" s="2150" t="s">
        <v>397</v>
      </c>
      <c r="D83" s="2151" t="s">
        <v>176</v>
      </c>
      <c r="E83" s="2152" t="s">
        <v>669</v>
      </c>
      <c r="F83" s="2152" t="s">
        <v>670</v>
      </c>
      <c r="G83" s="2153" t="s">
        <v>923</v>
      </c>
      <c r="H83" s="2154" t="s">
        <v>924</v>
      </c>
      <c r="I83" s="2147"/>
    </row>
    <row r="84" spans="1:9" ht="14.25" thickTop="1" thickBot="1" x14ac:dyDescent="0.25">
      <c r="A84" s="2155">
        <v>1</v>
      </c>
      <c r="B84" s="2156">
        <v>2</v>
      </c>
      <c r="C84" s="2156">
        <v>3</v>
      </c>
      <c r="D84" s="2156">
        <v>5</v>
      </c>
      <c r="E84" s="2157">
        <v>6</v>
      </c>
      <c r="F84" s="2157">
        <v>7</v>
      </c>
      <c r="G84" s="2158">
        <v>8</v>
      </c>
      <c r="H84" s="2174" t="s">
        <v>801</v>
      </c>
      <c r="I84" s="2147"/>
    </row>
    <row r="85" spans="1:9" ht="30.75" thickTop="1" x14ac:dyDescent="0.2">
      <c r="A85" s="2165">
        <v>3299</v>
      </c>
      <c r="B85" s="2166">
        <v>5336</v>
      </c>
      <c r="C85" s="2166">
        <v>32133030</v>
      </c>
      <c r="D85" s="2167" t="s">
        <v>1325</v>
      </c>
      <c r="E85" s="2163">
        <v>0</v>
      </c>
      <c r="F85" s="2163">
        <v>200</v>
      </c>
      <c r="G85" s="2175">
        <v>200</v>
      </c>
      <c r="H85" s="2164">
        <f>G85/F85*100</f>
        <v>100</v>
      </c>
      <c r="I85" s="2147"/>
    </row>
    <row r="86" spans="1:9" ht="30" x14ac:dyDescent="0.2">
      <c r="A86" s="2165">
        <v>3299</v>
      </c>
      <c r="B86" s="2166">
        <v>5336</v>
      </c>
      <c r="C86" s="2166">
        <v>32533030</v>
      </c>
      <c r="D86" s="2167" t="s">
        <v>1325</v>
      </c>
      <c r="E86" s="2168">
        <v>0</v>
      </c>
      <c r="F86" s="2168">
        <v>1132</v>
      </c>
      <c r="G86" s="2176">
        <v>1132</v>
      </c>
      <c r="H86" s="2169">
        <f>G86/F86*100</f>
        <v>100</v>
      </c>
      <c r="I86" s="2147"/>
    </row>
    <row r="87" spans="1:9" ht="30" x14ac:dyDescent="0.2">
      <c r="A87" s="2165">
        <v>3299</v>
      </c>
      <c r="B87" s="2166">
        <v>6351</v>
      </c>
      <c r="C87" s="2166">
        <v>32133006</v>
      </c>
      <c r="D87" s="2167" t="s">
        <v>1339</v>
      </c>
      <c r="E87" s="2168">
        <v>0</v>
      </c>
      <c r="F87" s="2168">
        <v>28</v>
      </c>
      <c r="G87" s="2176">
        <v>28</v>
      </c>
      <c r="H87" s="2169">
        <f>G87/F87*100</f>
        <v>100</v>
      </c>
      <c r="I87" s="2147"/>
    </row>
    <row r="88" spans="1:9" ht="30.75" thickBot="1" x14ac:dyDescent="0.25">
      <c r="A88" s="2165">
        <v>3299</v>
      </c>
      <c r="B88" s="2166">
        <v>6351</v>
      </c>
      <c r="C88" s="2166">
        <v>32533006</v>
      </c>
      <c r="D88" s="2167" t="s">
        <v>1339</v>
      </c>
      <c r="E88" s="2168">
        <v>0</v>
      </c>
      <c r="F88" s="2168">
        <v>161</v>
      </c>
      <c r="G88" s="2176">
        <v>161</v>
      </c>
      <c r="H88" s="2169">
        <f>G88/F88*100</f>
        <v>100</v>
      </c>
      <c r="I88" s="2147"/>
    </row>
    <row r="89" spans="1:9" ht="16.5" thickTop="1" thickBot="1" x14ac:dyDescent="0.3">
      <c r="A89" s="2177" t="s">
        <v>802</v>
      </c>
      <c r="B89" s="2178"/>
      <c r="C89" s="2178"/>
      <c r="D89" s="2179"/>
      <c r="E89" s="2172">
        <f>SUM(E85:E88)</f>
        <v>0</v>
      </c>
      <c r="F89" s="2172">
        <f>SUM(F85:F88)</f>
        <v>1521</v>
      </c>
      <c r="G89" s="2172">
        <f>SUM(G85:G88)</f>
        <v>1521</v>
      </c>
      <c r="H89" s="2173">
        <f>G89/F89*100</f>
        <v>100</v>
      </c>
      <c r="I89" s="2147"/>
    </row>
    <row r="90" spans="1:9" ht="15.75" thickTop="1" x14ac:dyDescent="0.25">
      <c r="A90" s="2357"/>
      <c r="B90" s="2357"/>
      <c r="C90" s="2357"/>
      <c r="D90" s="2357"/>
      <c r="E90" s="2213"/>
      <c r="F90" s="2213"/>
      <c r="G90" s="2213"/>
      <c r="H90" s="2214"/>
      <c r="I90" s="2147"/>
    </row>
    <row r="91" spans="1:9" ht="15" x14ac:dyDescent="0.25">
      <c r="A91" s="2132" t="s">
        <v>1667</v>
      </c>
      <c r="B91" s="2146"/>
      <c r="C91" s="2146"/>
      <c r="D91" s="2146"/>
      <c r="F91" s="2147"/>
      <c r="G91" s="2147"/>
      <c r="H91" s="2147"/>
      <c r="I91" s="2147"/>
    </row>
    <row r="92" spans="1:9" ht="15.75" thickBot="1" x14ac:dyDescent="0.3">
      <c r="A92" s="2132" t="s">
        <v>1332</v>
      </c>
      <c r="B92" s="2146"/>
      <c r="C92" s="2146"/>
      <c r="D92" s="2146"/>
      <c r="F92" s="2147"/>
      <c r="G92" s="2147"/>
      <c r="H92" s="2148" t="s">
        <v>173</v>
      </c>
      <c r="I92" s="2147"/>
    </row>
    <row r="93" spans="1:9" ht="25.5" thickTop="1" thickBot="1" x14ac:dyDescent="0.25">
      <c r="A93" s="2149" t="s">
        <v>174</v>
      </c>
      <c r="B93" s="2150" t="s">
        <v>800</v>
      </c>
      <c r="C93" s="2150" t="s">
        <v>397</v>
      </c>
      <c r="D93" s="2151" t="s">
        <v>176</v>
      </c>
      <c r="E93" s="2152" t="s">
        <v>669</v>
      </c>
      <c r="F93" s="2152" t="s">
        <v>670</v>
      </c>
      <c r="G93" s="2153" t="s">
        <v>923</v>
      </c>
      <c r="H93" s="2154" t="s">
        <v>924</v>
      </c>
      <c r="I93" s="2147"/>
    </row>
    <row r="94" spans="1:9" ht="14.25" thickTop="1" thickBot="1" x14ac:dyDescent="0.25">
      <c r="A94" s="2155">
        <v>1</v>
      </c>
      <c r="B94" s="2156">
        <v>2</v>
      </c>
      <c r="C94" s="2156">
        <v>3</v>
      </c>
      <c r="D94" s="2156">
        <v>5</v>
      </c>
      <c r="E94" s="2157">
        <v>6</v>
      </c>
      <c r="F94" s="2157">
        <v>7</v>
      </c>
      <c r="G94" s="2158">
        <v>8</v>
      </c>
      <c r="H94" s="2174" t="s">
        <v>801</v>
      </c>
      <c r="I94" s="2147"/>
    </row>
    <row r="95" spans="1:9" ht="30.75" thickTop="1" x14ac:dyDescent="0.2">
      <c r="A95" s="2165">
        <v>3299</v>
      </c>
      <c r="B95" s="2166">
        <v>5336</v>
      </c>
      <c r="C95" s="2166">
        <v>32133030</v>
      </c>
      <c r="D95" s="2167" t="s">
        <v>1325</v>
      </c>
      <c r="E95" s="2163">
        <v>0</v>
      </c>
      <c r="F95" s="2163">
        <v>70</v>
      </c>
      <c r="G95" s="2175">
        <v>70</v>
      </c>
      <c r="H95" s="2164">
        <f>G95/F95*100</f>
        <v>100</v>
      </c>
      <c r="I95" s="2147"/>
    </row>
    <row r="96" spans="1:9" ht="30.75" thickBot="1" x14ac:dyDescent="0.25">
      <c r="A96" s="2165">
        <v>3299</v>
      </c>
      <c r="B96" s="2166">
        <v>5336</v>
      </c>
      <c r="C96" s="2166">
        <v>32533030</v>
      </c>
      <c r="D96" s="2167" t="s">
        <v>1325</v>
      </c>
      <c r="E96" s="2168">
        <v>0</v>
      </c>
      <c r="F96" s="2168">
        <v>398</v>
      </c>
      <c r="G96" s="2176">
        <v>397</v>
      </c>
      <c r="H96" s="2169">
        <f>G96/F96*100</f>
        <v>99.748743718592976</v>
      </c>
      <c r="I96" s="2147"/>
    </row>
    <row r="97" spans="1:9" ht="30.75" hidden="1" thickBot="1" x14ac:dyDescent="0.25">
      <c r="A97" s="2165">
        <v>3299</v>
      </c>
      <c r="B97" s="2166">
        <v>6351</v>
      </c>
      <c r="C97" s="2166">
        <v>32133006</v>
      </c>
      <c r="D97" s="2167" t="s">
        <v>1339</v>
      </c>
      <c r="E97" s="2168">
        <v>0</v>
      </c>
      <c r="F97" s="2168">
        <v>0</v>
      </c>
      <c r="G97" s="2176">
        <v>0</v>
      </c>
      <c r="H97" s="2169" t="e">
        <f>G97/F97*100</f>
        <v>#DIV/0!</v>
      </c>
      <c r="I97" s="2147"/>
    </row>
    <row r="98" spans="1:9" ht="30.75" hidden="1" thickBot="1" x14ac:dyDescent="0.25">
      <c r="A98" s="2165">
        <v>3299</v>
      </c>
      <c r="B98" s="2166">
        <v>6351</v>
      </c>
      <c r="C98" s="2166">
        <v>32533006</v>
      </c>
      <c r="D98" s="2167" t="s">
        <v>1339</v>
      </c>
      <c r="E98" s="2168">
        <v>0</v>
      </c>
      <c r="F98" s="2168">
        <v>0</v>
      </c>
      <c r="G98" s="2176">
        <v>0</v>
      </c>
      <c r="H98" s="2169" t="e">
        <f>G98/F98*100</f>
        <v>#DIV/0!</v>
      </c>
      <c r="I98" s="2147"/>
    </row>
    <row r="99" spans="1:9" ht="16.5" thickTop="1" thickBot="1" x14ac:dyDescent="0.3">
      <c r="A99" s="2177" t="s">
        <v>802</v>
      </c>
      <c r="B99" s="2178"/>
      <c r="C99" s="2178"/>
      <c r="D99" s="2179"/>
      <c r="E99" s="2172">
        <f>SUM(E95:E98)</f>
        <v>0</v>
      </c>
      <c r="F99" s="2172">
        <f>SUM(F95:F98)</f>
        <v>468</v>
      </c>
      <c r="G99" s="2172">
        <f>SUM(G95:G98)</f>
        <v>467</v>
      </c>
      <c r="H99" s="2173">
        <f>G99/F99*100</f>
        <v>99.786324786324784</v>
      </c>
      <c r="I99" s="2147"/>
    </row>
    <row r="100" spans="1:9" ht="13.5" thickTop="1" x14ac:dyDescent="0.2">
      <c r="A100" s="2146"/>
      <c r="B100" s="2146"/>
      <c r="C100" s="2146"/>
      <c r="E100" s="2147"/>
      <c r="F100" s="2147"/>
      <c r="G100" s="2147"/>
      <c r="I100" s="2147"/>
    </row>
    <row r="101" spans="1:9" ht="15" x14ac:dyDescent="0.25">
      <c r="A101" s="2132" t="s">
        <v>1055</v>
      </c>
      <c r="B101" s="2146"/>
      <c r="C101" s="2146"/>
      <c r="D101" s="2146"/>
      <c r="F101" s="2147"/>
      <c r="G101" s="2147"/>
      <c r="H101" s="2147"/>
      <c r="I101" s="2147"/>
    </row>
    <row r="102" spans="1:9" ht="15.75" thickBot="1" x14ac:dyDescent="0.3">
      <c r="A102" s="2132" t="s">
        <v>1334</v>
      </c>
      <c r="B102" s="2146"/>
      <c r="C102" s="2146"/>
      <c r="D102" s="2146"/>
      <c r="F102" s="2147"/>
      <c r="G102" s="2147"/>
      <c r="H102" s="2148" t="s">
        <v>173</v>
      </c>
      <c r="I102" s="2147"/>
    </row>
    <row r="103" spans="1:9" ht="25.5" thickTop="1" thickBot="1" x14ac:dyDescent="0.25">
      <c r="A103" s="2149" t="s">
        <v>174</v>
      </c>
      <c r="B103" s="2150" t="s">
        <v>800</v>
      </c>
      <c r="C103" s="2150" t="s">
        <v>397</v>
      </c>
      <c r="D103" s="2151" t="s">
        <v>176</v>
      </c>
      <c r="E103" s="2152" t="s">
        <v>669</v>
      </c>
      <c r="F103" s="2152" t="s">
        <v>670</v>
      </c>
      <c r="G103" s="2153" t="s">
        <v>923</v>
      </c>
      <c r="H103" s="2154" t="s">
        <v>924</v>
      </c>
      <c r="I103" s="2147"/>
    </row>
    <row r="104" spans="1:9" ht="14.25" thickTop="1" thickBot="1" x14ac:dyDescent="0.25">
      <c r="A104" s="2155">
        <v>1</v>
      </c>
      <c r="B104" s="2156">
        <v>2</v>
      </c>
      <c r="C104" s="2156">
        <v>3</v>
      </c>
      <c r="D104" s="2156">
        <v>5</v>
      </c>
      <c r="E104" s="2157">
        <v>6</v>
      </c>
      <c r="F104" s="2157">
        <v>7</v>
      </c>
      <c r="G104" s="2158">
        <v>8</v>
      </c>
      <c r="H104" s="2174" t="s">
        <v>801</v>
      </c>
      <c r="I104" s="2147"/>
    </row>
    <row r="105" spans="1:9" ht="30.75" thickTop="1" x14ac:dyDescent="0.2">
      <c r="A105" s="2165">
        <v>3299</v>
      </c>
      <c r="B105" s="2166">
        <v>5336</v>
      </c>
      <c r="C105" s="2166">
        <v>32133030</v>
      </c>
      <c r="D105" s="2167" t="s">
        <v>1325</v>
      </c>
      <c r="E105" s="2163">
        <v>0</v>
      </c>
      <c r="F105" s="2163">
        <v>667</v>
      </c>
      <c r="G105" s="2175">
        <v>667</v>
      </c>
      <c r="H105" s="2164">
        <f>G105/F105*100</f>
        <v>100</v>
      </c>
      <c r="I105" s="2147"/>
    </row>
    <row r="106" spans="1:9" ht="30.75" thickBot="1" x14ac:dyDescent="0.25">
      <c r="A106" s="2165">
        <v>3299</v>
      </c>
      <c r="B106" s="2166">
        <v>5336</v>
      </c>
      <c r="C106" s="2166">
        <v>32533030</v>
      </c>
      <c r="D106" s="2167" t="s">
        <v>1325</v>
      </c>
      <c r="E106" s="2168">
        <v>0</v>
      </c>
      <c r="F106" s="2168">
        <v>3778</v>
      </c>
      <c r="G106" s="2176">
        <v>3778</v>
      </c>
      <c r="H106" s="2169">
        <f>G106/F106*100</f>
        <v>100</v>
      </c>
      <c r="I106" s="2147"/>
    </row>
    <row r="107" spans="1:9" ht="30.75" hidden="1" thickBot="1" x14ac:dyDescent="0.25">
      <c r="A107" s="2165">
        <v>3299</v>
      </c>
      <c r="B107" s="2166">
        <v>6351</v>
      </c>
      <c r="C107" s="2166">
        <v>32133006</v>
      </c>
      <c r="D107" s="2167" t="s">
        <v>1339</v>
      </c>
      <c r="E107" s="2168">
        <v>0</v>
      </c>
      <c r="F107" s="2168">
        <v>0</v>
      </c>
      <c r="G107" s="2176">
        <v>0</v>
      </c>
      <c r="H107" s="2169" t="e">
        <f>G107/F107*100</f>
        <v>#DIV/0!</v>
      </c>
      <c r="I107" s="2147"/>
    </row>
    <row r="108" spans="1:9" ht="30.75" hidden="1" thickBot="1" x14ac:dyDescent="0.25">
      <c r="A108" s="2165">
        <v>3299</v>
      </c>
      <c r="B108" s="2166">
        <v>6351</v>
      </c>
      <c r="C108" s="2166">
        <v>32533006</v>
      </c>
      <c r="D108" s="2167" t="s">
        <v>1339</v>
      </c>
      <c r="E108" s="2168">
        <v>0</v>
      </c>
      <c r="F108" s="2168">
        <v>0</v>
      </c>
      <c r="G108" s="2176">
        <v>0</v>
      </c>
      <c r="H108" s="2169" t="e">
        <f>G108/F108*100</f>
        <v>#DIV/0!</v>
      </c>
      <c r="I108" s="2147"/>
    </row>
    <row r="109" spans="1:9" ht="16.5" thickTop="1" thickBot="1" x14ac:dyDescent="0.3">
      <c r="A109" s="2177" t="s">
        <v>802</v>
      </c>
      <c r="B109" s="2178"/>
      <c r="C109" s="2178"/>
      <c r="D109" s="2179"/>
      <c r="E109" s="2172">
        <f>SUM(E105:E108)</f>
        <v>0</v>
      </c>
      <c r="F109" s="2172">
        <f>SUM(F105:F108)</f>
        <v>4445</v>
      </c>
      <c r="G109" s="2172">
        <f>SUM(G105:G108)</f>
        <v>4445</v>
      </c>
      <c r="H109" s="2173">
        <f>G109/F109*100</f>
        <v>100</v>
      </c>
      <c r="I109" s="2147"/>
    </row>
    <row r="110" spans="1:9" ht="13.5" thickTop="1" x14ac:dyDescent="0.2">
      <c r="A110" s="2146"/>
      <c r="B110" s="2146"/>
      <c r="C110" s="2146"/>
      <c r="E110" s="2147"/>
      <c r="F110" s="2147"/>
      <c r="G110" s="2147"/>
      <c r="I110" s="2147"/>
    </row>
    <row r="111" spans="1:9" ht="15" x14ac:dyDescent="0.25">
      <c r="A111" s="2132" t="s">
        <v>1747</v>
      </c>
      <c r="B111" s="2146"/>
      <c r="C111" s="2146"/>
      <c r="D111" s="2146"/>
      <c r="F111" s="2147"/>
      <c r="G111" s="2147"/>
      <c r="H111" s="2147"/>
      <c r="I111" s="2147"/>
    </row>
    <row r="112" spans="1:9" ht="15.75" thickBot="1" x14ac:dyDescent="0.3">
      <c r="A112" s="2132" t="s">
        <v>1039</v>
      </c>
      <c r="B112" s="2146"/>
      <c r="C112" s="2146"/>
      <c r="D112" s="2146"/>
      <c r="F112" s="2147"/>
      <c r="G112" s="2147"/>
      <c r="H112" s="2148" t="s">
        <v>173</v>
      </c>
      <c r="I112" s="2147"/>
    </row>
    <row r="113" spans="1:9" ht="25.5" thickTop="1" thickBot="1" x14ac:dyDescent="0.25">
      <c r="A113" s="2149" t="s">
        <v>174</v>
      </c>
      <c r="B113" s="2150" t="s">
        <v>800</v>
      </c>
      <c r="C113" s="2150" t="s">
        <v>397</v>
      </c>
      <c r="D113" s="2151" t="s">
        <v>176</v>
      </c>
      <c r="E113" s="2152" t="s">
        <v>669</v>
      </c>
      <c r="F113" s="2152" t="s">
        <v>670</v>
      </c>
      <c r="G113" s="2153" t="s">
        <v>923</v>
      </c>
      <c r="H113" s="2154" t="s">
        <v>924</v>
      </c>
      <c r="I113" s="2147"/>
    </row>
    <row r="114" spans="1:9" ht="14.25" thickTop="1" thickBot="1" x14ac:dyDescent="0.25">
      <c r="A114" s="2155">
        <v>1</v>
      </c>
      <c r="B114" s="2156">
        <v>2</v>
      </c>
      <c r="C114" s="2156">
        <v>3</v>
      </c>
      <c r="D114" s="2156">
        <v>5</v>
      </c>
      <c r="E114" s="2157">
        <v>6</v>
      </c>
      <c r="F114" s="2157">
        <v>7</v>
      </c>
      <c r="G114" s="2158">
        <v>8</v>
      </c>
      <c r="H114" s="2174" t="s">
        <v>801</v>
      </c>
      <c r="I114" s="2147"/>
    </row>
    <row r="115" spans="1:9" ht="30.75" thickTop="1" x14ac:dyDescent="0.2">
      <c r="A115" s="2165">
        <v>3299</v>
      </c>
      <c r="B115" s="2166">
        <v>5336</v>
      </c>
      <c r="C115" s="2166">
        <v>32133030</v>
      </c>
      <c r="D115" s="2167" t="s">
        <v>1325</v>
      </c>
      <c r="E115" s="2163">
        <v>0</v>
      </c>
      <c r="F115" s="2163">
        <v>387</v>
      </c>
      <c r="G115" s="2175">
        <v>262</v>
      </c>
      <c r="H115" s="2164">
        <f>G115/F115*100</f>
        <v>67.700258397932828</v>
      </c>
      <c r="I115" s="2147"/>
    </row>
    <row r="116" spans="1:9" ht="30" x14ac:dyDescent="0.2">
      <c r="A116" s="2165">
        <v>3299</v>
      </c>
      <c r="B116" s="2166">
        <v>5336</v>
      </c>
      <c r="C116" s="2166">
        <v>32533030</v>
      </c>
      <c r="D116" s="2167" t="s">
        <v>1325</v>
      </c>
      <c r="E116" s="2168">
        <v>0</v>
      </c>
      <c r="F116" s="2168">
        <v>2193</v>
      </c>
      <c r="G116" s="2176">
        <v>1487</v>
      </c>
      <c r="H116" s="2169">
        <f>G116/F116*100</f>
        <v>67.806657546739629</v>
      </c>
      <c r="I116" s="2147"/>
    </row>
    <row r="117" spans="1:9" ht="30" x14ac:dyDescent="0.2">
      <c r="A117" s="2165">
        <v>3299</v>
      </c>
      <c r="B117" s="2166">
        <v>6351</v>
      </c>
      <c r="C117" s="2166">
        <v>32133926</v>
      </c>
      <c r="D117" s="2167" t="s">
        <v>1339</v>
      </c>
      <c r="E117" s="2168">
        <v>0</v>
      </c>
      <c r="F117" s="2168">
        <v>7</v>
      </c>
      <c r="G117" s="2176">
        <v>7</v>
      </c>
      <c r="H117" s="2169">
        <f>G117/F117*100</f>
        <v>100</v>
      </c>
      <c r="I117" s="2147"/>
    </row>
    <row r="118" spans="1:9" ht="30.75" thickBot="1" x14ac:dyDescent="0.25">
      <c r="A118" s="2165">
        <v>3299</v>
      </c>
      <c r="B118" s="2166">
        <v>6351</v>
      </c>
      <c r="C118" s="2166">
        <v>32533926</v>
      </c>
      <c r="D118" s="2167" t="s">
        <v>1339</v>
      </c>
      <c r="E118" s="2168">
        <v>0</v>
      </c>
      <c r="F118" s="2168">
        <v>43</v>
      </c>
      <c r="G118" s="2176">
        <v>43</v>
      </c>
      <c r="H118" s="2169">
        <f>G118/F118*100</f>
        <v>100</v>
      </c>
      <c r="I118" s="2147"/>
    </row>
    <row r="119" spans="1:9" ht="16.5" thickTop="1" thickBot="1" x14ac:dyDescent="0.3">
      <c r="A119" s="2177" t="s">
        <v>802</v>
      </c>
      <c r="B119" s="2178"/>
      <c r="C119" s="2178"/>
      <c r="D119" s="2179"/>
      <c r="E119" s="2172">
        <f>SUM(E115:E118)</f>
        <v>0</v>
      </c>
      <c r="F119" s="2172">
        <f>SUM(F115:F118)</f>
        <v>2630</v>
      </c>
      <c r="G119" s="2172">
        <f>SUM(G115:G118)</f>
        <v>1799</v>
      </c>
      <c r="H119" s="2173">
        <f>G119/F119*100</f>
        <v>68.403041825095059</v>
      </c>
      <c r="I119" s="2147"/>
    </row>
    <row r="120" spans="1:9" ht="13.5" thickTop="1" x14ac:dyDescent="0.2"/>
    <row r="121" spans="1:9" ht="15" x14ac:dyDescent="0.25">
      <c r="A121" s="2132" t="s">
        <v>1668</v>
      </c>
      <c r="B121" s="2146"/>
      <c r="C121" s="2146"/>
      <c r="D121" s="2146"/>
      <c r="F121" s="2147"/>
      <c r="G121" s="2147"/>
      <c r="H121" s="2147"/>
      <c r="I121" s="2147"/>
    </row>
    <row r="122" spans="1:9" ht="15.75" thickBot="1" x14ac:dyDescent="0.3">
      <c r="A122" s="2132" t="s">
        <v>590</v>
      </c>
      <c r="B122" s="2146"/>
      <c r="C122" s="2146"/>
      <c r="D122" s="2146"/>
      <c r="F122" s="2147"/>
      <c r="G122" s="2147"/>
      <c r="H122" s="2148" t="s">
        <v>173</v>
      </c>
      <c r="I122" s="2147"/>
    </row>
    <row r="123" spans="1:9" ht="25.5" thickTop="1" thickBot="1" x14ac:dyDescent="0.25">
      <c r="A123" s="2149" t="s">
        <v>174</v>
      </c>
      <c r="B123" s="2150" t="s">
        <v>800</v>
      </c>
      <c r="C123" s="2150" t="s">
        <v>397</v>
      </c>
      <c r="D123" s="2151" t="s">
        <v>176</v>
      </c>
      <c r="E123" s="2152" t="s">
        <v>669</v>
      </c>
      <c r="F123" s="2152" t="s">
        <v>670</v>
      </c>
      <c r="G123" s="2153" t="s">
        <v>923</v>
      </c>
      <c r="H123" s="2154" t="s">
        <v>924</v>
      </c>
      <c r="I123" s="2147"/>
    </row>
    <row r="124" spans="1:9" ht="14.25" thickTop="1" thickBot="1" x14ac:dyDescent="0.25">
      <c r="A124" s="2155">
        <v>1</v>
      </c>
      <c r="B124" s="2156">
        <v>2</v>
      </c>
      <c r="C124" s="2156">
        <v>3</v>
      </c>
      <c r="D124" s="2156">
        <v>5</v>
      </c>
      <c r="E124" s="2157">
        <v>6</v>
      </c>
      <c r="F124" s="2157">
        <v>7</v>
      </c>
      <c r="G124" s="2158">
        <v>8</v>
      </c>
      <c r="H124" s="2174" t="s">
        <v>801</v>
      </c>
      <c r="I124" s="2147"/>
    </row>
    <row r="125" spans="1:9" ht="30.75" thickTop="1" x14ac:dyDescent="0.2">
      <c r="A125" s="2165">
        <v>3299</v>
      </c>
      <c r="B125" s="2166">
        <v>5336</v>
      </c>
      <c r="C125" s="2166">
        <v>32133030</v>
      </c>
      <c r="D125" s="2167" t="s">
        <v>1325</v>
      </c>
      <c r="E125" s="2163">
        <v>0</v>
      </c>
      <c r="F125" s="2163">
        <v>295</v>
      </c>
      <c r="G125" s="2175">
        <v>228</v>
      </c>
      <c r="H125" s="2164">
        <f>G125/F125*100</f>
        <v>77.288135593220346</v>
      </c>
      <c r="I125" s="2147"/>
    </row>
    <row r="126" spans="1:9" ht="30" x14ac:dyDescent="0.2">
      <c r="A126" s="2165">
        <v>3299</v>
      </c>
      <c r="B126" s="2166">
        <v>5336</v>
      </c>
      <c r="C126" s="2166">
        <v>32533030</v>
      </c>
      <c r="D126" s="2167" t="s">
        <v>1325</v>
      </c>
      <c r="E126" s="2168">
        <v>0</v>
      </c>
      <c r="F126" s="2168">
        <v>1675</v>
      </c>
      <c r="G126" s="2176">
        <v>1290</v>
      </c>
      <c r="H126" s="2169">
        <f>G126/F126*100</f>
        <v>77.014925373134318</v>
      </c>
      <c r="I126" s="2147"/>
    </row>
    <row r="127" spans="1:9" ht="30" x14ac:dyDescent="0.2">
      <c r="A127" s="2165">
        <v>3299</v>
      </c>
      <c r="B127" s="2166">
        <v>6351</v>
      </c>
      <c r="C127" s="2166">
        <v>32133006</v>
      </c>
      <c r="D127" s="2167" t="s">
        <v>1339</v>
      </c>
      <c r="E127" s="2168">
        <v>0</v>
      </c>
      <c r="F127" s="2168">
        <v>39</v>
      </c>
      <c r="G127" s="2176">
        <v>12</v>
      </c>
      <c r="H127" s="2169">
        <f>G127/F127*100</f>
        <v>30.76923076923077</v>
      </c>
      <c r="I127" s="2147"/>
    </row>
    <row r="128" spans="1:9" ht="30.75" thickBot="1" x14ac:dyDescent="0.25">
      <c r="A128" s="2165">
        <v>3299</v>
      </c>
      <c r="B128" s="2166">
        <v>6351</v>
      </c>
      <c r="C128" s="2166">
        <v>32533006</v>
      </c>
      <c r="D128" s="2167" t="s">
        <v>1339</v>
      </c>
      <c r="E128" s="2168">
        <v>0</v>
      </c>
      <c r="F128" s="2168">
        <v>221</v>
      </c>
      <c r="G128" s="2176">
        <v>68</v>
      </c>
      <c r="H128" s="2169">
        <f>G128/F128*100</f>
        <v>30.76923076923077</v>
      </c>
      <c r="I128" s="2147"/>
    </row>
    <row r="129" spans="1:9" ht="16.5" thickTop="1" thickBot="1" x14ac:dyDescent="0.3">
      <c r="A129" s="2177" t="s">
        <v>802</v>
      </c>
      <c r="B129" s="2178"/>
      <c r="C129" s="2178"/>
      <c r="D129" s="2179"/>
      <c r="E129" s="2172">
        <f>SUM(E125:E128)</f>
        <v>0</v>
      </c>
      <c r="F129" s="2172">
        <f>SUM(F125:F128)</f>
        <v>2230</v>
      </c>
      <c r="G129" s="2172">
        <f>SUM(G125:G128)</f>
        <v>1598</v>
      </c>
      <c r="H129" s="2173">
        <f>G129/F129*100</f>
        <v>71.6591928251121</v>
      </c>
      <c r="I129" s="2147"/>
    </row>
    <row r="130" spans="1:9" ht="13.5" thickTop="1" x14ac:dyDescent="0.2"/>
    <row r="131" spans="1:9" ht="15" x14ac:dyDescent="0.25">
      <c r="A131" s="2132" t="s">
        <v>1268</v>
      </c>
      <c r="B131" s="2146"/>
      <c r="C131" s="2146"/>
      <c r="D131" s="2146"/>
      <c r="F131" s="2147"/>
      <c r="G131" s="2147"/>
      <c r="H131" s="2147"/>
      <c r="I131" s="2147"/>
    </row>
    <row r="132" spans="1:9" ht="15.75" thickBot="1" x14ac:dyDescent="0.3">
      <c r="A132" s="2132" t="s">
        <v>202</v>
      </c>
      <c r="B132" s="2146"/>
      <c r="C132" s="2146"/>
      <c r="D132" s="2146"/>
      <c r="F132" s="2147"/>
      <c r="G132" s="2147"/>
      <c r="H132" s="2148" t="s">
        <v>173</v>
      </c>
      <c r="I132" s="2147"/>
    </row>
    <row r="133" spans="1:9" ht="25.5" thickTop="1" thickBot="1" x14ac:dyDescent="0.25">
      <c r="A133" s="2149" t="s">
        <v>174</v>
      </c>
      <c r="B133" s="2150" t="s">
        <v>800</v>
      </c>
      <c r="C133" s="2150" t="s">
        <v>397</v>
      </c>
      <c r="D133" s="2151" t="s">
        <v>176</v>
      </c>
      <c r="E133" s="2152" t="s">
        <v>669</v>
      </c>
      <c r="F133" s="2152" t="s">
        <v>670</v>
      </c>
      <c r="G133" s="2153" t="s">
        <v>923</v>
      </c>
      <c r="H133" s="2154" t="s">
        <v>924</v>
      </c>
      <c r="I133" s="2147"/>
    </row>
    <row r="134" spans="1:9" ht="14.25" thickTop="1" thickBot="1" x14ac:dyDescent="0.25">
      <c r="A134" s="2155">
        <v>1</v>
      </c>
      <c r="B134" s="2156">
        <v>2</v>
      </c>
      <c r="C134" s="2156">
        <v>3</v>
      </c>
      <c r="D134" s="2156">
        <v>5</v>
      </c>
      <c r="E134" s="2157">
        <v>6</v>
      </c>
      <c r="F134" s="2157">
        <v>7</v>
      </c>
      <c r="G134" s="2158">
        <v>8</v>
      </c>
      <c r="H134" s="2174" t="s">
        <v>801</v>
      </c>
      <c r="I134" s="2147"/>
    </row>
    <row r="135" spans="1:9" ht="30.75" thickTop="1" x14ac:dyDescent="0.2">
      <c r="A135" s="2165">
        <v>3299</v>
      </c>
      <c r="B135" s="2166">
        <v>5336</v>
      </c>
      <c r="C135" s="2166">
        <v>32133030</v>
      </c>
      <c r="D135" s="2167" t="s">
        <v>1325</v>
      </c>
      <c r="E135" s="2163">
        <v>0</v>
      </c>
      <c r="F135" s="2163">
        <v>138</v>
      </c>
      <c r="G135" s="2175">
        <v>137</v>
      </c>
      <c r="H135" s="2164">
        <f>G135/F135*100</f>
        <v>99.275362318840578</v>
      </c>
      <c r="I135" s="2147"/>
    </row>
    <row r="136" spans="1:9" ht="30.75" thickBot="1" x14ac:dyDescent="0.25">
      <c r="A136" s="2165">
        <v>3299</v>
      </c>
      <c r="B136" s="2166">
        <v>5336</v>
      </c>
      <c r="C136" s="2166">
        <v>32533030</v>
      </c>
      <c r="D136" s="2167" t="s">
        <v>1325</v>
      </c>
      <c r="E136" s="2168">
        <v>0</v>
      </c>
      <c r="F136" s="2168">
        <v>782</v>
      </c>
      <c r="G136" s="2176">
        <v>776</v>
      </c>
      <c r="H136" s="2169">
        <f>G136/F136*100</f>
        <v>99.232736572890019</v>
      </c>
      <c r="I136" s="2147"/>
    </row>
    <row r="137" spans="1:9" ht="30.75" hidden="1" thickBot="1" x14ac:dyDescent="0.25">
      <c r="A137" s="2165">
        <v>3299</v>
      </c>
      <c r="B137" s="2166">
        <v>6351</v>
      </c>
      <c r="C137" s="2166">
        <v>32133926</v>
      </c>
      <c r="D137" s="2167" t="s">
        <v>1339</v>
      </c>
      <c r="E137" s="2168">
        <v>0</v>
      </c>
      <c r="F137" s="2168"/>
      <c r="G137" s="2176"/>
      <c r="H137" s="2169" t="e">
        <f>G137/F137*100</f>
        <v>#DIV/0!</v>
      </c>
      <c r="I137" s="2147"/>
    </row>
    <row r="138" spans="1:9" ht="30.75" hidden="1" thickBot="1" x14ac:dyDescent="0.25">
      <c r="A138" s="2165">
        <v>3299</v>
      </c>
      <c r="B138" s="2166">
        <v>6351</v>
      </c>
      <c r="C138" s="2166">
        <v>32533926</v>
      </c>
      <c r="D138" s="2167" t="s">
        <v>1339</v>
      </c>
      <c r="E138" s="2168">
        <v>0</v>
      </c>
      <c r="F138" s="2168"/>
      <c r="G138" s="2176"/>
      <c r="H138" s="2169" t="e">
        <f>G138/F138*100</f>
        <v>#DIV/0!</v>
      </c>
      <c r="I138" s="2147"/>
    </row>
    <row r="139" spans="1:9" ht="16.5" thickTop="1" thickBot="1" x14ac:dyDescent="0.3">
      <c r="A139" s="2177" t="s">
        <v>802</v>
      </c>
      <c r="B139" s="2178"/>
      <c r="C139" s="2178"/>
      <c r="D139" s="2179"/>
      <c r="E139" s="2172">
        <f>SUM(E135:E138)</f>
        <v>0</v>
      </c>
      <c r="F139" s="2172">
        <f>SUM(F135:F138)</f>
        <v>920</v>
      </c>
      <c r="G139" s="2172">
        <f>SUM(G135:G138)</f>
        <v>913</v>
      </c>
      <c r="H139" s="2173">
        <f>G139/F139*100</f>
        <v>99.239130434782609</v>
      </c>
      <c r="I139" s="2147"/>
    </row>
    <row r="140" spans="1:9" ht="13.5" thickTop="1" x14ac:dyDescent="0.2"/>
    <row r="141" spans="1:9" ht="15" x14ac:dyDescent="0.25">
      <c r="A141" s="2132" t="s">
        <v>52</v>
      </c>
      <c r="B141" s="2146"/>
      <c r="C141" s="2146"/>
      <c r="D141" s="2146"/>
      <c r="F141" s="2147"/>
      <c r="G141" s="2147"/>
      <c r="H141" s="2147"/>
      <c r="I141" s="2147"/>
    </row>
    <row r="142" spans="1:9" ht="15.75" thickBot="1" x14ac:dyDescent="0.3">
      <c r="A142" s="2132" t="s">
        <v>591</v>
      </c>
      <c r="B142" s="2146"/>
      <c r="C142" s="2146"/>
      <c r="D142" s="2146"/>
      <c r="F142" s="2147"/>
      <c r="G142" s="2147"/>
      <c r="H142" s="2148" t="s">
        <v>173</v>
      </c>
      <c r="I142" s="2147"/>
    </row>
    <row r="143" spans="1:9" ht="25.5" thickTop="1" thickBot="1" x14ac:dyDescent="0.25">
      <c r="A143" s="2149" t="s">
        <v>174</v>
      </c>
      <c r="B143" s="2150" t="s">
        <v>800</v>
      </c>
      <c r="C143" s="2150" t="s">
        <v>397</v>
      </c>
      <c r="D143" s="2151" t="s">
        <v>176</v>
      </c>
      <c r="E143" s="2152" t="s">
        <v>669</v>
      </c>
      <c r="F143" s="2152" t="s">
        <v>670</v>
      </c>
      <c r="G143" s="2153" t="s">
        <v>923</v>
      </c>
      <c r="H143" s="2154" t="s">
        <v>924</v>
      </c>
      <c r="I143" s="2147"/>
    </row>
    <row r="144" spans="1:9" ht="14.25" thickTop="1" thickBot="1" x14ac:dyDescent="0.25">
      <c r="A144" s="2155">
        <v>1</v>
      </c>
      <c r="B144" s="2156">
        <v>2</v>
      </c>
      <c r="C144" s="2156">
        <v>3</v>
      </c>
      <c r="D144" s="2156">
        <v>5</v>
      </c>
      <c r="E144" s="2157">
        <v>6</v>
      </c>
      <c r="F144" s="2157">
        <v>7</v>
      </c>
      <c r="G144" s="2158">
        <v>8</v>
      </c>
      <c r="H144" s="2174" t="s">
        <v>801</v>
      </c>
      <c r="I144" s="2147"/>
    </row>
    <row r="145" spans="1:9" ht="30.75" thickTop="1" x14ac:dyDescent="0.2">
      <c r="A145" s="2165">
        <v>3299</v>
      </c>
      <c r="B145" s="2166">
        <v>5336</v>
      </c>
      <c r="C145" s="2166">
        <v>32133030</v>
      </c>
      <c r="D145" s="2167" t="s">
        <v>1325</v>
      </c>
      <c r="E145" s="2163">
        <v>0</v>
      </c>
      <c r="F145" s="2163">
        <v>292</v>
      </c>
      <c r="G145" s="2175">
        <v>292</v>
      </c>
      <c r="H145" s="2164">
        <f>G145/F145*100</f>
        <v>100</v>
      </c>
      <c r="I145" s="2147"/>
    </row>
    <row r="146" spans="1:9" ht="30.75" thickBot="1" x14ac:dyDescent="0.25">
      <c r="A146" s="2165">
        <v>3299</v>
      </c>
      <c r="B146" s="2166">
        <v>5336</v>
      </c>
      <c r="C146" s="2166">
        <v>32533030</v>
      </c>
      <c r="D146" s="2167" t="s">
        <v>1325</v>
      </c>
      <c r="E146" s="2168">
        <v>0</v>
      </c>
      <c r="F146" s="2168">
        <v>1652</v>
      </c>
      <c r="G146" s="2176">
        <v>1652</v>
      </c>
      <c r="H146" s="2169">
        <f>G146/F146*100</f>
        <v>100</v>
      </c>
      <c r="I146" s="2147"/>
    </row>
    <row r="147" spans="1:9" ht="30.75" hidden="1" thickBot="1" x14ac:dyDescent="0.25">
      <c r="A147" s="2165">
        <v>3299</v>
      </c>
      <c r="B147" s="2166">
        <v>6351</v>
      </c>
      <c r="C147" s="2166">
        <v>32133926</v>
      </c>
      <c r="D147" s="2167" t="s">
        <v>1339</v>
      </c>
      <c r="E147" s="2168">
        <v>0</v>
      </c>
      <c r="F147" s="2168">
        <v>0</v>
      </c>
      <c r="G147" s="2176">
        <v>0</v>
      </c>
      <c r="H147" s="2169" t="e">
        <f>G147/F147*100</f>
        <v>#DIV/0!</v>
      </c>
      <c r="I147" s="2147"/>
    </row>
    <row r="148" spans="1:9" ht="30.75" hidden="1" thickBot="1" x14ac:dyDescent="0.25">
      <c r="A148" s="2165">
        <v>3299</v>
      </c>
      <c r="B148" s="2166">
        <v>6351</v>
      </c>
      <c r="C148" s="2166">
        <v>32533926</v>
      </c>
      <c r="D148" s="2167" t="s">
        <v>1339</v>
      </c>
      <c r="E148" s="2168">
        <v>0</v>
      </c>
      <c r="F148" s="2168">
        <v>0</v>
      </c>
      <c r="G148" s="2176">
        <v>0</v>
      </c>
      <c r="H148" s="2169" t="e">
        <f>G148/F148*100</f>
        <v>#DIV/0!</v>
      </c>
      <c r="I148" s="2147"/>
    </row>
    <row r="149" spans="1:9" ht="16.5" thickTop="1" thickBot="1" x14ac:dyDescent="0.3">
      <c r="A149" s="2177" t="s">
        <v>802</v>
      </c>
      <c r="B149" s="2178"/>
      <c r="C149" s="2178"/>
      <c r="D149" s="2179"/>
      <c r="E149" s="2172">
        <f>SUM(E145:E148)</f>
        <v>0</v>
      </c>
      <c r="F149" s="2172">
        <f>SUM(F145:F148)</f>
        <v>1944</v>
      </c>
      <c r="G149" s="2172">
        <f>SUM(G145:G148)</f>
        <v>1944</v>
      </c>
      <c r="H149" s="2173">
        <f>G149/F149*100</f>
        <v>100</v>
      </c>
      <c r="I149" s="2147"/>
    </row>
    <row r="150" spans="1:9" ht="13.5" thickTop="1" x14ac:dyDescent="0.2"/>
    <row r="151" spans="1:9" ht="15" x14ac:dyDescent="0.25">
      <c r="A151" s="2132" t="s">
        <v>1738</v>
      </c>
      <c r="B151" s="2146"/>
      <c r="C151" s="2146"/>
      <c r="D151" s="2146"/>
      <c r="F151" s="2147"/>
      <c r="G151" s="2147"/>
      <c r="H151" s="2147"/>
      <c r="I151" s="2147"/>
    </row>
    <row r="152" spans="1:9" ht="15.75" thickBot="1" x14ac:dyDescent="0.3">
      <c r="A152" s="2132" t="s">
        <v>204</v>
      </c>
      <c r="B152" s="2146"/>
      <c r="C152" s="2146"/>
      <c r="D152" s="2146"/>
      <c r="F152" s="2147"/>
      <c r="G152" s="2147"/>
      <c r="H152" s="2148" t="s">
        <v>173</v>
      </c>
      <c r="I152" s="2147"/>
    </row>
    <row r="153" spans="1:9" ht="25.5" thickTop="1" thickBot="1" x14ac:dyDescent="0.25">
      <c r="A153" s="2149" t="s">
        <v>174</v>
      </c>
      <c r="B153" s="2150" t="s">
        <v>800</v>
      </c>
      <c r="C153" s="2150" t="s">
        <v>397</v>
      </c>
      <c r="D153" s="2151" t="s">
        <v>176</v>
      </c>
      <c r="E153" s="2152" t="s">
        <v>669</v>
      </c>
      <c r="F153" s="2152" t="s">
        <v>670</v>
      </c>
      <c r="G153" s="2153" t="s">
        <v>923</v>
      </c>
      <c r="H153" s="2154" t="s">
        <v>924</v>
      </c>
      <c r="I153" s="2147"/>
    </row>
    <row r="154" spans="1:9" ht="14.25" thickTop="1" thickBot="1" x14ac:dyDescent="0.25">
      <c r="A154" s="2155">
        <v>1</v>
      </c>
      <c r="B154" s="2156">
        <v>2</v>
      </c>
      <c r="C154" s="2156">
        <v>3</v>
      </c>
      <c r="D154" s="2156">
        <v>5</v>
      </c>
      <c r="E154" s="2157">
        <v>6</v>
      </c>
      <c r="F154" s="2157">
        <v>7</v>
      </c>
      <c r="G154" s="2158">
        <v>8</v>
      </c>
      <c r="H154" s="2174" t="s">
        <v>801</v>
      </c>
      <c r="I154" s="2147"/>
    </row>
    <row r="155" spans="1:9" ht="30.75" thickTop="1" x14ac:dyDescent="0.2">
      <c r="A155" s="2165">
        <v>3299</v>
      </c>
      <c r="B155" s="2166">
        <v>5336</v>
      </c>
      <c r="C155" s="2166">
        <v>32133030</v>
      </c>
      <c r="D155" s="2167" t="s">
        <v>1325</v>
      </c>
      <c r="E155" s="2163">
        <v>0</v>
      </c>
      <c r="F155" s="2163">
        <v>83</v>
      </c>
      <c r="G155" s="2175">
        <v>83</v>
      </c>
      <c r="H155" s="2164">
        <f>G155/F155*100</f>
        <v>100</v>
      </c>
      <c r="I155" s="2147"/>
    </row>
    <row r="156" spans="1:9" ht="30.75" thickBot="1" x14ac:dyDescent="0.25">
      <c r="A156" s="2165">
        <v>3299</v>
      </c>
      <c r="B156" s="2166">
        <v>5336</v>
      </c>
      <c r="C156" s="2166">
        <v>32533030</v>
      </c>
      <c r="D156" s="2167" t="s">
        <v>1325</v>
      </c>
      <c r="E156" s="2168">
        <v>0</v>
      </c>
      <c r="F156" s="2168">
        <v>468</v>
      </c>
      <c r="G156" s="2176">
        <v>468</v>
      </c>
      <c r="H156" s="2169">
        <f>G156/F156*100</f>
        <v>100</v>
      </c>
      <c r="I156" s="2147"/>
    </row>
    <row r="157" spans="1:9" ht="30.75" hidden="1" thickBot="1" x14ac:dyDescent="0.25">
      <c r="A157" s="2165">
        <v>3299</v>
      </c>
      <c r="B157" s="2166">
        <v>6351</v>
      </c>
      <c r="C157" s="2166">
        <v>32133926</v>
      </c>
      <c r="D157" s="2167" t="s">
        <v>1339</v>
      </c>
      <c r="E157" s="2168">
        <v>0</v>
      </c>
      <c r="F157" s="2168">
        <v>0</v>
      </c>
      <c r="G157" s="2176">
        <v>0</v>
      </c>
      <c r="H157" s="2169" t="e">
        <f>G157/F157*100</f>
        <v>#DIV/0!</v>
      </c>
      <c r="I157" s="2147"/>
    </row>
    <row r="158" spans="1:9" ht="30.75" hidden="1" thickBot="1" x14ac:dyDescent="0.25">
      <c r="A158" s="2165">
        <v>3299</v>
      </c>
      <c r="B158" s="2166">
        <v>6351</v>
      </c>
      <c r="C158" s="2166">
        <v>32533926</v>
      </c>
      <c r="D158" s="2167" t="s">
        <v>1339</v>
      </c>
      <c r="E158" s="2168">
        <v>0</v>
      </c>
      <c r="F158" s="2168">
        <v>0</v>
      </c>
      <c r="G158" s="2176">
        <v>0</v>
      </c>
      <c r="H158" s="2169" t="e">
        <f>G158/F158*100</f>
        <v>#DIV/0!</v>
      </c>
      <c r="I158" s="2147"/>
    </row>
    <row r="159" spans="1:9" ht="16.5" thickTop="1" thickBot="1" x14ac:dyDescent="0.3">
      <c r="A159" s="2177" t="s">
        <v>802</v>
      </c>
      <c r="B159" s="2178"/>
      <c r="C159" s="2178"/>
      <c r="D159" s="2179"/>
      <c r="E159" s="2172">
        <f>SUM(E155:E158)</f>
        <v>0</v>
      </c>
      <c r="F159" s="2172">
        <f>SUM(F155:F158)</f>
        <v>551</v>
      </c>
      <c r="G159" s="2172">
        <f>SUM(G155:G158)</f>
        <v>551</v>
      </c>
      <c r="H159" s="2173">
        <f>G159/F159*100</f>
        <v>100</v>
      </c>
      <c r="I159" s="2147"/>
    </row>
    <row r="160" spans="1:9" ht="13.5" thickTop="1" x14ac:dyDescent="0.2"/>
    <row r="161" spans="1:9" hidden="1" x14ac:dyDescent="0.2"/>
    <row r="162" spans="1:9" hidden="1" x14ac:dyDescent="0.2"/>
    <row r="163" spans="1:9" hidden="1" x14ac:dyDescent="0.2"/>
    <row r="164" spans="1:9" hidden="1" x14ac:dyDescent="0.2"/>
    <row r="165" spans="1:9" hidden="1" x14ac:dyDescent="0.2"/>
    <row r="166" spans="1:9" ht="15" x14ac:dyDescent="0.25">
      <c r="A166" s="2132" t="s">
        <v>1755</v>
      </c>
      <c r="B166" s="2146"/>
      <c r="C166" s="2146"/>
      <c r="D166" s="2146"/>
      <c r="F166" s="2147"/>
      <c r="G166" s="2147"/>
      <c r="H166" s="2147"/>
      <c r="I166" s="2147"/>
    </row>
    <row r="167" spans="1:9" ht="15.75" thickBot="1" x14ac:dyDescent="0.3">
      <c r="A167" s="2132" t="s">
        <v>1669</v>
      </c>
      <c r="B167" s="2146"/>
      <c r="C167" s="2146"/>
      <c r="D167" s="2146"/>
      <c r="F167" s="2147"/>
      <c r="G167" s="2147"/>
      <c r="H167" s="2148" t="s">
        <v>173</v>
      </c>
      <c r="I167" s="2147"/>
    </row>
    <row r="168" spans="1:9" ht="25.5" thickTop="1" thickBot="1" x14ac:dyDescent="0.25">
      <c r="A168" s="2149" t="s">
        <v>174</v>
      </c>
      <c r="B168" s="2150" t="s">
        <v>800</v>
      </c>
      <c r="C168" s="2150" t="s">
        <v>397</v>
      </c>
      <c r="D168" s="2151" t="s">
        <v>176</v>
      </c>
      <c r="E168" s="2152" t="s">
        <v>669</v>
      </c>
      <c r="F168" s="2152" t="s">
        <v>670</v>
      </c>
      <c r="G168" s="2153" t="s">
        <v>923</v>
      </c>
      <c r="H168" s="2154" t="s">
        <v>924</v>
      </c>
      <c r="I168" s="2147"/>
    </row>
    <row r="169" spans="1:9" ht="14.25" thickTop="1" thickBot="1" x14ac:dyDescent="0.25">
      <c r="A169" s="2155">
        <v>1</v>
      </c>
      <c r="B169" s="2156">
        <v>2</v>
      </c>
      <c r="C169" s="2156">
        <v>3</v>
      </c>
      <c r="D169" s="2156">
        <v>5</v>
      </c>
      <c r="E169" s="2157">
        <v>6</v>
      </c>
      <c r="F169" s="2157">
        <v>7</v>
      </c>
      <c r="G169" s="2158">
        <v>8</v>
      </c>
      <c r="H169" s="2174" t="s">
        <v>801</v>
      </c>
      <c r="I169" s="2147"/>
    </row>
    <row r="170" spans="1:9" ht="30.75" thickTop="1" x14ac:dyDescent="0.2">
      <c r="A170" s="2165">
        <v>3299</v>
      </c>
      <c r="B170" s="2166">
        <v>5336</v>
      </c>
      <c r="C170" s="2166">
        <v>32133030</v>
      </c>
      <c r="D170" s="2167" t="s">
        <v>1325</v>
      </c>
      <c r="E170" s="2163">
        <v>0</v>
      </c>
      <c r="F170" s="2163">
        <v>538</v>
      </c>
      <c r="G170" s="2175">
        <v>346</v>
      </c>
      <c r="H170" s="2164">
        <f>G170/F170*100</f>
        <v>64.312267657992564</v>
      </c>
      <c r="I170" s="2147"/>
    </row>
    <row r="171" spans="1:9" ht="30" x14ac:dyDescent="0.2">
      <c r="A171" s="2165">
        <v>3299</v>
      </c>
      <c r="B171" s="2166">
        <v>5336</v>
      </c>
      <c r="C171" s="2166">
        <v>32533030</v>
      </c>
      <c r="D171" s="2167" t="s">
        <v>1325</v>
      </c>
      <c r="E171" s="2168">
        <v>0</v>
      </c>
      <c r="F171" s="2168">
        <v>3049</v>
      </c>
      <c r="G171" s="2176">
        <v>1963</v>
      </c>
      <c r="H171" s="2169">
        <f>G171/F171*100</f>
        <v>64.381764512955058</v>
      </c>
      <c r="I171" s="2147"/>
    </row>
    <row r="172" spans="1:9" ht="30" x14ac:dyDescent="0.2">
      <c r="A172" s="2165">
        <v>3299</v>
      </c>
      <c r="B172" s="2166">
        <v>6351</v>
      </c>
      <c r="C172" s="2166">
        <v>32133926</v>
      </c>
      <c r="D172" s="2167" t="s">
        <v>1339</v>
      </c>
      <c r="E172" s="2168">
        <v>0</v>
      </c>
      <c r="F172" s="2168">
        <v>12</v>
      </c>
      <c r="G172" s="2176">
        <v>12</v>
      </c>
      <c r="H172" s="2169">
        <f>G172/F172*100</f>
        <v>100</v>
      </c>
      <c r="I172" s="2147"/>
    </row>
    <row r="173" spans="1:9" ht="30.75" thickBot="1" x14ac:dyDescent="0.25">
      <c r="A173" s="2165">
        <v>3299</v>
      </c>
      <c r="B173" s="2166">
        <v>6351</v>
      </c>
      <c r="C173" s="2166">
        <v>32533926</v>
      </c>
      <c r="D173" s="2167" t="s">
        <v>1339</v>
      </c>
      <c r="E173" s="2168">
        <v>0</v>
      </c>
      <c r="F173" s="2168">
        <v>68</v>
      </c>
      <c r="G173" s="2176">
        <v>68</v>
      </c>
      <c r="H173" s="2169">
        <f>G173/F173*100</f>
        <v>100</v>
      </c>
      <c r="I173" s="2147"/>
    </row>
    <row r="174" spans="1:9" ht="16.5" thickTop="1" thickBot="1" x14ac:dyDescent="0.3">
      <c r="A174" s="2177" t="s">
        <v>802</v>
      </c>
      <c r="B174" s="2178"/>
      <c r="C174" s="2178"/>
      <c r="D174" s="2179"/>
      <c r="E174" s="2172">
        <f>SUM(E170:E173)</f>
        <v>0</v>
      </c>
      <c r="F174" s="2172">
        <f>SUM(F170:F173)</f>
        <v>3667</v>
      </c>
      <c r="G174" s="2172">
        <f>SUM(G170:G173)</f>
        <v>2389</v>
      </c>
      <c r="H174" s="2173">
        <f>G174/F174*100</f>
        <v>65.148622852467952</v>
      </c>
      <c r="I174" s="2147"/>
    </row>
    <row r="175" spans="1:9" ht="13.5" thickTop="1" x14ac:dyDescent="0.2"/>
    <row r="176" spans="1:9" ht="15" x14ac:dyDescent="0.25">
      <c r="A176" s="2132" t="s">
        <v>308</v>
      </c>
      <c r="B176" s="2146"/>
      <c r="C176" s="2146"/>
      <c r="D176" s="2146"/>
      <c r="F176" s="2147"/>
      <c r="G176" s="2147"/>
      <c r="H176" s="2147"/>
      <c r="I176" s="2147"/>
    </row>
    <row r="177" spans="1:9" ht="15.75" thickBot="1" x14ac:dyDescent="0.3">
      <c r="A177" s="2132" t="s">
        <v>1056</v>
      </c>
      <c r="B177" s="2146"/>
      <c r="C177" s="2146"/>
      <c r="D177" s="2146"/>
      <c r="F177" s="2147"/>
      <c r="G177" s="2147"/>
      <c r="H177" s="2148" t="s">
        <v>173</v>
      </c>
      <c r="I177" s="2147"/>
    </row>
    <row r="178" spans="1:9" ht="25.5" thickTop="1" thickBot="1" x14ac:dyDescent="0.25">
      <c r="A178" s="2149" t="s">
        <v>174</v>
      </c>
      <c r="B178" s="2150" t="s">
        <v>800</v>
      </c>
      <c r="C178" s="2150" t="s">
        <v>397</v>
      </c>
      <c r="D178" s="2151" t="s">
        <v>176</v>
      </c>
      <c r="E178" s="2152" t="s">
        <v>669</v>
      </c>
      <c r="F178" s="2152" t="s">
        <v>670</v>
      </c>
      <c r="G178" s="2153" t="s">
        <v>923</v>
      </c>
      <c r="H178" s="2154" t="s">
        <v>924</v>
      </c>
      <c r="I178" s="2147"/>
    </row>
    <row r="179" spans="1:9" ht="14.25" thickTop="1" thickBot="1" x14ac:dyDescent="0.25">
      <c r="A179" s="2155">
        <v>1</v>
      </c>
      <c r="B179" s="2156">
        <v>2</v>
      </c>
      <c r="C179" s="2156">
        <v>3</v>
      </c>
      <c r="D179" s="2156">
        <v>5</v>
      </c>
      <c r="E179" s="2157">
        <v>6</v>
      </c>
      <c r="F179" s="2157">
        <v>7</v>
      </c>
      <c r="G179" s="2158">
        <v>8</v>
      </c>
      <c r="H179" s="2174" t="s">
        <v>801</v>
      </c>
      <c r="I179" s="2147"/>
    </row>
    <row r="180" spans="1:9" ht="30.75" thickTop="1" x14ac:dyDescent="0.2">
      <c r="A180" s="2165">
        <v>3299</v>
      </c>
      <c r="B180" s="2166">
        <v>5336</v>
      </c>
      <c r="C180" s="2166">
        <v>32133030</v>
      </c>
      <c r="D180" s="2167" t="s">
        <v>1325</v>
      </c>
      <c r="E180" s="2163">
        <v>0</v>
      </c>
      <c r="F180" s="2163">
        <v>76</v>
      </c>
      <c r="G180" s="2175">
        <v>75</v>
      </c>
      <c r="H180" s="2164">
        <f>G180/F180*100</f>
        <v>98.68421052631578</v>
      </c>
      <c r="I180" s="2147"/>
    </row>
    <row r="181" spans="1:9" ht="30.75" thickBot="1" x14ac:dyDescent="0.25">
      <c r="A181" s="2165">
        <v>3299</v>
      </c>
      <c r="B181" s="2166">
        <v>5336</v>
      </c>
      <c r="C181" s="2166">
        <v>32533030</v>
      </c>
      <c r="D181" s="2167" t="s">
        <v>1325</v>
      </c>
      <c r="E181" s="2168">
        <v>0</v>
      </c>
      <c r="F181" s="2168">
        <v>428</v>
      </c>
      <c r="G181" s="2176">
        <v>428</v>
      </c>
      <c r="H181" s="2169">
        <f>G181/F181*100</f>
        <v>100</v>
      </c>
      <c r="I181" s="2147"/>
    </row>
    <row r="182" spans="1:9" ht="30.75" hidden="1" thickBot="1" x14ac:dyDescent="0.25">
      <c r="A182" s="2165">
        <v>3299</v>
      </c>
      <c r="B182" s="2166">
        <v>6351</v>
      </c>
      <c r="C182" s="2166">
        <v>32133926</v>
      </c>
      <c r="D182" s="2167" t="s">
        <v>1339</v>
      </c>
      <c r="E182" s="2168">
        <v>0</v>
      </c>
      <c r="F182" s="2168"/>
      <c r="G182" s="2176"/>
      <c r="H182" s="2169" t="e">
        <f>G182/F182*100</f>
        <v>#DIV/0!</v>
      </c>
      <c r="I182" s="2147"/>
    </row>
    <row r="183" spans="1:9" ht="30.75" hidden="1" thickBot="1" x14ac:dyDescent="0.25">
      <c r="A183" s="2165">
        <v>3299</v>
      </c>
      <c r="B183" s="2166">
        <v>6351</v>
      </c>
      <c r="C183" s="2166">
        <v>32533926</v>
      </c>
      <c r="D183" s="2167" t="s">
        <v>1339</v>
      </c>
      <c r="E183" s="2168">
        <v>0</v>
      </c>
      <c r="F183" s="2168"/>
      <c r="G183" s="2176"/>
      <c r="H183" s="2169" t="e">
        <f>G183/F183*100</f>
        <v>#DIV/0!</v>
      </c>
      <c r="I183" s="2147"/>
    </row>
    <row r="184" spans="1:9" ht="16.5" thickTop="1" thickBot="1" x14ac:dyDescent="0.3">
      <c r="A184" s="2177" t="s">
        <v>802</v>
      </c>
      <c r="B184" s="2178"/>
      <c r="C184" s="2178"/>
      <c r="D184" s="2179"/>
      <c r="E184" s="2172">
        <f>SUM(E180:E183)</f>
        <v>0</v>
      </c>
      <c r="F184" s="2172">
        <f>SUM(F180:F183)</f>
        <v>504</v>
      </c>
      <c r="G184" s="2172">
        <f>SUM(G180:G183)</f>
        <v>503</v>
      </c>
      <c r="H184" s="2173">
        <f>G184/F184*100</f>
        <v>99.801587301587304</v>
      </c>
      <c r="I184" s="2147"/>
    </row>
    <row r="185" spans="1:9" ht="13.5" thickTop="1" x14ac:dyDescent="0.2"/>
    <row r="186" spans="1:9" ht="15" x14ac:dyDescent="0.25">
      <c r="A186" s="2132" t="s">
        <v>1891</v>
      </c>
      <c r="B186" s="2146"/>
      <c r="C186" s="2146"/>
      <c r="D186" s="2146"/>
      <c r="F186" s="2147"/>
      <c r="G186" s="2147"/>
      <c r="H186" s="2147"/>
      <c r="I186" s="2147"/>
    </row>
    <row r="187" spans="1:9" ht="15.75" thickBot="1" x14ac:dyDescent="0.3">
      <c r="A187" s="2132" t="s">
        <v>1338</v>
      </c>
      <c r="B187" s="2146"/>
      <c r="C187" s="2146"/>
      <c r="D187" s="2146"/>
      <c r="F187" s="2147"/>
      <c r="G187" s="2147"/>
      <c r="H187" s="2148" t="s">
        <v>173</v>
      </c>
      <c r="I187" s="2147"/>
    </row>
    <row r="188" spans="1:9" ht="25.5" thickTop="1" thickBot="1" x14ac:dyDescent="0.25">
      <c r="A188" s="2149" t="s">
        <v>174</v>
      </c>
      <c r="B188" s="2150" t="s">
        <v>800</v>
      </c>
      <c r="C188" s="2150" t="s">
        <v>397</v>
      </c>
      <c r="D188" s="2151" t="s">
        <v>176</v>
      </c>
      <c r="E188" s="2152" t="s">
        <v>669</v>
      </c>
      <c r="F188" s="2152" t="s">
        <v>670</v>
      </c>
      <c r="G188" s="2153" t="s">
        <v>923</v>
      </c>
      <c r="H188" s="2154" t="s">
        <v>924</v>
      </c>
      <c r="I188" s="2147"/>
    </row>
    <row r="189" spans="1:9" ht="14.25" thickTop="1" thickBot="1" x14ac:dyDescent="0.25">
      <c r="A189" s="2155">
        <v>1</v>
      </c>
      <c r="B189" s="2156">
        <v>2</v>
      </c>
      <c r="C189" s="2156">
        <v>3</v>
      </c>
      <c r="D189" s="2156">
        <v>5</v>
      </c>
      <c r="E189" s="2157">
        <v>6</v>
      </c>
      <c r="F189" s="2157">
        <v>7</v>
      </c>
      <c r="G189" s="2158">
        <v>8</v>
      </c>
      <c r="H189" s="2174" t="s">
        <v>801</v>
      </c>
      <c r="I189" s="2147"/>
    </row>
    <row r="190" spans="1:9" ht="30.75" thickTop="1" x14ac:dyDescent="0.2">
      <c r="A190" s="2165">
        <v>3299</v>
      </c>
      <c r="B190" s="2166">
        <v>5336</v>
      </c>
      <c r="C190" s="2166">
        <v>32133030</v>
      </c>
      <c r="D190" s="2167" t="s">
        <v>1325</v>
      </c>
      <c r="E190" s="2163">
        <v>0</v>
      </c>
      <c r="F190" s="2163">
        <v>95</v>
      </c>
      <c r="G190" s="2175">
        <v>95</v>
      </c>
      <c r="H190" s="2164">
        <f>G190/F190*100</f>
        <v>100</v>
      </c>
      <c r="I190" s="2147"/>
    </row>
    <row r="191" spans="1:9" ht="30" x14ac:dyDescent="0.2">
      <c r="A191" s="2165">
        <v>3299</v>
      </c>
      <c r="B191" s="2166">
        <v>5336</v>
      </c>
      <c r="C191" s="2166">
        <v>32533030</v>
      </c>
      <c r="D191" s="2167" t="s">
        <v>1325</v>
      </c>
      <c r="E191" s="2168">
        <v>0</v>
      </c>
      <c r="F191" s="2168">
        <v>542</v>
      </c>
      <c r="G191" s="2176">
        <v>542</v>
      </c>
      <c r="H191" s="2169">
        <f>G191/F191*100</f>
        <v>100</v>
      </c>
      <c r="I191" s="2147"/>
    </row>
    <row r="192" spans="1:9" ht="30" x14ac:dyDescent="0.2">
      <c r="A192" s="2165">
        <v>3299</v>
      </c>
      <c r="B192" s="2166">
        <v>6351</v>
      </c>
      <c r="C192" s="2166">
        <v>32133926</v>
      </c>
      <c r="D192" s="2167" t="s">
        <v>1339</v>
      </c>
      <c r="E192" s="2168">
        <v>0</v>
      </c>
      <c r="F192" s="2168">
        <v>14</v>
      </c>
      <c r="G192" s="2176">
        <v>14</v>
      </c>
      <c r="H192" s="2169">
        <f>G192/F192*100</f>
        <v>100</v>
      </c>
      <c r="I192" s="2147"/>
    </row>
    <row r="193" spans="1:9" ht="30.75" thickBot="1" x14ac:dyDescent="0.25">
      <c r="A193" s="2165">
        <v>3299</v>
      </c>
      <c r="B193" s="2166">
        <v>6351</v>
      </c>
      <c r="C193" s="2166">
        <v>32533926</v>
      </c>
      <c r="D193" s="2167" t="s">
        <v>1339</v>
      </c>
      <c r="E193" s="2168">
        <v>0</v>
      </c>
      <c r="F193" s="2168">
        <v>77</v>
      </c>
      <c r="G193" s="2176">
        <v>77</v>
      </c>
      <c r="H193" s="2169">
        <f>G193/F193*100</f>
        <v>100</v>
      </c>
      <c r="I193" s="2147"/>
    </row>
    <row r="194" spans="1:9" ht="16.5" thickTop="1" thickBot="1" x14ac:dyDescent="0.3">
      <c r="A194" s="2177" t="s">
        <v>802</v>
      </c>
      <c r="B194" s="2178"/>
      <c r="C194" s="2178"/>
      <c r="D194" s="2179"/>
      <c r="E194" s="2172">
        <f>SUM(E190:E193)</f>
        <v>0</v>
      </c>
      <c r="F194" s="2172">
        <f>SUM(F190:F193)</f>
        <v>728</v>
      </c>
      <c r="G194" s="2172">
        <f>SUM(G190:G193)</f>
        <v>728</v>
      </c>
      <c r="H194" s="2173">
        <f>G194/F194*100</f>
        <v>100</v>
      </c>
      <c r="I194" s="2147"/>
    </row>
    <row r="195" spans="1:9" ht="13.5" thickTop="1" x14ac:dyDescent="0.2"/>
    <row r="196" spans="1:9" ht="15" x14ac:dyDescent="0.25">
      <c r="A196" s="2132" t="s">
        <v>1892</v>
      </c>
      <c r="B196" s="2146"/>
      <c r="C196" s="2146"/>
      <c r="D196" s="2146"/>
      <c r="F196" s="2147"/>
      <c r="G196" s="2147"/>
      <c r="H196" s="2147"/>
      <c r="I196" s="2147"/>
    </row>
    <row r="197" spans="1:9" ht="15.75" thickBot="1" x14ac:dyDescent="0.3">
      <c r="A197" s="2132" t="s">
        <v>1893</v>
      </c>
      <c r="B197" s="2146"/>
      <c r="C197" s="2146"/>
      <c r="D197" s="2146"/>
      <c r="F197" s="2147"/>
      <c r="G197" s="2147"/>
      <c r="H197" s="2148" t="s">
        <v>173</v>
      </c>
      <c r="I197" s="2147"/>
    </row>
    <row r="198" spans="1:9" ht="25.5" thickTop="1" thickBot="1" x14ac:dyDescent="0.25">
      <c r="A198" s="2149" t="s">
        <v>174</v>
      </c>
      <c r="B198" s="2150" t="s">
        <v>800</v>
      </c>
      <c r="C198" s="2150" t="s">
        <v>397</v>
      </c>
      <c r="D198" s="2151" t="s">
        <v>176</v>
      </c>
      <c r="E198" s="2152" t="s">
        <v>669</v>
      </c>
      <c r="F198" s="2152" t="s">
        <v>670</v>
      </c>
      <c r="G198" s="2153" t="s">
        <v>923</v>
      </c>
      <c r="H198" s="2154" t="s">
        <v>924</v>
      </c>
      <c r="I198" s="2147"/>
    </row>
    <row r="199" spans="1:9" ht="14.25" thickTop="1" thickBot="1" x14ac:dyDescent="0.25">
      <c r="A199" s="2155">
        <v>1</v>
      </c>
      <c r="B199" s="2156">
        <v>2</v>
      </c>
      <c r="C199" s="2156">
        <v>3</v>
      </c>
      <c r="D199" s="2156">
        <v>5</v>
      </c>
      <c r="E199" s="2157">
        <v>6</v>
      </c>
      <c r="F199" s="2157">
        <v>7</v>
      </c>
      <c r="G199" s="2158">
        <v>8</v>
      </c>
      <c r="H199" s="2174" t="s">
        <v>801</v>
      </c>
      <c r="I199" s="2147"/>
    </row>
    <row r="200" spans="1:9" ht="30.75" thickTop="1" x14ac:dyDescent="0.2">
      <c r="A200" s="2165">
        <v>3299</v>
      </c>
      <c r="B200" s="2166">
        <v>5336</v>
      </c>
      <c r="C200" s="2166">
        <v>32133030</v>
      </c>
      <c r="D200" s="2167" t="s">
        <v>1325</v>
      </c>
      <c r="E200" s="2163">
        <v>0</v>
      </c>
      <c r="F200" s="2163">
        <v>42</v>
      </c>
      <c r="G200" s="2175">
        <v>42</v>
      </c>
      <c r="H200" s="2164">
        <f>G200/F200*100</f>
        <v>100</v>
      </c>
      <c r="I200" s="2147"/>
    </row>
    <row r="201" spans="1:9" ht="30" x14ac:dyDescent="0.2">
      <c r="A201" s="2165">
        <v>3299</v>
      </c>
      <c r="B201" s="2166">
        <v>5336</v>
      </c>
      <c r="C201" s="2166">
        <v>32533030</v>
      </c>
      <c r="D201" s="2167" t="s">
        <v>1325</v>
      </c>
      <c r="E201" s="2168">
        <v>0</v>
      </c>
      <c r="F201" s="2168">
        <v>240</v>
      </c>
      <c r="G201" s="2176">
        <v>240</v>
      </c>
      <c r="H201" s="2169">
        <f>G201/F201*100</f>
        <v>100</v>
      </c>
      <c r="I201" s="2147"/>
    </row>
    <row r="202" spans="1:9" ht="30" x14ac:dyDescent="0.2">
      <c r="A202" s="2165">
        <v>3299</v>
      </c>
      <c r="B202" s="2166">
        <v>6351</v>
      </c>
      <c r="C202" s="2166">
        <v>32133926</v>
      </c>
      <c r="D202" s="2167" t="s">
        <v>1339</v>
      </c>
      <c r="E202" s="2168">
        <v>0</v>
      </c>
      <c r="F202" s="2168">
        <v>11</v>
      </c>
      <c r="G202" s="2176">
        <v>11</v>
      </c>
      <c r="H202" s="2169">
        <f>G202/F202*100</f>
        <v>100</v>
      </c>
      <c r="I202" s="2147"/>
    </row>
    <row r="203" spans="1:9" ht="30.75" thickBot="1" x14ac:dyDescent="0.25">
      <c r="A203" s="2165">
        <v>3299</v>
      </c>
      <c r="B203" s="2166">
        <v>6351</v>
      </c>
      <c r="C203" s="2166">
        <v>32533926</v>
      </c>
      <c r="D203" s="2167" t="s">
        <v>1339</v>
      </c>
      <c r="E203" s="2168">
        <v>0</v>
      </c>
      <c r="F203" s="2168">
        <v>60</v>
      </c>
      <c r="G203" s="2176">
        <v>60</v>
      </c>
      <c r="H203" s="2169">
        <f>G203/F203*100</f>
        <v>100</v>
      </c>
      <c r="I203" s="2147"/>
    </row>
    <row r="204" spans="1:9" ht="16.5" thickTop="1" thickBot="1" x14ac:dyDescent="0.3">
      <c r="A204" s="2177" t="s">
        <v>802</v>
      </c>
      <c r="B204" s="2178"/>
      <c r="C204" s="2178"/>
      <c r="D204" s="2179"/>
      <c r="E204" s="2172">
        <f>SUM(E200:E203)</f>
        <v>0</v>
      </c>
      <c r="F204" s="2172">
        <f>SUM(F200:F203)</f>
        <v>353</v>
      </c>
      <c r="G204" s="2172">
        <f>SUM(G200:G203)</f>
        <v>353</v>
      </c>
      <c r="H204" s="2173">
        <f>G204/F204*100</f>
        <v>100</v>
      </c>
      <c r="I204" s="2147"/>
    </row>
    <row r="205" spans="1:9" ht="13.5" thickTop="1" x14ac:dyDescent="0.2"/>
    <row r="206" spans="1:9" ht="15" x14ac:dyDescent="0.25">
      <c r="A206" s="2132" t="s">
        <v>597</v>
      </c>
      <c r="B206" s="2146"/>
      <c r="C206" s="2146"/>
      <c r="D206" s="2146"/>
      <c r="F206" s="2147"/>
      <c r="G206" s="2147"/>
      <c r="H206" s="2147"/>
      <c r="I206" s="2147"/>
    </row>
    <row r="207" spans="1:9" ht="15.75" thickBot="1" x14ac:dyDescent="0.3">
      <c r="A207" s="2132" t="s">
        <v>598</v>
      </c>
      <c r="B207" s="2146"/>
      <c r="C207" s="2146"/>
      <c r="D207" s="2146"/>
      <c r="F207" s="2147"/>
      <c r="G207" s="2147"/>
      <c r="H207" s="2148" t="s">
        <v>173</v>
      </c>
      <c r="I207" s="2147"/>
    </row>
    <row r="208" spans="1:9" ht="25.5" thickTop="1" thickBot="1" x14ac:dyDescent="0.25">
      <c r="A208" s="2149" t="s">
        <v>174</v>
      </c>
      <c r="B208" s="2150" t="s">
        <v>800</v>
      </c>
      <c r="C208" s="2150" t="s">
        <v>397</v>
      </c>
      <c r="D208" s="2151" t="s">
        <v>176</v>
      </c>
      <c r="E208" s="2152" t="s">
        <v>669</v>
      </c>
      <c r="F208" s="2152" t="s">
        <v>670</v>
      </c>
      <c r="G208" s="2153" t="s">
        <v>923</v>
      </c>
      <c r="H208" s="2154" t="s">
        <v>924</v>
      </c>
      <c r="I208" s="2147"/>
    </row>
    <row r="209" spans="1:9" ht="14.25" thickTop="1" thickBot="1" x14ac:dyDescent="0.25">
      <c r="A209" s="2155">
        <v>1</v>
      </c>
      <c r="B209" s="2156">
        <v>2</v>
      </c>
      <c r="C209" s="2156">
        <v>3</v>
      </c>
      <c r="D209" s="2156">
        <v>5</v>
      </c>
      <c r="E209" s="2157">
        <v>6</v>
      </c>
      <c r="F209" s="2157">
        <v>7</v>
      </c>
      <c r="G209" s="2158">
        <v>8</v>
      </c>
      <c r="H209" s="2174" t="s">
        <v>801</v>
      </c>
      <c r="I209" s="2147"/>
    </row>
    <row r="210" spans="1:9" ht="30.75" thickTop="1" x14ac:dyDescent="0.2">
      <c r="A210" s="2165">
        <v>3299</v>
      </c>
      <c r="B210" s="2166">
        <v>5336</v>
      </c>
      <c r="C210" s="2166">
        <v>32133030</v>
      </c>
      <c r="D210" s="2167" t="s">
        <v>1325</v>
      </c>
      <c r="E210" s="2163">
        <v>0</v>
      </c>
      <c r="F210" s="2163">
        <v>466</v>
      </c>
      <c r="G210" s="2175">
        <v>421</v>
      </c>
      <c r="H210" s="2164">
        <f>G210/F210*100</f>
        <v>90.343347639484989</v>
      </c>
      <c r="I210" s="2147"/>
    </row>
    <row r="211" spans="1:9" ht="30.75" thickBot="1" x14ac:dyDescent="0.25">
      <c r="A211" s="2165">
        <v>3299</v>
      </c>
      <c r="B211" s="2166">
        <v>5336</v>
      </c>
      <c r="C211" s="2166">
        <v>32533030</v>
      </c>
      <c r="D211" s="2167" t="s">
        <v>1325</v>
      </c>
      <c r="E211" s="2168">
        <v>0</v>
      </c>
      <c r="F211" s="2168">
        <v>2638</v>
      </c>
      <c r="G211" s="2176">
        <v>2383</v>
      </c>
      <c r="H211" s="2169">
        <f>G211/F211*100</f>
        <v>90.333586050037908</v>
      </c>
      <c r="I211" s="2147"/>
    </row>
    <row r="212" spans="1:9" ht="30.75" hidden="1" thickBot="1" x14ac:dyDescent="0.25">
      <c r="A212" s="2165">
        <v>3299</v>
      </c>
      <c r="B212" s="2166">
        <v>6351</v>
      </c>
      <c r="C212" s="2166">
        <v>32133006</v>
      </c>
      <c r="D212" s="2167" t="s">
        <v>1339</v>
      </c>
      <c r="E212" s="2168">
        <v>0</v>
      </c>
      <c r="F212" s="2168">
        <v>0</v>
      </c>
      <c r="G212" s="2176">
        <v>0</v>
      </c>
      <c r="H212" s="2169" t="e">
        <f>G212/F212*100</f>
        <v>#DIV/0!</v>
      </c>
      <c r="I212" s="2147"/>
    </row>
    <row r="213" spans="1:9" ht="30.75" hidden="1" thickBot="1" x14ac:dyDescent="0.25">
      <c r="A213" s="2165">
        <v>3299</v>
      </c>
      <c r="B213" s="2166">
        <v>6351</v>
      </c>
      <c r="C213" s="2166">
        <v>32533006</v>
      </c>
      <c r="D213" s="2167" t="s">
        <v>1339</v>
      </c>
      <c r="E213" s="2168">
        <v>0</v>
      </c>
      <c r="F213" s="2168">
        <v>0</v>
      </c>
      <c r="G213" s="2176">
        <v>0</v>
      </c>
      <c r="H213" s="2169" t="e">
        <f>G213/F213*100</f>
        <v>#DIV/0!</v>
      </c>
      <c r="I213" s="2147"/>
    </row>
    <row r="214" spans="1:9" ht="16.5" thickTop="1" thickBot="1" x14ac:dyDescent="0.3">
      <c r="A214" s="2177" t="s">
        <v>802</v>
      </c>
      <c r="B214" s="2178"/>
      <c r="C214" s="2178"/>
      <c r="D214" s="2179"/>
      <c r="E214" s="2172">
        <f>SUM(E210:E213)</f>
        <v>0</v>
      </c>
      <c r="F214" s="2172">
        <f>SUM(F210:F213)</f>
        <v>3104</v>
      </c>
      <c r="G214" s="2172">
        <f>SUM(G210:G213)</f>
        <v>2804</v>
      </c>
      <c r="H214" s="2173">
        <f>G214/F214*100</f>
        <v>90.335051546391753</v>
      </c>
      <c r="I214" s="2147"/>
    </row>
    <row r="215" spans="1:9" ht="13.5" thickTop="1" x14ac:dyDescent="0.2"/>
    <row r="216" spans="1:9" ht="15" x14ac:dyDescent="0.25">
      <c r="A216" s="2132" t="s">
        <v>1533</v>
      </c>
      <c r="B216" s="2146"/>
      <c r="C216" s="2146"/>
      <c r="D216" s="2146"/>
      <c r="F216" s="2147"/>
      <c r="G216" s="2147"/>
      <c r="H216" s="2147"/>
      <c r="I216" s="2147"/>
    </row>
    <row r="217" spans="1:9" ht="15.75" thickBot="1" x14ac:dyDescent="0.3">
      <c r="A217" s="2132" t="s">
        <v>1670</v>
      </c>
      <c r="B217" s="2146"/>
      <c r="C217" s="2146"/>
      <c r="D217" s="2146"/>
      <c r="F217" s="2147"/>
      <c r="G217" s="2147"/>
      <c r="H217" s="2148" t="s">
        <v>173</v>
      </c>
      <c r="I217" s="2147"/>
    </row>
    <row r="218" spans="1:9" ht="25.5" thickTop="1" thickBot="1" x14ac:dyDescent="0.25">
      <c r="A218" s="2149" t="s">
        <v>174</v>
      </c>
      <c r="B218" s="2150" t="s">
        <v>800</v>
      </c>
      <c r="C218" s="2150" t="s">
        <v>397</v>
      </c>
      <c r="D218" s="2151" t="s">
        <v>176</v>
      </c>
      <c r="E218" s="2152" t="s">
        <v>669</v>
      </c>
      <c r="F218" s="2152" t="s">
        <v>670</v>
      </c>
      <c r="G218" s="2153" t="s">
        <v>923</v>
      </c>
      <c r="H218" s="2154" t="s">
        <v>924</v>
      </c>
      <c r="I218" s="2147"/>
    </row>
    <row r="219" spans="1:9" ht="14.25" thickTop="1" thickBot="1" x14ac:dyDescent="0.25">
      <c r="A219" s="2155">
        <v>1</v>
      </c>
      <c r="B219" s="2156">
        <v>2</v>
      </c>
      <c r="C219" s="2156">
        <v>3</v>
      </c>
      <c r="D219" s="2156">
        <v>5</v>
      </c>
      <c r="E219" s="2157">
        <v>6</v>
      </c>
      <c r="F219" s="2157">
        <v>7</v>
      </c>
      <c r="G219" s="2158">
        <v>8</v>
      </c>
      <c r="H219" s="2174" t="s">
        <v>801</v>
      </c>
      <c r="I219" s="2147"/>
    </row>
    <row r="220" spans="1:9" ht="30.75" thickTop="1" x14ac:dyDescent="0.2">
      <c r="A220" s="2165">
        <v>3299</v>
      </c>
      <c r="B220" s="2166">
        <v>5336</v>
      </c>
      <c r="C220" s="2166">
        <v>32133030</v>
      </c>
      <c r="D220" s="2167" t="s">
        <v>1325</v>
      </c>
      <c r="E220" s="2163">
        <v>0</v>
      </c>
      <c r="F220" s="2163">
        <v>604</v>
      </c>
      <c r="G220" s="2175">
        <v>579</v>
      </c>
      <c r="H220" s="2164">
        <f>G220/F220*100</f>
        <v>95.860927152317871</v>
      </c>
      <c r="I220" s="2147"/>
    </row>
    <row r="221" spans="1:9" ht="30.75" thickBot="1" x14ac:dyDescent="0.25">
      <c r="A221" s="2165">
        <v>3299</v>
      </c>
      <c r="B221" s="2166">
        <v>5336</v>
      </c>
      <c r="C221" s="2166">
        <v>32533030</v>
      </c>
      <c r="D221" s="2167" t="s">
        <v>1325</v>
      </c>
      <c r="E221" s="2168">
        <v>0</v>
      </c>
      <c r="F221" s="2168">
        <v>3425</v>
      </c>
      <c r="G221" s="2176">
        <v>3279</v>
      </c>
      <c r="H221" s="2169">
        <f>G221/F221*100</f>
        <v>95.737226277372272</v>
      </c>
      <c r="I221" s="2147"/>
    </row>
    <row r="222" spans="1:9" ht="30.75" hidden="1" thickBot="1" x14ac:dyDescent="0.25">
      <c r="A222" s="2165">
        <v>3299</v>
      </c>
      <c r="B222" s="2166">
        <v>6351</v>
      </c>
      <c r="C222" s="2166">
        <v>32133006</v>
      </c>
      <c r="D222" s="2167" t="s">
        <v>1339</v>
      </c>
      <c r="E222" s="2168">
        <v>0</v>
      </c>
      <c r="F222" s="2168">
        <v>0</v>
      </c>
      <c r="G222" s="2176">
        <v>0</v>
      </c>
      <c r="H222" s="2169" t="e">
        <f>G222/F222*100</f>
        <v>#DIV/0!</v>
      </c>
      <c r="I222" s="2147"/>
    </row>
    <row r="223" spans="1:9" ht="30.75" hidden="1" thickBot="1" x14ac:dyDescent="0.25">
      <c r="A223" s="2165">
        <v>3299</v>
      </c>
      <c r="B223" s="2166">
        <v>6351</v>
      </c>
      <c r="C223" s="2166">
        <v>32533006</v>
      </c>
      <c r="D223" s="2167" t="s">
        <v>1339</v>
      </c>
      <c r="E223" s="2168">
        <v>0</v>
      </c>
      <c r="F223" s="2168">
        <v>0</v>
      </c>
      <c r="G223" s="2176">
        <v>0</v>
      </c>
      <c r="H223" s="2169" t="e">
        <f>G223/F223*100</f>
        <v>#DIV/0!</v>
      </c>
      <c r="I223" s="2147"/>
    </row>
    <row r="224" spans="1:9" ht="16.5" thickTop="1" thickBot="1" x14ac:dyDescent="0.3">
      <c r="A224" s="2177" t="s">
        <v>802</v>
      </c>
      <c r="B224" s="2178"/>
      <c r="C224" s="2178"/>
      <c r="D224" s="2179"/>
      <c r="E224" s="2172">
        <f>SUM(E220:E223)</f>
        <v>0</v>
      </c>
      <c r="F224" s="2172">
        <f>SUM(F220:F223)</f>
        <v>4029</v>
      </c>
      <c r="G224" s="2172">
        <f>SUM(G220:G223)</f>
        <v>3858</v>
      </c>
      <c r="H224" s="2173">
        <f>G224/F224*100</f>
        <v>95.755770662695454</v>
      </c>
      <c r="I224" s="2147"/>
    </row>
    <row r="225" spans="1:9" ht="13.5" thickTop="1" x14ac:dyDescent="0.2"/>
    <row r="226" spans="1:9" ht="15" x14ac:dyDescent="0.25">
      <c r="A226" s="2132" t="s">
        <v>1671</v>
      </c>
      <c r="B226" s="2146"/>
      <c r="C226" s="2146"/>
      <c r="D226" s="2146"/>
      <c r="F226" s="2147"/>
      <c r="G226" s="2147"/>
      <c r="H226" s="2147"/>
      <c r="I226" s="2147"/>
    </row>
    <row r="227" spans="1:9" ht="15.75" thickBot="1" x14ac:dyDescent="0.3">
      <c r="A227" s="2132" t="s">
        <v>601</v>
      </c>
      <c r="B227" s="2146"/>
      <c r="C227" s="2146"/>
      <c r="D227" s="2146"/>
      <c r="F227" s="2147"/>
      <c r="G227" s="2147"/>
      <c r="H227" s="2148" t="s">
        <v>173</v>
      </c>
      <c r="I227" s="2147"/>
    </row>
    <row r="228" spans="1:9" ht="25.5" thickTop="1" thickBot="1" x14ac:dyDescent="0.25">
      <c r="A228" s="2149" t="s">
        <v>174</v>
      </c>
      <c r="B228" s="2150" t="s">
        <v>800</v>
      </c>
      <c r="C228" s="2150" t="s">
        <v>397</v>
      </c>
      <c r="D228" s="2151" t="s">
        <v>176</v>
      </c>
      <c r="E228" s="2152" t="s">
        <v>669</v>
      </c>
      <c r="F228" s="2152" t="s">
        <v>670</v>
      </c>
      <c r="G228" s="2153" t="s">
        <v>923</v>
      </c>
      <c r="H228" s="2154" t="s">
        <v>924</v>
      </c>
      <c r="I228" s="2147"/>
    </row>
    <row r="229" spans="1:9" ht="14.25" thickTop="1" thickBot="1" x14ac:dyDescent="0.25">
      <c r="A229" s="2155">
        <v>1</v>
      </c>
      <c r="B229" s="2156">
        <v>2</v>
      </c>
      <c r="C229" s="2156">
        <v>3</v>
      </c>
      <c r="D229" s="2156">
        <v>5</v>
      </c>
      <c r="E229" s="2157">
        <v>6</v>
      </c>
      <c r="F229" s="2157">
        <v>7</v>
      </c>
      <c r="G229" s="2158">
        <v>8</v>
      </c>
      <c r="H229" s="2174" t="s">
        <v>801</v>
      </c>
      <c r="I229" s="2147"/>
    </row>
    <row r="230" spans="1:9" ht="30.75" thickTop="1" x14ac:dyDescent="0.2">
      <c r="A230" s="2165">
        <v>3299</v>
      </c>
      <c r="B230" s="2166">
        <v>5336</v>
      </c>
      <c r="C230" s="2166">
        <v>32133030</v>
      </c>
      <c r="D230" s="2167" t="s">
        <v>1325</v>
      </c>
      <c r="E230" s="2163">
        <v>0</v>
      </c>
      <c r="F230" s="2163">
        <v>425</v>
      </c>
      <c r="G230" s="2175">
        <v>240</v>
      </c>
      <c r="H230" s="2164">
        <f>G230/F230*100</f>
        <v>56.470588235294116</v>
      </c>
      <c r="I230" s="2147"/>
    </row>
    <row r="231" spans="1:9" ht="30" x14ac:dyDescent="0.2">
      <c r="A231" s="2165">
        <v>3299</v>
      </c>
      <c r="B231" s="2166">
        <v>5336</v>
      </c>
      <c r="C231" s="2166">
        <v>32533030</v>
      </c>
      <c r="D231" s="2167" t="s">
        <v>1325</v>
      </c>
      <c r="E231" s="2168">
        <v>0</v>
      </c>
      <c r="F231" s="2168">
        <v>2407</v>
      </c>
      <c r="G231" s="2176">
        <v>1361</v>
      </c>
      <c r="H231" s="2169">
        <f>G231/F231*100</f>
        <v>56.543415039468215</v>
      </c>
      <c r="I231" s="2147"/>
    </row>
    <row r="232" spans="1:9" ht="30" x14ac:dyDescent="0.2">
      <c r="A232" s="2165">
        <v>3299</v>
      </c>
      <c r="B232" s="2166">
        <v>6351</v>
      </c>
      <c r="C232" s="2166">
        <v>32133926</v>
      </c>
      <c r="D232" s="2167" t="s">
        <v>1339</v>
      </c>
      <c r="E232" s="2168">
        <v>0</v>
      </c>
      <c r="F232" s="2168">
        <v>112</v>
      </c>
      <c r="G232" s="2176">
        <v>95</v>
      </c>
      <c r="H232" s="2169">
        <f>G232/F232*100</f>
        <v>84.821428571428569</v>
      </c>
      <c r="I232" s="2147"/>
    </row>
    <row r="233" spans="1:9" ht="30.75" thickBot="1" x14ac:dyDescent="0.25">
      <c r="A233" s="2165">
        <v>3299</v>
      </c>
      <c r="B233" s="2166">
        <v>6351</v>
      </c>
      <c r="C233" s="2166">
        <v>32533926</v>
      </c>
      <c r="D233" s="2167" t="s">
        <v>1339</v>
      </c>
      <c r="E233" s="2168">
        <v>0</v>
      </c>
      <c r="F233" s="2168">
        <v>635</v>
      </c>
      <c r="G233" s="2176">
        <v>537</v>
      </c>
      <c r="H233" s="2169">
        <f>G233/F233*100</f>
        <v>84.566929133858267</v>
      </c>
      <c r="I233" s="2147"/>
    </row>
    <row r="234" spans="1:9" ht="16.5" thickTop="1" thickBot="1" x14ac:dyDescent="0.3">
      <c r="A234" s="2177" t="s">
        <v>802</v>
      </c>
      <c r="B234" s="2178"/>
      <c r="C234" s="2178"/>
      <c r="D234" s="2179"/>
      <c r="E234" s="2172">
        <f>SUM(E230:E233)</f>
        <v>0</v>
      </c>
      <c r="F234" s="2172">
        <f>SUM(F230:F233)</f>
        <v>3579</v>
      </c>
      <c r="G234" s="2172">
        <f>SUM(G230:G233)</f>
        <v>2233</v>
      </c>
      <c r="H234" s="2173">
        <f>G234/F234*100</f>
        <v>62.391729533389217</v>
      </c>
      <c r="I234" s="2147"/>
    </row>
    <row r="235" spans="1:9" ht="13.5" thickTop="1" x14ac:dyDescent="0.2"/>
    <row r="236" spans="1:9" ht="15" x14ac:dyDescent="0.25">
      <c r="A236" s="2132" t="s">
        <v>337</v>
      </c>
      <c r="B236" s="2146"/>
      <c r="C236" s="2146"/>
      <c r="D236" s="2146"/>
      <c r="F236" s="2147"/>
      <c r="G236" s="2147"/>
      <c r="H236" s="2147"/>
      <c r="I236" s="2147"/>
    </row>
    <row r="237" spans="1:9" ht="15.75" thickBot="1" x14ac:dyDescent="0.3">
      <c r="A237" s="2132" t="s">
        <v>1894</v>
      </c>
      <c r="B237" s="2146"/>
      <c r="C237" s="2146"/>
      <c r="D237" s="2146"/>
      <c r="F237" s="2147"/>
      <c r="G237" s="2147"/>
      <c r="H237" s="2148" t="s">
        <v>173</v>
      </c>
      <c r="I237" s="2147"/>
    </row>
    <row r="238" spans="1:9" ht="25.5" thickTop="1" thickBot="1" x14ac:dyDescent="0.25">
      <c r="A238" s="2149" t="s">
        <v>174</v>
      </c>
      <c r="B238" s="2150" t="s">
        <v>800</v>
      </c>
      <c r="C238" s="2150" t="s">
        <v>397</v>
      </c>
      <c r="D238" s="2151" t="s">
        <v>176</v>
      </c>
      <c r="E238" s="2152" t="s">
        <v>669</v>
      </c>
      <c r="F238" s="2152" t="s">
        <v>670</v>
      </c>
      <c r="G238" s="2153" t="s">
        <v>923</v>
      </c>
      <c r="H238" s="2154" t="s">
        <v>924</v>
      </c>
      <c r="I238" s="2147"/>
    </row>
    <row r="239" spans="1:9" ht="14.25" thickTop="1" thickBot="1" x14ac:dyDescent="0.25">
      <c r="A239" s="2155">
        <v>1</v>
      </c>
      <c r="B239" s="2156">
        <v>2</v>
      </c>
      <c r="C239" s="2156">
        <v>3</v>
      </c>
      <c r="D239" s="2156">
        <v>5</v>
      </c>
      <c r="E239" s="2157">
        <v>6</v>
      </c>
      <c r="F239" s="2157">
        <v>7</v>
      </c>
      <c r="G239" s="2158">
        <v>8</v>
      </c>
      <c r="H239" s="2174" t="s">
        <v>801</v>
      </c>
      <c r="I239" s="2147"/>
    </row>
    <row r="240" spans="1:9" ht="30.75" thickTop="1" x14ac:dyDescent="0.2">
      <c r="A240" s="2165">
        <v>3299</v>
      </c>
      <c r="B240" s="2166">
        <v>5336</v>
      </c>
      <c r="C240" s="2166">
        <v>32133030</v>
      </c>
      <c r="D240" s="2167" t="s">
        <v>1325</v>
      </c>
      <c r="E240" s="2163">
        <v>0</v>
      </c>
      <c r="F240" s="2163">
        <v>96</v>
      </c>
      <c r="G240" s="2175">
        <v>96</v>
      </c>
      <c r="H240" s="2164">
        <f>G240/F240*100</f>
        <v>100</v>
      </c>
      <c r="I240" s="2147"/>
    </row>
    <row r="241" spans="1:9" ht="30.75" thickBot="1" x14ac:dyDescent="0.25">
      <c r="A241" s="2165">
        <v>3299</v>
      </c>
      <c r="B241" s="2166">
        <v>5336</v>
      </c>
      <c r="C241" s="2166">
        <v>32533030</v>
      </c>
      <c r="D241" s="2167" t="s">
        <v>1325</v>
      </c>
      <c r="E241" s="2168">
        <v>0</v>
      </c>
      <c r="F241" s="2168">
        <v>542</v>
      </c>
      <c r="G241" s="2176">
        <v>541</v>
      </c>
      <c r="H241" s="2169">
        <f>G241/F241*100</f>
        <v>99.815498154981555</v>
      </c>
      <c r="I241" s="2147"/>
    </row>
    <row r="242" spans="1:9" ht="30.75" hidden="1" thickBot="1" x14ac:dyDescent="0.25">
      <c r="A242" s="2165">
        <v>3299</v>
      </c>
      <c r="B242" s="2166">
        <v>6351</v>
      </c>
      <c r="C242" s="2166">
        <v>32133006</v>
      </c>
      <c r="D242" s="2167" t="s">
        <v>1339</v>
      </c>
      <c r="E242" s="2168">
        <v>0</v>
      </c>
      <c r="F242" s="2168">
        <v>0</v>
      </c>
      <c r="G242" s="2176">
        <v>0</v>
      </c>
      <c r="H242" s="2169" t="e">
        <f>G242/F242*100</f>
        <v>#DIV/0!</v>
      </c>
      <c r="I242" s="2147"/>
    </row>
    <row r="243" spans="1:9" ht="30.75" hidden="1" thickBot="1" x14ac:dyDescent="0.25">
      <c r="A243" s="2165">
        <v>3299</v>
      </c>
      <c r="B243" s="2166">
        <v>6351</v>
      </c>
      <c r="C243" s="2166">
        <v>32533006</v>
      </c>
      <c r="D243" s="2167" t="s">
        <v>1339</v>
      </c>
      <c r="E243" s="2168">
        <v>0</v>
      </c>
      <c r="F243" s="2168">
        <v>0</v>
      </c>
      <c r="G243" s="2176">
        <v>0</v>
      </c>
      <c r="H243" s="2169" t="e">
        <f>G243/F243*100</f>
        <v>#DIV/0!</v>
      </c>
      <c r="I243" s="2147"/>
    </row>
    <row r="244" spans="1:9" ht="16.5" thickTop="1" thickBot="1" x14ac:dyDescent="0.3">
      <c r="A244" s="2177" t="s">
        <v>802</v>
      </c>
      <c r="B244" s="2178"/>
      <c r="C244" s="2178"/>
      <c r="D244" s="2179"/>
      <c r="E244" s="2172">
        <f>SUM(E240:E243)</f>
        <v>0</v>
      </c>
      <c r="F244" s="2172">
        <f>SUM(F240:F243)</f>
        <v>638</v>
      </c>
      <c r="G244" s="2172">
        <f>SUM(G240:G243)</f>
        <v>637</v>
      </c>
      <c r="H244" s="2173">
        <f>G244/F244*100</f>
        <v>99.843260188087783</v>
      </c>
      <c r="I244" s="2147"/>
    </row>
    <row r="245" spans="1:9" ht="13.5" thickTop="1" x14ac:dyDescent="0.2"/>
    <row r="246" spans="1:9" ht="15" x14ac:dyDescent="0.25">
      <c r="A246" s="2132" t="s">
        <v>1895</v>
      </c>
      <c r="B246" s="2146"/>
      <c r="C246" s="2146"/>
      <c r="D246" s="2146"/>
      <c r="F246" s="2147"/>
      <c r="G246" s="2147"/>
      <c r="H246" s="2147"/>
      <c r="I246" s="2147"/>
    </row>
    <row r="247" spans="1:9" ht="15.75" thickBot="1" x14ac:dyDescent="0.3">
      <c r="A247" s="2132" t="s">
        <v>1896</v>
      </c>
      <c r="B247" s="2146"/>
      <c r="C247" s="2146"/>
      <c r="D247" s="2146"/>
      <c r="F247" s="2147"/>
      <c r="G247" s="2147"/>
      <c r="H247" s="2148" t="s">
        <v>173</v>
      </c>
      <c r="I247" s="2147"/>
    </row>
    <row r="248" spans="1:9" ht="25.5" thickTop="1" thickBot="1" x14ac:dyDescent="0.25">
      <c r="A248" s="2149" t="s">
        <v>174</v>
      </c>
      <c r="B248" s="2150" t="s">
        <v>800</v>
      </c>
      <c r="C248" s="2150" t="s">
        <v>397</v>
      </c>
      <c r="D248" s="2151" t="s">
        <v>176</v>
      </c>
      <c r="E248" s="2152" t="s">
        <v>669</v>
      </c>
      <c r="F248" s="2152" t="s">
        <v>670</v>
      </c>
      <c r="G248" s="2153" t="s">
        <v>923</v>
      </c>
      <c r="H248" s="2154" t="s">
        <v>924</v>
      </c>
      <c r="I248" s="2147"/>
    </row>
    <row r="249" spans="1:9" ht="14.25" thickTop="1" thickBot="1" x14ac:dyDescent="0.25">
      <c r="A249" s="2155">
        <v>1</v>
      </c>
      <c r="B249" s="2156">
        <v>2</v>
      </c>
      <c r="C249" s="2156">
        <v>3</v>
      </c>
      <c r="D249" s="2156">
        <v>5</v>
      </c>
      <c r="E249" s="2157">
        <v>6</v>
      </c>
      <c r="F249" s="2157">
        <v>7</v>
      </c>
      <c r="G249" s="2158">
        <v>8</v>
      </c>
      <c r="H249" s="2174" t="s">
        <v>801</v>
      </c>
      <c r="I249" s="2147"/>
    </row>
    <row r="250" spans="1:9" ht="30.75" thickTop="1" x14ac:dyDescent="0.2">
      <c r="A250" s="2165">
        <v>3299</v>
      </c>
      <c r="B250" s="2166">
        <v>5336</v>
      </c>
      <c r="C250" s="2166">
        <v>32133030</v>
      </c>
      <c r="D250" s="2167" t="s">
        <v>1325</v>
      </c>
      <c r="E250" s="2163">
        <v>0</v>
      </c>
      <c r="F250" s="2163">
        <v>54</v>
      </c>
      <c r="G250" s="2175">
        <v>54</v>
      </c>
      <c r="H250" s="2164">
        <f>G250/F250*100</f>
        <v>100</v>
      </c>
      <c r="I250" s="2147"/>
    </row>
    <row r="251" spans="1:9" ht="30.75" thickBot="1" x14ac:dyDescent="0.25">
      <c r="A251" s="2165">
        <v>3299</v>
      </c>
      <c r="B251" s="2166">
        <v>5336</v>
      </c>
      <c r="C251" s="2166">
        <v>32533030</v>
      </c>
      <c r="D251" s="2167" t="s">
        <v>1325</v>
      </c>
      <c r="E251" s="2168">
        <v>0</v>
      </c>
      <c r="F251" s="2168">
        <v>308</v>
      </c>
      <c r="G251" s="2176">
        <v>308</v>
      </c>
      <c r="H251" s="2169">
        <f>G251/F251*100</f>
        <v>100</v>
      </c>
      <c r="I251" s="2147"/>
    </row>
    <row r="252" spans="1:9" ht="30.75" hidden="1" thickBot="1" x14ac:dyDescent="0.25">
      <c r="A252" s="2165">
        <v>3299</v>
      </c>
      <c r="B252" s="2166">
        <v>6351</v>
      </c>
      <c r="C252" s="2166">
        <v>32133006</v>
      </c>
      <c r="D252" s="2167" t="s">
        <v>1339</v>
      </c>
      <c r="E252" s="2168">
        <v>0</v>
      </c>
      <c r="F252" s="2168">
        <v>0</v>
      </c>
      <c r="G252" s="2176">
        <v>0</v>
      </c>
      <c r="H252" s="2169" t="e">
        <f>G252/F252*100</f>
        <v>#DIV/0!</v>
      </c>
      <c r="I252" s="2147"/>
    </row>
    <row r="253" spans="1:9" ht="30.75" hidden="1" thickBot="1" x14ac:dyDescent="0.25">
      <c r="A253" s="2165">
        <v>3299</v>
      </c>
      <c r="B253" s="2166">
        <v>6351</v>
      </c>
      <c r="C253" s="2166">
        <v>32533006</v>
      </c>
      <c r="D253" s="2167" t="s">
        <v>1339</v>
      </c>
      <c r="E253" s="2168">
        <v>0</v>
      </c>
      <c r="F253" s="2168">
        <v>0</v>
      </c>
      <c r="G253" s="2176">
        <v>0</v>
      </c>
      <c r="H253" s="2169" t="e">
        <f>G253/F253*100</f>
        <v>#DIV/0!</v>
      </c>
      <c r="I253" s="2147"/>
    </row>
    <row r="254" spans="1:9" ht="16.5" thickTop="1" thickBot="1" x14ac:dyDescent="0.3">
      <c r="A254" s="2177" t="s">
        <v>802</v>
      </c>
      <c r="B254" s="2178"/>
      <c r="C254" s="2178"/>
      <c r="D254" s="2179"/>
      <c r="E254" s="2172">
        <f>SUM(E250:E253)</f>
        <v>0</v>
      </c>
      <c r="F254" s="2172">
        <f>SUM(F250:F253)</f>
        <v>362</v>
      </c>
      <c r="G254" s="2172">
        <f>SUM(G250:G253)</f>
        <v>362</v>
      </c>
      <c r="H254" s="2173">
        <f>G254/F254*100</f>
        <v>100</v>
      </c>
      <c r="I254" s="2147"/>
    </row>
    <row r="255" spans="1:9" ht="13.5" thickTop="1" x14ac:dyDescent="0.2"/>
    <row r="256" spans="1:9" ht="15" x14ac:dyDescent="0.25">
      <c r="A256" s="2132" t="s">
        <v>1042</v>
      </c>
      <c r="B256" s="2146"/>
      <c r="C256" s="2146"/>
      <c r="D256" s="2146"/>
      <c r="F256" s="2147"/>
      <c r="G256" s="2147"/>
      <c r="H256" s="2147"/>
      <c r="I256" s="2147"/>
    </row>
    <row r="257" spans="1:9" ht="15.75" thickBot="1" x14ac:dyDescent="0.3">
      <c r="A257" s="2132" t="s">
        <v>1043</v>
      </c>
      <c r="B257" s="2146"/>
      <c r="C257" s="2146"/>
      <c r="D257" s="2146"/>
      <c r="F257" s="2147"/>
      <c r="G257" s="2147"/>
      <c r="H257" s="2148" t="s">
        <v>173</v>
      </c>
      <c r="I257" s="2147"/>
    </row>
    <row r="258" spans="1:9" ht="25.5" thickTop="1" thickBot="1" x14ac:dyDescent="0.25">
      <c r="A258" s="2149" t="s">
        <v>174</v>
      </c>
      <c r="B258" s="2150" t="s">
        <v>800</v>
      </c>
      <c r="C258" s="2150" t="s">
        <v>397</v>
      </c>
      <c r="D258" s="2151" t="s">
        <v>176</v>
      </c>
      <c r="E258" s="2152" t="s">
        <v>669</v>
      </c>
      <c r="F258" s="2152" t="s">
        <v>670</v>
      </c>
      <c r="G258" s="2153" t="s">
        <v>923</v>
      </c>
      <c r="H258" s="2154" t="s">
        <v>924</v>
      </c>
      <c r="I258" s="2147"/>
    </row>
    <row r="259" spans="1:9" ht="14.25" thickTop="1" thickBot="1" x14ac:dyDescent="0.25">
      <c r="A259" s="2155">
        <v>1</v>
      </c>
      <c r="B259" s="2156">
        <v>2</v>
      </c>
      <c r="C259" s="2156">
        <v>3</v>
      </c>
      <c r="D259" s="2156">
        <v>5</v>
      </c>
      <c r="E259" s="2157">
        <v>6</v>
      </c>
      <c r="F259" s="2157">
        <v>7</v>
      </c>
      <c r="G259" s="2158">
        <v>8</v>
      </c>
      <c r="H259" s="2174" t="s">
        <v>801</v>
      </c>
      <c r="I259" s="2147"/>
    </row>
    <row r="260" spans="1:9" ht="30.75" thickTop="1" x14ac:dyDescent="0.2">
      <c r="A260" s="2165">
        <v>3299</v>
      </c>
      <c r="B260" s="2166">
        <v>5336</v>
      </c>
      <c r="C260" s="2166">
        <v>32133030</v>
      </c>
      <c r="D260" s="2167" t="s">
        <v>1325</v>
      </c>
      <c r="E260" s="2163">
        <v>0</v>
      </c>
      <c r="F260" s="2163">
        <v>477</v>
      </c>
      <c r="G260" s="2175">
        <v>477</v>
      </c>
      <c r="H260" s="2164">
        <f>G260/F260*100</f>
        <v>100</v>
      </c>
      <c r="I260" s="2147"/>
    </row>
    <row r="261" spans="1:9" ht="30.75" thickBot="1" x14ac:dyDescent="0.25">
      <c r="A261" s="2165">
        <v>3299</v>
      </c>
      <c r="B261" s="2166">
        <v>5336</v>
      </c>
      <c r="C261" s="2166">
        <v>32533030</v>
      </c>
      <c r="D261" s="2167" t="s">
        <v>1325</v>
      </c>
      <c r="E261" s="2168">
        <v>0</v>
      </c>
      <c r="F261" s="2168">
        <v>2703</v>
      </c>
      <c r="G261" s="2176">
        <v>2703</v>
      </c>
      <c r="H261" s="2169">
        <f>G261/F261*100</f>
        <v>100</v>
      </c>
      <c r="I261" s="2147"/>
    </row>
    <row r="262" spans="1:9" ht="30.75" hidden="1" thickBot="1" x14ac:dyDescent="0.25">
      <c r="A262" s="2165">
        <v>3299</v>
      </c>
      <c r="B262" s="2166">
        <v>6351</v>
      </c>
      <c r="C262" s="2166">
        <v>32133006</v>
      </c>
      <c r="D262" s="2167" t="s">
        <v>1339</v>
      </c>
      <c r="E262" s="2168">
        <v>0</v>
      </c>
      <c r="F262" s="2168">
        <v>0</v>
      </c>
      <c r="G262" s="2176">
        <v>0</v>
      </c>
      <c r="H262" s="2169" t="e">
        <f>G262/F262*100</f>
        <v>#DIV/0!</v>
      </c>
      <c r="I262" s="2147"/>
    </row>
    <row r="263" spans="1:9" ht="30.75" hidden="1" thickBot="1" x14ac:dyDescent="0.25">
      <c r="A263" s="2165">
        <v>3299</v>
      </c>
      <c r="B263" s="2166">
        <v>6351</v>
      </c>
      <c r="C263" s="2166">
        <v>32533006</v>
      </c>
      <c r="D263" s="2167" t="s">
        <v>1339</v>
      </c>
      <c r="E263" s="2168">
        <v>0</v>
      </c>
      <c r="F263" s="2168">
        <v>0</v>
      </c>
      <c r="G263" s="2176">
        <v>0</v>
      </c>
      <c r="H263" s="2169" t="e">
        <f>G263/F263*100</f>
        <v>#DIV/0!</v>
      </c>
      <c r="I263" s="2147"/>
    </row>
    <row r="264" spans="1:9" ht="16.5" thickTop="1" thickBot="1" x14ac:dyDescent="0.3">
      <c r="A264" s="2177" t="s">
        <v>802</v>
      </c>
      <c r="B264" s="2178"/>
      <c r="C264" s="2178"/>
      <c r="D264" s="2179"/>
      <c r="E264" s="2172">
        <f>SUM(E260:E263)</f>
        <v>0</v>
      </c>
      <c r="F264" s="2172">
        <f>SUM(F260:F263)</f>
        <v>3180</v>
      </c>
      <c r="G264" s="2172">
        <f>SUM(G260:G263)</f>
        <v>3180</v>
      </c>
      <c r="H264" s="2173">
        <f>G264/F264*100</f>
        <v>100</v>
      </c>
      <c r="I264" s="2147"/>
    </row>
    <row r="265" spans="1:9" ht="13.5" thickTop="1" x14ac:dyDescent="0.2"/>
    <row r="266" spans="1:9" ht="15" customHeight="1" x14ac:dyDescent="0.25">
      <c r="A266" s="2132" t="s">
        <v>1897</v>
      </c>
      <c r="B266" s="2146"/>
      <c r="C266" s="2146"/>
      <c r="D266" s="2146"/>
      <c r="F266" s="2147"/>
      <c r="G266" s="2147"/>
      <c r="H266" s="2147"/>
      <c r="I266" s="2147"/>
    </row>
    <row r="267" spans="1:9" ht="15" customHeight="1" thickBot="1" x14ac:dyDescent="0.3">
      <c r="A267" s="2132" t="s">
        <v>1898</v>
      </c>
      <c r="B267" s="2146"/>
      <c r="C267" s="2146"/>
      <c r="D267" s="2146"/>
      <c r="F267" s="2147"/>
      <c r="G267" s="2147"/>
      <c r="H267" s="2148" t="s">
        <v>173</v>
      </c>
      <c r="I267" s="2147"/>
    </row>
    <row r="268" spans="1:9" ht="25.5" customHeight="1" thickTop="1" thickBot="1" x14ac:dyDescent="0.25">
      <c r="A268" s="2149" t="s">
        <v>174</v>
      </c>
      <c r="B268" s="2150" t="s">
        <v>800</v>
      </c>
      <c r="C268" s="2150" t="s">
        <v>397</v>
      </c>
      <c r="D268" s="2151" t="s">
        <v>176</v>
      </c>
      <c r="E268" s="2152" t="s">
        <v>669</v>
      </c>
      <c r="F268" s="2152" t="s">
        <v>670</v>
      </c>
      <c r="G268" s="2153" t="s">
        <v>923</v>
      </c>
      <c r="H268" s="2154" t="s">
        <v>924</v>
      </c>
      <c r="I268" s="2147"/>
    </row>
    <row r="269" spans="1:9" ht="15" customHeight="1" thickTop="1" thickBot="1" x14ac:dyDescent="0.25">
      <c r="A269" s="2155">
        <v>1</v>
      </c>
      <c r="B269" s="2156">
        <v>2</v>
      </c>
      <c r="C269" s="2156">
        <v>3</v>
      </c>
      <c r="D269" s="2156">
        <v>5</v>
      </c>
      <c r="E269" s="2157">
        <v>6</v>
      </c>
      <c r="F269" s="2157">
        <v>7</v>
      </c>
      <c r="G269" s="2158">
        <v>8</v>
      </c>
      <c r="H269" s="2174" t="s">
        <v>801</v>
      </c>
      <c r="I269" s="2147"/>
    </row>
    <row r="270" spans="1:9" ht="42.75" customHeight="1" thickTop="1" x14ac:dyDescent="0.2">
      <c r="A270" s="2165">
        <v>3299</v>
      </c>
      <c r="B270" s="2166">
        <v>5213</v>
      </c>
      <c r="C270" s="2166">
        <v>32133030</v>
      </c>
      <c r="D270" s="2167" t="s">
        <v>1046</v>
      </c>
      <c r="E270" s="2163">
        <v>0</v>
      </c>
      <c r="F270" s="2163">
        <v>79</v>
      </c>
      <c r="G270" s="2175">
        <v>79</v>
      </c>
      <c r="H270" s="2164">
        <f>G270/F270*100</f>
        <v>100</v>
      </c>
      <c r="I270" s="2147"/>
    </row>
    <row r="271" spans="1:9" ht="47.25" customHeight="1" x14ac:dyDescent="0.2">
      <c r="A271" s="2165">
        <v>3299</v>
      </c>
      <c r="B271" s="2166">
        <v>5213</v>
      </c>
      <c r="C271" s="2166">
        <v>32533030</v>
      </c>
      <c r="D271" s="2167" t="s">
        <v>1046</v>
      </c>
      <c r="E271" s="2168">
        <v>0</v>
      </c>
      <c r="F271" s="2168">
        <v>446</v>
      </c>
      <c r="G271" s="2176">
        <v>446</v>
      </c>
      <c r="H271" s="2169">
        <f>G271/F271*100</f>
        <v>100</v>
      </c>
      <c r="I271" s="2147"/>
    </row>
    <row r="272" spans="1:9" ht="45" x14ac:dyDescent="0.2">
      <c r="A272" s="2180">
        <v>3299</v>
      </c>
      <c r="B272" s="2181">
        <v>6313</v>
      </c>
      <c r="C272" s="2166">
        <v>32133006</v>
      </c>
      <c r="D272" s="2182" t="s">
        <v>1048</v>
      </c>
      <c r="E272" s="2168">
        <v>0</v>
      </c>
      <c r="F272" s="2168">
        <v>49</v>
      </c>
      <c r="G272" s="2176">
        <v>14</v>
      </c>
      <c r="H272" s="2169">
        <f>G272/F272*100</f>
        <v>28.571428571428569</v>
      </c>
      <c r="I272" s="2147"/>
    </row>
    <row r="273" spans="1:9" ht="45.75" thickBot="1" x14ac:dyDescent="0.25">
      <c r="A273" s="2180">
        <v>3299</v>
      </c>
      <c r="B273" s="2183">
        <v>6313</v>
      </c>
      <c r="C273" s="2184">
        <v>32533006</v>
      </c>
      <c r="D273" s="2185" t="s">
        <v>1048</v>
      </c>
      <c r="E273" s="2168">
        <v>0</v>
      </c>
      <c r="F273" s="2168">
        <v>275</v>
      </c>
      <c r="G273" s="2176">
        <v>76</v>
      </c>
      <c r="H273" s="2169">
        <f>G273/F273*100</f>
        <v>27.636363636363637</v>
      </c>
      <c r="I273" s="2147"/>
    </row>
    <row r="274" spans="1:9" ht="16.5" customHeight="1" thickTop="1" thickBot="1" x14ac:dyDescent="0.3">
      <c r="A274" s="2177" t="s">
        <v>802</v>
      </c>
      <c r="B274" s="2178"/>
      <c r="C274" s="2178"/>
      <c r="D274" s="2179"/>
      <c r="E274" s="2172">
        <f>SUM(E270:E271)</f>
        <v>0</v>
      </c>
      <c r="F274" s="2172">
        <f>SUM(F270:F273)</f>
        <v>849</v>
      </c>
      <c r="G274" s="2172">
        <f>SUM(G270:G273)</f>
        <v>615</v>
      </c>
      <c r="H274" s="2173">
        <f>G274/F274*100</f>
        <v>72.438162544169614</v>
      </c>
      <c r="I274" s="2147"/>
    </row>
    <row r="275" spans="1:9" ht="13.5" thickTop="1" x14ac:dyDescent="0.2"/>
    <row r="276" spans="1:9" ht="15" customHeight="1" x14ac:dyDescent="0.25">
      <c r="A276" s="2132" t="s">
        <v>1047</v>
      </c>
      <c r="B276" s="2146"/>
      <c r="C276" s="2146"/>
      <c r="D276" s="2146"/>
      <c r="F276" s="2147"/>
      <c r="G276" s="2147"/>
      <c r="H276" s="2147"/>
      <c r="I276" s="2147"/>
    </row>
    <row r="277" spans="1:9" ht="15" customHeight="1" thickBot="1" x14ac:dyDescent="0.3">
      <c r="A277" s="2132" t="s">
        <v>1012</v>
      </c>
      <c r="B277" s="2146"/>
      <c r="C277" s="2146"/>
      <c r="D277" s="2146"/>
      <c r="F277" s="2147"/>
      <c r="G277" s="2147"/>
      <c r="H277" s="2148" t="s">
        <v>173</v>
      </c>
      <c r="I277" s="2147"/>
    </row>
    <row r="278" spans="1:9" ht="25.5" customHeight="1" thickTop="1" thickBot="1" x14ac:dyDescent="0.25">
      <c r="A278" s="2149" t="s">
        <v>174</v>
      </c>
      <c r="B278" s="2150" t="s">
        <v>800</v>
      </c>
      <c r="C278" s="2150" t="s">
        <v>397</v>
      </c>
      <c r="D278" s="2151" t="s">
        <v>176</v>
      </c>
      <c r="E278" s="2152" t="s">
        <v>669</v>
      </c>
      <c r="F278" s="2152" t="s">
        <v>670</v>
      </c>
      <c r="G278" s="2153" t="s">
        <v>923</v>
      </c>
      <c r="H278" s="2154" t="s">
        <v>924</v>
      </c>
      <c r="I278" s="2147"/>
    </row>
    <row r="279" spans="1:9" ht="15" customHeight="1" thickTop="1" thickBot="1" x14ac:dyDescent="0.25">
      <c r="A279" s="2155">
        <v>1</v>
      </c>
      <c r="B279" s="2156">
        <v>2</v>
      </c>
      <c r="C279" s="2156">
        <v>3</v>
      </c>
      <c r="D279" s="2156">
        <v>5</v>
      </c>
      <c r="E279" s="2157">
        <v>6</v>
      </c>
      <c r="F279" s="2157">
        <v>7</v>
      </c>
      <c r="G279" s="2158">
        <v>8</v>
      </c>
      <c r="H279" s="2174" t="s">
        <v>801</v>
      </c>
      <c r="I279" s="2147"/>
    </row>
    <row r="280" spans="1:9" ht="42.75" customHeight="1" thickTop="1" x14ac:dyDescent="0.2">
      <c r="A280" s="2165">
        <v>3299</v>
      </c>
      <c r="B280" s="2166">
        <v>5213</v>
      </c>
      <c r="C280" s="2166">
        <v>32133030</v>
      </c>
      <c r="D280" s="2167" t="s">
        <v>1046</v>
      </c>
      <c r="E280" s="2163">
        <v>0</v>
      </c>
      <c r="F280" s="2163">
        <v>273</v>
      </c>
      <c r="G280" s="2175">
        <v>212</v>
      </c>
      <c r="H280" s="2164">
        <f>G280/F280*100</f>
        <v>77.655677655677664</v>
      </c>
      <c r="I280" s="2147"/>
    </row>
    <row r="281" spans="1:9" ht="47.25" customHeight="1" thickBot="1" x14ac:dyDescent="0.25">
      <c r="A281" s="2165">
        <v>3299</v>
      </c>
      <c r="B281" s="2166">
        <v>5213</v>
      </c>
      <c r="C281" s="2166">
        <v>32533030</v>
      </c>
      <c r="D281" s="2167" t="s">
        <v>1046</v>
      </c>
      <c r="E281" s="2168">
        <v>0</v>
      </c>
      <c r="F281" s="2168">
        <v>1547</v>
      </c>
      <c r="G281" s="2176">
        <v>1198</v>
      </c>
      <c r="H281" s="2169">
        <f>G281/F281*100</f>
        <v>77.440206851971567</v>
      </c>
      <c r="I281" s="2147"/>
    </row>
    <row r="282" spans="1:9" ht="47.25" hidden="1" customHeight="1" x14ac:dyDescent="0.2">
      <c r="A282" s="2180">
        <v>3299</v>
      </c>
      <c r="B282" s="2181">
        <v>6313</v>
      </c>
      <c r="C282" s="2166">
        <v>32133006</v>
      </c>
      <c r="D282" s="2182" t="s">
        <v>1048</v>
      </c>
      <c r="E282" s="2168">
        <v>0</v>
      </c>
      <c r="F282" s="2168">
        <v>0</v>
      </c>
      <c r="G282" s="2176">
        <v>0</v>
      </c>
      <c r="H282" s="2169" t="e">
        <f>G282/F282*100</f>
        <v>#DIV/0!</v>
      </c>
      <c r="I282" s="2147"/>
    </row>
    <row r="283" spans="1:9" ht="47.25" hidden="1" customHeight="1" x14ac:dyDescent="0.2">
      <c r="A283" s="2180">
        <v>3299</v>
      </c>
      <c r="B283" s="2183">
        <v>6313</v>
      </c>
      <c r="C283" s="2184">
        <v>32533006</v>
      </c>
      <c r="D283" s="2185" t="s">
        <v>1048</v>
      </c>
      <c r="E283" s="2168">
        <v>0</v>
      </c>
      <c r="F283" s="2168">
        <v>0</v>
      </c>
      <c r="G283" s="2176">
        <v>0</v>
      </c>
      <c r="H283" s="2169" t="e">
        <f>G283/F283*100</f>
        <v>#DIV/0!</v>
      </c>
      <c r="I283" s="2147"/>
    </row>
    <row r="284" spans="1:9" ht="16.5" customHeight="1" thickTop="1" thickBot="1" x14ac:dyDescent="0.3">
      <c r="A284" s="2177" t="s">
        <v>802</v>
      </c>
      <c r="B284" s="2178"/>
      <c r="C284" s="2178"/>
      <c r="D284" s="2179"/>
      <c r="E284" s="2172">
        <f>SUM(E280:E281)</f>
        <v>0</v>
      </c>
      <c r="F284" s="2172">
        <f>SUM(F280:F283)</f>
        <v>1820</v>
      </c>
      <c r="G284" s="2172">
        <f>SUM(G280:G283)</f>
        <v>1410</v>
      </c>
      <c r="H284" s="2173">
        <f>G284/F284*100</f>
        <v>77.472527472527474</v>
      </c>
      <c r="I284" s="2147"/>
    </row>
    <row r="285" spans="1:9" ht="13.5" thickTop="1" x14ac:dyDescent="0.2"/>
    <row r="286" spans="1:9" ht="15" customHeight="1" x14ac:dyDescent="0.25">
      <c r="A286" s="2132" t="s">
        <v>1899</v>
      </c>
      <c r="B286" s="2146"/>
      <c r="C286" s="2146"/>
      <c r="D286" s="2146"/>
      <c r="F286" s="2147"/>
      <c r="G286" s="2147"/>
      <c r="H286" s="2147"/>
      <c r="I286" s="2147"/>
    </row>
    <row r="287" spans="1:9" ht="15" customHeight="1" thickBot="1" x14ac:dyDescent="0.3">
      <c r="A287" s="2132" t="s">
        <v>91</v>
      </c>
      <c r="B287" s="2146"/>
      <c r="C287" s="2146"/>
      <c r="D287" s="2146"/>
      <c r="F287" s="2147"/>
      <c r="G287" s="2147"/>
      <c r="H287" s="2148" t="s">
        <v>173</v>
      </c>
      <c r="I287" s="2147"/>
    </row>
    <row r="288" spans="1:9" ht="25.5" customHeight="1" thickTop="1" thickBot="1" x14ac:dyDescent="0.25">
      <c r="A288" s="2149" t="s">
        <v>174</v>
      </c>
      <c r="B288" s="2150" t="s">
        <v>800</v>
      </c>
      <c r="C288" s="2150" t="s">
        <v>397</v>
      </c>
      <c r="D288" s="2151" t="s">
        <v>176</v>
      </c>
      <c r="E288" s="2152" t="s">
        <v>669</v>
      </c>
      <c r="F288" s="2152" t="s">
        <v>670</v>
      </c>
      <c r="G288" s="2153" t="s">
        <v>923</v>
      </c>
      <c r="H288" s="2154" t="s">
        <v>924</v>
      </c>
      <c r="I288" s="2147"/>
    </row>
    <row r="289" spans="1:9" ht="15" customHeight="1" thickTop="1" thickBot="1" x14ac:dyDescent="0.25">
      <c r="A289" s="2155">
        <v>1</v>
      </c>
      <c r="B289" s="2156">
        <v>2</v>
      </c>
      <c r="C289" s="2156">
        <v>3</v>
      </c>
      <c r="D289" s="2156">
        <v>5</v>
      </c>
      <c r="E289" s="2157">
        <v>6</v>
      </c>
      <c r="F289" s="2157">
        <v>7</v>
      </c>
      <c r="G289" s="2158">
        <v>8</v>
      </c>
      <c r="H289" s="2174" t="s">
        <v>801</v>
      </c>
      <c r="I289" s="2147"/>
    </row>
    <row r="290" spans="1:9" ht="42.75" customHeight="1" thickTop="1" x14ac:dyDescent="0.2">
      <c r="A290" s="2165">
        <v>3299</v>
      </c>
      <c r="B290" s="2166">
        <v>5213</v>
      </c>
      <c r="C290" s="2166">
        <v>32133030</v>
      </c>
      <c r="D290" s="2167" t="s">
        <v>1046</v>
      </c>
      <c r="E290" s="2163">
        <v>0</v>
      </c>
      <c r="F290" s="2163">
        <v>44</v>
      </c>
      <c r="G290" s="2175">
        <v>44</v>
      </c>
      <c r="H290" s="2164">
        <f>G290/F290*100</f>
        <v>100</v>
      </c>
      <c r="I290" s="2147"/>
    </row>
    <row r="291" spans="1:9" ht="47.25" customHeight="1" thickBot="1" x14ac:dyDescent="0.25">
      <c r="A291" s="2165">
        <v>3299</v>
      </c>
      <c r="B291" s="2166">
        <v>5213</v>
      </c>
      <c r="C291" s="2166">
        <v>32533030</v>
      </c>
      <c r="D291" s="2167" t="s">
        <v>1046</v>
      </c>
      <c r="E291" s="2168">
        <v>0</v>
      </c>
      <c r="F291" s="2168">
        <v>250</v>
      </c>
      <c r="G291" s="2176">
        <v>249</v>
      </c>
      <c r="H291" s="2169">
        <f>G291/F291*100</f>
        <v>99.6</v>
      </c>
      <c r="I291" s="2147"/>
    </row>
    <row r="292" spans="1:9" ht="47.25" hidden="1" customHeight="1" x14ac:dyDescent="0.2">
      <c r="A292" s="2180">
        <v>3299</v>
      </c>
      <c r="B292" s="2181">
        <v>6313</v>
      </c>
      <c r="C292" s="2166">
        <v>32133006</v>
      </c>
      <c r="D292" s="2182" t="s">
        <v>1048</v>
      </c>
      <c r="E292" s="2168">
        <v>0</v>
      </c>
      <c r="F292" s="2168">
        <v>0</v>
      </c>
      <c r="G292" s="2176">
        <v>0</v>
      </c>
      <c r="H292" s="2169" t="e">
        <f>G292/F292*100</f>
        <v>#DIV/0!</v>
      </c>
      <c r="I292" s="2147"/>
    </row>
    <row r="293" spans="1:9" ht="47.25" hidden="1" customHeight="1" x14ac:dyDescent="0.2">
      <c r="A293" s="2180">
        <v>3299</v>
      </c>
      <c r="B293" s="2183">
        <v>6313</v>
      </c>
      <c r="C293" s="2184">
        <v>32533006</v>
      </c>
      <c r="D293" s="2185" t="s">
        <v>1048</v>
      </c>
      <c r="E293" s="2168">
        <v>0</v>
      </c>
      <c r="F293" s="2168">
        <v>0</v>
      </c>
      <c r="G293" s="2176">
        <v>0</v>
      </c>
      <c r="H293" s="2169" t="e">
        <f>G293/F293*100</f>
        <v>#DIV/0!</v>
      </c>
      <c r="I293" s="2147"/>
    </row>
    <row r="294" spans="1:9" ht="16.5" customHeight="1" thickTop="1" thickBot="1" x14ac:dyDescent="0.3">
      <c r="A294" s="2177" t="s">
        <v>802</v>
      </c>
      <c r="B294" s="2178"/>
      <c r="C294" s="2178"/>
      <c r="D294" s="2179"/>
      <c r="E294" s="2172">
        <f>SUM(E290:E291)</f>
        <v>0</v>
      </c>
      <c r="F294" s="2172">
        <f>SUM(F290:F293)</f>
        <v>294</v>
      </c>
      <c r="G294" s="2172">
        <f>SUM(G290:G293)</f>
        <v>293</v>
      </c>
      <c r="H294" s="2173">
        <f>G294/F294*100</f>
        <v>99.659863945578238</v>
      </c>
      <c r="I294" s="2147"/>
    </row>
    <row r="295" spans="1:9" ht="13.5" thickTop="1" x14ac:dyDescent="0.2"/>
    <row r="296" spans="1:9" ht="15" customHeight="1" x14ac:dyDescent="0.25">
      <c r="A296" s="2132" t="s">
        <v>1672</v>
      </c>
      <c r="B296" s="2146"/>
      <c r="C296" s="2146"/>
      <c r="D296" s="2146"/>
      <c r="F296" s="2147"/>
      <c r="G296" s="2147"/>
      <c r="H296" s="2147"/>
      <c r="I296" s="2147"/>
    </row>
    <row r="297" spans="1:9" ht="15" customHeight="1" thickBot="1" x14ac:dyDescent="0.3">
      <c r="A297" s="2132" t="s">
        <v>1013</v>
      </c>
      <c r="B297" s="2146"/>
      <c r="C297" s="2146"/>
      <c r="D297" s="2146"/>
      <c r="F297" s="2147"/>
      <c r="G297" s="2147"/>
      <c r="H297" s="2148" t="s">
        <v>173</v>
      </c>
      <c r="I297" s="2147"/>
    </row>
    <row r="298" spans="1:9" ht="25.5" customHeight="1" thickTop="1" thickBot="1" x14ac:dyDescent="0.25">
      <c r="A298" s="2149" t="s">
        <v>174</v>
      </c>
      <c r="B298" s="2150" t="s">
        <v>800</v>
      </c>
      <c r="C298" s="2150" t="s">
        <v>397</v>
      </c>
      <c r="D298" s="2151" t="s">
        <v>176</v>
      </c>
      <c r="E298" s="2152" t="s">
        <v>669</v>
      </c>
      <c r="F298" s="2152" t="s">
        <v>670</v>
      </c>
      <c r="G298" s="2153" t="s">
        <v>923</v>
      </c>
      <c r="H298" s="2154" t="s">
        <v>924</v>
      </c>
      <c r="I298" s="2147"/>
    </row>
    <row r="299" spans="1:9" ht="15" customHeight="1" thickTop="1" thickBot="1" x14ac:dyDescent="0.25">
      <c r="A299" s="2155">
        <v>1</v>
      </c>
      <c r="B299" s="2156">
        <v>2</v>
      </c>
      <c r="C299" s="2156">
        <v>3</v>
      </c>
      <c r="D299" s="2156">
        <v>5</v>
      </c>
      <c r="E299" s="2157">
        <v>6</v>
      </c>
      <c r="F299" s="2157">
        <v>7</v>
      </c>
      <c r="G299" s="2158">
        <v>8</v>
      </c>
      <c r="H299" s="2174" t="s">
        <v>801</v>
      </c>
      <c r="I299" s="2147"/>
    </row>
    <row r="300" spans="1:9" ht="42.75" customHeight="1" thickTop="1" x14ac:dyDescent="0.2">
      <c r="A300" s="2165">
        <v>3299</v>
      </c>
      <c r="B300" s="2166">
        <v>5213</v>
      </c>
      <c r="C300" s="2166">
        <v>32133030</v>
      </c>
      <c r="D300" s="2167" t="s">
        <v>1046</v>
      </c>
      <c r="E300" s="2163">
        <v>0</v>
      </c>
      <c r="F300" s="2163">
        <v>130</v>
      </c>
      <c r="G300" s="2175">
        <v>130</v>
      </c>
      <c r="H300" s="2164">
        <f>G300/F300*100</f>
        <v>100</v>
      </c>
      <c r="I300" s="2147"/>
    </row>
    <row r="301" spans="1:9" ht="47.25" customHeight="1" x14ac:dyDescent="0.2">
      <c r="A301" s="2165">
        <v>3299</v>
      </c>
      <c r="B301" s="2166">
        <v>5213</v>
      </c>
      <c r="C301" s="2166">
        <v>32533030</v>
      </c>
      <c r="D301" s="2167" t="s">
        <v>1046</v>
      </c>
      <c r="E301" s="2168">
        <v>0</v>
      </c>
      <c r="F301" s="2168">
        <v>734</v>
      </c>
      <c r="G301" s="2176">
        <v>734</v>
      </c>
      <c r="H301" s="2169">
        <f>G301/F301*100</f>
        <v>100</v>
      </c>
      <c r="I301" s="2147"/>
    </row>
    <row r="302" spans="1:9" ht="45" x14ac:dyDescent="0.2">
      <c r="A302" s="2180">
        <v>3299</v>
      </c>
      <c r="B302" s="2181">
        <v>6313</v>
      </c>
      <c r="C302" s="2166">
        <v>32133006</v>
      </c>
      <c r="D302" s="2182" t="s">
        <v>1048</v>
      </c>
      <c r="E302" s="2168">
        <v>0</v>
      </c>
      <c r="F302" s="2168">
        <v>22</v>
      </c>
      <c r="G302" s="2176">
        <v>22</v>
      </c>
      <c r="H302" s="2169">
        <f>G302/F302*100</f>
        <v>100</v>
      </c>
      <c r="I302" s="2147"/>
    </row>
    <row r="303" spans="1:9" ht="45.75" thickBot="1" x14ac:dyDescent="0.25">
      <c r="A303" s="2180">
        <v>3299</v>
      </c>
      <c r="B303" s="2183">
        <v>6313</v>
      </c>
      <c r="C303" s="2184">
        <v>32533006</v>
      </c>
      <c r="D303" s="2185" t="s">
        <v>1048</v>
      </c>
      <c r="E303" s="2168">
        <v>0</v>
      </c>
      <c r="F303" s="2168">
        <v>125</v>
      </c>
      <c r="G303" s="2176">
        <v>125</v>
      </c>
      <c r="H303" s="2169">
        <f>G303/F303*100</f>
        <v>100</v>
      </c>
      <c r="I303" s="2147"/>
    </row>
    <row r="304" spans="1:9" ht="16.5" customHeight="1" thickTop="1" thickBot="1" x14ac:dyDescent="0.3">
      <c r="A304" s="2177" t="s">
        <v>802</v>
      </c>
      <c r="B304" s="2178"/>
      <c r="C304" s="2178"/>
      <c r="D304" s="2179"/>
      <c r="E304" s="2172">
        <f>SUM(E300:E301)</f>
        <v>0</v>
      </c>
      <c r="F304" s="2172">
        <f>SUM(F300:F303)</f>
        <v>1011</v>
      </c>
      <c r="G304" s="2172">
        <f>SUM(G300:G303)</f>
        <v>1011</v>
      </c>
      <c r="H304" s="2173">
        <f>G304/F304*100</f>
        <v>100</v>
      </c>
      <c r="I304" s="2147"/>
    </row>
    <row r="305" spans="1:9" ht="13.5" thickTop="1" x14ac:dyDescent="0.2"/>
    <row r="306" spans="1:9" ht="15" x14ac:dyDescent="0.25">
      <c r="A306" s="2132" t="s">
        <v>1673</v>
      </c>
      <c r="B306" s="2146"/>
      <c r="C306" s="2146"/>
      <c r="D306" s="2146"/>
      <c r="F306" s="2147"/>
      <c r="G306" s="2147"/>
      <c r="H306" s="2147"/>
      <c r="I306" s="2147"/>
    </row>
    <row r="307" spans="1:9" ht="15.75" thickBot="1" x14ac:dyDescent="0.3">
      <c r="A307" s="2132" t="s">
        <v>1674</v>
      </c>
      <c r="B307" s="2146"/>
      <c r="C307" s="2146"/>
      <c r="D307" s="2146"/>
      <c r="F307" s="2147"/>
      <c r="G307" s="2147"/>
      <c r="H307" s="2148" t="s">
        <v>173</v>
      </c>
      <c r="I307" s="2147"/>
    </row>
    <row r="308" spans="1:9" ht="25.5" thickTop="1" thickBot="1" x14ac:dyDescent="0.25">
      <c r="A308" s="2149" t="s">
        <v>174</v>
      </c>
      <c r="B308" s="2150" t="s">
        <v>800</v>
      </c>
      <c r="C308" s="2150" t="s">
        <v>397</v>
      </c>
      <c r="D308" s="2151" t="s">
        <v>176</v>
      </c>
      <c r="E308" s="2152" t="s">
        <v>669</v>
      </c>
      <c r="F308" s="2152" t="s">
        <v>670</v>
      </c>
      <c r="G308" s="2153" t="s">
        <v>923</v>
      </c>
      <c r="H308" s="2154" t="s">
        <v>924</v>
      </c>
      <c r="I308" s="2147"/>
    </row>
    <row r="309" spans="1:9" ht="14.25" thickTop="1" thickBot="1" x14ac:dyDescent="0.25">
      <c r="A309" s="2155">
        <v>1</v>
      </c>
      <c r="B309" s="2156">
        <v>2</v>
      </c>
      <c r="C309" s="2156">
        <v>3</v>
      </c>
      <c r="D309" s="2156">
        <v>5</v>
      </c>
      <c r="E309" s="2157">
        <v>6</v>
      </c>
      <c r="F309" s="2157">
        <v>7</v>
      </c>
      <c r="G309" s="2158">
        <v>8</v>
      </c>
      <c r="H309" s="2174" t="s">
        <v>801</v>
      </c>
      <c r="I309" s="2147"/>
    </row>
    <row r="310" spans="1:9" ht="15.75" thickTop="1" x14ac:dyDescent="0.25">
      <c r="A310" s="2186">
        <v>3299</v>
      </c>
      <c r="B310" s="2187">
        <v>5321</v>
      </c>
      <c r="C310" s="2187">
        <v>32133030</v>
      </c>
      <c r="D310" s="2188" t="s">
        <v>1261</v>
      </c>
      <c r="E310" s="2163">
        <v>0</v>
      </c>
      <c r="F310" s="2163">
        <v>254</v>
      </c>
      <c r="G310" s="2175">
        <v>253</v>
      </c>
      <c r="H310" s="2164">
        <f>G310/F310*100</f>
        <v>99.606299212598429</v>
      </c>
      <c r="I310" s="2147"/>
    </row>
    <row r="311" spans="1:9" ht="15.75" thickBot="1" x14ac:dyDescent="0.3">
      <c r="A311" s="2186">
        <v>3299</v>
      </c>
      <c r="B311" s="2187">
        <v>5321</v>
      </c>
      <c r="C311" s="2187">
        <v>32533030</v>
      </c>
      <c r="D311" s="2189" t="s">
        <v>1261</v>
      </c>
      <c r="E311" s="2168">
        <v>0</v>
      </c>
      <c r="F311" s="2168">
        <v>1438</v>
      </c>
      <c r="G311" s="2176">
        <v>1436</v>
      </c>
      <c r="H311" s="2169">
        <f>G311/F311*100</f>
        <v>99.860917941585541</v>
      </c>
      <c r="I311" s="2147"/>
    </row>
    <row r="312" spans="1:9" ht="15.75" hidden="1" thickBot="1" x14ac:dyDescent="0.3">
      <c r="A312" s="2186">
        <v>3299</v>
      </c>
      <c r="B312" s="2187">
        <v>6341</v>
      </c>
      <c r="C312" s="2187">
        <v>32133926</v>
      </c>
      <c r="D312" s="2188" t="s">
        <v>261</v>
      </c>
      <c r="E312" s="2168">
        <v>0</v>
      </c>
      <c r="F312" s="2168"/>
      <c r="G312" s="2176"/>
      <c r="H312" s="2169" t="e">
        <f>G312/F312*100</f>
        <v>#DIV/0!</v>
      </c>
      <c r="I312" s="2147"/>
    </row>
    <row r="313" spans="1:9" ht="15.75" hidden="1" thickBot="1" x14ac:dyDescent="0.3">
      <c r="A313" s="2190">
        <v>3299</v>
      </c>
      <c r="B313" s="2191">
        <v>6341</v>
      </c>
      <c r="C313" s="2191">
        <v>32533926</v>
      </c>
      <c r="D313" s="2188" t="s">
        <v>261</v>
      </c>
      <c r="E313" s="2168">
        <v>0</v>
      </c>
      <c r="F313" s="2168"/>
      <c r="G313" s="2176"/>
      <c r="H313" s="2169" t="e">
        <f>G313/F313*100</f>
        <v>#DIV/0!</v>
      </c>
      <c r="I313" s="2147"/>
    </row>
    <row r="314" spans="1:9" ht="16.5" thickTop="1" thickBot="1" x14ac:dyDescent="0.3">
      <c r="A314" s="2177" t="s">
        <v>802</v>
      </c>
      <c r="B314" s="2178"/>
      <c r="C314" s="2178"/>
      <c r="D314" s="2179"/>
      <c r="E314" s="2172">
        <f>SUM(E310:E313)</f>
        <v>0</v>
      </c>
      <c r="F314" s="2172">
        <f>SUM(F310:F313)</f>
        <v>1692</v>
      </c>
      <c r="G314" s="2172">
        <f>SUM(G310:G313)</f>
        <v>1689</v>
      </c>
      <c r="H314" s="2173">
        <f>G314/F314*100</f>
        <v>99.822695035460995</v>
      </c>
      <c r="I314" s="2147"/>
    </row>
    <row r="315" spans="1:9" ht="13.5" thickTop="1" x14ac:dyDescent="0.2"/>
    <row r="316" spans="1:9" ht="15" x14ac:dyDescent="0.25">
      <c r="A316" s="2132" t="s">
        <v>1474</v>
      </c>
      <c r="B316" s="2146"/>
      <c r="C316" s="2146"/>
      <c r="D316" s="2146"/>
      <c r="F316" s="2147"/>
      <c r="G316" s="2147"/>
      <c r="H316" s="2147"/>
      <c r="I316" s="2147"/>
    </row>
    <row r="317" spans="1:9" ht="15.75" thickBot="1" x14ac:dyDescent="0.3">
      <c r="A317" s="2132" t="s">
        <v>1473</v>
      </c>
      <c r="B317" s="2146"/>
      <c r="C317" s="2146"/>
      <c r="D317" s="2146"/>
      <c r="F317" s="2147"/>
      <c r="G317" s="2147"/>
      <c r="H317" s="2148" t="s">
        <v>173</v>
      </c>
      <c r="I317" s="2147"/>
    </row>
    <row r="318" spans="1:9" ht="25.5" thickTop="1" thickBot="1" x14ac:dyDescent="0.25">
      <c r="A318" s="2149" t="s">
        <v>174</v>
      </c>
      <c r="B318" s="2150" t="s">
        <v>800</v>
      </c>
      <c r="C318" s="2150" t="s">
        <v>397</v>
      </c>
      <c r="D318" s="2151" t="s">
        <v>176</v>
      </c>
      <c r="E318" s="2152" t="s">
        <v>669</v>
      </c>
      <c r="F318" s="2152" t="s">
        <v>670</v>
      </c>
      <c r="G318" s="2153" t="s">
        <v>923</v>
      </c>
      <c r="H318" s="2154" t="s">
        <v>924</v>
      </c>
      <c r="I318" s="2147"/>
    </row>
    <row r="319" spans="1:9" ht="14.25" thickTop="1" thickBot="1" x14ac:dyDescent="0.25">
      <c r="A319" s="2155">
        <v>1</v>
      </c>
      <c r="B319" s="2156">
        <v>2</v>
      </c>
      <c r="C319" s="2156">
        <v>3</v>
      </c>
      <c r="D319" s="2156">
        <v>5</v>
      </c>
      <c r="E319" s="2157">
        <v>6</v>
      </c>
      <c r="F319" s="2157">
        <v>7</v>
      </c>
      <c r="G319" s="2158">
        <v>8</v>
      </c>
      <c r="H319" s="2174" t="s">
        <v>801</v>
      </c>
      <c r="I319" s="2147"/>
    </row>
    <row r="320" spans="1:9" ht="15.75" thickTop="1" x14ac:dyDescent="0.25">
      <c r="A320" s="2186">
        <v>3299</v>
      </c>
      <c r="B320" s="2187">
        <v>5321</v>
      </c>
      <c r="C320" s="2187">
        <v>32133030</v>
      </c>
      <c r="D320" s="2188" t="s">
        <v>1261</v>
      </c>
      <c r="E320" s="2163">
        <v>0</v>
      </c>
      <c r="F320" s="2163">
        <v>52</v>
      </c>
      <c r="G320" s="2175">
        <v>52</v>
      </c>
      <c r="H320" s="2164">
        <f>G320/F320*100</f>
        <v>100</v>
      </c>
      <c r="I320" s="2147"/>
    </row>
    <row r="321" spans="1:9" ht="15.75" thickBot="1" x14ac:dyDescent="0.3">
      <c r="A321" s="2186">
        <v>3299</v>
      </c>
      <c r="B321" s="2187">
        <v>5321</v>
      </c>
      <c r="C321" s="2187">
        <v>32533030</v>
      </c>
      <c r="D321" s="2189" t="s">
        <v>1261</v>
      </c>
      <c r="E321" s="2168">
        <v>0</v>
      </c>
      <c r="F321" s="2168">
        <v>294</v>
      </c>
      <c r="G321" s="2176">
        <v>294</v>
      </c>
      <c r="H321" s="2169">
        <f>G321/F321*100</f>
        <v>100</v>
      </c>
      <c r="I321" s="2147"/>
    </row>
    <row r="322" spans="1:9" ht="15.75" hidden="1" thickBot="1" x14ac:dyDescent="0.3">
      <c r="A322" s="2186">
        <v>3299</v>
      </c>
      <c r="B322" s="2187">
        <v>6341</v>
      </c>
      <c r="C322" s="2187">
        <v>32133926</v>
      </c>
      <c r="D322" s="2188" t="s">
        <v>261</v>
      </c>
      <c r="E322" s="2168">
        <v>0</v>
      </c>
      <c r="F322" s="2168"/>
      <c r="G322" s="2176"/>
      <c r="H322" s="2169" t="e">
        <f>G322/F322*100</f>
        <v>#DIV/0!</v>
      </c>
      <c r="I322" s="2147"/>
    </row>
    <row r="323" spans="1:9" ht="15.75" hidden="1" thickBot="1" x14ac:dyDescent="0.3">
      <c r="A323" s="2190">
        <v>3299</v>
      </c>
      <c r="B323" s="2191">
        <v>6341</v>
      </c>
      <c r="C323" s="2191">
        <v>32533926</v>
      </c>
      <c r="D323" s="2188" t="s">
        <v>261</v>
      </c>
      <c r="E323" s="2168">
        <v>0</v>
      </c>
      <c r="F323" s="2168"/>
      <c r="G323" s="2176"/>
      <c r="H323" s="2169" t="e">
        <f>G323/F323*100</f>
        <v>#DIV/0!</v>
      </c>
      <c r="I323" s="2147"/>
    </row>
    <row r="324" spans="1:9" ht="16.5" thickTop="1" thickBot="1" x14ac:dyDescent="0.3">
      <c r="A324" s="2177" t="s">
        <v>802</v>
      </c>
      <c r="B324" s="2178"/>
      <c r="C324" s="2178"/>
      <c r="D324" s="2179"/>
      <c r="E324" s="2172">
        <f>SUM(E320:E323)</f>
        <v>0</v>
      </c>
      <c r="F324" s="2172">
        <f>SUM(F320:F323)</f>
        <v>346</v>
      </c>
      <c r="G324" s="2172">
        <f>SUM(G320:G323)</f>
        <v>346</v>
      </c>
      <c r="H324" s="2173">
        <f>G324/F324*100</f>
        <v>100</v>
      </c>
      <c r="I324" s="2147"/>
    </row>
    <row r="325" spans="1:9" ht="13.5" thickTop="1" x14ac:dyDescent="0.2"/>
    <row r="326" spans="1:9" ht="15" x14ac:dyDescent="0.25">
      <c r="A326" s="2132" t="s">
        <v>1900</v>
      </c>
      <c r="B326" s="2146"/>
      <c r="C326" s="2146"/>
      <c r="D326" s="2146"/>
      <c r="F326" s="2147"/>
      <c r="G326" s="2147"/>
      <c r="H326" s="2147"/>
      <c r="I326" s="2147"/>
    </row>
    <row r="327" spans="1:9" ht="15.75" thickBot="1" x14ac:dyDescent="0.3">
      <c r="A327" s="2132" t="s">
        <v>1901</v>
      </c>
      <c r="B327" s="2146"/>
      <c r="C327" s="2146"/>
      <c r="D327" s="2146"/>
      <c r="F327" s="2147"/>
      <c r="G327" s="2147"/>
      <c r="H327" s="2148" t="s">
        <v>173</v>
      </c>
      <c r="I327" s="2147"/>
    </row>
    <row r="328" spans="1:9" ht="25.5" thickTop="1" thickBot="1" x14ac:dyDescent="0.25">
      <c r="A328" s="2149" t="s">
        <v>174</v>
      </c>
      <c r="B328" s="2150" t="s">
        <v>800</v>
      </c>
      <c r="C328" s="2150" t="s">
        <v>397</v>
      </c>
      <c r="D328" s="2151" t="s">
        <v>176</v>
      </c>
      <c r="E328" s="2152" t="s">
        <v>669</v>
      </c>
      <c r="F328" s="2152" t="s">
        <v>670</v>
      </c>
      <c r="G328" s="2153" t="s">
        <v>923</v>
      </c>
      <c r="H328" s="2154" t="s">
        <v>924</v>
      </c>
      <c r="I328" s="2147"/>
    </row>
    <row r="329" spans="1:9" ht="14.25" thickTop="1" thickBot="1" x14ac:dyDescent="0.25">
      <c r="A329" s="2155">
        <v>1</v>
      </c>
      <c r="B329" s="2156">
        <v>2</v>
      </c>
      <c r="C329" s="2156">
        <v>3</v>
      </c>
      <c r="D329" s="2156">
        <v>5</v>
      </c>
      <c r="E329" s="2157">
        <v>6</v>
      </c>
      <c r="F329" s="2157">
        <v>7</v>
      </c>
      <c r="G329" s="2158">
        <v>8</v>
      </c>
      <c r="H329" s="2174" t="s">
        <v>801</v>
      </c>
      <c r="I329" s="2147"/>
    </row>
    <row r="330" spans="1:9" ht="15.75" thickTop="1" x14ac:dyDescent="0.25">
      <c r="A330" s="2186">
        <v>3299</v>
      </c>
      <c r="B330" s="2187">
        <v>5321</v>
      </c>
      <c r="C330" s="2187">
        <v>32133030</v>
      </c>
      <c r="D330" s="2188" t="s">
        <v>1261</v>
      </c>
      <c r="E330" s="2163">
        <v>0</v>
      </c>
      <c r="F330" s="2163">
        <v>62</v>
      </c>
      <c r="G330" s="2175">
        <v>62</v>
      </c>
      <c r="H330" s="2164">
        <f>G330/F330*100</f>
        <v>100</v>
      </c>
      <c r="I330" s="2147"/>
    </row>
    <row r="331" spans="1:9" ht="15.75" thickBot="1" x14ac:dyDescent="0.3">
      <c r="A331" s="2186">
        <v>3299</v>
      </c>
      <c r="B331" s="2187">
        <v>5321</v>
      </c>
      <c r="C331" s="2187">
        <v>32533030</v>
      </c>
      <c r="D331" s="2189" t="s">
        <v>1261</v>
      </c>
      <c r="E331" s="2168">
        <v>0</v>
      </c>
      <c r="F331" s="2168">
        <v>349</v>
      </c>
      <c r="G331" s="2176">
        <v>349</v>
      </c>
      <c r="H331" s="2169">
        <f>G331/F331*100</f>
        <v>100</v>
      </c>
      <c r="I331" s="2147"/>
    </row>
    <row r="332" spans="1:9" ht="15.75" hidden="1" thickBot="1" x14ac:dyDescent="0.3">
      <c r="A332" s="2186">
        <v>3299</v>
      </c>
      <c r="B332" s="2187">
        <v>6341</v>
      </c>
      <c r="C332" s="2187">
        <v>32133926</v>
      </c>
      <c r="D332" s="2188" t="s">
        <v>261</v>
      </c>
      <c r="E332" s="2168">
        <v>0</v>
      </c>
      <c r="F332" s="2168"/>
      <c r="G332" s="2176"/>
      <c r="H332" s="2169" t="e">
        <f>G332/F332*100</f>
        <v>#DIV/0!</v>
      </c>
      <c r="I332" s="2147"/>
    </row>
    <row r="333" spans="1:9" ht="15.75" hidden="1" thickBot="1" x14ac:dyDescent="0.3">
      <c r="A333" s="2190">
        <v>3299</v>
      </c>
      <c r="B333" s="2191">
        <v>6341</v>
      </c>
      <c r="C333" s="2191">
        <v>32533926</v>
      </c>
      <c r="D333" s="2188" t="s">
        <v>261</v>
      </c>
      <c r="E333" s="2168">
        <v>0</v>
      </c>
      <c r="F333" s="2168"/>
      <c r="G333" s="2176"/>
      <c r="H333" s="2169" t="e">
        <f>G333/F333*100</f>
        <v>#DIV/0!</v>
      </c>
      <c r="I333" s="2147"/>
    </row>
    <row r="334" spans="1:9" ht="16.5" thickTop="1" thickBot="1" x14ac:dyDescent="0.3">
      <c r="A334" s="2177" t="s">
        <v>802</v>
      </c>
      <c r="B334" s="2178"/>
      <c r="C334" s="2178"/>
      <c r="D334" s="2179"/>
      <c r="E334" s="2172">
        <f>SUM(E330:E333)</f>
        <v>0</v>
      </c>
      <c r="F334" s="2172">
        <f>SUM(F330:F333)</f>
        <v>411</v>
      </c>
      <c r="G334" s="2172">
        <f>SUM(G330:G333)</f>
        <v>411</v>
      </c>
      <c r="H334" s="2173">
        <f>G334/F334*100</f>
        <v>100</v>
      </c>
      <c r="I334" s="2147"/>
    </row>
    <row r="335" spans="1:9" ht="13.5" thickTop="1" x14ac:dyDescent="0.2"/>
    <row r="336" spans="1:9" ht="15" x14ac:dyDescent="0.25">
      <c r="A336" s="2132" t="s">
        <v>241</v>
      </c>
      <c r="B336" s="2146"/>
      <c r="C336" s="2146"/>
      <c r="D336" s="2146"/>
      <c r="F336" s="2147"/>
      <c r="G336" s="2147"/>
      <c r="H336" s="2147"/>
      <c r="I336" s="2147"/>
    </row>
    <row r="337" spans="1:9" ht="15.75" thickBot="1" x14ac:dyDescent="0.3">
      <c r="A337" s="2132" t="s">
        <v>242</v>
      </c>
      <c r="B337" s="2146"/>
      <c r="C337" s="2146"/>
      <c r="D337" s="2146"/>
      <c r="F337" s="2147"/>
      <c r="G337" s="2147"/>
      <c r="H337" s="2148" t="s">
        <v>173</v>
      </c>
      <c r="I337" s="2147"/>
    </row>
    <row r="338" spans="1:9" ht="25.5" thickTop="1" thickBot="1" x14ac:dyDescent="0.25">
      <c r="A338" s="2149" t="s">
        <v>174</v>
      </c>
      <c r="B338" s="2150" t="s">
        <v>800</v>
      </c>
      <c r="C338" s="2150" t="s">
        <v>397</v>
      </c>
      <c r="D338" s="2151" t="s">
        <v>176</v>
      </c>
      <c r="E338" s="2152" t="s">
        <v>669</v>
      </c>
      <c r="F338" s="2152" t="s">
        <v>670</v>
      </c>
      <c r="G338" s="2153" t="s">
        <v>923</v>
      </c>
      <c r="H338" s="2154" t="s">
        <v>924</v>
      </c>
      <c r="I338" s="2147"/>
    </row>
    <row r="339" spans="1:9" ht="14.25" thickTop="1" thickBot="1" x14ac:dyDescent="0.25">
      <c r="A339" s="2155">
        <v>1</v>
      </c>
      <c r="B339" s="2156">
        <v>2</v>
      </c>
      <c r="C339" s="2156">
        <v>3</v>
      </c>
      <c r="D339" s="2156">
        <v>5</v>
      </c>
      <c r="E339" s="2157">
        <v>6</v>
      </c>
      <c r="F339" s="2157">
        <v>7</v>
      </c>
      <c r="G339" s="2158">
        <v>8</v>
      </c>
      <c r="H339" s="2174" t="s">
        <v>801</v>
      </c>
      <c r="I339" s="2147"/>
    </row>
    <row r="340" spans="1:9" ht="15.75" thickTop="1" x14ac:dyDescent="0.25">
      <c r="A340" s="2186">
        <v>3299</v>
      </c>
      <c r="B340" s="2187">
        <v>5321</v>
      </c>
      <c r="C340" s="2187">
        <v>32133030</v>
      </c>
      <c r="D340" s="2188" t="s">
        <v>1261</v>
      </c>
      <c r="E340" s="2163">
        <v>0</v>
      </c>
      <c r="F340" s="2163">
        <v>42</v>
      </c>
      <c r="G340" s="2175">
        <v>42</v>
      </c>
      <c r="H340" s="2164">
        <f>G340/F340*100</f>
        <v>100</v>
      </c>
      <c r="I340" s="2147"/>
    </row>
    <row r="341" spans="1:9" ht="15.75" thickBot="1" x14ac:dyDescent="0.3">
      <c r="A341" s="2186">
        <v>3299</v>
      </c>
      <c r="B341" s="2187">
        <v>5321</v>
      </c>
      <c r="C341" s="2187">
        <v>32533030</v>
      </c>
      <c r="D341" s="2189" t="s">
        <v>1261</v>
      </c>
      <c r="E341" s="2168">
        <v>0</v>
      </c>
      <c r="F341" s="2168">
        <v>237</v>
      </c>
      <c r="G341" s="2176">
        <v>237</v>
      </c>
      <c r="H341" s="2169">
        <f>G341/F341*100</f>
        <v>100</v>
      </c>
      <c r="I341" s="2147"/>
    </row>
    <row r="342" spans="1:9" ht="15.75" hidden="1" thickBot="1" x14ac:dyDescent="0.3">
      <c r="A342" s="2186">
        <v>3299</v>
      </c>
      <c r="B342" s="2187">
        <v>6341</v>
      </c>
      <c r="C342" s="2187">
        <v>32133926</v>
      </c>
      <c r="D342" s="2188" t="s">
        <v>261</v>
      </c>
      <c r="E342" s="2168">
        <v>0</v>
      </c>
      <c r="F342" s="2168"/>
      <c r="G342" s="2176"/>
      <c r="H342" s="2169" t="e">
        <f>G342/F342*100</f>
        <v>#DIV/0!</v>
      </c>
      <c r="I342" s="2147"/>
    </row>
    <row r="343" spans="1:9" ht="15.75" hidden="1" thickBot="1" x14ac:dyDescent="0.3">
      <c r="A343" s="2190">
        <v>3299</v>
      </c>
      <c r="B343" s="2191">
        <v>6341</v>
      </c>
      <c r="C343" s="2191">
        <v>32533926</v>
      </c>
      <c r="D343" s="2188" t="s">
        <v>261</v>
      </c>
      <c r="E343" s="2168">
        <v>0</v>
      </c>
      <c r="F343" s="2168"/>
      <c r="G343" s="2176"/>
      <c r="H343" s="2169" t="e">
        <f>G343/F343*100</f>
        <v>#DIV/0!</v>
      </c>
      <c r="I343" s="2147"/>
    </row>
    <row r="344" spans="1:9" ht="16.5" thickTop="1" thickBot="1" x14ac:dyDescent="0.3">
      <c r="A344" s="2177" t="s">
        <v>802</v>
      </c>
      <c r="B344" s="2178"/>
      <c r="C344" s="2178"/>
      <c r="D344" s="2179"/>
      <c r="E344" s="2172">
        <f>SUM(E340:E343)</f>
        <v>0</v>
      </c>
      <c r="F344" s="2172">
        <f>SUM(F340:F343)</f>
        <v>279</v>
      </c>
      <c r="G344" s="2172">
        <f>SUM(G340:G343)</f>
        <v>279</v>
      </c>
      <c r="H344" s="2173">
        <f>G344/F344*100</f>
        <v>100</v>
      </c>
      <c r="I344" s="2147"/>
    </row>
    <row r="345" spans="1:9" ht="13.5" thickTop="1" x14ac:dyDescent="0.2"/>
    <row r="346" spans="1:9" ht="15" x14ac:dyDescent="0.25">
      <c r="A346" s="2132" t="s">
        <v>1902</v>
      </c>
      <c r="B346" s="2146"/>
      <c r="C346" s="2146"/>
      <c r="D346" s="2146"/>
      <c r="F346" s="2147"/>
      <c r="G346" s="2147"/>
      <c r="H346" s="2147"/>
      <c r="I346" s="2147"/>
    </row>
    <row r="347" spans="1:9" ht="15.75" thickBot="1" x14ac:dyDescent="0.3">
      <c r="A347" s="2132" t="s">
        <v>1903</v>
      </c>
      <c r="B347" s="2146"/>
      <c r="C347" s="2146"/>
      <c r="D347" s="2146"/>
      <c r="F347" s="2147"/>
      <c r="G347" s="2147"/>
      <c r="H347" s="2148" t="s">
        <v>173</v>
      </c>
      <c r="I347" s="2147"/>
    </row>
    <row r="348" spans="1:9" ht="25.5" thickTop="1" thickBot="1" x14ac:dyDescent="0.25">
      <c r="A348" s="2149" t="s">
        <v>174</v>
      </c>
      <c r="B348" s="2150" t="s">
        <v>800</v>
      </c>
      <c r="C348" s="2150" t="s">
        <v>397</v>
      </c>
      <c r="D348" s="2151" t="s">
        <v>176</v>
      </c>
      <c r="E348" s="2152" t="s">
        <v>669</v>
      </c>
      <c r="F348" s="2152" t="s">
        <v>670</v>
      </c>
      <c r="G348" s="2153" t="s">
        <v>923</v>
      </c>
      <c r="H348" s="2154" t="s">
        <v>924</v>
      </c>
      <c r="I348" s="2147"/>
    </row>
    <row r="349" spans="1:9" ht="14.25" thickTop="1" thickBot="1" x14ac:dyDescent="0.25">
      <c r="A349" s="2155">
        <v>1</v>
      </c>
      <c r="B349" s="2156">
        <v>2</v>
      </c>
      <c r="C349" s="2156">
        <v>3</v>
      </c>
      <c r="D349" s="2156">
        <v>5</v>
      </c>
      <c r="E349" s="2157">
        <v>6</v>
      </c>
      <c r="F349" s="2157">
        <v>7</v>
      </c>
      <c r="G349" s="2158">
        <v>8</v>
      </c>
      <c r="H349" s="2174" t="s">
        <v>801</v>
      </c>
      <c r="I349" s="2147"/>
    </row>
    <row r="350" spans="1:9" ht="15.75" thickTop="1" x14ac:dyDescent="0.25">
      <c r="A350" s="2186">
        <v>3299</v>
      </c>
      <c r="B350" s="2187">
        <v>5321</v>
      </c>
      <c r="C350" s="2187">
        <v>32133030</v>
      </c>
      <c r="D350" s="2188" t="s">
        <v>1261</v>
      </c>
      <c r="E350" s="2163">
        <v>0</v>
      </c>
      <c r="F350" s="2163">
        <v>103</v>
      </c>
      <c r="G350" s="2175">
        <v>103</v>
      </c>
      <c r="H350" s="2164">
        <f>G350/F350*100</f>
        <v>100</v>
      </c>
      <c r="I350" s="2147"/>
    </row>
    <row r="351" spans="1:9" ht="15" x14ac:dyDescent="0.25">
      <c r="A351" s="2186">
        <v>3299</v>
      </c>
      <c r="B351" s="2187">
        <v>5321</v>
      </c>
      <c r="C351" s="2187">
        <v>32533030</v>
      </c>
      <c r="D351" s="2189" t="s">
        <v>1261</v>
      </c>
      <c r="E351" s="2168">
        <v>0</v>
      </c>
      <c r="F351" s="2168">
        <v>584</v>
      </c>
      <c r="G351" s="2176">
        <v>583</v>
      </c>
      <c r="H351" s="2169">
        <f>G351/F351*100</f>
        <v>99.828767123287676</v>
      </c>
      <c r="I351" s="2147"/>
    </row>
    <row r="352" spans="1:9" ht="15" x14ac:dyDescent="0.25">
      <c r="A352" s="2186">
        <v>3299</v>
      </c>
      <c r="B352" s="2187">
        <v>6341</v>
      </c>
      <c r="C352" s="2187">
        <v>32133926</v>
      </c>
      <c r="D352" s="2188" t="s">
        <v>261</v>
      </c>
      <c r="E352" s="2168">
        <v>0</v>
      </c>
      <c r="F352" s="2168">
        <v>7</v>
      </c>
      <c r="G352" s="2176">
        <v>0</v>
      </c>
      <c r="H352" s="2169">
        <f>G352/F352*100</f>
        <v>0</v>
      </c>
      <c r="I352" s="2147"/>
    </row>
    <row r="353" spans="1:9" ht="15.75" thickBot="1" x14ac:dyDescent="0.3">
      <c r="A353" s="2190">
        <v>3299</v>
      </c>
      <c r="B353" s="2191">
        <v>6341</v>
      </c>
      <c r="C353" s="2191">
        <v>32533926</v>
      </c>
      <c r="D353" s="2188" t="s">
        <v>261</v>
      </c>
      <c r="E353" s="2168">
        <v>0</v>
      </c>
      <c r="F353" s="2168">
        <v>38</v>
      </c>
      <c r="G353" s="2176">
        <v>0</v>
      </c>
      <c r="H353" s="2169">
        <f>G353/F353*100</f>
        <v>0</v>
      </c>
      <c r="I353" s="2147"/>
    </row>
    <row r="354" spans="1:9" ht="16.5" thickTop="1" thickBot="1" x14ac:dyDescent="0.3">
      <c r="A354" s="2177" t="s">
        <v>802</v>
      </c>
      <c r="B354" s="2178"/>
      <c r="C354" s="2178"/>
      <c r="D354" s="2179"/>
      <c r="E354" s="2172">
        <f>SUM(E350:E353)</f>
        <v>0</v>
      </c>
      <c r="F354" s="2172">
        <f>SUM(F350:F353)</f>
        <v>732</v>
      </c>
      <c r="G354" s="2172">
        <f>SUM(G350:G353)</f>
        <v>686</v>
      </c>
      <c r="H354" s="2173">
        <f>G354/F354*100</f>
        <v>93.715846994535525</v>
      </c>
      <c r="I354" s="2147"/>
    </row>
    <row r="355" spans="1:9" ht="13.5" thickTop="1" x14ac:dyDescent="0.2"/>
    <row r="356" spans="1:9" ht="15" x14ac:dyDescent="0.25">
      <c r="A356" s="2132" t="s">
        <v>1904</v>
      </c>
      <c r="B356" s="2146"/>
      <c r="C356" s="2146"/>
      <c r="D356" s="2146"/>
      <c r="F356" s="2147"/>
      <c r="G356" s="2147"/>
      <c r="H356" s="2147"/>
      <c r="I356" s="2147"/>
    </row>
    <row r="357" spans="1:9" ht="15.75" thickBot="1" x14ac:dyDescent="0.3">
      <c r="A357" s="2132" t="s">
        <v>1905</v>
      </c>
      <c r="B357" s="2146"/>
      <c r="C357" s="2146"/>
      <c r="D357" s="2146"/>
      <c r="F357" s="2147"/>
      <c r="G357" s="2147"/>
      <c r="H357" s="2148" t="s">
        <v>173</v>
      </c>
      <c r="I357" s="2147"/>
    </row>
    <row r="358" spans="1:9" ht="25.5" thickTop="1" thickBot="1" x14ac:dyDescent="0.25">
      <c r="A358" s="2149" t="s">
        <v>174</v>
      </c>
      <c r="B358" s="2150" t="s">
        <v>800</v>
      </c>
      <c r="C358" s="2150" t="s">
        <v>397</v>
      </c>
      <c r="D358" s="2151" t="s">
        <v>176</v>
      </c>
      <c r="E358" s="2152" t="s">
        <v>669</v>
      </c>
      <c r="F358" s="2152" t="s">
        <v>670</v>
      </c>
      <c r="G358" s="2153" t="s">
        <v>923</v>
      </c>
      <c r="H358" s="2154" t="s">
        <v>924</v>
      </c>
      <c r="I358" s="2147"/>
    </row>
    <row r="359" spans="1:9" ht="14.25" thickTop="1" thickBot="1" x14ac:dyDescent="0.25">
      <c r="A359" s="2155">
        <v>1</v>
      </c>
      <c r="B359" s="2156">
        <v>2</v>
      </c>
      <c r="C359" s="2156">
        <v>3</v>
      </c>
      <c r="D359" s="2156">
        <v>5</v>
      </c>
      <c r="E359" s="2157">
        <v>6</v>
      </c>
      <c r="F359" s="2157">
        <v>7</v>
      </c>
      <c r="G359" s="2158">
        <v>8</v>
      </c>
      <c r="H359" s="2174" t="s">
        <v>801</v>
      </c>
      <c r="I359" s="2147"/>
    </row>
    <row r="360" spans="1:9" ht="15.75" thickTop="1" x14ac:dyDescent="0.25">
      <c r="A360" s="2186">
        <v>3299</v>
      </c>
      <c r="B360" s="2187">
        <v>5321</v>
      </c>
      <c r="C360" s="2187">
        <v>32133030</v>
      </c>
      <c r="D360" s="2188" t="s">
        <v>1261</v>
      </c>
      <c r="E360" s="2163">
        <v>0</v>
      </c>
      <c r="F360" s="2163">
        <v>54</v>
      </c>
      <c r="G360" s="2175">
        <v>54</v>
      </c>
      <c r="H360" s="2164">
        <f>G360/F360*100</f>
        <v>100</v>
      </c>
      <c r="I360" s="2147"/>
    </row>
    <row r="361" spans="1:9" ht="15.75" thickBot="1" x14ac:dyDescent="0.3">
      <c r="A361" s="2186">
        <v>3299</v>
      </c>
      <c r="B361" s="2187">
        <v>5321</v>
      </c>
      <c r="C361" s="2187">
        <v>32533030</v>
      </c>
      <c r="D361" s="2189" t="s">
        <v>1261</v>
      </c>
      <c r="E361" s="2168">
        <v>0</v>
      </c>
      <c r="F361" s="2168">
        <v>307</v>
      </c>
      <c r="G361" s="2176">
        <v>307</v>
      </c>
      <c r="H361" s="2169">
        <f>G361/F361*100</f>
        <v>100</v>
      </c>
      <c r="I361" s="2147"/>
    </row>
    <row r="362" spans="1:9" ht="15.75" hidden="1" thickBot="1" x14ac:dyDescent="0.3">
      <c r="A362" s="2186">
        <v>3299</v>
      </c>
      <c r="B362" s="2187">
        <v>6341</v>
      </c>
      <c r="C362" s="2187">
        <v>32133926</v>
      </c>
      <c r="D362" s="2188" t="s">
        <v>261</v>
      </c>
      <c r="E362" s="2168">
        <v>0</v>
      </c>
      <c r="F362" s="2168"/>
      <c r="G362" s="2176"/>
      <c r="H362" s="2169" t="e">
        <f>G362/F362*100</f>
        <v>#DIV/0!</v>
      </c>
      <c r="I362" s="2147"/>
    </row>
    <row r="363" spans="1:9" ht="15.75" hidden="1" thickBot="1" x14ac:dyDescent="0.3">
      <c r="A363" s="2190">
        <v>3299</v>
      </c>
      <c r="B363" s="2191">
        <v>6341</v>
      </c>
      <c r="C363" s="2191">
        <v>32533926</v>
      </c>
      <c r="D363" s="2188" t="s">
        <v>261</v>
      </c>
      <c r="E363" s="2168">
        <v>0</v>
      </c>
      <c r="F363" s="2168"/>
      <c r="G363" s="2176"/>
      <c r="H363" s="2169" t="e">
        <f>G363/F363*100</f>
        <v>#DIV/0!</v>
      </c>
      <c r="I363" s="2147"/>
    </row>
    <row r="364" spans="1:9" ht="16.5" thickTop="1" thickBot="1" x14ac:dyDescent="0.3">
      <c r="A364" s="2177" t="s">
        <v>802</v>
      </c>
      <c r="B364" s="2178"/>
      <c r="C364" s="2178"/>
      <c r="D364" s="2179"/>
      <c r="E364" s="2172">
        <f>SUM(E360:E363)</f>
        <v>0</v>
      </c>
      <c r="F364" s="2172">
        <f>SUM(F360:F363)</f>
        <v>361</v>
      </c>
      <c r="G364" s="2172">
        <f>SUM(G360:G363)</f>
        <v>361</v>
      </c>
      <c r="H364" s="2173">
        <f>G364/F364*100</f>
        <v>100</v>
      </c>
      <c r="I364" s="2147"/>
    </row>
    <row r="365" spans="1:9" ht="13.5" thickTop="1" x14ac:dyDescent="0.2"/>
    <row r="366" spans="1:9" ht="15" x14ac:dyDescent="0.25">
      <c r="A366" s="2132" t="s">
        <v>1906</v>
      </c>
      <c r="B366" s="2146"/>
      <c r="C366" s="2146"/>
      <c r="D366" s="2146"/>
      <c r="F366" s="2147"/>
      <c r="G366" s="2147"/>
      <c r="H366" s="2147"/>
      <c r="I366" s="2147"/>
    </row>
    <row r="367" spans="1:9" ht="15.75" thickBot="1" x14ac:dyDescent="0.3">
      <c r="A367" s="2132" t="s">
        <v>1907</v>
      </c>
      <c r="B367" s="2146"/>
      <c r="C367" s="2146"/>
      <c r="D367" s="2146"/>
      <c r="F367" s="2147"/>
      <c r="G367" s="2147"/>
      <c r="H367" s="2148" t="s">
        <v>173</v>
      </c>
      <c r="I367" s="2147"/>
    </row>
    <row r="368" spans="1:9" ht="25.5" thickTop="1" thickBot="1" x14ac:dyDescent="0.25">
      <c r="A368" s="2149" t="s">
        <v>174</v>
      </c>
      <c r="B368" s="2150" t="s">
        <v>800</v>
      </c>
      <c r="C368" s="2150" t="s">
        <v>397</v>
      </c>
      <c r="D368" s="2151" t="s">
        <v>176</v>
      </c>
      <c r="E368" s="2152" t="s">
        <v>669</v>
      </c>
      <c r="F368" s="2152" t="s">
        <v>670</v>
      </c>
      <c r="G368" s="2153" t="s">
        <v>923</v>
      </c>
      <c r="H368" s="2154" t="s">
        <v>924</v>
      </c>
      <c r="I368" s="2147"/>
    </row>
    <row r="369" spans="1:9" ht="14.25" thickTop="1" thickBot="1" x14ac:dyDescent="0.25">
      <c r="A369" s="2155">
        <v>1</v>
      </c>
      <c r="B369" s="2156">
        <v>2</v>
      </c>
      <c r="C369" s="2156">
        <v>3</v>
      </c>
      <c r="D369" s="2156">
        <v>5</v>
      </c>
      <c r="E369" s="2157">
        <v>6</v>
      </c>
      <c r="F369" s="2157">
        <v>7</v>
      </c>
      <c r="G369" s="2158">
        <v>8</v>
      </c>
      <c r="H369" s="2174" t="s">
        <v>801</v>
      </c>
      <c r="I369" s="2147"/>
    </row>
    <row r="370" spans="1:9" ht="15.75" thickTop="1" x14ac:dyDescent="0.25">
      <c r="A370" s="2186">
        <v>3299</v>
      </c>
      <c r="B370" s="2187">
        <v>5321</v>
      </c>
      <c r="C370" s="2187">
        <v>32133030</v>
      </c>
      <c r="D370" s="2188" t="s">
        <v>1261</v>
      </c>
      <c r="E370" s="2163">
        <v>0</v>
      </c>
      <c r="F370" s="2163">
        <v>21</v>
      </c>
      <c r="G370" s="2175">
        <v>21</v>
      </c>
      <c r="H370" s="2164">
        <f>G370/F370*100</f>
        <v>100</v>
      </c>
      <c r="I370" s="2147"/>
    </row>
    <row r="371" spans="1:9" ht="15" x14ac:dyDescent="0.25">
      <c r="A371" s="2186">
        <v>3299</v>
      </c>
      <c r="B371" s="2187">
        <v>5321</v>
      </c>
      <c r="C371" s="2187">
        <v>32533030</v>
      </c>
      <c r="D371" s="2189" t="s">
        <v>1261</v>
      </c>
      <c r="E371" s="2168">
        <v>0</v>
      </c>
      <c r="F371" s="2168">
        <v>116</v>
      </c>
      <c r="G371" s="2176">
        <v>116</v>
      </c>
      <c r="H371" s="2169">
        <f>G371/F371*100</f>
        <v>100</v>
      </c>
      <c r="I371" s="2147"/>
    </row>
    <row r="372" spans="1:9" ht="15" x14ac:dyDescent="0.25">
      <c r="A372" s="2186">
        <v>3299</v>
      </c>
      <c r="B372" s="2187">
        <v>6341</v>
      </c>
      <c r="C372" s="2187">
        <v>32133926</v>
      </c>
      <c r="D372" s="2188" t="s">
        <v>261</v>
      </c>
      <c r="E372" s="2168">
        <v>0</v>
      </c>
      <c r="F372" s="2168">
        <v>18</v>
      </c>
      <c r="G372" s="2176">
        <v>18</v>
      </c>
      <c r="H372" s="2169">
        <f>G372/F372*100</f>
        <v>100</v>
      </c>
      <c r="I372" s="2147"/>
    </row>
    <row r="373" spans="1:9" ht="15.75" thickBot="1" x14ac:dyDescent="0.3">
      <c r="A373" s="2190">
        <v>3299</v>
      </c>
      <c r="B373" s="2191">
        <v>6341</v>
      </c>
      <c r="C373" s="2191">
        <v>32533926</v>
      </c>
      <c r="D373" s="2188" t="s">
        <v>261</v>
      </c>
      <c r="E373" s="2168">
        <v>0</v>
      </c>
      <c r="F373" s="2168">
        <v>105</v>
      </c>
      <c r="G373" s="2176">
        <v>105</v>
      </c>
      <c r="H373" s="2169">
        <f>G373/F373*100</f>
        <v>100</v>
      </c>
      <c r="I373" s="2147"/>
    </row>
    <row r="374" spans="1:9" ht="16.5" thickTop="1" thickBot="1" x14ac:dyDescent="0.3">
      <c r="A374" s="2177" t="s">
        <v>802</v>
      </c>
      <c r="B374" s="2178"/>
      <c r="C374" s="2178"/>
      <c r="D374" s="2179"/>
      <c r="E374" s="2172">
        <f>SUM(E370:E373)</f>
        <v>0</v>
      </c>
      <c r="F374" s="2172">
        <f>SUM(F370:F373)</f>
        <v>260</v>
      </c>
      <c r="G374" s="2172">
        <f>SUM(G370:G373)</f>
        <v>260</v>
      </c>
      <c r="H374" s="2173">
        <f>G374/F374*100</f>
        <v>100</v>
      </c>
      <c r="I374" s="2147"/>
    </row>
    <row r="375" spans="1:9" ht="13.5" thickTop="1" x14ac:dyDescent="0.2"/>
    <row r="376" spans="1:9" ht="15" x14ac:dyDescent="0.25">
      <c r="A376" s="2132" t="s">
        <v>1908</v>
      </c>
      <c r="B376" s="2146"/>
      <c r="C376" s="2146"/>
      <c r="D376" s="2146"/>
      <c r="F376" s="2147"/>
      <c r="G376" s="2147"/>
      <c r="H376" s="2147"/>
      <c r="I376" s="2147"/>
    </row>
    <row r="377" spans="1:9" ht="15.75" thickBot="1" x14ac:dyDescent="0.3">
      <c r="A377" s="2132" t="s">
        <v>1909</v>
      </c>
      <c r="B377" s="2146"/>
      <c r="C377" s="2146"/>
      <c r="D377" s="2146"/>
      <c r="F377" s="2147"/>
      <c r="G377" s="2147"/>
      <c r="H377" s="2148" t="s">
        <v>173</v>
      </c>
      <c r="I377" s="2147"/>
    </row>
    <row r="378" spans="1:9" ht="25.5" thickTop="1" thickBot="1" x14ac:dyDescent="0.25">
      <c r="A378" s="2149" t="s">
        <v>174</v>
      </c>
      <c r="B378" s="2150" t="s">
        <v>800</v>
      </c>
      <c r="C378" s="2150" t="s">
        <v>397</v>
      </c>
      <c r="D378" s="2151" t="s">
        <v>176</v>
      </c>
      <c r="E378" s="2152" t="s">
        <v>669</v>
      </c>
      <c r="F378" s="2152" t="s">
        <v>670</v>
      </c>
      <c r="G378" s="2153" t="s">
        <v>923</v>
      </c>
      <c r="H378" s="2154" t="s">
        <v>924</v>
      </c>
      <c r="I378" s="2147"/>
    </row>
    <row r="379" spans="1:9" ht="14.25" thickTop="1" thickBot="1" x14ac:dyDescent="0.25">
      <c r="A379" s="2155">
        <v>1</v>
      </c>
      <c r="B379" s="2156">
        <v>2</v>
      </c>
      <c r="C379" s="2156">
        <v>3</v>
      </c>
      <c r="D379" s="2156">
        <v>5</v>
      </c>
      <c r="E379" s="2157">
        <v>6</v>
      </c>
      <c r="F379" s="2157">
        <v>7</v>
      </c>
      <c r="G379" s="2158">
        <v>8</v>
      </c>
      <c r="H379" s="2174" t="s">
        <v>801</v>
      </c>
      <c r="I379" s="2147"/>
    </row>
    <row r="380" spans="1:9" ht="15.75" thickTop="1" x14ac:dyDescent="0.25">
      <c r="A380" s="2186">
        <v>3299</v>
      </c>
      <c r="B380" s="2187">
        <v>5321</v>
      </c>
      <c r="C380" s="2187">
        <v>32133030</v>
      </c>
      <c r="D380" s="2188" t="s">
        <v>1261</v>
      </c>
      <c r="E380" s="2163">
        <v>0</v>
      </c>
      <c r="F380" s="2163">
        <v>75</v>
      </c>
      <c r="G380" s="2175">
        <v>75</v>
      </c>
      <c r="H380" s="2164">
        <f>G380/F380*100</f>
        <v>100</v>
      </c>
      <c r="I380" s="2147"/>
    </row>
    <row r="381" spans="1:9" ht="15" x14ac:dyDescent="0.25">
      <c r="A381" s="2186">
        <v>3299</v>
      </c>
      <c r="B381" s="2187">
        <v>5321</v>
      </c>
      <c r="C381" s="2187">
        <v>32533030</v>
      </c>
      <c r="D381" s="2189" t="s">
        <v>1261</v>
      </c>
      <c r="E381" s="2168">
        <v>0</v>
      </c>
      <c r="F381" s="2168">
        <v>427</v>
      </c>
      <c r="G381" s="2176">
        <v>427</v>
      </c>
      <c r="H381" s="2169">
        <f>G381/F381*100</f>
        <v>100</v>
      </c>
      <c r="I381" s="2147"/>
    </row>
    <row r="382" spans="1:9" ht="15" x14ac:dyDescent="0.25">
      <c r="A382" s="2186">
        <v>3299</v>
      </c>
      <c r="B382" s="2187">
        <v>6341</v>
      </c>
      <c r="C382" s="2187">
        <v>32133926</v>
      </c>
      <c r="D382" s="2188" t="s">
        <v>261</v>
      </c>
      <c r="E382" s="2168">
        <v>0</v>
      </c>
      <c r="F382" s="2168">
        <v>9</v>
      </c>
      <c r="G382" s="2176">
        <v>9</v>
      </c>
      <c r="H382" s="2169">
        <f>G382/F382*100</f>
        <v>100</v>
      </c>
      <c r="I382" s="2147"/>
    </row>
    <row r="383" spans="1:9" ht="15.75" thickBot="1" x14ac:dyDescent="0.3">
      <c r="A383" s="2190">
        <v>3299</v>
      </c>
      <c r="B383" s="2191">
        <v>6341</v>
      </c>
      <c r="C383" s="2191">
        <v>32533926</v>
      </c>
      <c r="D383" s="2188" t="s">
        <v>261</v>
      </c>
      <c r="E383" s="2168">
        <v>0</v>
      </c>
      <c r="F383" s="2168">
        <v>51</v>
      </c>
      <c r="G383" s="2176">
        <v>51</v>
      </c>
      <c r="H383" s="2169">
        <f>G383/F383*100</f>
        <v>100</v>
      </c>
      <c r="I383" s="2147"/>
    </row>
    <row r="384" spans="1:9" ht="16.5" thickTop="1" thickBot="1" x14ac:dyDescent="0.3">
      <c r="A384" s="2177" t="s">
        <v>802</v>
      </c>
      <c r="B384" s="2178"/>
      <c r="C384" s="2178"/>
      <c r="D384" s="2179"/>
      <c r="E384" s="2172">
        <f>SUM(E380:E383)</f>
        <v>0</v>
      </c>
      <c r="F384" s="2172">
        <f>SUM(F380:F383)</f>
        <v>562</v>
      </c>
      <c r="G384" s="2172">
        <f>SUM(G380:G383)</f>
        <v>562</v>
      </c>
      <c r="H384" s="2173">
        <f>G384/F384*100</f>
        <v>100</v>
      </c>
      <c r="I384" s="2147"/>
    </row>
    <row r="385" spans="1:9" ht="13.5" thickTop="1" x14ac:dyDescent="0.2"/>
    <row r="386" spans="1:9" ht="15" x14ac:dyDescent="0.25">
      <c r="A386" s="2132" t="s">
        <v>1675</v>
      </c>
      <c r="B386" s="2146"/>
      <c r="C386" s="2146"/>
      <c r="D386" s="2146"/>
      <c r="F386" s="2147"/>
      <c r="G386" s="2147"/>
      <c r="H386" s="2147"/>
      <c r="I386" s="2147"/>
    </row>
    <row r="387" spans="1:9" ht="15.75" thickBot="1" x14ac:dyDescent="0.3">
      <c r="A387" s="2132" t="s">
        <v>1676</v>
      </c>
      <c r="B387" s="2146"/>
      <c r="C387" s="2146"/>
      <c r="D387" s="2146"/>
      <c r="F387" s="2147"/>
      <c r="G387" s="2147"/>
      <c r="H387" s="2148" t="s">
        <v>173</v>
      </c>
      <c r="I387" s="2147"/>
    </row>
    <row r="388" spans="1:9" ht="25.5" thickTop="1" thickBot="1" x14ac:dyDescent="0.25">
      <c r="A388" s="2149" t="s">
        <v>174</v>
      </c>
      <c r="B388" s="2150" t="s">
        <v>800</v>
      </c>
      <c r="C388" s="2150" t="s">
        <v>397</v>
      </c>
      <c r="D388" s="2151" t="s">
        <v>176</v>
      </c>
      <c r="E388" s="2152" t="s">
        <v>669</v>
      </c>
      <c r="F388" s="2152" t="s">
        <v>670</v>
      </c>
      <c r="G388" s="2153" t="s">
        <v>923</v>
      </c>
      <c r="H388" s="2154" t="s">
        <v>924</v>
      </c>
      <c r="I388" s="2147"/>
    </row>
    <row r="389" spans="1:9" ht="14.25" thickTop="1" thickBot="1" x14ac:dyDescent="0.25">
      <c r="A389" s="2155">
        <v>1</v>
      </c>
      <c r="B389" s="2156">
        <v>2</v>
      </c>
      <c r="C389" s="2156">
        <v>3</v>
      </c>
      <c r="D389" s="2156">
        <v>5</v>
      </c>
      <c r="E389" s="2157">
        <v>6</v>
      </c>
      <c r="F389" s="2157">
        <v>7</v>
      </c>
      <c r="G389" s="2158">
        <v>8</v>
      </c>
      <c r="H389" s="2174" t="s">
        <v>801</v>
      </c>
      <c r="I389" s="2147"/>
    </row>
    <row r="390" spans="1:9" ht="15.75" thickTop="1" x14ac:dyDescent="0.25">
      <c r="A390" s="2186">
        <v>3299</v>
      </c>
      <c r="B390" s="2187">
        <v>5321</v>
      </c>
      <c r="C390" s="2187">
        <v>32133030</v>
      </c>
      <c r="D390" s="2188" t="s">
        <v>1261</v>
      </c>
      <c r="E390" s="2163">
        <v>0</v>
      </c>
      <c r="F390" s="2163">
        <v>234</v>
      </c>
      <c r="G390" s="2175">
        <v>163</v>
      </c>
      <c r="H390" s="2164">
        <f>G390/F390*100</f>
        <v>69.658119658119659</v>
      </c>
      <c r="I390" s="2147"/>
    </row>
    <row r="391" spans="1:9" ht="15.75" thickBot="1" x14ac:dyDescent="0.3">
      <c r="A391" s="2186">
        <v>3299</v>
      </c>
      <c r="B391" s="2187">
        <v>5321</v>
      </c>
      <c r="C391" s="2187">
        <v>32533030</v>
      </c>
      <c r="D391" s="2189" t="s">
        <v>1261</v>
      </c>
      <c r="E391" s="2168">
        <v>0</v>
      </c>
      <c r="F391" s="2168">
        <v>1325</v>
      </c>
      <c r="G391" s="2176">
        <v>923</v>
      </c>
      <c r="H391" s="2169">
        <f>G391/F391*100</f>
        <v>69.660377358490564</v>
      </c>
      <c r="I391" s="2147"/>
    </row>
    <row r="392" spans="1:9" ht="15.75" hidden="1" thickBot="1" x14ac:dyDescent="0.3">
      <c r="A392" s="2186">
        <v>3299</v>
      </c>
      <c r="B392" s="2187">
        <v>6341</v>
      </c>
      <c r="C392" s="2187">
        <v>32133926</v>
      </c>
      <c r="D392" s="2188" t="s">
        <v>261</v>
      </c>
      <c r="E392" s="2168">
        <v>0</v>
      </c>
      <c r="F392" s="2168"/>
      <c r="G392" s="2176"/>
      <c r="H392" s="2169" t="e">
        <f>G392/F392*100</f>
        <v>#DIV/0!</v>
      </c>
      <c r="I392" s="2147"/>
    </row>
    <row r="393" spans="1:9" ht="15.75" hidden="1" thickBot="1" x14ac:dyDescent="0.3">
      <c r="A393" s="2190">
        <v>3299</v>
      </c>
      <c r="B393" s="2191">
        <v>6341</v>
      </c>
      <c r="C393" s="2191">
        <v>32533926</v>
      </c>
      <c r="D393" s="2188" t="s">
        <v>261</v>
      </c>
      <c r="E393" s="2168">
        <v>0</v>
      </c>
      <c r="F393" s="2168"/>
      <c r="G393" s="2176"/>
      <c r="H393" s="2169" t="e">
        <f>G393/F393*100</f>
        <v>#DIV/0!</v>
      </c>
      <c r="I393" s="2147"/>
    </row>
    <row r="394" spans="1:9" ht="16.5" thickTop="1" thickBot="1" x14ac:dyDescent="0.3">
      <c r="A394" s="2177" t="s">
        <v>802</v>
      </c>
      <c r="B394" s="2178"/>
      <c r="C394" s="2178"/>
      <c r="D394" s="2179"/>
      <c r="E394" s="2172">
        <f>SUM(E390:E393)</f>
        <v>0</v>
      </c>
      <c r="F394" s="2172">
        <f>SUM(F390:F393)</f>
        <v>1559</v>
      </c>
      <c r="G394" s="2172">
        <f>SUM(G390:G393)</f>
        <v>1086</v>
      </c>
      <c r="H394" s="2173">
        <f>G394/F394*100</f>
        <v>69.660038486209103</v>
      </c>
      <c r="I394" s="2147"/>
    </row>
    <row r="395" spans="1:9" ht="13.5" thickTop="1" x14ac:dyDescent="0.2"/>
    <row r="396" spans="1:9" ht="15" x14ac:dyDescent="0.25">
      <c r="A396" s="2132" t="s">
        <v>1910</v>
      </c>
      <c r="B396" s="2146"/>
      <c r="C396" s="2146"/>
      <c r="D396" s="2146"/>
      <c r="F396" s="2147"/>
      <c r="G396" s="2147"/>
      <c r="H396" s="2147"/>
      <c r="I396" s="2147"/>
    </row>
    <row r="397" spans="1:9" ht="15.75" thickBot="1" x14ac:dyDescent="0.3">
      <c r="A397" s="2132" t="s">
        <v>1204</v>
      </c>
      <c r="B397" s="2146"/>
      <c r="C397" s="2146"/>
      <c r="D397" s="2146"/>
      <c r="F397" s="2147"/>
      <c r="G397" s="2147"/>
      <c r="H397" s="2148" t="s">
        <v>173</v>
      </c>
      <c r="I397" s="2147"/>
    </row>
    <row r="398" spans="1:9" ht="25.5" thickTop="1" thickBot="1" x14ac:dyDescent="0.25">
      <c r="A398" s="2149" t="s">
        <v>174</v>
      </c>
      <c r="B398" s="2150" t="s">
        <v>800</v>
      </c>
      <c r="C398" s="2150" t="s">
        <v>397</v>
      </c>
      <c r="D398" s="2151" t="s">
        <v>176</v>
      </c>
      <c r="E398" s="2152" t="s">
        <v>669</v>
      </c>
      <c r="F398" s="2152" t="s">
        <v>670</v>
      </c>
      <c r="G398" s="2153" t="s">
        <v>923</v>
      </c>
      <c r="H398" s="2154" t="s">
        <v>924</v>
      </c>
      <c r="I398" s="2147"/>
    </row>
    <row r="399" spans="1:9" ht="14.25" thickTop="1" thickBot="1" x14ac:dyDescent="0.25">
      <c r="A399" s="2155">
        <v>1</v>
      </c>
      <c r="B399" s="2156">
        <v>2</v>
      </c>
      <c r="C399" s="2156">
        <v>3</v>
      </c>
      <c r="D399" s="2156">
        <v>5</v>
      </c>
      <c r="E399" s="2157">
        <v>6</v>
      </c>
      <c r="F399" s="2157">
        <v>7</v>
      </c>
      <c r="G399" s="2158">
        <v>8</v>
      </c>
      <c r="H399" s="2174" t="s">
        <v>801</v>
      </c>
      <c r="I399" s="2147"/>
    </row>
    <row r="400" spans="1:9" ht="15.75" thickTop="1" x14ac:dyDescent="0.25">
      <c r="A400" s="2186">
        <v>3299</v>
      </c>
      <c r="B400" s="2187">
        <v>5321</v>
      </c>
      <c r="C400" s="2187">
        <v>32133030</v>
      </c>
      <c r="D400" s="2188" t="s">
        <v>1261</v>
      </c>
      <c r="E400" s="2163">
        <v>0</v>
      </c>
      <c r="F400" s="2163">
        <v>95</v>
      </c>
      <c r="G400" s="2175">
        <v>95</v>
      </c>
      <c r="H400" s="2164">
        <f>G400/F400*100</f>
        <v>100</v>
      </c>
      <c r="I400" s="2147"/>
    </row>
    <row r="401" spans="1:9" ht="15.75" thickBot="1" x14ac:dyDescent="0.3">
      <c r="A401" s="2186">
        <v>3299</v>
      </c>
      <c r="B401" s="2187">
        <v>5321</v>
      </c>
      <c r="C401" s="2187">
        <v>32533030</v>
      </c>
      <c r="D401" s="2189" t="s">
        <v>1261</v>
      </c>
      <c r="E401" s="2168">
        <v>0</v>
      </c>
      <c r="F401" s="2168">
        <v>537</v>
      </c>
      <c r="G401" s="2176">
        <v>537</v>
      </c>
      <c r="H401" s="2169">
        <f>G401/F401*100</f>
        <v>100</v>
      </c>
      <c r="I401" s="2147"/>
    </row>
    <row r="402" spans="1:9" ht="15.75" hidden="1" thickBot="1" x14ac:dyDescent="0.3">
      <c r="A402" s="2186">
        <v>3299</v>
      </c>
      <c r="B402" s="2187">
        <v>6341</v>
      </c>
      <c r="C402" s="2187">
        <v>32133926</v>
      </c>
      <c r="D402" s="2188" t="s">
        <v>261</v>
      </c>
      <c r="E402" s="2168">
        <v>0</v>
      </c>
      <c r="F402" s="2168"/>
      <c r="G402" s="2176"/>
      <c r="H402" s="2169" t="e">
        <f>G402/F402*100</f>
        <v>#DIV/0!</v>
      </c>
      <c r="I402" s="2147"/>
    </row>
    <row r="403" spans="1:9" ht="15.75" hidden="1" thickBot="1" x14ac:dyDescent="0.3">
      <c r="A403" s="2190">
        <v>3299</v>
      </c>
      <c r="B403" s="2191">
        <v>6341</v>
      </c>
      <c r="C403" s="2191">
        <v>32533926</v>
      </c>
      <c r="D403" s="2188" t="s">
        <v>261</v>
      </c>
      <c r="E403" s="2168">
        <v>0</v>
      </c>
      <c r="F403" s="2168"/>
      <c r="G403" s="2176"/>
      <c r="H403" s="2169" t="e">
        <f>G403/F403*100</f>
        <v>#DIV/0!</v>
      </c>
      <c r="I403" s="2147"/>
    </row>
    <row r="404" spans="1:9" ht="16.5" thickTop="1" thickBot="1" x14ac:dyDescent="0.3">
      <c r="A404" s="2177" t="s">
        <v>802</v>
      </c>
      <c r="B404" s="2178"/>
      <c r="C404" s="2178"/>
      <c r="D404" s="2179"/>
      <c r="E404" s="2172">
        <f>SUM(E400:E403)</f>
        <v>0</v>
      </c>
      <c r="F404" s="2172">
        <f>SUM(F400:F403)</f>
        <v>632</v>
      </c>
      <c r="G404" s="2172">
        <f>SUM(G400:G403)</f>
        <v>632</v>
      </c>
      <c r="H404" s="2173">
        <f>G404/F404*100</f>
        <v>100</v>
      </c>
      <c r="I404" s="2147"/>
    </row>
    <row r="405" spans="1:9" ht="13.5" thickTop="1" x14ac:dyDescent="0.2"/>
    <row r="406" spans="1:9" ht="15" x14ac:dyDescent="0.25">
      <c r="A406" s="2132" t="s">
        <v>1677</v>
      </c>
      <c r="B406" s="2146"/>
      <c r="C406" s="2146"/>
      <c r="D406" s="2146"/>
      <c r="F406" s="2147"/>
      <c r="G406" s="2147"/>
      <c r="H406" s="2147"/>
      <c r="I406" s="2147"/>
    </row>
    <row r="407" spans="1:9" ht="15.75" thickBot="1" x14ac:dyDescent="0.3">
      <c r="A407" s="2132" t="s">
        <v>1678</v>
      </c>
      <c r="B407" s="2146"/>
      <c r="C407" s="2146"/>
      <c r="D407" s="2146"/>
      <c r="F407" s="2147"/>
      <c r="G407" s="2147"/>
      <c r="H407" s="2148" t="s">
        <v>173</v>
      </c>
      <c r="I407" s="2147"/>
    </row>
    <row r="408" spans="1:9" ht="25.5" thickTop="1" thickBot="1" x14ac:dyDescent="0.25">
      <c r="A408" s="2149" t="s">
        <v>174</v>
      </c>
      <c r="B408" s="2150" t="s">
        <v>800</v>
      </c>
      <c r="C408" s="2150" t="s">
        <v>397</v>
      </c>
      <c r="D408" s="2151" t="s">
        <v>176</v>
      </c>
      <c r="E408" s="2152" t="s">
        <v>669</v>
      </c>
      <c r="F408" s="2152" t="s">
        <v>670</v>
      </c>
      <c r="G408" s="2153" t="s">
        <v>923</v>
      </c>
      <c r="H408" s="2154" t="s">
        <v>924</v>
      </c>
      <c r="I408" s="2147"/>
    </row>
    <row r="409" spans="1:9" ht="14.25" thickTop="1" thickBot="1" x14ac:dyDescent="0.25">
      <c r="A409" s="2155">
        <v>1</v>
      </c>
      <c r="B409" s="2156">
        <v>2</v>
      </c>
      <c r="C409" s="2156">
        <v>3</v>
      </c>
      <c r="D409" s="2156">
        <v>5</v>
      </c>
      <c r="E409" s="2157">
        <v>6</v>
      </c>
      <c r="F409" s="2157">
        <v>7</v>
      </c>
      <c r="G409" s="2158">
        <v>8</v>
      </c>
      <c r="H409" s="2174" t="s">
        <v>801</v>
      </c>
      <c r="I409" s="2147"/>
    </row>
    <row r="410" spans="1:9" ht="30.75" hidden="1" thickTop="1" x14ac:dyDescent="0.25">
      <c r="A410" s="2165">
        <v>3299</v>
      </c>
      <c r="B410" s="2166">
        <v>5221</v>
      </c>
      <c r="C410" s="2166">
        <v>32133030</v>
      </c>
      <c r="D410" s="2192" t="s">
        <v>1380</v>
      </c>
      <c r="E410" s="2163">
        <v>0</v>
      </c>
      <c r="F410" s="2163">
        <v>0</v>
      </c>
      <c r="G410" s="2175">
        <v>0</v>
      </c>
      <c r="H410" s="2164" t="e">
        <f>G410/F410*100</f>
        <v>#DIV/0!</v>
      </c>
      <c r="I410" s="2147"/>
    </row>
    <row r="411" spans="1:9" ht="15.75" thickTop="1" x14ac:dyDescent="0.25">
      <c r="A411" s="2186">
        <v>3299</v>
      </c>
      <c r="B411" s="2187">
        <v>5321</v>
      </c>
      <c r="C411" s="2187">
        <v>32133030</v>
      </c>
      <c r="D411" s="2189" t="s">
        <v>1261</v>
      </c>
      <c r="E411" s="2168">
        <v>0</v>
      </c>
      <c r="F411" s="2168">
        <v>125</v>
      </c>
      <c r="G411" s="2176">
        <v>101</v>
      </c>
      <c r="H411" s="2169">
        <f>G411/F411*100</f>
        <v>80.800000000000011</v>
      </c>
      <c r="I411" s="2147"/>
    </row>
    <row r="412" spans="1:9" ht="15.75" thickBot="1" x14ac:dyDescent="0.3">
      <c r="A412" s="2186">
        <v>3299</v>
      </c>
      <c r="B412" s="2187">
        <v>5321</v>
      </c>
      <c r="C412" s="2187">
        <v>32533030</v>
      </c>
      <c r="D412" s="2189" t="s">
        <v>1261</v>
      </c>
      <c r="E412" s="2168">
        <v>0</v>
      </c>
      <c r="F412" s="2168">
        <v>709</v>
      </c>
      <c r="G412" s="2176">
        <v>572</v>
      </c>
      <c r="H412" s="2169">
        <f>G412/F412*100</f>
        <v>80.677009873060641</v>
      </c>
      <c r="I412" s="2147"/>
    </row>
    <row r="413" spans="1:9" ht="15.75" hidden="1" thickBot="1" x14ac:dyDescent="0.3">
      <c r="A413" s="2190">
        <v>3299</v>
      </c>
      <c r="B413" s="2191">
        <v>6341</v>
      </c>
      <c r="C413" s="2191">
        <v>32533926</v>
      </c>
      <c r="D413" s="2188" t="s">
        <v>261</v>
      </c>
      <c r="E413" s="2168">
        <v>0</v>
      </c>
      <c r="F413" s="2168">
        <v>0</v>
      </c>
      <c r="G413" s="2176">
        <v>0</v>
      </c>
      <c r="H413" s="2169" t="e">
        <f>G413/F413*100</f>
        <v>#DIV/0!</v>
      </c>
      <c r="I413" s="2147"/>
    </row>
    <row r="414" spans="1:9" ht="16.5" thickTop="1" thickBot="1" x14ac:dyDescent="0.3">
      <c r="A414" s="2177" t="s">
        <v>802</v>
      </c>
      <c r="B414" s="2178"/>
      <c r="C414" s="2178"/>
      <c r="D414" s="2179"/>
      <c r="E414" s="2172">
        <f>SUM(E410:E413)</f>
        <v>0</v>
      </c>
      <c r="F414" s="2172">
        <f>SUM(F410:F413)</f>
        <v>834</v>
      </c>
      <c r="G414" s="2172">
        <f>SUM(G410:G413)</f>
        <v>673</v>
      </c>
      <c r="H414" s="2173">
        <f>G414/F414*100</f>
        <v>80.695443645083927</v>
      </c>
      <c r="I414" s="2147"/>
    </row>
    <row r="415" spans="1:9" ht="13.5" thickTop="1" x14ac:dyDescent="0.2"/>
    <row r="419" spans="1:12" ht="16.5" x14ac:dyDescent="0.25">
      <c r="A419" s="2193" t="s">
        <v>487</v>
      </c>
      <c r="B419" s="2194"/>
      <c r="C419" s="2195"/>
      <c r="D419" s="2196"/>
      <c r="E419" s="2197">
        <f>SUM(E420:E422)</f>
        <v>0</v>
      </c>
      <c r="F419" s="2197">
        <f>F420+F421+F422+F423</f>
        <v>61617</v>
      </c>
      <c r="G419" s="2197">
        <f>G420+G421+G422+G423</f>
        <v>82988</v>
      </c>
      <c r="H419" s="2198">
        <f>G419/F419*100</f>
        <v>134.68361004268303</v>
      </c>
      <c r="J419" s="2199">
        <f>J420+J421+J422</f>
        <v>0</v>
      </c>
      <c r="K419" s="2199">
        <f>K420+K421+K422</f>
        <v>61617085.329999998</v>
      </c>
      <c r="L419" s="2199">
        <f>L420+L421+L422</f>
        <v>82987701.049999997</v>
      </c>
    </row>
    <row r="420" spans="1:12" ht="15" x14ac:dyDescent="0.2">
      <c r="A420" s="2200" t="s">
        <v>277</v>
      </c>
      <c r="B420" s="2201"/>
      <c r="C420" s="2202"/>
      <c r="D420" s="2203"/>
      <c r="E420" s="2204">
        <f>E10+E11+E12+E13+E14+E15+E16+E17+E18+E35+E36+E45+E46+E55+E56+E65+E66+E75+E76+E85+E86+E95+E96+E105+E106+E115+E116+E125+E126+E135+E136+E145+E146+E155+E156+E170+E171+E180+E181+E190+E191+E200+E201+E210+E211+E220+E221+E230+E231+E240+E241+E250+E251+E260+E261+E270+E271+E280+E281+E290+E291+E300+E301+E310+E311+E320+E321+E330+E331+E340+E341+E350+E351+E360+E361+E370+E371+E380+E381+E390+E391+E400+E401+E411+E412</f>
        <v>0</v>
      </c>
      <c r="F420" s="2204">
        <f>F10+F11+F12+F13+F14+F15+F16+F17+F18+F19+F35+F36+F45+F46+F55+F56+F65+F66+F75+F76+F85+F86+F95+F96+F105+F106+F115+F116+F125+F126+F135+F136+F145+F146+F155+F156+F170+F171+F180+F181+F190+F191+F200+F201+F210+F211+F220+F221+F230+F231+F240+F241+F250+F251+F260+F261+F270+F271+F280+F281+F290+F291+F300+F301+F310+F311+F320+F321+F330+F331+F340+F341+F350+F351+F360+F361+F370+F371+F380+F381+F390+F391+F400+F401+F411+F412</f>
        <v>59129</v>
      </c>
      <c r="G420" s="2204">
        <f>G10+G11+G12+G13+G14+G15+G16+G17+G18+G35+G36+G45+G46+G55+G56+G65+G66+G75+G76+G85+G86+G95+G96+G105+G106+G115+G116+G125+G126+G135+G136+G145+G146+G155+G156+G170+G171+G180+G181+G190+G191+G200+G201+G210+G211+G220+G221+G230+G231+G240+G241+G250+G251+G260+G261+G270+G271+G280+G281+G290+G291+G300+G301+G310+G311+G320+G321+G330+G331+G340+G341+G350+G351+G360+G361+G370+G371+G380+G381+G390+G391+G400+G401+G411+G412</f>
        <v>50331</v>
      </c>
      <c r="H420" s="2205">
        <f>G420/F420*100</f>
        <v>85.120668369158963</v>
      </c>
      <c r="J420" s="2206">
        <v>0</v>
      </c>
      <c r="K420" s="2206">
        <v>59128985.640000001</v>
      </c>
      <c r="L420" s="2206">
        <v>50331064.719999999</v>
      </c>
    </row>
    <row r="421" spans="1:12" ht="15" x14ac:dyDescent="0.2">
      <c r="A421" s="2200" t="s">
        <v>278</v>
      </c>
      <c r="B421" s="2207"/>
      <c r="C421" s="2202"/>
      <c r="D421" s="2208"/>
      <c r="E421" s="2204">
        <f>E24+E25+E77+E78+E87+E88+E117+E118+E127+E128+E172+E173+E192+E193+E202+E203+E232+E233+E272+E273+E302+E303+E352+E353+E372+E373+E382+E383</f>
        <v>0</v>
      </c>
      <c r="F421" s="2204">
        <f>F24+F25+F77+F78+F87+F88+F117+F118+F127+F128+F172+F173+F192+F193+F202+F203+F232+F233+F272+F273+F302+F303+F352+F353+F372+F373+F382+F383</f>
        <v>2488</v>
      </c>
      <c r="G421" s="2204">
        <f>G24+G25+G77+G78+G87+G88+G117+G118+G127+G128+G172+G173+G192+G193+G202+G203+G232+G233+G272+G273+G302+G303+G352+G353+G372+G373+G382+G383</f>
        <v>1835</v>
      </c>
      <c r="H421" s="2205">
        <f>G421/F421*100</f>
        <v>73.754019292604497</v>
      </c>
      <c r="J421" s="2206">
        <v>0</v>
      </c>
      <c r="K421" s="2206">
        <v>2488099.69</v>
      </c>
      <c r="L421" s="2206">
        <v>1834700</v>
      </c>
    </row>
    <row r="422" spans="1:12" ht="15" x14ac:dyDescent="0.2">
      <c r="A422" s="2200" t="s">
        <v>488</v>
      </c>
      <c r="B422" s="2207"/>
      <c r="C422" s="2202"/>
      <c r="D422" s="2208"/>
      <c r="E422" s="2204">
        <f>E26</f>
        <v>0</v>
      </c>
      <c r="F422" s="2204">
        <f>F26</f>
        <v>0</v>
      </c>
      <c r="G422" s="2204">
        <f>G26</f>
        <v>30822</v>
      </c>
      <c r="H422" s="2205">
        <v>0</v>
      </c>
      <c r="J422" s="2206">
        <v>0</v>
      </c>
      <c r="K422" s="2206">
        <v>0</v>
      </c>
      <c r="L422" s="2206">
        <v>30821936.329999998</v>
      </c>
    </row>
    <row r="423" spans="1:12" ht="15" x14ac:dyDescent="0.2">
      <c r="A423" s="2200"/>
      <c r="B423" s="2207"/>
      <c r="C423" s="2202"/>
      <c r="D423" s="2208"/>
      <c r="E423" s="2204"/>
      <c r="F423" s="2204"/>
      <c r="G423" s="2204"/>
      <c r="H423" s="2209"/>
    </row>
    <row r="424" spans="1:12" ht="57.75" customHeight="1" thickBot="1" x14ac:dyDescent="0.4">
      <c r="A424" s="2763" t="s">
        <v>1495</v>
      </c>
      <c r="B424" s="2764"/>
      <c r="C424" s="2764"/>
      <c r="D424" s="2764"/>
      <c r="E424" s="2210">
        <f>SUM(E419)</f>
        <v>0</v>
      </c>
      <c r="F424" s="2210">
        <f>SUM(F419)</f>
        <v>61617</v>
      </c>
      <c r="G424" s="2210">
        <f>SUM(G419)</f>
        <v>82988</v>
      </c>
      <c r="H424" s="2211">
        <f>(G424/F424)*100</f>
        <v>134.68361004268303</v>
      </c>
    </row>
    <row r="425" spans="1:12" ht="13.5" thickTop="1" x14ac:dyDescent="0.2"/>
  </sheetData>
  <mergeCells count="2">
    <mergeCell ref="A28:D28"/>
    <mergeCell ref="A424:D424"/>
  </mergeCells>
  <pageMargins left="0.70866141732283472" right="0.70866141732283472" top="0.78740157480314965" bottom="0.78740157480314965" header="0.31496062992125984" footer="0.31496062992125984"/>
  <pageSetup paperSize="9" scale="65" firstPageNumber="152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6" manualBreakCount="6">
    <brk id="69" max="7" man="1"/>
    <brk id="119" max="7" man="1"/>
    <brk id="184" max="7" man="1"/>
    <brk id="234" max="7" man="1"/>
    <brk id="294" max="7" man="1"/>
    <brk id="364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 enableFormatConditionsCalculation="0">
    <tabColor rgb="FF00B0F0"/>
  </sheetPr>
  <dimension ref="A1:L146"/>
  <sheetViews>
    <sheetView showGridLines="0" view="pageBreakPreview" zoomScaleNormal="100" zoomScaleSheetLayoutView="100" workbookViewId="0">
      <selection activeCell="F29" sqref="F29"/>
    </sheetView>
  </sheetViews>
  <sheetFormatPr defaultRowHeight="12.75" x14ac:dyDescent="0.2"/>
  <cols>
    <col min="1" max="1" width="4.7109375" style="645" customWidth="1"/>
    <col min="2" max="2" width="5.140625" style="534" customWidth="1"/>
    <col min="3" max="3" width="8.85546875" style="852" customWidth="1"/>
    <col min="4" max="4" width="46.5703125" style="534" customWidth="1"/>
    <col min="5" max="5" width="14.5703125" style="495" customWidth="1"/>
    <col min="6" max="6" width="14" style="495" customWidth="1"/>
    <col min="7" max="7" width="14.42578125" style="495" customWidth="1"/>
    <col min="8" max="8" width="8.140625" style="1344" customWidth="1"/>
    <col min="9" max="16384" width="9.140625" style="534"/>
  </cols>
  <sheetData>
    <row r="1" spans="1:11" ht="18.75" thickBot="1" x14ac:dyDescent="0.3">
      <c r="A1" s="465" t="s">
        <v>1248</v>
      </c>
      <c r="B1" s="466"/>
      <c r="C1" s="490"/>
      <c r="D1" s="477"/>
      <c r="E1" s="494"/>
      <c r="F1" s="469" t="s">
        <v>1287</v>
      </c>
      <c r="I1" s="17"/>
    </row>
    <row r="2" spans="1:11" ht="12.75" customHeight="1" x14ac:dyDescent="0.25">
      <c r="A2" s="6"/>
      <c r="B2" s="28"/>
      <c r="C2" s="57"/>
      <c r="D2" s="10"/>
      <c r="E2" s="137"/>
      <c r="F2" s="137"/>
      <c r="G2" s="16"/>
      <c r="H2" s="373"/>
      <c r="I2" s="17"/>
    </row>
    <row r="3" spans="1:11" ht="12.75" customHeight="1" x14ac:dyDescent="0.25">
      <c r="A3" s="67" t="s">
        <v>387</v>
      </c>
      <c r="B3" s="28"/>
      <c r="C3" s="504" t="s">
        <v>388</v>
      </c>
      <c r="D3" s="629"/>
      <c r="E3" s="137"/>
      <c r="F3" s="16"/>
      <c r="G3" s="17"/>
      <c r="H3" s="373"/>
    </row>
    <row r="4" spans="1:11" ht="12.75" customHeight="1" x14ac:dyDescent="0.25">
      <c r="A4" s="6"/>
      <c r="B4" s="28"/>
      <c r="C4" s="504" t="s">
        <v>356</v>
      </c>
      <c r="D4" s="675"/>
      <c r="E4" s="138"/>
      <c r="F4" s="16"/>
      <c r="G4" s="17"/>
      <c r="H4" s="373"/>
    </row>
    <row r="5" spans="1:11" ht="12.75" customHeight="1" x14ac:dyDescent="0.25">
      <c r="A5" s="6"/>
      <c r="B5" s="28"/>
      <c r="C5" s="504"/>
      <c r="D5" s="675"/>
      <c r="E5" s="138"/>
      <c r="F5" s="16"/>
      <c r="G5" s="17"/>
      <c r="H5" s="373"/>
    </row>
    <row r="6" spans="1:11" ht="18" x14ac:dyDescent="0.25">
      <c r="A6" s="33" t="s">
        <v>925</v>
      </c>
      <c r="B6" s="28"/>
      <c r="C6" s="57"/>
      <c r="D6" s="10"/>
      <c r="E6" s="137"/>
      <c r="F6" s="137"/>
      <c r="G6" s="16"/>
      <c r="H6" s="373"/>
      <c r="I6" s="17"/>
    </row>
    <row r="7" spans="1:11" ht="13.5" thickBot="1" x14ac:dyDescent="0.25">
      <c r="A7" s="631"/>
      <c r="B7" s="631"/>
      <c r="C7" s="853"/>
      <c r="D7" s="632"/>
      <c r="G7" s="980"/>
      <c r="H7" s="1344" t="s">
        <v>173</v>
      </c>
    </row>
    <row r="8" spans="1:11" s="107" customFormat="1" ht="20.25" customHeight="1" thickTop="1" thickBot="1" x14ac:dyDescent="0.25">
      <c r="A8" s="633" t="s">
        <v>174</v>
      </c>
      <c r="B8" s="634" t="s">
        <v>175</v>
      </c>
      <c r="C8" s="636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637" t="s">
        <v>924</v>
      </c>
    </row>
    <row r="9" spans="1:11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638" t="s">
        <v>61</v>
      </c>
      <c r="I9" s="107"/>
    </row>
    <row r="10" spans="1:11" s="1107" customFormat="1" ht="15.75" thickTop="1" x14ac:dyDescent="0.25">
      <c r="A10" s="34">
        <v>6114</v>
      </c>
      <c r="B10" s="1139">
        <v>5011</v>
      </c>
      <c r="C10" s="1120"/>
      <c r="D10" s="1108" t="s">
        <v>219</v>
      </c>
      <c r="E10" s="1144"/>
      <c r="F10" s="313">
        <v>17</v>
      </c>
      <c r="G10" s="315">
        <v>17</v>
      </c>
      <c r="H10" s="1113">
        <f>(G10/F10)*100</f>
        <v>100</v>
      </c>
      <c r="J10" s="1141"/>
      <c r="K10" s="1141"/>
    </row>
    <row r="11" spans="1:11" s="1107" customFormat="1" ht="14.25" x14ac:dyDescent="0.2">
      <c r="A11" s="34"/>
      <c r="B11" s="1114"/>
      <c r="C11" s="1120" t="s">
        <v>1759</v>
      </c>
      <c r="D11" s="1115" t="s">
        <v>1760</v>
      </c>
      <c r="E11" s="1144"/>
      <c r="F11" s="314">
        <v>17</v>
      </c>
      <c r="G11" s="316">
        <v>17</v>
      </c>
      <c r="H11" s="1116">
        <f>(G11/F11)*100</f>
        <v>100</v>
      </c>
    </row>
    <row r="12" spans="1:11" s="1107" customFormat="1" ht="15" x14ac:dyDescent="0.25">
      <c r="A12" s="34">
        <v>6114</v>
      </c>
      <c r="B12" s="1139">
        <v>5031</v>
      </c>
      <c r="C12" s="1120"/>
      <c r="D12" s="1108" t="s">
        <v>250</v>
      </c>
      <c r="E12" s="1144"/>
      <c r="F12" s="313">
        <v>4</v>
      </c>
      <c r="G12" s="315">
        <v>4</v>
      </c>
      <c r="H12" s="1113">
        <f>(G12/F12)*100</f>
        <v>100</v>
      </c>
    </row>
    <row r="13" spans="1:11" s="1107" customFormat="1" ht="15" x14ac:dyDescent="0.25">
      <c r="A13" s="34"/>
      <c r="B13" s="1139"/>
      <c r="C13" s="1120"/>
      <c r="D13" s="1108" t="s">
        <v>763</v>
      </c>
      <c r="E13" s="1144"/>
      <c r="F13" s="314"/>
      <c r="G13" s="316"/>
      <c r="H13" s="1116"/>
    </row>
    <row r="14" spans="1:11" s="1107" customFormat="1" ht="14.25" x14ac:dyDescent="0.2">
      <c r="A14" s="34"/>
      <c r="B14" s="1114"/>
      <c r="C14" s="1120" t="s">
        <v>1759</v>
      </c>
      <c r="D14" s="1115" t="s">
        <v>1760</v>
      </c>
      <c r="E14" s="1144"/>
      <c r="F14" s="314">
        <v>4</v>
      </c>
      <c r="G14" s="316">
        <v>4</v>
      </c>
      <c r="H14" s="1116">
        <f t="shared" ref="H14:H29" si="0">(G14/F14)*100</f>
        <v>100</v>
      </c>
    </row>
    <row r="15" spans="1:11" s="1107" customFormat="1" ht="15" x14ac:dyDescent="0.25">
      <c r="A15" s="34">
        <v>6114</v>
      </c>
      <c r="B15" s="1139">
        <v>5032</v>
      </c>
      <c r="C15" s="1120"/>
      <c r="D15" s="1108" t="s">
        <v>251</v>
      </c>
      <c r="E15" s="1144"/>
      <c r="F15" s="313">
        <v>2</v>
      </c>
      <c r="G15" s="315">
        <v>2</v>
      </c>
      <c r="H15" s="203">
        <f t="shared" si="0"/>
        <v>100</v>
      </c>
    </row>
    <row r="16" spans="1:11" s="1107" customFormat="1" ht="14.25" x14ac:dyDescent="0.2">
      <c r="A16" s="34"/>
      <c r="B16" s="1114"/>
      <c r="C16" s="1120" t="s">
        <v>1759</v>
      </c>
      <c r="D16" s="1115" t="s">
        <v>1760</v>
      </c>
      <c r="E16" s="1144"/>
      <c r="F16" s="314">
        <v>2</v>
      </c>
      <c r="G16" s="316">
        <v>2</v>
      </c>
      <c r="H16" s="1116">
        <f t="shared" si="0"/>
        <v>100</v>
      </c>
    </row>
    <row r="17" spans="1:8" s="1107" customFormat="1" ht="15" x14ac:dyDescent="0.25">
      <c r="A17" s="34">
        <v>6114</v>
      </c>
      <c r="B17" s="1139">
        <v>5139</v>
      </c>
      <c r="C17" s="1120"/>
      <c r="D17" s="1108" t="s">
        <v>309</v>
      </c>
      <c r="E17" s="1144"/>
      <c r="F17" s="313">
        <v>2</v>
      </c>
      <c r="G17" s="315">
        <v>2</v>
      </c>
      <c r="H17" s="203">
        <f t="shared" si="0"/>
        <v>100</v>
      </c>
    </row>
    <row r="18" spans="1:8" s="1107" customFormat="1" ht="14.25" x14ac:dyDescent="0.2">
      <c r="A18" s="34"/>
      <c r="B18" s="1114"/>
      <c r="C18" s="1120" t="s">
        <v>1759</v>
      </c>
      <c r="D18" s="1115" t="s">
        <v>1760</v>
      </c>
      <c r="E18" s="1144"/>
      <c r="F18" s="314">
        <v>2</v>
      </c>
      <c r="G18" s="316">
        <v>2</v>
      </c>
      <c r="H18" s="1116">
        <f t="shared" si="0"/>
        <v>100</v>
      </c>
    </row>
    <row r="19" spans="1:8" s="1107" customFormat="1" ht="15" x14ac:dyDescent="0.25">
      <c r="A19" s="34">
        <v>6114</v>
      </c>
      <c r="B19" s="2299">
        <v>5156</v>
      </c>
      <c r="C19" s="1120"/>
      <c r="D19" s="1108" t="s">
        <v>312</v>
      </c>
      <c r="E19" s="1144"/>
      <c r="F19" s="313">
        <v>5</v>
      </c>
      <c r="G19" s="315">
        <v>5</v>
      </c>
      <c r="H19" s="203">
        <f t="shared" si="0"/>
        <v>100</v>
      </c>
    </row>
    <row r="20" spans="1:8" s="1107" customFormat="1" ht="14.25" x14ac:dyDescent="0.2">
      <c r="A20" s="34"/>
      <c r="B20" s="1114"/>
      <c r="C20" s="1120" t="s">
        <v>1759</v>
      </c>
      <c r="D20" s="1115" t="s">
        <v>1760</v>
      </c>
      <c r="E20" s="1144"/>
      <c r="F20" s="314">
        <v>5</v>
      </c>
      <c r="G20" s="316">
        <v>5</v>
      </c>
      <c r="H20" s="1116">
        <f t="shared" si="0"/>
        <v>100</v>
      </c>
    </row>
    <row r="21" spans="1:8" s="1107" customFormat="1" ht="15" x14ac:dyDescent="0.25">
      <c r="A21" s="34">
        <v>6114</v>
      </c>
      <c r="B21" s="1114">
        <v>5161</v>
      </c>
      <c r="C21" s="1120"/>
      <c r="D21" s="1108" t="s">
        <v>313</v>
      </c>
      <c r="E21" s="1144"/>
      <c r="F21" s="313">
        <v>2</v>
      </c>
      <c r="G21" s="315">
        <v>2</v>
      </c>
      <c r="H21" s="203">
        <f t="shared" si="0"/>
        <v>100</v>
      </c>
    </row>
    <row r="22" spans="1:8" s="1107" customFormat="1" ht="14.25" x14ac:dyDescent="0.2">
      <c r="A22" s="34"/>
      <c r="B22" s="1114"/>
      <c r="C22" s="1120" t="s">
        <v>1759</v>
      </c>
      <c r="D22" s="1115" t="s">
        <v>1760</v>
      </c>
      <c r="E22" s="1144"/>
      <c r="F22" s="314">
        <v>2</v>
      </c>
      <c r="G22" s="316">
        <v>2</v>
      </c>
      <c r="H22" s="1116">
        <f t="shared" si="0"/>
        <v>100</v>
      </c>
    </row>
    <row r="23" spans="1:8" s="1107" customFormat="1" ht="15" x14ac:dyDescent="0.25">
      <c r="A23" s="34">
        <v>6114</v>
      </c>
      <c r="B23" s="1114">
        <v>5164</v>
      </c>
      <c r="C23" s="1120"/>
      <c r="D23" s="1108" t="s">
        <v>935</v>
      </c>
      <c r="E23" s="1144"/>
      <c r="F23" s="313">
        <v>22</v>
      </c>
      <c r="G23" s="315">
        <v>22</v>
      </c>
      <c r="H23" s="203">
        <f t="shared" si="0"/>
        <v>100</v>
      </c>
    </row>
    <row r="24" spans="1:8" s="1107" customFormat="1" ht="14.25" x14ac:dyDescent="0.2">
      <c r="A24" s="34"/>
      <c r="B24" s="1114"/>
      <c r="C24" s="1120" t="s">
        <v>1759</v>
      </c>
      <c r="D24" s="1115" t="s">
        <v>1760</v>
      </c>
      <c r="E24" s="1144"/>
      <c r="F24" s="314">
        <v>22</v>
      </c>
      <c r="G24" s="316">
        <v>22</v>
      </c>
      <c r="H24" s="1116">
        <f t="shared" si="0"/>
        <v>100</v>
      </c>
    </row>
    <row r="25" spans="1:8" s="1107" customFormat="1" ht="15" x14ac:dyDescent="0.25">
      <c r="A25" s="34">
        <v>6114</v>
      </c>
      <c r="B25" s="1114">
        <v>5169</v>
      </c>
      <c r="C25" s="1120"/>
      <c r="D25" s="1108" t="s">
        <v>1210</v>
      </c>
      <c r="E25" s="1144"/>
      <c r="F25" s="313">
        <v>44</v>
      </c>
      <c r="G25" s="315">
        <v>0</v>
      </c>
      <c r="H25" s="203">
        <f t="shared" si="0"/>
        <v>0</v>
      </c>
    </row>
    <row r="26" spans="1:8" s="1107" customFormat="1" ht="14.25" x14ac:dyDescent="0.2">
      <c r="A26" s="34"/>
      <c r="B26" s="1114"/>
      <c r="C26" s="1120" t="s">
        <v>1759</v>
      </c>
      <c r="D26" s="1115" t="s">
        <v>1760</v>
      </c>
      <c r="E26" s="1144"/>
      <c r="F26" s="314">
        <v>44</v>
      </c>
      <c r="G26" s="316">
        <v>0</v>
      </c>
      <c r="H26" s="1116">
        <f t="shared" si="0"/>
        <v>0</v>
      </c>
    </row>
    <row r="27" spans="1:8" s="1107" customFormat="1" ht="15" x14ac:dyDescent="0.25">
      <c r="A27" s="34">
        <v>6114</v>
      </c>
      <c r="B27" s="1114">
        <v>5173</v>
      </c>
      <c r="C27" s="1120"/>
      <c r="D27" s="1108" t="s">
        <v>1211</v>
      </c>
      <c r="E27" s="1144"/>
      <c r="F27" s="313">
        <v>2</v>
      </c>
      <c r="G27" s="315">
        <v>2</v>
      </c>
      <c r="H27" s="203">
        <f t="shared" si="0"/>
        <v>100</v>
      </c>
    </row>
    <row r="28" spans="1:8" s="1107" customFormat="1" ht="14.25" x14ac:dyDescent="0.2">
      <c r="A28" s="34"/>
      <c r="B28" s="1114"/>
      <c r="C28" s="1120" t="s">
        <v>1759</v>
      </c>
      <c r="D28" s="1115" t="s">
        <v>1760</v>
      </c>
      <c r="E28" s="1144"/>
      <c r="F28" s="314">
        <v>2</v>
      </c>
      <c r="G28" s="316">
        <v>2</v>
      </c>
      <c r="H28" s="1116">
        <f t="shared" si="0"/>
        <v>100</v>
      </c>
    </row>
    <row r="29" spans="1:8" s="1107" customFormat="1" ht="15" x14ac:dyDescent="0.25">
      <c r="A29" s="34">
        <v>6118</v>
      </c>
      <c r="B29" s="1139">
        <v>5011</v>
      </c>
      <c r="C29" s="1120"/>
      <c r="D29" s="1108" t="s">
        <v>219</v>
      </c>
      <c r="E29" s="1144"/>
      <c r="F29" s="313">
        <v>13</v>
      </c>
      <c r="G29" s="315">
        <v>13</v>
      </c>
      <c r="H29" s="1113">
        <f t="shared" si="0"/>
        <v>100</v>
      </c>
    </row>
    <row r="30" spans="1:8" s="1107" customFormat="1" ht="14.25" x14ac:dyDescent="0.2">
      <c r="A30" s="34"/>
      <c r="B30" s="1114"/>
      <c r="C30" s="1120" t="s">
        <v>1581</v>
      </c>
      <c r="D30" s="1115" t="s">
        <v>1580</v>
      </c>
      <c r="E30" s="1144"/>
      <c r="F30" s="314">
        <v>13</v>
      </c>
      <c r="G30" s="316">
        <v>13</v>
      </c>
      <c r="H30" s="1116">
        <f>(G30/F30)*100</f>
        <v>100</v>
      </c>
    </row>
    <row r="31" spans="1:8" s="1107" customFormat="1" ht="15" x14ac:dyDescent="0.25">
      <c r="A31" s="34">
        <v>6118</v>
      </c>
      <c r="B31" s="1139">
        <v>5031</v>
      </c>
      <c r="C31" s="1120"/>
      <c r="D31" s="1108" t="s">
        <v>250</v>
      </c>
      <c r="E31" s="1144"/>
      <c r="F31" s="313">
        <v>3</v>
      </c>
      <c r="G31" s="315">
        <v>3</v>
      </c>
      <c r="H31" s="203">
        <f>(G31/F31)*100</f>
        <v>100</v>
      </c>
    </row>
    <row r="32" spans="1:8" s="1107" customFormat="1" ht="15" x14ac:dyDescent="0.25">
      <c r="A32" s="34"/>
      <c r="B32" s="1139"/>
      <c r="C32" s="1120"/>
      <c r="D32" s="1108" t="s">
        <v>763</v>
      </c>
      <c r="E32" s="1144"/>
      <c r="F32" s="314"/>
      <c r="G32" s="316"/>
      <c r="H32" s="1116"/>
    </row>
    <row r="33" spans="1:8" s="1107" customFormat="1" ht="14.25" x14ac:dyDescent="0.2">
      <c r="A33" s="34"/>
      <c r="B33" s="1114"/>
      <c r="C33" s="1120" t="s">
        <v>1581</v>
      </c>
      <c r="D33" s="1115" t="s">
        <v>1580</v>
      </c>
      <c r="E33" s="1144"/>
      <c r="F33" s="314">
        <v>3</v>
      </c>
      <c r="G33" s="316">
        <v>3</v>
      </c>
      <c r="H33" s="1116">
        <f>(G33/F33)*100</f>
        <v>100</v>
      </c>
    </row>
    <row r="34" spans="1:8" s="1107" customFormat="1" ht="15" x14ac:dyDescent="0.25">
      <c r="A34" s="34">
        <v>6118</v>
      </c>
      <c r="B34" s="1139">
        <v>5032</v>
      </c>
      <c r="C34" s="1120"/>
      <c r="D34" s="1108" t="s">
        <v>251</v>
      </c>
      <c r="E34" s="1144"/>
      <c r="F34" s="313">
        <v>1</v>
      </c>
      <c r="G34" s="315">
        <v>1</v>
      </c>
      <c r="H34" s="1113">
        <f>(G34/F34)*100</f>
        <v>100</v>
      </c>
    </row>
    <row r="35" spans="1:8" s="1107" customFormat="1" ht="14.25" x14ac:dyDescent="0.2">
      <c r="A35" s="34"/>
      <c r="B35" s="1114"/>
      <c r="C35" s="1120" t="s">
        <v>1581</v>
      </c>
      <c r="D35" s="1115" t="s">
        <v>1580</v>
      </c>
      <c r="E35" s="1144"/>
      <c r="F35" s="314">
        <v>1</v>
      </c>
      <c r="G35" s="316">
        <v>1</v>
      </c>
      <c r="H35" s="1116">
        <f t="shared" ref="H35:H41" si="1">(G35/F35)*100</f>
        <v>100</v>
      </c>
    </row>
    <row r="36" spans="1:8" s="1107" customFormat="1" ht="15" x14ac:dyDescent="0.25">
      <c r="A36" s="34">
        <v>6118</v>
      </c>
      <c r="B36" s="1139">
        <v>5139</v>
      </c>
      <c r="C36" s="1120"/>
      <c r="D36" s="1108" t="s">
        <v>309</v>
      </c>
      <c r="E36" s="1144"/>
      <c r="F36" s="313">
        <v>3</v>
      </c>
      <c r="G36" s="315">
        <v>3</v>
      </c>
      <c r="H36" s="1113">
        <f t="shared" si="1"/>
        <v>100</v>
      </c>
    </row>
    <row r="37" spans="1:8" s="1107" customFormat="1" ht="14.25" x14ac:dyDescent="0.2">
      <c r="A37" s="34"/>
      <c r="B37" s="1114"/>
      <c r="C37" s="1120" t="s">
        <v>1581</v>
      </c>
      <c r="D37" s="1115" t="s">
        <v>1580</v>
      </c>
      <c r="E37" s="1144"/>
      <c r="F37" s="314">
        <v>3</v>
      </c>
      <c r="G37" s="316">
        <v>3</v>
      </c>
      <c r="H37" s="1116">
        <f t="shared" si="1"/>
        <v>100</v>
      </c>
    </row>
    <row r="38" spans="1:8" s="1107" customFormat="1" ht="15" x14ac:dyDescent="0.25">
      <c r="A38" s="34">
        <v>6118</v>
      </c>
      <c r="B38" s="1139">
        <v>5156</v>
      </c>
      <c r="C38" s="1120"/>
      <c r="D38" s="1108" t="s">
        <v>312</v>
      </c>
      <c r="E38" s="1144"/>
      <c r="F38" s="313">
        <v>8</v>
      </c>
      <c r="G38" s="315">
        <v>8</v>
      </c>
      <c r="H38" s="1113">
        <f t="shared" si="1"/>
        <v>100</v>
      </c>
    </row>
    <row r="39" spans="1:8" s="1107" customFormat="1" ht="14.25" x14ac:dyDescent="0.2">
      <c r="A39" s="34"/>
      <c r="B39" s="1114"/>
      <c r="C39" s="1120" t="s">
        <v>1581</v>
      </c>
      <c r="D39" s="1115" t="s">
        <v>1580</v>
      </c>
      <c r="E39" s="1144"/>
      <c r="F39" s="314">
        <v>8</v>
      </c>
      <c r="G39" s="316">
        <v>8</v>
      </c>
      <c r="H39" s="1116">
        <f t="shared" si="1"/>
        <v>100</v>
      </c>
    </row>
    <row r="40" spans="1:8" s="1107" customFormat="1" ht="15" x14ac:dyDescent="0.25">
      <c r="A40" s="34">
        <v>6118</v>
      </c>
      <c r="B40" s="1139">
        <v>5173</v>
      </c>
      <c r="C40" s="1120"/>
      <c r="D40" s="1108" t="s">
        <v>1211</v>
      </c>
      <c r="E40" s="1144"/>
      <c r="F40" s="313">
        <v>1</v>
      </c>
      <c r="G40" s="315">
        <v>1</v>
      </c>
      <c r="H40" s="1113">
        <f t="shared" si="1"/>
        <v>100</v>
      </c>
    </row>
    <row r="41" spans="1:8" s="1107" customFormat="1" ht="14.25" x14ac:dyDescent="0.2">
      <c r="A41" s="34"/>
      <c r="B41" s="1114"/>
      <c r="C41" s="1120" t="s">
        <v>1581</v>
      </c>
      <c r="D41" s="1115" t="s">
        <v>1580</v>
      </c>
      <c r="E41" s="1144"/>
      <c r="F41" s="314">
        <v>1</v>
      </c>
      <c r="G41" s="316">
        <v>1</v>
      </c>
      <c r="H41" s="1116">
        <f t="shared" si="1"/>
        <v>100</v>
      </c>
    </row>
    <row r="42" spans="1:8" s="1107" customFormat="1" ht="15" x14ac:dyDescent="0.25">
      <c r="A42" s="34">
        <v>6172</v>
      </c>
      <c r="B42" s="1139">
        <v>5011</v>
      </c>
      <c r="C42" s="1118"/>
      <c r="D42" s="1108" t="s">
        <v>219</v>
      </c>
      <c r="E42" s="48">
        <f>E43</f>
        <v>170000</v>
      </c>
      <c r="F42" s="447">
        <f>F43+F44</f>
        <v>175231</v>
      </c>
      <c r="G42" s="447">
        <f>G43+G44</f>
        <v>174538</v>
      </c>
      <c r="H42" s="1113">
        <f>(G42/F42)*100</f>
        <v>99.604522030919185</v>
      </c>
    </row>
    <row r="43" spans="1:8" s="1107" customFormat="1" ht="14.25" x14ac:dyDescent="0.2">
      <c r="A43" s="34"/>
      <c r="B43" s="1139"/>
      <c r="C43" s="1120" t="s">
        <v>792</v>
      </c>
      <c r="D43" s="1114" t="s">
        <v>1321</v>
      </c>
      <c r="E43" s="55">
        <v>170000</v>
      </c>
      <c r="F43" s="314">
        <v>174924</v>
      </c>
      <c r="G43" s="316">
        <v>174231</v>
      </c>
      <c r="H43" s="1116">
        <f t="shared" ref="H43:H52" si="2">(G43/F43)*100</f>
        <v>99.603827948137479</v>
      </c>
    </row>
    <row r="44" spans="1:8" s="1107" customFormat="1" ht="14.25" x14ac:dyDescent="0.2">
      <c r="A44" s="34"/>
      <c r="B44" s="1139"/>
      <c r="C44" s="1120" t="s">
        <v>317</v>
      </c>
      <c r="D44" s="1115" t="s">
        <v>851</v>
      </c>
      <c r="E44" s="55"/>
      <c r="F44" s="314">
        <v>307</v>
      </c>
      <c r="G44" s="316">
        <v>307</v>
      </c>
      <c r="H44" s="1116">
        <f t="shared" si="2"/>
        <v>100</v>
      </c>
    </row>
    <row r="45" spans="1:8" s="1107" customFormat="1" ht="15" x14ac:dyDescent="0.25">
      <c r="A45" s="34">
        <v>6172</v>
      </c>
      <c r="B45" s="1139">
        <v>5021</v>
      </c>
      <c r="C45" s="1118"/>
      <c r="D45" s="1108" t="s">
        <v>409</v>
      </c>
      <c r="E45" s="48">
        <v>1500</v>
      </c>
      <c r="F45" s="447">
        <f>F46+F47+F48+F49+F50+F51</f>
        <v>2213</v>
      </c>
      <c r="G45" s="447">
        <f>G46+G47+G48+G49+G50+G51</f>
        <v>1516</v>
      </c>
      <c r="H45" s="1113">
        <f>(G45/F45)*100</f>
        <v>68.504292815183007</v>
      </c>
    </row>
    <row r="46" spans="1:8" s="1107" customFormat="1" ht="14.25" x14ac:dyDescent="0.2">
      <c r="A46" s="34"/>
      <c r="B46" s="1139"/>
      <c r="C46" s="1120" t="s">
        <v>792</v>
      </c>
      <c r="D46" s="1114" t="s">
        <v>1321</v>
      </c>
      <c r="E46" s="55">
        <v>1500</v>
      </c>
      <c r="F46" s="314">
        <v>1569</v>
      </c>
      <c r="G46" s="316">
        <v>1334</v>
      </c>
      <c r="H46" s="1116">
        <f t="shared" si="2"/>
        <v>85.022307202039514</v>
      </c>
    </row>
    <row r="47" spans="1:8" s="1107" customFormat="1" ht="15" x14ac:dyDescent="0.25">
      <c r="A47" s="34"/>
      <c r="B47" s="1139"/>
      <c r="C47" s="1828">
        <v>41100880</v>
      </c>
      <c r="D47" s="1423" t="s">
        <v>1582</v>
      </c>
      <c r="E47" s="48"/>
      <c r="F47" s="314">
        <v>3</v>
      </c>
      <c r="G47" s="316">
        <v>3</v>
      </c>
      <c r="H47" s="1116">
        <f t="shared" si="2"/>
        <v>100</v>
      </c>
    </row>
    <row r="48" spans="1:8" s="1107" customFormat="1" ht="15" x14ac:dyDescent="0.25">
      <c r="A48" s="34"/>
      <c r="B48" s="1139"/>
      <c r="C48" s="1828">
        <v>41100882</v>
      </c>
      <c r="D48" s="1423" t="s">
        <v>1583</v>
      </c>
      <c r="E48" s="48"/>
      <c r="F48" s="314">
        <v>1</v>
      </c>
      <c r="G48" s="316">
        <v>1</v>
      </c>
      <c r="H48" s="1116">
        <f t="shared" si="2"/>
        <v>100</v>
      </c>
    </row>
    <row r="49" spans="1:10" s="1107" customFormat="1" ht="15" x14ac:dyDescent="0.25">
      <c r="A49" s="34"/>
      <c r="B49" s="1139"/>
      <c r="C49" s="1828">
        <v>41500881</v>
      </c>
      <c r="D49" s="1115" t="s">
        <v>1584</v>
      </c>
      <c r="E49" s="48"/>
      <c r="F49" s="314">
        <v>25</v>
      </c>
      <c r="G49" s="316">
        <v>25</v>
      </c>
      <c r="H49" s="1116">
        <f t="shared" si="2"/>
        <v>100</v>
      </c>
      <c r="J49" s="1829"/>
    </row>
    <row r="50" spans="1:10" s="1107" customFormat="1" ht="15" x14ac:dyDescent="0.25">
      <c r="A50" s="34"/>
      <c r="B50" s="1139"/>
      <c r="C50" s="1828">
        <v>42100880</v>
      </c>
      <c r="D50" s="1423" t="s">
        <v>1582</v>
      </c>
      <c r="E50" s="48"/>
      <c r="F50" s="314">
        <v>92</v>
      </c>
      <c r="G50" s="316">
        <v>23</v>
      </c>
      <c r="H50" s="1116">
        <f t="shared" si="2"/>
        <v>25</v>
      </c>
      <c r="J50" s="1829"/>
    </row>
    <row r="51" spans="1:10" s="1107" customFormat="1" ht="15" x14ac:dyDescent="0.25">
      <c r="A51" s="34"/>
      <c r="B51" s="1139"/>
      <c r="C51" s="1828">
        <v>42500881</v>
      </c>
      <c r="D51" s="1115" t="s">
        <v>1584</v>
      </c>
      <c r="E51" s="48"/>
      <c r="F51" s="314">
        <v>523</v>
      </c>
      <c r="G51" s="316">
        <v>130</v>
      </c>
      <c r="H51" s="1116">
        <f t="shared" si="2"/>
        <v>24.856596558317399</v>
      </c>
      <c r="J51" s="1829"/>
    </row>
    <row r="52" spans="1:10" s="1107" customFormat="1" ht="15" x14ac:dyDescent="0.25">
      <c r="A52" s="34">
        <v>6172</v>
      </c>
      <c r="B52" s="1139">
        <v>5029</v>
      </c>
      <c r="C52" s="1120"/>
      <c r="D52" s="1108" t="s">
        <v>511</v>
      </c>
      <c r="E52" s="48">
        <v>100</v>
      </c>
      <c r="F52" s="168">
        <v>58</v>
      </c>
      <c r="G52" s="315">
        <v>58</v>
      </c>
      <c r="H52" s="1113">
        <f t="shared" si="2"/>
        <v>100</v>
      </c>
      <c r="J52" s="1829"/>
    </row>
    <row r="53" spans="1:10" s="1107" customFormat="1" ht="15" x14ac:dyDescent="0.25">
      <c r="A53" s="34">
        <v>6172</v>
      </c>
      <c r="B53" s="1139">
        <v>5031</v>
      </c>
      <c r="C53" s="1120"/>
      <c r="D53" s="1108" t="s">
        <v>250</v>
      </c>
      <c r="E53" s="48">
        <f>E55</f>
        <v>42500</v>
      </c>
      <c r="F53" s="447">
        <f>F55+F56</f>
        <v>44271</v>
      </c>
      <c r="G53" s="447">
        <f>G55+G56</f>
        <v>44076</v>
      </c>
      <c r="H53" s="1113">
        <f>(G53/F53)*100</f>
        <v>99.559531070000673</v>
      </c>
    </row>
    <row r="54" spans="1:10" s="1107" customFormat="1" ht="15" x14ac:dyDescent="0.25">
      <c r="A54" s="34"/>
      <c r="B54" s="1139"/>
      <c r="C54" s="1120"/>
      <c r="D54" s="1108" t="s">
        <v>763</v>
      </c>
      <c r="E54" s="48"/>
      <c r="F54" s="168"/>
      <c r="G54" s="316"/>
      <c r="H54" s="1113"/>
    </row>
    <row r="55" spans="1:10" s="1107" customFormat="1" ht="14.25" x14ac:dyDescent="0.2">
      <c r="A55" s="34"/>
      <c r="B55" s="1139"/>
      <c r="C55" s="1120" t="s">
        <v>792</v>
      </c>
      <c r="D55" s="1114" t="s">
        <v>1321</v>
      </c>
      <c r="E55" s="55">
        <v>42500</v>
      </c>
      <c r="F55" s="314">
        <v>44194</v>
      </c>
      <c r="G55" s="316">
        <v>43999</v>
      </c>
      <c r="H55" s="1116">
        <f t="shared" ref="H55:H61" si="3">(G55/F55)*100</f>
        <v>99.558763633072374</v>
      </c>
    </row>
    <row r="56" spans="1:10" s="1107" customFormat="1" ht="14.25" x14ac:dyDescent="0.2">
      <c r="A56" s="34"/>
      <c r="B56" s="1139"/>
      <c r="C56" s="1120" t="s">
        <v>317</v>
      </c>
      <c r="D56" s="1115" t="s">
        <v>851</v>
      </c>
      <c r="E56" s="55"/>
      <c r="F56" s="314">
        <v>77</v>
      </c>
      <c r="G56" s="316">
        <v>77</v>
      </c>
      <c r="H56" s="1116">
        <f t="shared" si="3"/>
        <v>100</v>
      </c>
    </row>
    <row r="57" spans="1:10" s="1107" customFormat="1" ht="15" x14ac:dyDescent="0.25">
      <c r="A57" s="34">
        <v>6172</v>
      </c>
      <c r="B57" s="1139">
        <v>5032</v>
      </c>
      <c r="C57" s="1120"/>
      <c r="D57" s="1108" t="s">
        <v>251</v>
      </c>
      <c r="E57" s="48">
        <f>E58</f>
        <v>15300</v>
      </c>
      <c r="F57" s="447">
        <f>F58+F59</f>
        <v>15913</v>
      </c>
      <c r="G57" s="447">
        <f>G58+G59</f>
        <v>15834</v>
      </c>
      <c r="H57" s="1113">
        <f>(G57/F57)*100</f>
        <v>99.503550556149051</v>
      </c>
    </row>
    <row r="58" spans="1:10" s="1107" customFormat="1" ht="14.25" x14ac:dyDescent="0.2">
      <c r="A58" s="34"/>
      <c r="B58" s="1139"/>
      <c r="C58" s="1120" t="s">
        <v>792</v>
      </c>
      <c r="D58" s="1114" t="s">
        <v>1321</v>
      </c>
      <c r="E58" s="55">
        <v>15300</v>
      </c>
      <c r="F58" s="314">
        <v>15885</v>
      </c>
      <c r="G58" s="316">
        <v>15806</v>
      </c>
      <c r="H58" s="1116">
        <f t="shared" si="3"/>
        <v>99.502675480012599</v>
      </c>
    </row>
    <row r="59" spans="1:10" s="1107" customFormat="1" ht="14.25" x14ac:dyDescent="0.2">
      <c r="A59" s="34"/>
      <c r="B59" s="1139"/>
      <c r="C59" s="1120" t="s">
        <v>317</v>
      </c>
      <c r="D59" s="1115" t="s">
        <v>851</v>
      </c>
      <c r="E59" s="55"/>
      <c r="F59" s="314">
        <v>28</v>
      </c>
      <c r="G59" s="316">
        <v>28</v>
      </c>
      <c r="H59" s="1116">
        <f t="shared" si="3"/>
        <v>100</v>
      </c>
    </row>
    <row r="60" spans="1:10" s="1107" customFormat="1" ht="15" x14ac:dyDescent="0.25">
      <c r="A60" s="34">
        <v>6172</v>
      </c>
      <c r="B60" s="1139">
        <v>5038</v>
      </c>
      <c r="C60" s="1120"/>
      <c r="D60" s="1108" t="s">
        <v>1161</v>
      </c>
      <c r="E60" s="48">
        <v>750</v>
      </c>
      <c r="F60" s="447">
        <v>762</v>
      </c>
      <c r="G60" s="447">
        <v>762</v>
      </c>
      <c r="H60" s="1113">
        <f>(G60/F60)*100</f>
        <v>100</v>
      </c>
    </row>
    <row r="61" spans="1:10" s="1107" customFormat="1" ht="15" x14ac:dyDescent="0.25">
      <c r="A61" s="34">
        <v>6172</v>
      </c>
      <c r="B61" s="1139">
        <v>5039</v>
      </c>
      <c r="C61" s="1120"/>
      <c r="D61" s="1108" t="s">
        <v>1292</v>
      </c>
      <c r="E61" s="48">
        <v>50</v>
      </c>
      <c r="F61" s="168">
        <v>50</v>
      </c>
      <c r="G61" s="315">
        <v>0</v>
      </c>
      <c r="H61" s="1113">
        <f t="shared" si="3"/>
        <v>0</v>
      </c>
    </row>
    <row r="62" spans="1:10" s="1107" customFormat="1" ht="15" x14ac:dyDescent="0.25">
      <c r="A62" s="34">
        <v>6172</v>
      </c>
      <c r="B62" s="1139">
        <v>5134</v>
      </c>
      <c r="C62" s="1120"/>
      <c r="D62" s="1108" t="s">
        <v>644</v>
      </c>
      <c r="E62" s="48">
        <v>46</v>
      </c>
      <c r="F62" s="168">
        <v>10</v>
      </c>
      <c r="G62" s="315">
        <v>7</v>
      </c>
      <c r="H62" s="1113">
        <f>(G62/F62)*100</f>
        <v>70</v>
      </c>
    </row>
    <row r="63" spans="1:10" s="1107" customFormat="1" ht="15" x14ac:dyDescent="0.25">
      <c r="A63" s="34">
        <v>6172</v>
      </c>
      <c r="B63" s="1139">
        <v>5136</v>
      </c>
      <c r="C63" s="1120"/>
      <c r="D63" s="1108" t="s">
        <v>252</v>
      </c>
      <c r="E63" s="48">
        <v>500</v>
      </c>
      <c r="F63" s="168">
        <v>460</v>
      </c>
      <c r="G63" s="315">
        <v>398</v>
      </c>
      <c r="H63" s="1113">
        <f t="shared" ref="H63:H80" si="4">(G63/F63)*100</f>
        <v>86.521739130434781</v>
      </c>
    </row>
    <row r="64" spans="1:10" s="1107" customFormat="1" ht="15" x14ac:dyDescent="0.25">
      <c r="A64" s="34">
        <v>6172</v>
      </c>
      <c r="B64" s="1139">
        <v>5137</v>
      </c>
      <c r="C64" s="1120"/>
      <c r="D64" s="1108" t="s">
        <v>167</v>
      </c>
      <c r="E64" s="48">
        <v>500</v>
      </c>
      <c r="F64" s="168">
        <v>541</v>
      </c>
      <c r="G64" s="315">
        <f>G65+G66</f>
        <v>528</v>
      </c>
      <c r="H64" s="1113">
        <f t="shared" si="4"/>
        <v>97.597042513863215</v>
      </c>
    </row>
    <row r="65" spans="1:12" s="1107" customFormat="1" ht="14.25" x14ac:dyDescent="0.2">
      <c r="A65" s="34"/>
      <c r="B65" s="1139"/>
      <c r="C65" s="1120" t="s">
        <v>792</v>
      </c>
      <c r="D65" s="1114" t="s">
        <v>1321</v>
      </c>
      <c r="E65" s="55">
        <v>200</v>
      </c>
      <c r="F65" s="314">
        <v>526</v>
      </c>
      <c r="G65" s="316">
        <v>513</v>
      </c>
      <c r="H65" s="1116">
        <f t="shared" si="4"/>
        <v>97.528517110266151</v>
      </c>
    </row>
    <row r="66" spans="1:12" s="1107" customFormat="1" ht="14.25" x14ac:dyDescent="0.2">
      <c r="A66" s="34"/>
      <c r="B66" s="1139"/>
      <c r="C66" s="1120" t="s">
        <v>317</v>
      </c>
      <c r="D66" s="1115" t="s">
        <v>851</v>
      </c>
      <c r="E66" s="55"/>
      <c r="F66" s="314">
        <v>15</v>
      </c>
      <c r="G66" s="316">
        <v>15</v>
      </c>
      <c r="H66" s="1116">
        <f t="shared" si="4"/>
        <v>100</v>
      </c>
    </row>
    <row r="67" spans="1:12" s="1107" customFormat="1" ht="15" x14ac:dyDescent="0.25">
      <c r="A67" s="34">
        <v>6172</v>
      </c>
      <c r="B67" s="1139">
        <v>5139</v>
      </c>
      <c r="C67" s="1120"/>
      <c r="D67" s="1108" t="s">
        <v>309</v>
      </c>
      <c r="E67" s="48">
        <v>2730</v>
      </c>
      <c r="F67" s="447">
        <v>3028</v>
      </c>
      <c r="G67" s="447">
        <v>2836</v>
      </c>
      <c r="H67" s="1113">
        <f t="shared" si="4"/>
        <v>93.659180977542931</v>
      </c>
    </row>
    <row r="68" spans="1:12" s="1107" customFormat="1" ht="15.75" thickBot="1" x14ac:dyDescent="0.3">
      <c r="A68" s="34">
        <v>6172</v>
      </c>
      <c r="B68" s="1139">
        <v>5151</v>
      </c>
      <c r="C68" s="1120"/>
      <c r="D68" s="1108" t="s">
        <v>900</v>
      </c>
      <c r="E68" s="48">
        <v>480</v>
      </c>
      <c r="F68" s="168">
        <v>415</v>
      </c>
      <c r="G68" s="315">
        <v>397</v>
      </c>
      <c r="H68" s="1113">
        <f t="shared" si="4"/>
        <v>95.662650602409641</v>
      </c>
    </row>
    <row r="69" spans="1:12" s="1107" customFormat="1" ht="15.75" thickTop="1" x14ac:dyDescent="0.25">
      <c r="A69" s="1223"/>
      <c r="B69" s="1223"/>
      <c r="C69" s="2374"/>
      <c r="D69" s="1169"/>
      <c r="E69" s="2375"/>
      <c r="F69" s="1388"/>
      <c r="G69" s="450"/>
      <c r="H69" s="2376"/>
    </row>
    <row r="70" spans="1:12" s="1107" customFormat="1" ht="15" x14ac:dyDescent="0.25">
      <c r="A70" s="1139"/>
      <c r="B70" s="1139"/>
      <c r="C70" s="1110"/>
      <c r="D70" s="1108"/>
      <c r="E70" s="1352"/>
      <c r="F70" s="168"/>
      <c r="G70" s="313"/>
      <c r="H70" s="2406"/>
    </row>
    <row r="71" spans="1:12" ht="13.5" thickBot="1" x14ac:dyDescent="0.25">
      <c r="A71" s="631"/>
      <c r="B71" s="631"/>
      <c r="C71" s="853"/>
      <c r="D71" s="632"/>
      <c r="G71" s="980"/>
      <c r="H71" s="1344" t="s">
        <v>173</v>
      </c>
    </row>
    <row r="72" spans="1:12" s="107" customFormat="1" ht="20.25" customHeight="1" thickTop="1" thickBot="1" x14ac:dyDescent="0.25">
      <c r="A72" s="633" t="s">
        <v>174</v>
      </c>
      <c r="B72" s="634" t="s">
        <v>175</v>
      </c>
      <c r="C72" s="636" t="s">
        <v>744</v>
      </c>
      <c r="D72" s="636" t="s">
        <v>176</v>
      </c>
      <c r="E72" s="636" t="s">
        <v>177</v>
      </c>
      <c r="F72" s="636" t="s">
        <v>922</v>
      </c>
      <c r="G72" s="636" t="s">
        <v>923</v>
      </c>
      <c r="H72" s="637" t="s">
        <v>924</v>
      </c>
    </row>
    <row r="73" spans="1:12" s="384" customFormat="1" ht="13.5" thickTop="1" thickBot="1" x14ac:dyDescent="0.25">
      <c r="A73" s="568">
        <v>1</v>
      </c>
      <c r="B73" s="569">
        <v>2</v>
      </c>
      <c r="C73" s="569">
        <v>3</v>
      </c>
      <c r="D73" s="569">
        <v>4</v>
      </c>
      <c r="E73" s="569">
        <v>5</v>
      </c>
      <c r="F73" s="543">
        <v>6</v>
      </c>
      <c r="G73" s="543">
        <v>7</v>
      </c>
      <c r="H73" s="638" t="s">
        <v>61</v>
      </c>
      <c r="I73" s="107"/>
    </row>
    <row r="74" spans="1:12" s="1107" customFormat="1" ht="15.75" thickTop="1" x14ac:dyDescent="0.25">
      <c r="A74" s="50">
        <v>6172</v>
      </c>
      <c r="B74" s="19">
        <v>5152</v>
      </c>
      <c r="C74" s="1120"/>
      <c r="D74" s="1108" t="s">
        <v>903</v>
      </c>
      <c r="E74" s="48">
        <v>3205</v>
      </c>
      <c r="F74" s="168">
        <v>2635</v>
      </c>
      <c r="G74" s="315">
        <v>2510</v>
      </c>
      <c r="H74" s="1113">
        <f t="shared" si="4"/>
        <v>95.256166982922196</v>
      </c>
      <c r="J74" s="1141">
        <f>E42+E45+E52+E53+E57+E60+E61+E62+E63+E64+E67+E68+E74</f>
        <v>237661</v>
      </c>
      <c r="K74" s="1141">
        <f>F10+F12+F15+F17+F19+F21+F23+F25+F27+F29+F31+F34+F36+F38+F40+F42+F45+F52+F53+F57+F60+F61+F62+F63+F64+F67+F68+F74</f>
        <v>245716</v>
      </c>
      <c r="L74" s="1141">
        <f>G10+G12+G15+G17+G19+G21+G23+G25+G27+G29+G31+G34+G36+G38+G40+G42+G45+G52+G53+G57+G60+G61+G62+G63+G64+G67+G68+G74</f>
        <v>243545</v>
      </c>
    </row>
    <row r="75" spans="1:12" s="1107" customFormat="1" ht="15" x14ac:dyDescent="0.25">
      <c r="A75" s="50">
        <v>6172</v>
      </c>
      <c r="B75" s="19">
        <v>5153</v>
      </c>
      <c r="C75" s="1120"/>
      <c r="D75" s="1108" t="s">
        <v>1288</v>
      </c>
      <c r="E75" s="48">
        <v>352</v>
      </c>
      <c r="F75" s="168">
        <v>156</v>
      </c>
      <c r="G75" s="315">
        <v>154</v>
      </c>
      <c r="H75" s="1113">
        <f t="shared" si="4"/>
        <v>98.71794871794873</v>
      </c>
    </row>
    <row r="76" spans="1:12" s="1107" customFormat="1" ht="15" x14ac:dyDescent="0.25">
      <c r="A76" s="50">
        <v>6172</v>
      </c>
      <c r="B76" s="19">
        <v>5154</v>
      </c>
      <c r="C76" s="1120"/>
      <c r="D76" s="1108" t="s">
        <v>311</v>
      </c>
      <c r="E76" s="48">
        <v>3200</v>
      </c>
      <c r="F76" s="168">
        <v>3721</v>
      </c>
      <c r="G76" s="315">
        <v>3533</v>
      </c>
      <c r="H76" s="1113">
        <f t="shared" si="4"/>
        <v>94.947594732598759</v>
      </c>
    </row>
    <row r="77" spans="1:12" s="1107" customFormat="1" ht="15" x14ac:dyDescent="0.25">
      <c r="A77" s="50">
        <v>6172</v>
      </c>
      <c r="B77" s="19">
        <v>5156</v>
      </c>
      <c r="C77" s="1120"/>
      <c r="D77" s="1108" t="s">
        <v>312</v>
      </c>
      <c r="E77" s="48">
        <f>E78</f>
        <v>1200</v>
      </c>
      <c r="F77" s="447">
        <f>F78+F79+F80</f>
        <v>1205</v>
      </c>
      <c r="G77" s="447">
        <f>G78+G79+G80</f>
        <v>1067</v>
      </c>
      <c r="H77" s="1113">
        <f t="shared" si="4"/>
        <v>88.54771784232365</v>
      </c>
    </row>
    <row r="78" spans="1:12" s="1107" customFormat="1" ht="14.25" x14ac:dyDescent="0.2">
      <c r="A78" s="50"/>
      <c r="B78" s="19"/>
      <c r="C78" s="1120" t="s">
        <v>792</v>
      </c>
      <c r="D78" s="1114" t="s">
        <v>1321</v>
      </c>
      <c r="E78" s="55">
        <v>1200</v>
      </c>
      <c r="F78" s="314">
        <v>1200</v>
      </c>
      <c r="G78" s="316">
        <v>1065</v>
      </c>
      <c r="H78" s="1116">
        <f t="shared" si="4"/>
        <v>88.75</v>
      </c>
    </row>
    <row r="79" spans="1:12" s="1107" customFormat="1" ht="15" x14ac:dyDescent="0.25">
      <c r="A79" s="50"/>
      <c r="B79" s="19"/>
      <c r="C79" s="1828">
        <v>41100880</v>
      </c>
      <c r="D79" s="1423" t="s">
        <v>1582</v>
      </c>
      <c r="E79" s="48"/>
      <c r="F79" s="314">
        <v>1</v>
      </c>
      <c r="G79" s="316">
        <v>0</v>
      </c>
      <c r="H79" s="1116">
        <f t="shared" si="4"/>
        <v>0</v>
      </c>
    </row>
    <row r="80" spans="1:12" s="1107" customFormat="1" ht="15" x14ac:dyDescent="0.25">
      <c r="A80" s="50"/>
      <c r="B80" s="19"/>
      <c r="C80" s="1828">
        <v>41500881</v>
      </c>
      <c r="D80" s="1115" t="s">
        <v>1584</v>
      </c>
      <c r="E80" s="48"/>
      <c r="F80" s="314">
        <v>4</v>
      </c>
      <c r="G80" s="316">
        <v>2</v>
      </c>
      <c r="H80" s="1116">
        <f t="shared" si="4"/>
        <v>50</v>
      </c>
    </row>
    <row r="81" spans="1:12" s="1107" customFormat="1" ht="15" x14ac:dyDescent="0.25">
      <c r="A81" s="34">
        <v>6172</v>
      </c>
      <c r="B81" s="19">
        <v>5157</v>
      </c>
      <c r="C81" s="1120"/>
      <c r="D81" s="1108" t="s">
        <v>403</v>
      </c>
      <c r="E81" s="48">
        <v>120</v>
      </c>
      <c r="F81" s="168">
        <v>139</v>
      </c>
      <c r="G81" s="315">
        <v>127</v>
      </c>
      <c r="H81" s="1113">
        <f t="shared" ref="H81:H87" si="5">(G81/F81)*100</f>
        <v>91.366906474820141</v>
      </c>
      <c r="J81" s="1141"/>
      <c r="K81" s="1141"/>
      <c r="L81" s="1141"/>
    </row>
    <row r="82" spans="1:12" s="1107" customFormat="1" ht="15" x14ac:dyDescent="0.25">
      <c r="A82" s="50">
        <v>6172</v>
      </c>
      <c r="B82" s="19">
        <v>5159</v>
      </c>
      <c r="C82" s="1120"/>
      <c r="D82" s="1108" t="s">
        <v>512</v>
      </c>
      <c r="E82" s="48">
        <v>5</v>
      </c>
      <c r="F82" s="168">
        <v>9</v>
      </c>
      <c r="G82" s="315">
        <v>9</v>
      </c>
      <c r="H82" s="1113">
        <f t="shared" si="5"/>
        <v>100</v>
      </c>
    </row>
    <row r="83" spans="1:12" s="1107" customFormat="1" ht="15" x14ac:dyDescent="0.25">
      <c r="A83" s="50">
        <v>6172</v>
      </c>
      <c r="B83" s="19">
        <v>5161</v>
      </c>
      <c r="C83" s="1120"/>
      <c r="D83" s="1108" t="s">
        <v>313</v>
      </c>
      <c r="E83" s="48">
        <v>1500</v>
      </c>
      <c r="F83" s="447">
        <v>710</v>
      </c>
      <c r="G83" s="447">
        <v>704</v>
      </c>
      <c r="H83" s="1113">
        <f t="shared" si="5"/>
        <v>99.154929577464785</v>
      </c>
    </row>
    <row r="84" spans="1:12" s="1107" customFormat="1" ht="15" x14ac:dyDescent="0.25">
      <c r="A84" s="50">
        <v>6172</v>
      </c>
      <c r="B84" s="19">
        <v>5162</v>
      </c>
      <c r="C84" s="1120"/>
      <c r="D84" s="1108" t="s">
        <v>904</v>
      </c>
      <c r="E84" s="48">
        <v>2000</v>
      </c>
      <c r="F84" s="447">
        <f>F85+F86</f>
        <v>1604</v>
      </c>
      <c r="G84" s="447">
        <f>G85+G86</f>
        <v>1574</v>
      </c>
      <c r="H84" s="1113">
        <f t="shared" si="5"/>
        <v>98.129675810473813</v>
      </c>
    </row>
    <row r="85" spans="1:12" s="1107" customFormat="1" ht="14.25" x14ac:dyDescent="0.2">
      <c r="A85" s="50"/>
      <c r="B85" s="19"/>
      <c r="C85" s="1120" t="s">
        <v>792</v>
      </c>
      <c r="D85" s="1114" t="s">
        <v>1321</v>
      </c>
      <c r="E85" s="55">
        <v>2000</v>
      </c>
      <c r="F85" s="314">
        <v>1595</v>
      </c>
      <c r="G85" s="316">
        <v>1570</v>
      </c>
      <c r="H85" s="1116">
        <f t="shared" si="5"/>
        <v>98.432601880877741</v>
      </c>
    </row>
    <row r="86" spans="1:12" s="1107" customFormat="1" ht="15" x14ac:dyDescent="0.25">
      <c r="A86" s="50"/>
      <c r="B86" s="19"/>
      <c r="C86" s="1120" t="s">
        <v>317</v>
      </c>
      <c r="D86" s="1115" t="s">
        <v>851</v>
      </c>
      <c r="E86" s="48"/>
      <c r="F86" s="314">
        <v>9</v>
      </c>
      <c r="G86" s="316">
        <v>4</v>
      </c>
      <c r="H86" s="1116">
        <f t="shared" si="5"/>
        <v>44.444444444444443</v>
      </c>
      <c r="J86" s="1141"/>
    </row>
    <row r="87" spans="1:12" s="1107" customFormat="1" ht="15.75" customHeight="1" x14ac:dyDescent="0.25">
      <c r="A87" s="50">
        <v>6172</v>
      </c>
      <c r="B87" s="19">
        <v>5163</v>
      </c>
      <c r="C87" s="1120"/>
      <c r="D87" s="1108" t="s">
        <v>934</v>
      </c>
      <c r="E87" s="48">
        <v>300</v>
      </c>
      <c r="F87" s="1830">
        <v>10</v>
      </c>
      <c r="G87" s="447">
        <v>7</v>
      </c>
      <c r="H87" s="1113">
        <f t="shared" si="5"/>
        <v>70</v>
      </c>
      <c r="J87" s="1141"/>
      <c r="K87" s="1141"/>
      <c r="L87" s="1141"/>
    </row>
    <row r="88" spans="1:12" s="1107" customFormat="1" ht="15" x14ac:dyDescent="0.25">
      <c r="A88" s="50">
        <v>6172</v>
      </c>
      <c r="B88" s="19">
        <v>5164</v>
      </c>
      <c r="C88" s="1120"/>
      <c r="D88" s="1108" t="s">
        <v>935</v>
      </c>
      <c r="E88" s="48">
        <v>17500</v>
      </c>
      <c r="F88" s="447">
        <f>F89+F90</f>
        <v>17137</v>
      </c>
      <c r="G88" s="447">
        <f>G89+G90</f>
        <v>17091</v>
      </c>
      <c r="H88" s="1113">
        <f t="shared" ref="H88:H97" si="6">(G88/F88)*100</f>
        <v>99.731574954776221</v>
      </c>
    </row>
    <row r="89" spans="1:12" s="1107" customFormat="1" ht="14.25" x14ac:dyDescent="0.2">
      <c r="A89" s="50"/>
      <c r="B89" s="19"/>
      <c r="C89" s="1120" t="s">
        <v>792</v>
      </c>
      <c r="D89" s="1114" t="s">
        <v>1321</v>
      </c>
      <c r="E89" s="55">
        <v>17200</v>
      </c>
      <c r="F89" s="314">
        <v>16837</v>
      </c>
      <c r="G89" s="316">
        <v>16803</v>
      </c>
      <c r="H89" s="1116">
        <f t="shared" si="6"/>
        <v>99.79806378808577</v>
      </c>
    </row>
    <row r="90" spans="1:12" s="1107" customFormat="1" ht="14.25" x14ac:dyDescent="0.2">
      <c r="A90" s="50"/>
      <c r="B90" s="19"/>
      <c r="C90" s="1120" t="s">
        <v>1265</v>
      </c>
      <c r="D90" s="1114" t="s">
        <v>1266</v>
      </c>
      <c r="E90" s="55">
        <v>300</v>
      </c>
      <c r="F90" s="314">
        <v>300</v>
      </c>
      <c r="G90" s="316">
        <v>288</v>
      </c>
      <c r="H90" s="1116">
        <f t="shared" si="6"/>
        <v>96</v>
      </c>
    </row>
    <row r="91" spans="1:12" s="1107" customFormat="1" ht="15" x14ac:dyDescent="0.25">
      <c r="A91" s="50">
        <v>6172</v>
      </c>
      <c r="B91" s="19">
        <v>5166</v>
      </c>
      <c r="C91" s="1120"/>
      <c r="D91" s="128" t="s">
        <v>646</v>
      </c>
      <c r="E91" s="60">
        <v>200</v>
      </c>
      <c r="F91" s="313">
        <v>150</v>
      </c>
      <c r="G91" s="315">
        <v>144</v>
      </c>
      <c r="H91" s="1113">
        <f t="shared" si="6"/>
        <v>96</v>
      </c>
    </row>
    <row r="92" spans="1:12" s="1107" customFormat="1" ht="15" x14ac:dyDescent="0.25">
      <c r="A92" s="50">
        <v>6172</v>
      </c>
      <c r="B92" s="19">
        <v>5167</v>
      </c>
      <c r="C92" s="1120"/>
      <c r="D92" s="1108" t="s">
        <v>937</v>
      </c>
      <c r="E92" s="48">
        <v>2000</v>
      </c>
      <c r="F92" s="168">
        <v>2145</v>
      </c>
      <c r="G92" s="315">
        <v>2138</v>
      </c>
      <c r="H92" s="1113">
        <f t="shared" si="6"/>
        <v>99.673659673659671</v>
      </c>
    </row>
    <row r="93" spans="1:12" s="1107" customFormat="1" ht="15" x14ac:dyDescent="0.25">
      <c r="A93" s="50">
        <v>6172</v>
      </c>
      <c r="B93" s="19">
        <v>5169</v>
      </c>
      <c r="C93" s="1120"/>
      <c r="D93" s="1108" t="s">
        <v>1210</v>
      </c>
      <c r="E93" s="48">
        <v>12053</v>
      </c>
      <c r="F93" s="447">
        <v>12324</v>
      </c>
      <c r="G93" s="447">
        <v>12054</v>
      </c>
      <c r="H93" s="1113">
        <f t="shared" si="6"/>
        <v>97.809152872444017</v>
      </c>
    </row>
    <row r="94" spans="1:12" s="1107" customFormat="1" ht="15" x14ac:dyDescent="0.25">
      <c r="A94" s="50">
        <v>6172</v>
      </c>
      <c r="B94" s="19">
        <v>5171</v>
      </c>
      <c r="C94" s="1120"/>
      <c r="D94" s="1108" t="s">
        <v>1293</v>
      </c>
      <c r="E94" s="48">
        <f>E95+E96</f>
        <v>3700</v>
      </c>
      <c r="F94" s="48">
        <f>F95+F96</f>
        <v>3017</v>
      </c>
      <c r="G94" s="48">
        <f>G95+G96</f>
        <v>2821</v>
      </c>
      <c r="H94" s="1113">
        <f t="shared" si="6"/>
        <v>93.503480278422273</v>
      </c>
    </row>
    <row r="95" spans="1:12" s="1107" customFormat="1" ht="14.25" x14ac:dyDescent="0.2">
      <c r="A95" s="50"/>
      <c r="B95" s="19"/>
      <c r="C95" s="1120" t="s">
        <v>792</v>
      </c>
      <c r="D95" s="1114" t="s">
        <v>1321</v>
      </c>
      <c r="E95" s="55">
        <v>3700</v>
      </c>
      <c r="F95" s="314">
        <v>2799</v>
      </c>
      <c r="G95" s="316">
        <v>2722</v>
      </c>
      <c r="H95" s="1116">
        <f t="shared" si="6"/>
        <v>97.24901750625223</v>
      </c>
    </row>
    <row r="96" spans="1:12" s="1107" customFormat="1" ht="15" x14ac:dyDescent="0.25">
      <c r="A96" s="50"/>
      <c r="B96" s="19"/>
      <c r="C96" s="1120" t="s">
        <v>22</v>
      </c>
      <c r="D96" s="1115" t="s">
        <v>1263</v>
      </c>
      <c r="E96" s="48"/>
      <c r="F96" s="314">
        <v>218</v>
      </c>
      <c r="G96" s="316">
        <v>99</v>
      </c>
      <c r="H96" s="1116">
        <f t="shared" si="6"/>
        <v>45.412844036697244</v>
      </c>
    </row>
    <row r="97" spans="1:11" s="1107" customFormat="1" ht="15" x14ac:dyDescent="0.25">
      <c r="A97" s="50">
        <v>6172</v>
      </c>
      <c r="B97" s="19">
        <v>5173</v>
      </c>
      <c r="C97" s="1120"/>
      <c r="D97" s="1108" t="s">
        <v>1211</v>
      </c>
      <c r="E97" s="48">
        <v>3000</v>
      </c>
      <c r="F97" s="447">
        <f>F98+F99+F100+F101+F102+F103+F104</f>
        <v>2375</v>
      </c>
      <c r="G97" s="447">
        <f>G98+G99+G100+G101+G102+G103+G104</f>
        <v>2226</v>
      </c>
      <c r="H97" s="1113">
        <f t="shared" si="6"/>
        <v>93.726315789473674</v>
      </c>
      <c r="J97" s="1141"/>
      <c r="K97" s="1141"/>
    </row>
    <row r="98" spans="1:11" s="1107" customFormat="1" ht="14.25" x14ac:dyDescent="0.2">
      <c r="A98" s="50"/>
      <c r="B98" s="19"/>
      <c r="C98" s="1120" t="s">
        <v>792</v>
      </c>
      <c r="D98" s="1114" t="s">
        <v>1321</v>
      </c>
      <c r="E98" s="55">
        <v>3000</v>
      </c>
      <c r="F98" s="314">
        <v>2200</v>
      </c>
      <c r="G98" s="316">
        <v>2100</v>
      </c>
      <c r="H98" s="1116">
        <f t="shared" ref="H98:H106" si="7">(G98/F98)*100</f>
        <v>95.454545454545453</v>
      </c>
    </row>
    <row r="99" spans="1:11" s="1107" customFormat="1" ht="14.25" x14ac:dyDescent="0.2">
      <c r="A99" s="50"/>
      <c r="B99" s="19"/>
      <c r="C99" s="1120" t="s">
        <v>317</v>
      </c>
      <c r="D99" s="1115" t="s">
        <v>851</v>
      </c>
      <c r="E99" s="55"/>
      <c r="F99" s="314">
        <v>15</v>
      </c>
      <c r="G99" s="316">
        <v>11</v>
      </c>
      <c r="H99" s="1116">
        <f t="shared" si="7"/>
        <v>73.333333333333329</v>
      </c>
    </row>
    <row r="100" spans="1:11" s="1107" customFormat="1" ht="14.25" x14ac:dyDescent="0.2">
      <c r="A100" s="50"/>
      <c r="B100" s="19"/>
      <c r="C100" s="1828">
        <v>41100880</v>
      </c>
      <c r="D100" s="1423" t="s">
        <v>1582</v>
      </c>
      <c r="E100" s="55"/>
      <c r="F100" s="314">
        <v>1</v>
      </c>
      <c r="G100" s="316">
        <v>0</v>
      </c>
      <c r="H100" s="1116">
        <f t="shared" si="7"/>
        <v>0</v>
      </c>
    </row>
    <row r="101" spans="1:11" s="1107" customFormat="1" ht="14.25" x14ac:dyDescent="0.2">
      <c r="A101" s="50"/>
      <c r="B101" s="19"/>
      <c r="C101" s="1828">
        <v>41100882</v>
      </c>
      <c r="D101" s="1423" t="s">
        <v>1583</v>
      </c>
      <c r="E101" s="55"/>
      <c r="F101" s="314">
        <v>1</v>
      </c>
      <c r="G101" s="316">
        <v>0</v>
      </c>
      <c r="H101" s="1116">
        <f t="shared" si="7"/>
        <v>0</v>
      </c>
    </row>
    <row r="102" spans="1:11" s="1107" customFormat="1" ht="14.25" x14ac:dyDescent="0.2">
      <c r="A102" s="50"/>
      <c r="B102" s="19"/>
      <c r="C102" s="1828">
        <v>41500881</v>
      </c>
      <c r="D102" s="1115" t="s">
        <v>1584</v>
      </c>
      <c r="E102" s="55"/>
      <c r="F102" s="314">
        <v>8</v>
      </c>
      <c r="G102" s="316">
        <v>0</v>
      </c>
      <c r="H102" s="1116">
        <f t="shared" si="7"/>
        <v>0</v>
      </c>
    </row>
    <row r="103" spans="1:11" s="1107" customFormat="1" ht="14.25" x14ac:dyDescent="0.2">
      <c r="A103" s="50"/>
      <c r="B103" s="19"/>
      <c r="C103" s="1828">
        <v>42100880</v>
      </c>
      <c r="D103" s="1423" t="s">
        <v>1582</v>
      </c>
      <c r="E103" s="55"/>
      <c r="F103" s="314">
        <v>22</v>
      </c>
      <c r="G103" s="316">
        <v>18</v>
      </c>
      <c r="H103" s="1116">
        <f t="shared" si="7"/>
        <v>81.818181818181827</v>
      </c>
    </row>
    <row r="104" spans="1:11" s="1107" customFormat="1" ht="14.25" x14ac:dyDescent="0.2">
      <c r="A104" s="50"/>
      <c r="B104" s="19"/>
      <c r="C104" s="1828">
        <v>42500881</v>
      </c>
      <c r="D104" s="1115" t="s">
        <v>1584</v>
      </c>
      <c r="E104" s="55"/>
      <c r="F104" s="314">
        <v>128</v>
      </c>
      <c r="G104" s="316">
        <v>97</v>
      </c>
      <c r="H104" s="1116">
        <f t="shared" si="7"/>
        <v>75.78125</v>
      </c>
    </row>
    <row r="105" spans="1:11" s="1107" customFormat="1" ht="15" x14ac:dyDescent="0.25">
      <c r="A105" s="50">
        <v>6172</v>
      </c>
      <c r="B105" s="19">
        <v>5175</v>
      </c>
      <c r="C105" s="1120"/>
      <c r="D105" s="1131" t="s">
        <v>707</v>
      </c>
      <c r="E105" s="71">
        <v>500</v>
      </c>
      <c r="F105" s="313">
        <v>490</v>
      </c>
      <c r="G105" s="315">
        <v>476</v>
      </c>
      <c r="H105" s="1113">
        <f t="shared" si="7"/>
        <v>97.142857142857139</v>
      </c>
    </row>
    <row r="106" spans="1:11" s="1107" customFormat="1" ht="15" x14ac:dyDescent="0.25">
      <c r="A106" s="50">
        <v>6172</v>
      </c>
      <c r="B106" s="19">
        <v>5176</v>
      </c>
      <c r="C106" s="1120"/>
      <c r="D106" s="1131" t="s">
        <v>1309</v>
      </c>
      <c r="E106" s="71">
        <v>200</v>
      </c>
      <c r="F106" s="313">
        <v>190</v>
      </c>
      <c r="G106" s="315">
        <v>187</v>
      </c>
      <c r="H106" s="1113">
        <f t="shared" si="7"/>
        <v>98.421052631578945</v>
      </c>
    </row>
    <row r="107" spans="1:11" s="1107" customFormat="1" ht="15" x14ac:dyDescent="0.25">
      <c r="A107" s="50">
        <v>6172</v>
      </c>
      <c r="B107" s="19">
        <v>5189</v>
      </c>
      <c r="C107" s="1120"/>
      <c r="D107" s="1108" t="s">
        <v>1079</v>
      </c>
      <c r="E107" s="48">
        <v>20</v>
      </c>
      <c r="F107" s="168">
        <v>0</v>
      </c>
      <c r="G107" s="315">
        <v>0</v>
      </c>
      <c r="H107" s="1113">
        <v>0</v>
      </c>
    </row>
    <row r="108" spans="1:11" s="1107" customFormat="1" ht="15" x14ac:dyDescent="0.25">
      <c r="A108" s="50">
        <v>6172</v>
      </c>
      <c r="B108" s="19">
        <v>5192</v>
      </c>
      <c r="C108" s="1120"/>
      <c r="D108" s="1108" t="s">
        <v>1080</v>
      </c>
      <c r="E108" s="48">
        <v>20</v>
      </c>
      <c r="F108" s="168">
        <v>10</v>
      </c>
      <c r="G108" s="315">
        <v>1</v>
      </c>
      <c r="H108" s="1113">
        <f t="shared" ref="H108:H113" si="8">(G108/F108)*100</f>
        <v>10</v>
      </c>
    </row>
    <row r="109" spans="1:11" s="440" customFormat="1" ht="15" x14ac:dyDescent="0.25">
      <c r="A109" s="1442">
        <v>6172</v>
      </c>
      <c r="B109" s="681">
        <v>5195</v>
      </c>
      <c r="C109" s="554"/>
      <c r="D109" s="380" t="s">
        <v>1761</v>
      </c>
      <c r="E109" s="447"/>
      <c r="F109" s="168">
        <v>373</v>
      </c>
      <c r="G109" s="315">
        <v>373</v>
      </c>
      <c r="H109" s="1463">
        <v>0</v>
      </c>
    </row>
    <row r="110" spans="1:11" s="1107" customFormat="1" ht="15" x14ac:dyDescent="0.25">
      <c r="A110" s="50">
        <v>6172</v>
      </c>
      <c r="B110" s="19">
        <v>5323</v>
      </c>
      <c r="C110" s="1120"/>
      <c r="D110" s="1108" t="s">
        <v>235</v>
      </c>
      <c r="E110" s="48">
        <v>70</v>
      </c>
      <c r="F110" s="168">
        <v>52</v>
      </c>
      <c r="G110" s="315">
        <v>52</v>
      </c>
      <c r="H110" s="1113">
        <f t="shared" si="8"/>
        <v>100</v>
      </c>
    </row>
    <row r="111" spans="1:11" s="1107" customFormat="1" ht="15" x14ac:dyDescent="0.25">
      <c r="A111" s="50">
        <v>6172</v>
      </c>
      <c r="B111" s="19">
        <v>5361</v>
      </c>
      <c r="C111" s="1120"/>
      <c r="D111" s="1108" t="s">
        <v>637</v>
      </c>
      <c r="E111" s="48">
        <v>100</v>
      </c>
      <c r="F111" s="168">
        <v>50</v>
      </c>
      <c r="G111" s="315">
        <v>8</v>
      </c>
      <c r="H111" s="1113">
        <f t="shared" si="8"/>
        <v>16</v>
      </c>
    </row>
    <row r="112" spans="1:11" s="1107" customFormat="1" ht="15" x14ac:dyDescent="0.25">
      <c r="A112" s="50">
        <v>6172</v>
      </c>
      <c r="B112" s="19">
        <v>5362</v>
      </c>
      <c r="C112" s="1120"/>
      <c r="D112" s="1108" t="s">
        <v>638</v>
      </c>
      <c r="E112" s="48">
        <v>50</v>
      </c>
      <c r="F112" s="168">
        <v>50</v>
      </c>
      <c r="G112" s="315">
        <v>50</v>
      </c>
      <c r="H112" s="1113">
        <f t="shared" si="8"/>
        <v>100</v>
      </c>
    </row>
    <row r="113" spans="1:12" s="1107" customFormat="1" ht="15" x14ac:dyDescent="0.25">
      <c r="A113" s="50">
        <v>6172</v>
      </c>
      <c r="B113" s="19">
        <v>5424</v>
      </c>
      <c r="C113" s="1120"/>
      <c r="D113" s="1108" t="s">
        <v>688</v>
      </c>
      <c r="E113" s="48">
        <v>1000</v>
      </c>
      <c r="F113" s="168">
        <v>1130</v>
      </c>
      <c r="G113" s="315">
        <v>1146</v>
      </c>
      <c r="H113" s="1113">
        <f t="shared" si="8"/>
        <v>101.41592920353983</v>
      </c>
    </row>
    <row r="114" spans="1:12" s="1107" customFormat="1" ht="15" x14ac:dyDescent="0.25">
      <c r="A114" s="50">
        <v>6172</v>
      </c>
      <c r="B114" s="19">
        <v>5499</v>
      </c>
      <c r="C114" s="1120"/>
      <c r="D114" s="2373" t="s">
        <v>395</v>
      </c>
      <c r="E114" s="48"/>
      <c r="F114" s="168"/>
      <c r="G114" s="447">
        <v>147</v>
      </c>
      <c r="H114" s="1113"/>
    </row>
    <row r="115" spans="1:12" s="1107" customFormat="1" ht="15" x14ac:dyDescent="0.25">
      <c r="A115" s="50">
        <v>6330</v>
      </c>
      <c r="B115" s="19">
        <v>5342</v>
      </c>
      <c r="C115" s="1120"/>
      <c r="D115" s="1108" t="s">
        <v>354</v>
      </c>
      <c r="E115" s="48">
        <v>5100</v>
      </c>
      <c r="F115" s="168">
        <v>5100</v>
      </c>
      <c r="G115" s="315">
        <v>4853</v>
      </c>
      <c r="H115" s="1113">
        <f>(G115/F115)*100</f>
        <v>95.156862745098039</v>
      </c>
      <c r="J115" s="1140">
        <f>E75+E76+E77+E81+E82+E83+E84+E87+E88+E91+E92+E93+E94+E97+E105+E106+E107+E108+E109+E110+E111+E112+E113+E115</f>
        <v>54190</v>
      </c>
      <c r="K115" s="1140">
        <f>F75+F76+F77+F81+F82+F83+F84+F87+F88+F91+F92+F93+F94+F97+F105+F106+F107+F108+F109+F110+F111+F112+F113+F115+F116</f>
        <v>52278</v>
      </c>
      <c r="L115" s="1140">
        <f>G75+G76+G77+G81+G82+G83+G84+G87+G88+G91+G92+G93+G94+G97+G105+G106+G107+G108+G109+G110+G111+G112+G113+G115+G114</f>
        <v>50942</v>
      </c>
    </row>
    <row r="116" spans="1:12" s="1107" customFormat="1" ht="15.75" thickBot="1" x14ac:dyDescent="0.3">
      <c r="A116" s="1127">
        <v>6409</v>
      </c>
      <c r="B116" s="1133">
        <v>5909</v>
      </c>
      <c r="C116" s="1132"/>
      <c r="D116" s="1128"/>
      <c r="E116" s="1134"/>
      <c r="F116" s="444">
        <v>131</v>
      </c>
      <c r="G116" s="443">
        <v>0</v>
      </c>
      <c r="H116" s="1395">
        <v>0</v>
      </c>
      <c r="J116" s="1140"/>
      <c r="K116" s="1140"/>
      <c r="L116" s="1140"/>
    </row>
    <row r="117" spans="1:12" s="361" customFormat="1" ht="35.25" customHeight="1" thickTop="1" thickBot="1" x14ac:dyDescent="0.3">
      <c r="A117" s="696" t="s">
        <v>258</v>
      </c>
      <c r="B117" s="1400"/>
      <c r="C117" s="1121"/>
      <c r="D117" s="697"/>
      <c r="E117" s="699">
        <f>J74+J115</f>
        <v>291851</v>
      </c>
      <c r="F117" s="699">
        <f>K74+K115</f>
        <v>297994</v>
      </c>
      <c r="G117" s="699">
        <f>L74+L115</f>
        <v>294487</v>
      </c>
      <c r="H117" s="1077">
        <f>(G117/F117)*100</f>
        <v>98.823130667060411</v>
      </c>
    </row>
    <row r="118" spans="1:12" ht="15.75" thickTop="1" x14ac:dyDescent="0.25">
      <c r="A118" s="779"/>
      <c r="B118" s="139"/>
      <c r="C118" s="1078"/>
      <c r="D118" s="779"/>
      <c r="E118" s="181"/>
      <c r="F118" s="921"/>
      <c r="G118" s="168"/>
      <c r="H118" s="1039"/>
    </row>
    <row r="119" spans="1:12" ht="15" x14ac:dyDescent="0.25">
      <c r="A119" s="779"/>
      <c r="B119" s="139"/>
      <c r="C119" s="1078"/>
      <c r="D119" s="779"/>
      <c r="E119" s="181"/>
      <c r="F119" s="181"/>
      <c r="G119" s="181"/>
      <c r="H119" s="1039"/>
    </row>
    <row r="120" spans="1:12" ht="15" x14ac:dyDescent="0.25">
      <c r="A120" s="779"/>
      <c r="B120" s="139"/>
      <c r="C120" s="1078"/>
      <c r="D120" s="779"/>
      <c r="E120" s="181"/>
      <c r="F120" s="181"/>
      <c r="G120" s="181"/>
      <c r="H120" s="1039"/>
    </row>
    <row r="121" spans="1:12" ht="15" x14ac:dyDescent="0.25">
      <c r="A121" s="779"/>
      <c r="B121" s="139"/>
      <c r="C121" s="1078"/>
      <c r="D121" s="779"/>
      <c r="E121" s="181"/>
      <c r="F121" s="181"/>
      <c r="G121" s="181"/>
      <c r="H121" s="1039"/>
    </row>
    <row r="122" spans="1:12" ht="18" x14ac:dyDescent="0.25">
      <c r="A122" s="33" t="s">
        <v>1310</v>
      </c>
      <c r="B122" s="28"/>
      <c r="C122" s="10"/>
      <c r="D122" s="139"/>
      <c r="E122" s="137"/>
      <c r="F122" s="16"/>
      <c r="G122" s="17"/>
      <c r="H122" s="373"/>
    </row>
    <row r="123" spans="1:12" ht="13.5" thickBot="1" x14ac:dyDescent="0.25">
      <c r="A123" s="631"/>
      <c r="B123" s="631"/>
      <c r="C123" s="632"/>
      <c r="F123" s="980"/>
      <c r="H123" s="1344" t="s">
        <v>173</v>
      </c>
    </row>
    <row r="124" spans="1:12" s="107" customFormat="1" ht="20.25" customHeight="1" thickTop="1" thickBot="1" x14ac:dyDescent="0.25">
      <c r="A124" s="633" t="s">
        <v>174</v>
      </c>
      <c r="B124" s="634" t="s">
        <v>175</v>
      </c>
      <c r="C124" s="636" t="s">
        <v>744</v>
      </c>
      <c r="D124" s="810" t="s">
        <v>176</v>
      </c>
      <c r="E124" s="810" t="s">
        <v>177</v>
      </c>
      <c r="F124" s="810" t="s">
        <v>922</v>
      </c>
      <c r="G124" s="810" t="s">
        <v>923</v>
      </c>
      <c r="H124" s="637" t="s">
        <v>924</v>
      </c>
    </row>
    <row r="125" spans="1:12" s="384" customFormat="1" ht="13.5" thickTop="1" thickBot="1" x14ac:dyDescent="0.25">
      <c r="A125" s="568">
        <v>1</v>
      </c>
      <c r="B125" s="569">
        <v>2</v>
      </c>
      <c r="C125" s="569">
        <v>3</v>
      </c>
      <c r="D125" s="569">
        <v>4</v>
      </c>
      <c r="E125" s="569">
        <v>5</v>
      </c>
      <c r="F125" s="543">
        <v>6</v>
      </c>
      <c r="G125" s="543">
        <v>7</v>
      </c>
      <c r="H125" s="638" t="s">
        <v>61</v>
      </c>
      <c r="I125" s="107"/>
    </row>
    <row r="126" spans="1:12" s="1107" customFormat="1" ht="15.75" thickTop="1" x14ac:dyDescent="0.25">
      <c r="A126" s="222">
        <v>6172</v>
      </c>
      <c r="B126" s="1111">
        <v>6121</v>
      </c>
      <c r="C126" s="1136"/>
      <c r="D126" s="1169" t="s">
        <v>640</v>
      </c>
      <c r="E126" s="1123"/>
      <c r="F126" s="451">
        <f>F127+F128</f>
        <v>149</v>
      </c>
      <c r="G126" s="451">
        <f>G127+G128</f>
        <v>149</v>
      </c>
      <c r="H126" s="1398">
        <f>(G126/F126)*100</f>
        <v>100</v>
      </c>
      <c r="J126" s="1140"/>
      <c r="K126" s="1140"/>
    </row>
    <row r="127" spans="1:12" s="1107" customFormat="1" ht="14.25" x14ac:dyDescent="0.2">
      <c r="A127" s="50"/>
      <c r="B127" s="19"/>
      <c r="C127" s="1120" t="s">
        <v>792</v>
      </c>
      <c r="D127" s="1114" t="s">
        <v>1321</v>
      </c>
      <c r="E127" s="55"/>
      <c r="F127" s="314">
        <v>65</v>
      </c>
      <c r="G127" s="316">
        <v>65</v>
      </c>
      <c r="H127" s="1116">
        <f>(G127/F127)*100</f>
        <v>100</v>
      </c>
      <c r="J127" s="1140"/>
      <c r="K127" s="1140"/>
    </row>
    <row r="128" spans="1:12" s="1107" customFormat="1" ht="15" thickBot="1" x14ac:dyDescent="0.25">
      <c r="A128" s="50"/>
      <c r="B128" s="19"/>
      <c r="C128" s="1120" t="s">
        <v>22</v>
      </c>
      <c r="D128" s="1115" t="s">
        <v>1263</v>
      </c>
      <c r="E128" s="55"/>
      <c r="F128" s="314">
        <v>84</v>
      </c>
      <c r="G128" s="316">
        <v>84</v>
      </c>
      <c r="H128" s="1116">
        <f>(G128/F128)*100</f>
        <v>100</v>
      </c>
      <c r="J128" s="1140"/>
      <c r="K128" s="1140"/>
    </row>
    <row r="129" spans="1:8" s="361" customFormat="1" ht="35.25" customHeight="1" thickTop="1" thickBot="1" x14ac:dyDescent="0.3">
      <c r="A129" s="639" t="s">
        <v>257</v>
      </c>
      <c r="B129" s="642"/>
      <c r="C129" s="641"/>
      <c r="D129" s="642"/>
      <c r="E129" s="643">
        <f>E126</f>
        <v>0</v>
      </c>
      <c r="F129" s="643">
        <f>F126</f>
        <v>149</v>
      </c>
      <c r="G129" s="643">
        <f>G126</f>
        <v>149</v>
      </c>
      <c r="H129" s="1079">
        <f>(G129/F129)*100</f>
        <v>100</v>
      </c>
    </row>
    <row r="130" spans="1:8" ht="13.5" thickTop="1" x14ac:dyDescent="0.2">
      <c r="A130" s="631"/>
      <c r="B130" s="987"/>
      <c r="C130" s="1051"/>
    </row>
    <row r="131" spans="1:8" x14ac:dyDescent="0.2">
      <c r="A131" s="631"/>
      <c r="B131" s="987"/>
      <c r="C131" s="1051"/>
    </row>
    <row r="132" spans="1:8" x14ac:dyDescent="0.2">
      <c r="A132" s="631"/>
      <c r="B132" s="987"/>
      <c r="C132" s="1051"/>
    </row>
    <row r="133" spans="1:8" x14ac:dyDescent="0.2">
      <c r="A133" s="631"/>
      <c r="B133" s="987"/>
      <c r="C133" s="1051"/>
    </row>
    <row r="134" spans="1:8" x14ac:dyDescent="0.2">
      <c r="A134" s="631"/>
      <c r="B134" s="987"/>
      <c r="C134" s="1051"/>
    </row>
    <row r="135" spans="1:8" x14ac:dyDescent="0.2">
      <c r="A135" s="631"/>
      <c r="B135" s="987"/>
      <c r="C135" s="1051"/>
    </row>
    <row r="136" spans="1:8" x14ac:dyDescent="0.2">
      <c r="A136" s="631"/>
      <c r="B136" s="987"/>
      <c r="C136" s="1051"/>
    </row>
    <row r="137" spans="1:8" x14ac:dyDescent="0.2">
      <c r="A137" s="631"/>
      <c r="B137" s="987"/>
      <c r="C137" s="1051"/>
    </row>
    <row r="138" spans="1:8" s="669" customFormat="1" ht="16.5" x14ac:dyDescent="0.25">
      <c r="A138" s="362" t="s">
        <v>507</v>
      </c>
      <c r="B138" s="363"/>
      <c r="C138" s="364"/>
      <c r="D138" s="364"/>
      <c r="E138" s="1075">
        <f>E139+E140+E141+E142+E143</f>
        <v>291851</v>
      </c>
      <c r="F138" s="1075">
        <f>F139+F140+F141+F142+F143</f>
        <v>298143</v>
      </c>
      <c r="G138" s="1075">
        <f>G139+G140+G141+G142+G143</f>
        <v>294636</v>
      </c>
      <c r="H138" s="1080">
        <f>G138/F138*100</f>
        <v>98.823718819492655</v>
      </c>
    </row>
    <row r="139" spans="1:8" s="669" customFormat="1" ht="15" x14ac:dyDescent="0.2">
      <c r="A139" s="557" t="s">
        <v>277</v>
      </c>
      <c r="B139" s="587"/>
      <c r="C139" s="588"/>
      <c r="D139" s="588"/>
      <c r="E139" s="1076">
        <f>E117-E143</f>
        <v>286751</v>
      </c>
      <c r="F139" s="1076">
        <f>F117-F143-F141</f>
        <v>292314</v>
      </c>
      <c r="G139" s="1076">
        <f>G117-G143-G141</f>
        <v>289107</v>
      </c>
      <c r="H139" s="1081">
        <f>G139/F139*100</f>
        <v>98.902892095486365</v>
      </c>
    </row>
    <row r="140" spans="1:8" s="669" customFormat="1" ht="15" x14ac:dyDescent="0.2">
      <c r="A140" s="557" t="s">
        <v>278</v>
      </c>
      <c r="B140" s="592"/>
      <c r="C140" s="588"/>
      <c r="D140" s="588"/>
      <c r="E140" s="976">
        <f>E129</f>
        <v>0</v>
      </c>
      <c r="F140" s="976">
        <f>F129</f>
        <v>149</v>
      </c>
      <c r="G140" s="976">
        <f>G129</f>
        <v>149</v>
      </c>
      <c r="H140" s="1081">
        <f>G140/F140*100</f>
        <v>100</v>
      </c>
    </row>
    <row r="141" spans="1:8" s="669" customFormat="1" ht="15" x14ac:dyDescent="0.2">
      <c r="A141" s="557" t="s">
        <v>221</v>
      </c>
      <c r="B141" s="592"/>
      <c r="C141" s="588"/>
      <c r="D141" s="588"/>
      <c r="E141" s="594">
        <v>0</v>
      </c>
      <c r="F141" s="590">
        <f>F11+F14+F16+F18+F20+F22+F24+F26+F28+F30+F33+F35+F37+F39+F41+F44+F56+F59+F66+F86+F99</f>
        <v>580</v>
      </c>
      <c r="G141" s="590">
        <f>G11+G14+G16+G18+G20+G22+G24+G26+G28+G30+G33+G35+G37+G39+G41+G44+G56+G59+G66+G86+G99</f>
        <v>527</v>
      </c>
      <c r="H141" s="1081">
        <f>G141/F141*100</f>
        <v>90.862068965517238</v>
      </c>
    </row>
    <row r="142" spans="1:8" s="669" customFormat="1" ht="15" x14ac:dyDescent="0.2">
      <c r="A142" s="557" t="s">
        <v>1206</v>
      </c>
      <c r="B142" s="592"/>
      <c r="C142" s="588"/>
      <c r="D142" s="588"/>
      <c r="E142" s="594">
        <v>0</v>
      </c>
      <c r="F142" s="594">
        <v>0</v>
      </c>
      <c r="G142" s="594">
        <v>0</v>
      </c>
      <c r="H142" s="1081">
        <v>0</v>
      </c>
    </row>
    <row r="143" spans="1:8" s="669" customFormat="1" ht="15" x14ac:dyDescent="0.2">
      <c r="A143" s="557" t="s">
        <v>488</v>
      </c>
      <c r="B143" s="592"/>
      <c r="C143" s="588"/>
      <c r="D143" s="588"/>
      <c r="E143" s="594">
        <f>SUM(E115)</f>
        <v>5100</v>
      </c>
      <c r="F143" s="594">
        <f>SUM(F115)</f>
        <v>5100</v>
      </c>
      <c r="G143" s="594">
        <f>SUM(G115)</f>
        <v>4853</v>
      </c>
      <c r="H143" s="1081">
        <f>G143/F143*100</f>
        <v>95.156862745098039</v>
      </c>
    </row>
    <row r="144" spans="1:8" x14ac:dyDescent="0.2">
      <c r="A144" s="631"/>
      <c r="B144" s="987"/>
      <c r="C144" s="1051"/>
    </row>
    <row r="145" spans="1:8" s="58" customFormat="1" ht="47.25" customHeight="1" thickBot="1" x14ac:dyDescent="0.4">
      <c r="A145" s="650" t="s">
        <v>1249</v>
      </c>
      <c r="B145" s="651"/>
      <c r="C145" s="652"/>
      <c r="D145" s="653"/>
      <c r="E145" s="595">
        <f>SUM(E117,E129)</f>
        <v>291851</v>
      </c>
      <c r="F145" s="595">
        <f>SUM(F117,F129)</f>
        <v>298143</v>
      </c>
      <c r="G145" s="595">
        <f>SUM(G117,G129)</f>
        <v>294636</v>
      </c>
      <c r="H145" s="596">
        <f>(G145/F145)*100</f>
        <v>98.823718819492655</v>
      </c>
    </row>
    <row r="146" spans="1:8" ht="13.5" thickTop="1" x14ac:dyDescent="0.2">
      <c r="E146" s="1831"/>
      <c r="F146" s="1831"/>
      <c r="G146" s="1831"/>
    </row>
  </sheetData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2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26"/>
  <sheetViews>
    <sheetView view="pageBreakPreview" zoomScaleNormal="100" zoomScaleSheetLayoutView="100" workbookViewId="0">
      <selection activeCell="G34" sqref="G34"/>
    </sheetView>
  </sheetViews>
  <sheetFormatPr defaultRowHeight="12.75" x14ac:dyDescent="0.2"/>
  <cols>
    <col min="1" max="1" width="5.5703125" style="2139" customWidth="1"/>
    <col min="2" max="2" width="6.7109375" style="2139" customWidth="1"/>
    <col min="3" max="3" width="8.85546875" style="2139" customWidth="1"/>
    <col min="4" max="4" width="47.85546875" style="2139" customWidth="1"/>
    <col min="5" max="5" width="12.85546875" style="2139" customWidth="1"/>
    <col min="6" max="6" width="15.5703125" style="2139" customWidth="1"/>
    <col min="7" max="7" width="15.85546875" style="2139" customWidth="1"/>
    <col min="8" max="8" width="8.42578125" style="2139" customWidth="1"/>
    <col min="9" max="11" width="9.140625" style="2139"/>
    <col min="12" max="12" width="18.42578125" style="2139" customWidth="1"/>
    <col min="13" max="13" width="16" style="2139" bestFit="1" customWidth="1"/>
    <col min="14" max="256" width="9.140625" style="2139"/>
    <col min="257" max="257" width="4.7109375" style="2139" customWidth="1"/>
    <col min="258" max="258" width="6.7109375" style="2139" customWidth="1"/>
    <col min="259" max="259" width="8.85546875" style="2139" customWidth="1"/>
    <col min="260" max="260" width="47.85546875" style="2139" customWidth="1"/>
    <col min="261" max="261" width="12.85546875" style="2139" customWidth="1"/>
    <col min="262" max="262" width="15.5703125" style="2139" customWidth="1"/>
    <col min="263" max="263" width="15.85546875" style="2139" customWidth="1"/>
    <col min="264" max="264" width="6.42578125" style="2139" customWidth="1"/>
    <col min="265" max="267" width="9.140625" style="2139"/>
    <col min="268" max="268" width="18.42578125" style="2139" customWidth="1"/>
    <col min="269" max="269" width="16" style="2139" bestFit="1" customWidth="1"/>
    <col min="270" max="512" width="9.140625" style="2139"/>
    <col min="513" max="513" width="4.7109375" style="2139" customWidth="1"/>
    <col min="514" max="514" width="6.7109375" style="2139" customWidth="1"/>
    <col min="515" max="515" width="8.85546875" style="2139" customWidth="1"/>
    <col min="516" max="516" width="47.85546875" style="2139" customWidth="1"/>
    <col min="517" max="517" width="12.85546875" style="2139" customWidth="1"/>
    <col min="518" max="518" width="15.5703125" style="2139" customWidth="1"/>
    <col min="519" max="519" width="15.85546875" style="2139" customWidth="1"/>
    <col min="520" max="520" width="6.42578125" style="2139" customWidth="1"/>
    <col min="521" max="523" width="9.140625" style="2139"/>
    <col min="524" max="524" width="18.42578125" style="2139" customWidth="1"/>
    <col min="525" max="525" width="16" style="2139" bestFit="1" customWidth="1"/>
    <col min="526" max="768" width="9.140625" style="2139"/>
    <col min="769" max="769" width="4.7109375" style="2139" customWidth="1"/>
    <col min="770" max="770" width="6.7109375" style="2139" customWidth="1"/>
    <col min="771" max="771" width="8.85546875" style="2139" customWidth="1"/>
    <col min="772" max="772" width="47.85546875" style="2139" customWidth="1"/>
    <col min="773" max="773" width="12.85546875" style="2139" customWidth="1"/>
    <col min="774" max="774" width="15.5703125" style="2139" customWidth="1"/>
    <col min="775" max="775" width="15.85546875" style="2139" customWidth="1"/>
    <col min="776" max="776" width="6.42578125" style="2139" customWidth="1"/>
    <col min="777" max="779" width="9.140625" style="2139"/>
    <col min="780" max="780" width="18.42578125" style="2139" customWidth="1"/>
    <col min="781" max="781" width="16" style="2139" bestFit="1" customWidth="1"/>
    <col min="782" max="1024" width="9.140625" style="2139"/>
    <col min="1025" max="1025" width="4.7109375" style="2139" customWidth="1"/>
    <col min="1026" max="1026" width="6.7109375" style="2139" customWidth="1"/>
    <col min="1027" max="1027" width="8.85546875" style="2139" customWidth="1"/>
    <col min="1028" max="1028" width="47.85546875" style="2139" customWidth="1"/>
    <col min="1029" max="1029" width="12.85546875" style="2139" customWidth="1"/>
    <col min="1030" max="1030" width="15.5703125" style="2139" customWidth="1"/>
    <col min="1031" max="1031" width="15.85546875" style="2139" customWidth="1"/>
    <col min="1032" max="1032" width="6.42578125" style="2139" customWidth="1"/>
    <col min="1033" max="1035" width="9.140625" style="2139"/>
    <col min="1036" max="1036" width="18.42578125" style="2139" customWidth="1"/>
    <col min="1037" max="1037" width="16" style="2139" bestFit="1" customWidth="1"/>
    <col min="1038" max="1280" width="9.140625" style="2139"/>
    <col min="1281" max="1281" width="4.7109375" style="2139" customWidth="1"/>
    <col min="1282" max="1282" width="6.7109375" style="2139" customWidth="1"/>
    <col min="1283" max="1283" width="8.85546875" style="2139" customWidth="1"/>
    <col min="1284" max="1284" width="47.85546875" style="2139" customWidth="1"/>
    <col min="1285" max="1285" width="12.85546875" style="2139" customWidth="1"/>
    <col min="1286" max="1286" width="15.5703125" style="2139" customWidth="1"/>
    <col min="1287" max="1287" width="15.85546875" style="2139" customWidth="1"/>
    <col min="1288" max="1288" width="6.42578125" style="2139" customWidth="1"/>
    <col min="1289" max="1291" width="9.140625" style="2139"/>
    <col min="1292" max="1292" width="18.42578125" style="2139" customWidth="1"/>
    <col min="1293" max="1293" width="16" style="2139" bestFit="1" customWidth="1"/>
    <col min="1294" max="1536" width="9.140625" style="2139"/>
    <col min="1537" max="1537" width="4.7109375" style="2139" customWidth="1"/>
    <col min="1538" max="1538" width="6.7109375" style="2139" customWidth="1"/>
    <col min="1539" max="1539" width="8.85546875" style="2139" customWidth="1"/>
    <col min="1540" max="1540" width="47.85546875" style="2139" customWidth="1"/>
    <col min="1541" max="1541" width="12.85546875" style="2139" customWidth="1"/>
    <col min="1542" max="1542" width="15.5703125" style="2139" customWidth="1"/>
    <col min="1543" max="1543" width="15.85546875" style="2139" customWidth="1"/>
    <col min="1544" max="1544" width="6.42578125" style="2139" customWidth="1"/>
    <col min="1545" max="1547" width="9.140625" style="2139"/>
    <col min="1548" max="1548" width="18.42578125" style="2139" customWidth="1"/>
    <col min="1549" max="1549" width="16" style="2139" bestFit="1" customWidth="1"/>
    <col min="1550" max="1792" width="9.140625" style="2139"/>
    <col min="1793" max="1793" width="4.7109375" style="2139" customWidth="1"/>
    <col min="1794" max="1794" width="6.7109375" style="2139" customWidth="1"/>
    <col min="1795" max="1795" width="8.85546875" style="2139" customWidth="1"/>
    <col min="1796" max="1796" width="47.85546875" style="2139" customWidth="1"/>
    <col min="1797" max="1797" width="12.85546875" style="2139" customWidth="1"/>
    <col min="1798" max="1798" width="15.5703125" style="2139" customWidth="1"/>
    <col min="1799" max="1799" width="15.85546875" style="2139" customWidth="1"/>
    <col min="1800" max="1800" width="6.42578125" style="2139" customWidth="1"/>
    <col min="1801" max="1803" width="9.140625" style="2139"/>
    <col min="1804" max="1804" width="18.42578125" style="2139" customWidth="1"/>
    <col min="1805" max="1805" width="16" style="2139" bestFit="1" customWidth="1"/>
    <col min="1806" max="2048" width="9.140625" style="2139"/>
    <col min="2049" max="2049" width="4.7109375" style="2139" customWidth="1"/>
    <col min="2050" max="2050" width="6.7109375" style="2139" customWidth="1"/>
    <col min="2051" max="2051" width="8.85546875" style="2139" customWidth="1"/>
    <col min="2052" max="2052" width="47.85546875" style="2139" customWidth="1"/>
    <col min="2053" max="2053" width="12.85546875" style="2139" customWidth="1"/>
    <col min="2054" max="2054" width="15.5703125" style="2139" customWidth="1"/>
    <col min="2055" max="2055" width="15.85546875" style="2139" customWidth="1"/>
    <col min="2056" max="2056" width="6.42578125" style="2139" customWidth="1"/>
    <col min="2057" max="2059" width="9.140625" style="2139"/>
    <col min="2060" max="2060" width="18.42578125" style="2139" customWidth="1"/>
    <col min="2061" max="2061" width="16" style="2139" bestFit="1" customWidth="1"/>
    <col min="2062" max="2304" width="9.140625" style="2139"/>
    <col min="2305" max="2305" width="4.7109375" style="2139" customWidth="1"/>
    <col min="2306" max="2306" width="6.7109375" style="2139" customWidth="1"/>
    <col min="2307" max="2307" width="8.85546875" style="2139" customWidth="1"/>
    <col min="2308" max="2308" width="47.85546875" style="2139" customWidth="1"/>
    <col min="2309" max="2309" width="12.85546875" style="2139" customWidth="1"/>
    <col min="2310" max="2310" width="15.5703125" style="2139" customWidth="1"/>
    <col min="2311" max="2311" width="15.85546875" style="2139" customWidth="1"/>
    <col min="2312" max="2312" width="6.42578125" style="2139" customWidth="1"/>
    <col min="2313" max="2315" width="9.140625" style="2139"/>
    <col min="2316" max="2316" width="18.42578125" style="2139" customWidth="1"/>
    <col min="2317" max="2317" width="16" style="2139" bestFit="1" customWidth="1"/>
    <col min="2318" max="2560" width="9.140625" style="2139"/>
    <col min="2561" max="2561" width="4.7109375" style="2139" customWidth="1"/>
    <col min="2562" max="2562" width="6.7109375" style="2139" customWidth="1"/>
    <col min="2563" max="2563" width="8.85546875" style="2139" customWidth="1"/>
    <col min="2564" max="2564" width="47.85546875" style="2139" customWidth="1"/>
    <col min="2565" max="2565" width="12.85546875" style="2139" customWidth="1"/>
    <col min="2566" max="2566" width="15.5703125" style="2139" customWidth="1"/>
    <col min="2567" max="2567" width="15.85546875" style="2139" customWidth="1"/>
    <col min="2568" max="2568" width="6.42578125" style="2139" customWidth="1"/>
    <col min="2569" max="2571" width="9.140625" style="2139"/>
    <col min="2572" max="2572" width="18.42578125" style="2139" customWidth="1"/>
    <col min="2573" max="2573" width="16" style="2139" bestFit="1" customWidth="1"/>
    <col min="2574" max="2816" width="9.140625" style="2139"/>
    <col min="2817" max="2817" width="4.7109375" style="2139" customWidth="1"/>
    <col min="2818" max="2818" width="6.7109375" style="2139" customWidth="1"/>
    <col min="2819" max="2819" width="8.85546875" style="2139" customWidth="1"/>
    <col min="2820" max="2820" width="47.85546875" style="2139" customWidth="1"/>
    <col min="2821" max="2821" width="12.85546875" style="2139" customWidth="1"/>
    <col min="2822" max="2822" width="15.5703125" style="2139" customWidth="1"/>
    <col min="2823" max="2823" width="15.85546875" style="2139" customWidth="1"/>
    <col min="2824" max="2824" width="6.42578125" style="2139" customWidth="1"/>
    <col min="2825" max="2827" width="9.140625" style="2139"/>
    <col min="2828" max="2828" width="18.42578125" style="2139" customWidth="1"/>
    <col min="2829" max="2829" width="16" style="2139" bestFit="1" customWidth="1"/>
    <col min="2830" max="3072" width="9.140625" style="2139"/>
    <col min="3073" max="3073" width="4.7109375" style="2139" customWidth="1"/>
    <col min="3074" max="3074" width="6.7109375" style="2139" customWidth="1"/>
    <col min="3075" max="3075" width="8.85546875" style="2139" customWidth="1"/>
    <col min="3076" max="3076" width="47.85546875" style="2139" customWidth="1"/>
    <col min="3077" max="3077" width="12.85546875" style="2139" customWidth="1"/>
    <col min="3078" max="3078" width="15.5703125" style="2139" customWidth="1"/>
    <col min="3079" max="3079" width="15.85546875" style="2139" customWidth="1"/>
    <col min="3080" max="3080" width="6.42578125" style="2139" customWidth="1"/>
    <col min="3081" max="3083" width="9.140625" style="2139"/>
    <col min="3084" max="3084" width="18.42578125" style="2139" customWidth="1"/>
    <col min="3085" max="3085" width="16" style="2139" bestFit="1" customWidth="1"/>
    <col min="3086" max="3328" width="9.140625" style="2139"/>
    <col min="3329" max="3329" width="4.7109375" style="2139" customWidth="1"/>
    <col min="3330" max="3330" width="6.7109375" style="2139" customWidth="1"/>
    <col min="3331" max="3331" width="8.85546875" style="2139" customWidth="1"/>
    <col min="3332" max="3332" width="47.85546875" style="2139" customWidth="1"/>
    <col min="3333" max="3333" width="12.85546875" style="2139" customWidth="1"/>
    <col min="3334" max="3334" width="15.5703125" style="2139" customWidth="1"/>
    <col min="3335" max="3335" width="15.85546875" style="2139" customWidth="1"/>
    <col min="3336" max="3336" width="6.42578125" style="2139" customWidth="1"/>
    <col min="3337" max="3339" width="9.140625" style="2139"/>
    <col min="3340" max="3340" width="18.42578125" style="2139" customWidth="1"/>
    <col min="3341" max="3341" width="16" style="2139" bestFit="1" customWidth="1"/>
    <col min="3342" max="3584" width="9.140625" style="2139"/>
    <col min="3585" max="3585" width="4.7109375" style="2139" customWidth="1"/>
    <col min="3586" max="3586" width="6.7109375" style="2139" customWidth="1"/>
    <col min="3587" max="3587" width="8.85546875" style="2139" customWidth="1"/>
    <col min="3588" max="3588" width="47.85546875" style="2139" customWidth="1"/>
    <col min="3589" max="3589" width="12.85546875" style="2139" customWidth="1"/>
    <col min="3590" max="3590" width="15.5703125" style="2139" customWidth="1"/>
    <col min="3591" max="3591" width="15.85546875" style="2139" customWidth="1"/>
    <col min="3592" max="3592" width="6.42578125" style="2139" customWidth="1"/>
    <col min="3593" max="3595" width="9.140625" style="2139"/>
    <col min="3596" max="3596" width="18.42578125" style="2139" customWidth="1"/>
    <col min="3597" max="3597" width="16" style="2139" bestFit="1" customWidth="1"/>
    <col min="3598" max="3840" width="9.140625" style="2139"/>
    <col min="3841" max="3841" width="4.7109375" style="2139" customWidth="1"/>
    <col min="3842" max="3842" width="6.7109375" style="2139" customWidth="1"/>
    <col min="3843" max="3843" width="8.85546875" style="2139" customWidth="1"/>
    <col min="3844" max="3844" width="47.85546875" style="2139" customWidth="1"/>
    <col min="3845" max="3845" width="12.85546875" style="2139" customWidth="1"/>
    <col min="3846" max="3846" width="15.5703125" style="2139" customWidth="1"/>
    <col min="3847" max="3847" width="15.85546875" style="2139" customWidth="1"/>
    <col min="3848" max="3848" width="6.42578125" style="2139" customWidth="1"/>
    <col min="3849" max="3851" width="9.140625" style="2139"/>
    <col min="3852" max="3852" width="18.42578125" style="2139" customWidth="1"/>
    <col min="3853" max="3853" width="16" style="2139" bestFit="1" customWidth="1"/>
    <col min="3854" max="4096" width="9.140625" style="2139"/>
    <col min="4097" max="4097" width="4.7109375" style="2139" customWidth="1"/>
    <col min="4098" max="4098" width="6.7109375" style="2139" customWidth="1"/>
    <col min="4099" max="4099" width="8.85546875" style="2139" customWidth="1"/>
    <col min="4100" max="4100" width="47.85546875" style="2139" customWidth="1"/>
    <col min="4101" max="4101" width="12.85546875" style="2139" customWidth="1"/>
    <col min="4102" max="4102" width="15.5703125" style="2139" customWidth="1"/>
    <col min="4103" max="4103" width="15.85546875" style="2139" customWidth="1"/>
    <col min="4104" max="4104" width="6.42578125" style="2139" customWidth="1"/>
    <col min="4105" max="4107" width="9.140625" style="2139"/>
    <col min="4108" max="4108" width="18.42578125" style="2139" customWidth="1"/>
    <col min="4109" max="4109" width="16" style="2139" bestFit="1" customWidth="1"/>
    <col min="4110" max="4352" width="9.140625" style="2139"/>
    <col min="4353" max="4353" width="4.7109375" style="2139" customWidth="1"/>
    <col min="4354" max="4354" width="6.7109375" style="2139" customWidth="1"/>
    <col min="4355" max="4355" width="8.85546875" style="2139" customWidth="1"/>
    <col min="4356" max="4356" width="47.85546875" style="2139" customWidth="1"/>
    <col min="4357" max="4357" width="12.85546875" style="2139" customWidth="1"/>
    <col min="4358" max="4358" width="15.5703125" style="2139" customWidth="1"/>
    <col min="4359" max="4359" width="15.85546875" style="2139" customWidth="1"/>
    <col min="4360" max="4360" width="6.42578125" style="2139" customWidth="1"/>
    <col min="4361" max="4363" width="9.140625" style="2139"/>
    <col min="4364" max="4364" width="18.42578125" style="2139" customWidth="1"/>
    <col min="4365" max="4365" width="16" style="2139" bestFit="1" customWidth="1"/>
    <col min="4366" max="4608" width="9.140625" style="2139"/>
    <col min="4609" max="4609" width="4.7109375" style="2139" customWidth="1"/>
    <col min="4610" max="4610" width="6.7109375" style="2139" customWidth="1"/>
    <col min="4611" max="4611" width="8.85546875" style="2139" customWidth="1"/>
    <col min="4612" max="4612" width="47.85546875" style="2139" customWidth="1"/>
    <col min="4613" max="4613" width="12.85546875" style="2139" customWidth="1"/>
    <col min="4614" max="4614" width="15.5703125" style="2139" customWidth="1"/>
    <col min="4615" max="4615" width="15.85546875" style="2139" customWidth="1"/>
    <col min="4616" max="4616" width="6.42578125" style="2139" customWidth="1"/>
    <col min="4617" max="4619" width="9.140625" style="2139"/>
    <col min="4620" max="4620" width="18.42578125" style="2139" customWidth="1"/>
    <col min="4621" max="4621" width="16" style="2139" bestFit="1" customWidth="1"/>
    <col min="4622" max="4864" width="9.140625" style="2139"/>
    <col min="4865" max="4865" width="4.7109375" style="2139" customWidth="1"/>
    <col min="4866" max="4866" width="6.7109375" style="2139" customWidth="1"/>
    <col min="4867" max="4867" width="8.85546875" style="2139" customWidth="1"/>
    <col min="4868" max="4868" width="47.85546875" style="2139" customWidth="1"/>
    <col min="4869" max="4869" width="12.85546875" style="2139" customWidth="1"/>
    <col min="4870" max="4870" width="15.5703125" style="2139" customWidth="1"/>
    <col min="4871" max="4871" width="15.85546875" style="2139" customWidth="1"/>
    <col min="4872" max="4872" width="6.42578125" style="2139" customWidth="1"/>
    <col min="4873" max="4875" width="9.140625" style="2139"/>
    <col min="4876" max="4876" width="18.42578125" style="2139" customWidth="1"/>
    <col min="4877" max="4877" width="16" style="2139" bestFit="1" customWidth="1"/>
    <col min="4878" max="5120" width="9.140625" style="2139"/>
    <col min="5121" max="5121" width="4.7109375" style="2139" customWidth="1"/>
    <col min="5122" max="5122" width="6.7109375" style="2139" customWidth="1"/>
    <col min="5123" max="5123" width="8.85546875" style="2139" customWidth="1"/>
    <col min="5124" max="5124" width="47.85546875" style="2139" customWidth="1"/>
    <col min="5125" max="5125" width="12.85546875" style="2139" customWidth="1"/>
    <col min="5126" max="5126" width="15.5703125" style="2139" customWidth="1"/>
    <col min="5127" max="5127" width="15.85546875" style="2139" customWidth="1"/>
    <col min="5128" max="5128" width="6.42578125" style="2139" customWidth="1"/>
    <col min="5129" max="5131" width="9.140625" style="2139"/>
    <col min="5132" max="5132" width="18.42578125" style="2139" customWidth="1"/>
    <col min="5133" max="5133" width="16" style="2139" bestFit="1" customWidth="1"/>
    <col min="5134" max="5376" width="9.140625" style="2139"/>
    <col min="5377" max="5377" width="4.7109375" style="2139" customWidth="1"/>
    <col min="5378" max="5378" width="6.7109375" style="2139" customWidth="1"/>
    <col min="5379" max="5379" width="8.85546875" style="2139" customWidth="1"/>
    <col min="5380" max="5380" width="47.85546875" style="2139" customWidth="1"/>
    <col min="5381" max="5381" width="12.85546875" style="2139" customWidth="1"/>
    <col min="5382" max="5382" width="15.5703125" style="2139" customWidth="1"/>
    <col min="5383" max="5383" width="15.85546875" style="2139" customWidth="1"/>
    <col min="5384" max="5384" width="6.42578125" style="2139" customWidth="1"/>
    <col min="5385" max="5387" width="9.140625" style="2139"/>
    <col min="5388" max="5388" width="18.42578125" style="2139" customWidth="1"/>
    <col min="5389" max="5389" width="16" style="2139" bestFit="1" customWidth="1"/>
    <col min="5390" max="5632" width="9.140625" style="2139"/>
    <col min="5633" max="5633" width="4.7109375" style="2139" customWidth="1"/>
    <col min="5634" max="5634" width="6.7109375" style="2139" customWidth="1"/>
    <col min="5635" max="5635" width="8.85546875" style="2139" customWidth="1"/>
    <col min="5636" max="5636" width="47.85546875" style="2139" customWidth="1"/>
    <col min="5637" max="5637" width="12.85546875" style="2139" customWidth="1"/>
    <col min="5638" max="5638" width="15.5703125" style="2139" customWidth="1"/>
    <col min="5639" max="5639" width="15.85546875" style="2139" customWidth="1"/>
    <col min="5640" max="5640" width="6.42578125" style="2139" customWidth="1"/>
    <col min="5641" max="5643" width="9.140625" style="2139"/>
    <col min="5644" max="5644" width="18.42578125" style="2139" customWidth="1"/>
    <col min="5645" max="5645" width="16" style="2139" bestFit="1" customWidth="1"/>
    <col min="5646" max="5888" width="9.140625" style="2139"/>
    <col min="5889" max="5889" width="4.7109375" style="2139" customWidth="1"/>
    <col min="5890" max="5890" width="6.7109375" style="2139" customWidth="1"/>
    <col min="5891" max="5891" width="8.85546875" style="2139" customWidth="1"/>
    <col min="5892" max="5892" width="47.85546875" style="2139" customWidth="1"/>
    <col min="5893" max="5893" width="12.85546875" style="2139" customWidth="1"/>
    <col min="5894" max="5894" width="15.5703125" style="2139" customWidth="1"/>
    <col min="5895" max="5895" width="15.85546875" style="2139" customWidth="1"/>
    <col min="5896" max="5896" width="6.42578125" style="2139" customWidth="1"/>
    <col min="5897" max="5899" width="9.140625" style="2139"/>
    <col min="5900" max="5900" width="18.42578125" style="2139" customWidth="1"/>
    <col min="5901" max="5901" width="16" style="2139" bestFit="1" customWidth="1"/>
    <col min="5902" max="6144" width="9.140625" style="2139"/>
    <col min="6145" max="6145" width="4.7109375" style="2139" customWidth="1"/>
    <col min="6146" max="6146" width="6.7109375" style="2139" customWidth="1"/>
    <col min="6147" max="6147" width="8.85546875" style="2139" customWidth="1"/>
    <col min="6148" max="6148" width="47.85546875" style="2139" customWidth="1"/>
    <col min="6149" max="6149" width="12.85546875" style="2139" customWidth="1"/>
    <col min="6150" max="6150" width="15.5703125" style="2139" customWidth="1"/>
    <col min="6151" max="6151" width="15.85546875" style="2139" customWidth="1"/>
    <col min="6152" max="6152" width="6.42578125" style="2139" customWidth="1"/>
    <col min="6153" max="6155" width="9.140625" style="2139"/>
    <col min="6156" max="6156" width="18.42578125" style="2139" customWidth="1"/>
    <col min="6157" max="6157" width="16" style="2139" bestFit="1" customWidth="1"/>
    <col min="6158" max="6400" width="9.140625" style="2139"/>
    <col min="6401" max="6401" width="4.7109375" style="2139" customWidth="1"/>
    <col min="6402" max="6402" width="6.7109375" style="2139" customWidth="1"/>
    <col min="6403" max="6403" width="8.85546875" style="2139" customWidth="1"/>
    <col min="6404" max="6404" width="47.85546875" style="2139" customWidth="1"/>
    <col min="6405" max="6405" width="12.85546875" style="2139" customWidth="1"/>
    <col min="6406" max="6406" width="15.5703125" style="2139" customWidth="1"/>
    <col min="6407" max="6407" width="15.85546875" style="2139" customWidth="1"/>
    <col min="6408" max="6408" width="6.42578125" style="2139" customWidth="1"/>
    <col min="6409" max="6411" width="9.140625" style="2139"/>
    <col min="6412" max="6412" width="18.42578125" style="2139" customWidth="1"/>
    <col min="6413" max="6413" width="16" style="2139" bestFit="1" customWidth="1"/>
    <col min="6414" max="6656" width="9.140625" style="2139"/>
    <col min="6657" max="6657" width="4.7109375" style="2139" customWidth="1"/>
    <col min="6658" max="6658" width="6.7109375" style="2139" customWidth="1"/>
    <col min="6659" max="6659" width="8.85546875" style="2139" customWidth="1"/>
    <col min="6660" max="6660" width="47.85546875" style="2139" customWidth="1"/>
    <col min="6661" max="6661" width="12.85546875" style="2139" customWidth="1"/>
    <col min="6662" max="6662" width="15.5703125" style="2139" customWidth="1"/>
    <col min="6663" max="6663" width="15.85546875" style="2139" customWidth="1"/>
    <col min="6664" max="6664" width="6.42578125" style="2139" customWidth="1"/>
    <col min="6665" max="6667" width="9.140625" style="2139"/>
    <col min="6668" max="6668" width="18.42578125" style="2139" customWidth="1"/>
    <col min="6669" max="6669" width="16" style="2139" bestFit="1" customWidth="1"/>
    <col min="6670" max="6912" width="9.140625" style="2139"/>
    <col min="6913" max="6913" width="4.7109375" style="2139" customWidth="1"/>
    <col min="6914" max="6914" width="6.7109375" style="2139" customWidth="1"/>
    <col min="6915" max="6915" width="8.85546875" style="2139" customWidth="1"/>
    <col min="6916" max="6916" width="47.85546875" style="2139" customWidth="1"/>
    <col min="6917" max="6917" width="12.85546875" style="2139" customWidth="1"/>
    <col min="6918" max="6918" width="15.5703125" style="2139" customWidth="1"/>
    <col min="6919" max="6919" width="15.85546875" style="2139" customWidth="1"/>
    <col min="6920" max="6920" width="6.42578125" style="2139" customWidth="1"/>
    <col min="6921" max="6923" width="9.140625" style="2139"/>
    <col min="6924" max="6924" width="18.42578125" style="2139" customWidth="1"/>
    <col min="6925" max="6925" width="16" style="2139" bestFit="1" customWidth="1"/>
    <col min="6926" max="7168" width="9.140625" style="2139"/>
    <col min="7169" max="7169" width="4.7109375" style="2139" customWidth="1"/>
    <col min="7170" max="7170" width="6.7109375" style="2139" customWidth="1"/>
    <col min="7171" max="7171" width="8.85546875" style="2139" customWidth="1"/>
    <col min="7172" max="7172" width="47.85546875" style="2139" customWidth="1"/>
    <col min="7173" max="7173" width="12.85546875" style="2139" customWidth="1"/>
    <col min="7174" max="7174" width="15.5703125" style="2139" customWidth="1"/>
    <col min="7175" max="7175" width="15.85546875" style="2139" customWidth="1"/>
    <col min="7176" max="7176" width="6.42578125" style="2139" customWidth="1"/>
    <col min="7177" max="7179" width="9.140625" style="2139"/>
    <col min="7180" max="7180" width="18.42578125" style="2139" customWidth="1"/>
    <col min="7181" max="7181" width="16" style="2139" bestFit="1" customWidth="1"/>
    <col min="7182" max="7424" width="9.140625" style="2139"/>
    <col min="7425" max="7425" width="4.7109375" style="2139" customWidth="1"/>
    <col min="7426" max="7426" width="6.7109375" style="2139" customWidth="1"/>
    <col min="7427" max="7427" width="8.85546875" style="2139" customWidth="1"/>
    <col min="7428" max="7428" width="47.85546875" style="2139" customWidth="1"/>
    <col min="7429" max="7429" width="12.85546875" style="2139" customWidth="1"/>
    <col min="7430" max="7430" width="15.5703125" style="2139" customWidth="1"/>
    <col min="7431" max="7431" width="15.85546875" style="2139" customWidth="1"/>
    <col min="7432" max="7432" width="6.42578125" style="2139" customWidth="1"/>
    <col min="7433" max="7435" width="9.140625" style="2139"/>
    <col min="7436" max="7436" width="18.42578125" style="2139" customWidth="1"/>
    <col min="7437" max="7437" width="16" style="2139" bestFit="1" customWidth="1"/>
    <col min="7438" max="7680" width="9.140625" style="2139"/>
    <col min="7681" max="7681" width="4.7109375" style="2139" customWidth="1"/>
    <col min="7682" max="7682" width="6.7109375" style="2139" customWidth="1"/>
    <col min="7683" max="7683" width="8.85546875" style="2139" customWidth="1"/>
    <col min="7684" max="7684" width="47.85546875" style="2139" customWidth="1"/>
    <col min="7685" max="7685" width="12.85546875" style="2139" customWidth="1"/>
    <col min="7686" max="7686" width="15.5703125" style="2139" customWidth="1"/>
    <col min="7687" max="7687" width="15.85546875" style="2139" customWidth="1"/>
    <col min="7688" max="7688" width="6.42578125" style="2139" customWidth="1"/>
    <col min="7689" max="7691" width="9.140625" style="2139"/>
    <col min="7692" max="7692" width="18.42578125" style="2139" customWidth="1"/>
    <col min="7693" max="7693" width="16" style="2139" bestFit="1" customWidth="1"/>
    <col min="7694" max="7936" width="9.140625" style="2139"/>
    <col min="7937" max="7937" width="4.7109375" style="2139" customWidth="1"/>
    <col min="7938" max="7938" width="6.7109375" style="2139" customWidth="1"/>
    <col min="7939" max="7939" width="8.85546875" style="2139" customWidth="1"/>
    <col min="7940" max="7940" width="47.85546875" style="2139" customWidth="1"/>
    <col min="7941" max="7941" width="12.85546875" style="2139" customWidth="1"/>
    <col min="7942" max="7942" width="15.5703125" style="2139" customWidth="1"/>
    <col min="7943" max="7943" width="15.85546875" style="2139" customWidth="1"/>
    <col min="7944" max="7944" width="6.42578125" style="2139" customWidth="1"/>
    <col min="7945" max="7947" width="9.140625" style="2139"/>
    <col min="7948" max="7948" width="18.42578125" style="2139" customWidth="1"/>
    <col min="7949" max="7949" width="16" style="2139" bestFit="1" customWidth="1"/>
    <col min="7950" max="8192" width="9.140625" style="2139"/>
    <col min="8193" max="8193" width="4.7109375" style="2139" customWidth="1"/>
    <col min="8194" max="8194" width="6.7109375" style="2139" customWidth="1"/>
    <col min="8195" max="8195" width="8.85546875" style="2139" customWidth="1"/>
    <col min="8196" max="8196" width="47.85546875" style="2139" customWidth="1"/>
    <col min="8197" max="8197" width="12.85546875" style="2139" customWidth="1"/>
    <col min="8198" max="8198" width="15.5703125" style="2139" customWidth="1"/>
    <col min="8199" max="8199" width="15.85546875" style="2139" customWidth="1"/>
    <col min="8200" max="8200" width="6.42578125" style="2139" customWidth="1"/>
    <col min="8201" max="8203" width="9.140625" style="2139"/>
    <col min="8204" max="8204" width="18.42578125" style="2139" customWidth="1"/>
    <col min="8205" max="8205" width="16" style="2139" bestFit="1" customWidth="1"/>
    <col min="8206" max="8448" width="9.140625" style="2139"/>
    <col min="8449" max="8449" width="4.7109375" style="2139" customWidth="1"/>
    <col min="8450" max="8450" width="6.7109375" style="2139" customWidth="1"/>
    <col min="8451" max="8451" width="8.85546875" style="2139" customWidth="1"/>
    <col min="8452" max="8452" width="47.85546875" style="2139" customWidth="1"/>
    <col min="8453" max="8453" width="12.85546875" style="2139" customWidth="1"/>
    <col min="8454" max="8454" width="15.5703125" style="2139" customWidth="1"/>
    <col min="8455" max="8455" width="15.85546875" style="2139" customWidth="1"/>
    <col min="8456" max="8456" width="6.42578125" style="2139" customWidth="1"/>
    <col min="8457" max="8459" width="9.140625" style="2139"/>
    <col min="8460" max="8460" width="18.42578125" style="2139" customWidth="1"/>
    <col min="8461" max="8461" width="16" style="2139" bestFit="1" customWidth="1"/>
    <col min="8462" max="8704" width="9.140625" style="2139"/>
    <col min="8705" max="8705" width="4.7109375" style="2139" customWidth="1"/>
    <col min="8706" max="8706" width="6.7109375" style="2139" customWidth="1"/>
    <col min="8707" max="8707" width="8.85546875" style="2139" customWidth="1"/>
    <col min="8708" max="8708" width="47.85546875" style="2139" customWidth="1"/>
    <col min="8709" max="8709" width="12.85546875" style="2139" customWidth="1"/>
    <col min="8710" max="8710" width="15.5703125" style="2139" customWidth="1"/>
    <col min="8711" max="8711" width="15.85546875" style="2139" customWidth="1"/>
    <col min="8712" max="8712" width="6.42578125" style="2139" customWidth="1"/>
    <col min="8713" max="8715" width="9.140625" style="2139"/>
    <col min="8716" max="8716" width="18.42578125" style="2139" customWidth="1"/>
    <col min="8717" max="8717" width="16" style="2139" bestFit="1" customWidth="1"/>
    <col min="8718" max="8960" width="9.140625" style="2139"/>
    <col min="8961" max="8961" width="4.7109375" style="2139" customWidth="1"/>
    <col min="8962" max="8962" width="6.7109375" style="2139" customWidth="1"/>
    <col min="8963" max="8963" width="8.85546875" style="2139" customWidth="1"/>
    <col min="8964" max="8964" width="47.85546875" style="2139" customWidth="1"/>
    <col min="8965" max="8965" width="12.85546875" style="2139" customWidth="1"/>
    <col min="8966" max="8966" width="15.5703125" style="2139" customWidth="1"/>
    <col min="8967" max="8967" width="15.85546875" style="2139" customWidth="1"/>
    <col min="8968" max="8968" width="6.42578125" style="2139" customWidth="1"/>
    <col min="8969" max="8971" width="9.140625" style="2139"/>
    <col min="8972" max="8972" width="18.42578125" style="2139" customWidth="1"/>
    <col min="8973" max="8973" width="16" style="2139" bestFit="1" customWidth="1"/>
    <col min="8974" max="9216" width="9.140625" style="2139"/>
    <col min="9217" max="9217" width="4.7109375" style="2139" customWidth="1"/>
    <col min="9218" max="9218" width="6.7109375" style="2139" customWidth="1"/>
    <col min="9219" max="9219" width="8.85546875" style="2139" customWidth="1"/>
    <col min="9220" max="9220" width="47.85546875" style="2139" customWidth="1"/>
    <col min="9221" max="9221" width="12.85546875" style="2139" customWidth="1"/>
    <col min="9222" max="9222" width="15.5703125" style="2139" customWidth="1"/>
    <col min="9223" max="9223" width="15.85546875" style="2139" customWidth="1"/>
    <col min="9224" max="9224" width="6.42578125" style="2139" customWidth="1"/>
    <col min="9225" max="9227" width="9.140625" style="2139"/>
    <col min="9228" max="9228" width="18.42578125" style="2139" customWidth="1"/>
    <col min="9229" max="9229" width="16" style="2139" bestFit="1" customWidth="1"/>
    <col min="9230" max="9472" width="9.140625" style="2139"/>
    <col min="9473" max="9473" width="4.7109375" style="2139" customWidth="1"/>
    <col min="9474" max="9474" width="6.7109375" style="2139" customWidth="1"/>
    <col min="9475" max="9475" width="8.85546875" style="2139" customWidth="1"/>
    <col min="9476" max="9476" width="47.85546875" style="2139" customWidth="1"/>
    <col min="9477" max="9477" width="12.85546875" style="2139" customWidth="1"/>
    <col min="9478" max="9478" width="15.5703125" style="2139" customWidth="1"/>
    <col min="9479" max="9479" width="15.85546875" style="2139" customWidth="1"/>
    <col min="9480" max="9480" width="6.42578125" style="2139" customWidth="1"/>
    <col min="9481" max="9483" width="9.140625" style="2139"/>
    <col min="9484" max="9484" width="18.42578125" style="2139" customWidth="1"/>
    <col min="9485" max="9485" width="16" style="2139" bestFit="1" customWidth="1"/>
    <col min="9486" max="9728" width="9.140625" style="2139"/>
    <col min="9729" max="9729" width="4.7109375" style="2139" customWidth="1"/>
    <col min="9730" max="9730" width="6.7109375" style="2139" customWidth="1"/>
    <col min="9731" max="9731" width="8.85546875" style="2139" customWidth="1"/>
    <col min="9732" max="9732" width="47.85546875" style="2139" customWidth="1"/>
    <col min="9733" max="9733" width="12.85546875" style="2139" customWidth="1"/>
    <col min="9734" max="9734" width="15.5703125" style="2139" customWidth="1"/>
    <col min="9735" max="9735" width="15.85546875" style="2139" customWidth="1"/>
    <col min="9736" max="9736" width="6.42578125" style="2139" customWidth="1"/>
    <col min="9737" max="9739" width="9.140625" style="2139"/>
    <col min="9740" max="9740" width="18.42578125" style="2139" customWidth="1"/>
    <col min="9741" max="9741" width="16" style="2139" bestFit="1" customWidth="1"/>
    <col min="9742" max="9984" width="9.140625" style="2139"/>
    <col min="9985" max="9985" width="4.7109375" style="2139" customWidth="1"/>
    <col min="9986" max="9986" width="6.7109375" style="2139" customWidth="1"/>
    <col min="9987" max="9987" width="8.85546875" style="2139" customWidth="1"/>
    <col min="9988" max="9988" width="47.85546875" style="2139" customWidth="1"/>
    <col min="9989" max="9989" width="12.85546875" style="2139" customWidth="1"/>
    <col min="9990" max="9990" width="15.5703125" style="2139" customWidth="1"/>
    <col min="9991" max="9991" width="15.85546875" style="2139" customWidth="1"/>
    <col min="9992" max="9992" width="6.42578125" style="2139" customWidth="1"/>
    <col min="9993" max="9995" width="9.140625" style="2139"/>
    <col min="9996" max="9996" width="18.42578125" style="2139" customWidth="1"/>
    <col min="9997" max="9997" width="16" style="2139" bestFit="1" customWidth="1"/>
    <col min="9998" max="10240" width="9.140625" style="2139"/>
    <col min="10241" max="10241" width="4.7109375" style="2139" customWidth="1"/>
    <col min="10242" max="10242" width="6.7109375" style="2139" customWidth="1"/>
    <col min="10243" max="10243" width="8.85546875" style="2139" customWidth="1"/>
    <col min="10244" max="10244" width="47.85546875" style="2139" customWidth="1"/>
    <col min="10245" max="10245" width="12.85546875" style="2139" customWidth="1"/>
    <col min="10246" max="10246" width="15.5703125" style="2139" customWidth="1"/>
    <col min="10247" max="10247" width="15.85546875" style="2139" customWidth="1"/>
    <col min="10248" max="10248" width="6.42578125" style="2139" customWidth="1"/>
    <col min="10249" max="10251" width="9.140625" style="2139"/>
    <col min="10252" max="10252" width="18.42578125" style="2139" customWidth="1"/>
    <col min="10253" max="10253" width="16" style="2139" bestFit="1" customWidth="1"/>
    <col min="10254" max="10496" width="9.140625" style="2139"/>
    <col min="10497" max="10497" width="4.7109375" style="2139" customWidth="1"/>
    <col min="10498" max="10498" width="6.7109375" style="2139" customWidth="1"/>
    <col min="10499" max="10499" width="8.85546875" style="2139" customWidth="1"/>
    <col min="10500" max="10500" width="47.85546875" style="2139" customWidth="1"/>
    <col min="10501" max="10501" width="12.85546875" style="2139" customWidth="1"/>
    <col min="10502" max="10502" width="15.5703125" style="2139" customWidth="1"/>
    <col min="10503" max="10503" width="15.85546875" style="2139" customWidth="1"/>
    <col min="10504" max="10504" width="6.42578125" style="2139" customWidth="1"/>
    <col min="10505" max="10507" width="9.140625" style="2139"/>
    <col min="10508" max="10508" width="18.42578125" style="2139" customWidth="1"/>
    <col min="10509" max="10509" width="16" style="2139" bestFit="1" customWidth="1"/>
    <col min="10510" max="10752" width="9.140625" style="2139"/>
    <col min="10753" max="10753" width="4.7109375" style="2139" customWidth="1"/>
    <col min="10754" max="10754" width="6.7109375" style="2139" customWidth="1"/>
    <col min="10755" max="10755" width="8.85546875" style="2139" customWidth="1"/>
    <col min="10756" max="10756" width="47.85546875" style="2139" customWidth="1"/>
    <col min="10757" max="10757" width="12.85546875" style="2139" customWidth="1"/>
    <col min="10758" max="10758" width="15.5703125" style="2139" customWidth="1"/>
    <col min="10759" max="10759" width="15.85546875" style="2139" customWidth="1"/>
    <col min="10760" max="10760" width="6.42578125" style="2139" customWidth="1"/>
    <col min="10761" max="10763" width="9.140625" style="2139"/>
    <col min="10764" max="10764" width="18.42578125" style="2139" customWidth="1"/>
    <col min="10765" max="10765" width="16" style="2139" bestFit="1" customWidth="1"/>
    <col min="10766" max="11008" width="9.140625" style="2139"/>
    <col min="11009" max="11009" width="4.7109375" style="2139" customWidth="1"/>
    <col min="11010" max="11010" width="6.7109375" style="2139" customWidth="1"/>
    <col min="11011" max="11011" width="8.85546875" style="2139" customWidth="1"/>
    <col min="11012" max="11012" width="47.85546875" style="2139" customWidth="1"/>
    <col min="11013" max="11013" width="12.85546875" style="2139" customWidth="1"/>
    <col min="11014" max="11014" width="15.5703125" style="2139" customWidth="1"/>
    <col min="11015" max="11015" width="15.85546875" style="2139" customWidth="1"/>
    <col min="11016" max="11016" width="6.42578125" style="2139" customWidth="1"/>
    <col min="11017" max="11019" width="9.140625" style="2139"/>
    <col min="11020" max="11020" width="18.42578125" style="2139" customWidth="1"/>
    <col min="11021" max="11021" width="16" style="2139" bestFit="1" customWidth="1"/>
    <col min="11022" max="11264" width="9.140625" style="2139"/>
    <col min="11265" max="11265" width="4.7109375" style="2139" customWidth="1"/>
    <col min="11266" max="11266" width="6.7109375" style="2139" customWidth="1"/>
    <col min="11267" max="11267" width="8.85546875" style="2139" customWidth="1"/>
    <col min="11268" max="11268" width="47.85546875" style="2139" customWidth="1"/>
    <col min="11269" max="11269" width="12.85546875" style="2139" customWidth="1"/>
    <col min="11270" max="11270" width="15.5703125" style="2139" customWidth="1"/>
    <col min="11271" max="11271" width="15.85546875" style="2139" customWidth="1"/>
    <col min="11272" max="11272" width="6.42578125" style="2139" customWidth="1"/>
    <col min="11273" max="11275" width="9.140625" style="2139"/>
    <col min="11276" max="11276" width="18.42578125" style="2139" customWidth="1"/>
    <col min="11277" max="11277" width="16" style="2139" bestFit="1" customWidth="1"/>
    <col min="11278" max="11520" width="9.140625" style="2139"/>
    <col min="11521" max="11521" width="4.7109375" style="2139" customWidth="1"/>
    <col min="11522" max="11522" width="6.7109375" style="2139" customWidth="1"/>
    <col min="11523" max="11523" width="8.85546875" style="2139" customWidth="1"/>
    <col min="11524" max="11524" width="47.85546875" style="2139" customWidth="1"/>
    <col min="11525" max="11525" width="12.85546875" style="2139" customWidth="1"/>
    <col min="11526" max="11526" width="15.5703125" style="2139" customWidth="1"/>
    <col min="11527" max="11527" width="15.85546875" style="2139" customWidth="1"/>
    <col min="11528" max="11528" width="6.42578125" style="2139" customWidth="1"/>
    <col min="11529" max="11531" width="9.140625" style="2139"/>
    <col min="11532" max="11532" width="18.42578125" style="2139" customWidth="1"/>
    <col min="11533" max="11533" width="16" style="2139" bestFit="1" customWidth="1"/>
    <col min="11534" max="11776" width="9.140625" style="2139"/>
    <col min="11777" max="11777" width="4.7109375" style="2139" customWidth="1"/>
    <col min="11778" max="11778" width="6.7109375" style="2139" customWidth="1"/>
    <col min="11779" max="11779" width="8.85546875" style="2139" customWidth="1"/>
    <col min="11780" max="11780" width="47.85546875" style="2139" customWidth="1"/>
    <col min="11781" max="11781" width="12.85546875" style="2139" customWidth="1"/>
    <col min="11782" max="11782" width="15.5703125" style="2139" customWidth="1"/>
    <col min="11783" max="11783" width="15.85546875" style="2139" customWidth="1"/>
    <col min="11784" max="11784" width="6.42578125" style="2139" customWidth="1"/>
    <col min="11785" max="11787" width="9.140625" style="2139"/>
    <col min="11788" max="11788" width="18.42578125" style="2139" customWidth="1"/>
    <col min="11789" max="11789" width="16" style="2139" bestFit="1" customWidth="1"/>
    <col min="11790" max="12032" width="9.140625" style="2139"/>
    <col min="12033" max="12033" width="4.7109375" style="2139" customWidth="1"/>
    <col min="12034" max="12034" width="6.7109375" style="2139" customWidth="1"/>
    <col min="12035" max="12035" width="8.85546875" style="2139" customWidth="1"/>
    <col min="12036" max="12036" width="47.85546875" style="2139" customWidth="1"/>
    <col min="12037" max="12037" width="12.85546875" style="2139" customWidth="1"/>
    <col min="12038" max="12038" width="15.5703125" style="2139" customWidth="1"/>
    <col min="12039" max="12039" width="15.85546875" style="2139" customWidth="1"/>
    <col min="12040" max="12040" width="6.42578125" style="2139" customWidth="1"/>
    <col min="12041" max="12043" width="9.140625" style="2139"/>
    <col min="12044" max="12044" width="18.42578125" style="2139" customWidth="1"/>
    <col min="12045" max="12045" width="16" style="2139" bestFit="1" customWidth="1"/>
    <col min="12046" max="12288" width="9.140625" style="2139"/>
    <col min="12289" max="12289" width="4.7109375" style="2139" customWidth="1"/>
    <col min="12290" max="12290" width="6.7109375" style="2139" customWidth="1"/>
    <col min="12291" max="12291" width="8.85546875" style="2139" customWidth="1"/>
    <col min="12292" max="12292" width="47.85546875" style="2139" customWidth="1"/>
    <col min="12293" max="12293" width="12.85546875" style="2139" customWidth="1"/>
    <col min="12294" max="12294" width="15.5703125" style="2139" customWidth="1"/>
    <col min="12295" max="12295" width="15.85546875" style="2139" customWidth="1"/>
    <col min="12296" max="12296" width="6.42578125" style="2139" customWidth="1"/>
    <col min="12297" max="12299" width="9.140625" style="2139"/>
    <col min="12300" max="12300" width="18.42578125" style="2139" customWidth="1"/>
    <col min="12301" max="12301" width="16" style="2139" bestFit="1" customWidth="1"/>
    <col min="12302" max="12544" width="9.140625" style="2139"/>
    <col min="12545" max="12545" width="4.7109375" style="2139" customWidth="1"/>
    <col min="12546" max="12546" width="6.7109375" style="2139" customWidth="1"/>
    <col min="12547" max="12547" width="8.85546875" style="2139" customWidth="1"/>
    <col min="12548" max="12548" width="47.85546875" style="2139" customWidth="1"/>
    <col min="12549" max="12549" width="12.85546875" style="2139" customWidth="1"/>
    <col min="12550" max="12550" width="15.5703125" style="2139" customWidth="1"/>
    <col min="12551" max="12551" width="15.85546875" style="2139" customWidth="1"/>
    <col min="12552" max="12552" width="6.42578125" style="2139" customWidth="1"/>
    <col min="12553" max="12555" width="9.140625" style="2139"/>
    <col min="12556" max="12556" width="18.42578125" style="2139" customWidth="1"/>
    <col min="12557" max="12557" width="16" style="2139" bestFit="1" customWidth="1"/>
    <col min="12558" max="12800" width="9.140625" style="2139"/>
    <col min="12801" max="12801" width="4.7109375" style="2139" customWidth="1"/>
    <col min="12802" max="12802" width="6.7109375" style="2139" customWidth="1"/>
    <col min="12803" max="12803" width="8.85546875" style="2139" customWidth="1"/>
    <col min="12804" max="12804" width="47.85546875" style="2139" customWidth="1"/>
    <col min="12805" max="12805" width="12.85546875" style="2139" customWidth="1"/>
    <col min="12806" max="12806" width="15.5703125" style="2139" customWidth="1"/>
    <col min="12807" max="12807" width="15.85546875" style="2139" customWidth="1"/>
    <col min="12808" max="12808" width="6.42578125" style="2139" customWidth="1"/>
    <col min="12809" max="12811" width="9.140625" style="2139"/>
    <col min="12812" max="12812" width="18.42578125" style="2139" customWidth="1"/>
    <col min="12813" max="12813" width="16" style="2139" bestFit="1" customWidth="1"/>
    <col min="12814" max="13056" width="9.140625" style="2139"/>
    <col min="13057" max="13057" width="4.7109375" style="2139" customWidth="1"/>
    <col min="13058" max="13058" width="6.7109375" style="2139" customWidth="1"/>
    <col min="13059" max="13059" width="8.85546875" style="2139" customWidth="1"/>
    <col min="13060" max="13060" width="47.85546875" style="2139" customWidth="1"/>
    <col min="13061" max="13061" width="12.85546875" style="2139" customWidth="1"/>
    <col min="13062" max="13062" width="15.5703125" style="2139" customWidth="1"/>
    <col min="13063" max="13063" width="15.85546875" style="2139" customWidth="1"/>
    <col min="13064" max="13064" width="6.42578125" style="2139" customWidth="1"/>
    <col min="13065" max="13067" width="9.140625" style="2139"/>
    <col min="13068" max="13068" width="18.42578125" style="2139" customWidth="1"/>
    <col min="13069" max="13069" width="16" style="2139" bestFit="1" customWidth="1"/>
    <col min="13070" max="13312" width="9.140625" style="2139"/>
    <col min="13313" max="13313" width="4.7109375" style="2139" customWidth="1"/>
    <col min="13314" max="13314" width="6.7109375" style="2139" customWidth="1"/>
    <col min="13315" max="13315" width="8.85546875" style="2139" customWidth="1"/>
    <col min="13316" max="13316" width="47.85546875" style="2139" customWidth="1"/>
    <col min="13317" max="13317" width="12.85546875" style="2139" customWidth="1"/>
    <col min="13318" max="13318" width="15.5703125" style="2139" customWidth="1"/>
    <col min="13319" max="13319" width="15.85546875" style="2139" customWidth="1"/>
    <col min="13320" max="13320" width="6.42578125" style="2139" customWidth="1"/>
    <col min="13321" max="13323" width="9.140625" style="2139"/>
    <col min="13324" max="13324" width="18.42578125" style="2139" customWidth="1"/>
    <col min="13325" max="13325" width="16" style="2139" bestFit="1" customWidth="1"/>
    <col min="13326" max="13568" width="9.140625" style="2139"/>
    <col min="13569" max="13569" width="4.7109375" style="2139" customWidth="1"/>
    <col min="13570" max="13570" width="6.7109375" style="2139" customWidth="1"/>
    <col min="13571" max="13571" width="8.85546875" style="2139" customWidth="1"/>
    <col min="13572" max="13572" width="47.85546875" style="2139" customWidth="1"/>
    <col min="13573" max="13573" width="12.85546875" style="2139" customWidth="1"/>
    <col min="13574" max="13574" width="15.5703125" style="2139" customWidth="1"/>
    <col min="13575" max="13575" width="15.85546875" style="2139" customWidth="1"/>
    <col min="13576" max="13576" width="6.42578125" style="2139" customWidth="1"/>
    <col min="13577" max="13579" width="9.140625" style="2139"/>
    <col min="13580" max="13580" width="18.42578125" style="2139" customWidth="1"/>
    <col min="13581" max="13581" width="16" style="2139" bestFit="1" customWidth="1"/>
    <col min="13582" max="13824" width="9.140625" style="2139"/>
    <col min="13825" max="13825" width="4.7109375" style="2139" customWidth="1"/>
    <col min="13826" max="13826" width="6.7109375" style="2139" customWidth="1"/>
    <col min="13827" max="13827" width="8.85546875" style="2139" customWidth="1"/>
    <col min="13828" max="13828" width="47.85546875" style="2139" customWidth="1"/>
    <col min="13829" max="13829" width="12.85546875" style="2139" customWidth="1"/>
    <col min="13830" max="13830" width="15.5703125" style="2139" customWidth="1"/>
    <col min="13831" max="13831" width="15.85546875" style="2139" customWidth="1"/>
    <col min="13832" max="13832" width="6.42578125" style="2139" customWidth="1"/>
    <col min="13833" max="13835" width="9.140625" style="2139"/>
    <col min="13836" max="13836" width="18.42578125" style="2139" customWidth="1"/>
    <col min="13837" max="13837" width="16" style="2139" bestFit="1" customWidth="1"/>
    <col min="13838" max="14080" width="9.140625" style="2139"/>
    <col min="14081" max="14081" width="4.7109375" style="2139" customWidth="1"/>
    <col min="14082" max="14082" width="6.7109375" style="2139" customWidth="1"/>
    <col min="14083" max="14083" width="8.85546875" style="2139" customWidth="1"/>
    <col min="14084" max="14084" width="47.85546875" style="2139" customWidth="1"/>
    <col min="14085" max="14085" width="12.85546875" style="2139" customWidth="1"/>
    <col min="14086" max="14086" width="15.5703125" style="2139" customWidth="1"/>
    <col min="14087" max="14087" width="15.85546875" style="2139" customWidth="1"/>
    <col min="14088" max="14088" width="6.42578125" style="2139" customWidth="1"/>
    <col min="14089" max="14091" width="9.140625" style="2139"/>
    <col min="14092" max="14092" width="18.42578125" style="2139" customWidth="1"/>
    <col min="14093" max="14093" width="16" style="2139" bestFit="1" customWidth="1"/>
    <col min="14094" max="14336" width="9.140625" style="2139"/>
    <col min="14337" max="14337" width="4.7109375" style="2139" customWidth="1"/>
    <col min="14338" max="14338" width="6.7109375" style="2139" customWidth="1"/>
    <col min="14339" max="14339" width="8.85546875" style="2139" customWidth="1"/>
    <col min="14340" max="14340" width="47.85546875" style="2139" customWidth="1"/>
    <col min="14341" max="14341" width="12.85546875" style="2139" customWidth="1"/>
    <col min="14342" max="14342" width="15.5703125" style="2139" customWidth="1"/>
    <col min="14343" max="14343" width="15.85546875" style="2139" customWidth="1"/>
    <col min="14344" max="14344" width="6.42578125" style="2139" customWidth="1"/>
    <col min="14345" max="14347" width="9.140625" style="2139"/>
    <col min="14348" max="14348" width="18.42578125" style="2139" customWidth="1"/>
    <col min="14349" max="14349" width="16" style="2139" bestFit="1" customWidth="1"/>
    <col min="14350" max="14592" width="9.140625" style="2139"/>
    <col min="14593" max="14593" width="4.7109375" style="2139" customWidth="1"/>
    <col min="14594" max="14594" width="6.7109375" style="2139" customWidth="1"/>
    <col min="14595" max="14595" width="8.85546875" style="2139" customWidth="1"/>
    <col min="14596" max="14596" width="47.85546875" style="2139" customWidth="1"/>
    <col min="14597" max="14597" width="12.85546875" style="2139" customWidth="1"/>
    <col min="14598" max="14598" width="15.5703125" style="2139" customWidth="1"/>
    <col min="14599" max="14599" width="15.85546875" style="2139" customWidth="1"/>
    <col min="14600" max="14600" width="6.42578125" style="2139" customWidth="1"/>
    <col min="14601" max="14603" width="9.140625" style="2139"/>
    <col min="14604" max="14604" width="18.42578125" style="2139" customWidth="1"/>
    <col min="14605" max="14605" width="16" style="2139" bestFit="1" customWidth="1"/>
    <col min="14606" max="14848" width="9.140625" style="2139"/>
    <col min="14849" max="14849" width="4.7109375" style="2139" customWidth="1"/>
    <col min="14850" max="14850" width="6.7109375" style="2139" customWidth="1"/>
    <col min="14851" max="14851" width="8.85546875" style="2139" customWidth="1"/>
    <col min="14852" max="14852" width="47.85546875" style="2139" customWidth="1"/>
    <col min="14853" max="14853" width="12.85546875" style="2139" customWidth="1"/>
    <col min="14854" max="14854" width="15.5703125" style="2139" customWidth="1"/>
    <col min="14855" max="14855" width="15.85546875" style="2139" customWidth="1"/>
    <col min="14856" max="14856" width="6.42578125" style="2139" customWidth="1"/>
    <col min="14857" max="14859" width="9.140625" style="2139"/>
    <col min="14860" max="14860" width="18.42578125" style="2139" customWidth="1"/>
    <col min="14861" max="14861" width="16" style="2139" bestFit="1" customWidth="1"/>
    <col min="14862" max="15104" width="9.140625" style="2139"/>
    <col min="15105" max="15105" width="4.7109375" style="2139" customWidth="1"/>
    <col min="15106" max="15106" width="6.7109375" style="2139" customWidth="1"/>
    <col min="15107" max="15107" width="8.85546875" style="2139" customWidth="1"/>
    <col min="15108" max="15108" width="47.85546875" style="2139" customWidth="1"/>
    <col min="15109" max="15109" width="12.85546875" style="2139" customWidth="1"/>
    <col min="15110" max="15110" width="15.5703125" style="2139" customWidth="1"/>
    <col min="15111" max="15111" width="15.85546875" style="2139" customWidth="1"/>
    <col min="15112" max="15112" width="6.42578125" style="2139" customWidth="1"/>
    <col min="15113" max="15115" width="9.140625" style="2139"/>
    <col min="15116" max="15116" width="18.42578125" style="2139" customWidth="1"/>
    <col min="15117" max="15117" width="16" style="2139" bestFit="1" customWidth="1"/>
    <col min="15118" max="15360" width="9.140625" style="2139"/>
    <col min="15361" max="15361" width="4.7109375" style="2139" customWidth="1"/>
    <col min="15362" max="15362" width="6.7109375" style="2139" customWidth="1"/>
    <col min="15363" max="15363" width="8.85546875" style="2139" customWidth="1"/>
    <col min="15364" max="15364" width="47.85546875" style="2139" customWidth="1"/>
    <col min="15365" max="15365" width="12.85546875" style="2139" customWidth="1"/>
    <col min="15366" max="15366" width="15.5703125" style="2139" customWidth="1"/>
    <col min="15367" max="15367" width="15.85546875" style="2139" customWidth="1"/>
    <col min="15368" max="15368" width="6.42578125" style="2139" customWidth="1"/>
    <col min="15369" max="15371" width="9.140625" style="2139"/>
    <col min="15372" max="15372" width="18.42578125" style="2139" customWidth="1"/>
    <col min="15373" max="15373" width="16" style="2139" bestFit="1" customWidth="1"/>
    <col min="15374" max="15616" width="9.140625" style="2139"/>
    <col min="15617" max="15617" width="4.7109375" style="2139" customWidth="1"/>
    <col min="15618" max="15618" width="6.7109375" style="2139" customWidth="1"/>
    <col min="15619" max="15619" width="8.85546875" style="2139" customWidth="1"/>
    <col min="15620" max="15620" width="47.85546875" style="2139" customWidth="1"/>
    <col min="15621" max="15621" width="12.85546875" style="2139" customWidth="1"/>
    <col min="15622" max="15622" width="15.5703125" style="2139" customWidth="1"/>
    <col min="15623" max="15623" width="15.85546875" style="2139" customWidth="1"/>
    <col min="15624" max="15624" width="6.42578125" style="2139" customWidth="1"/>
    <col min="15625" max="15627" width="9.140625" style="2139"/>
    <col min="15628" max="15628" width="18.42578125" style="2139" customWidth="1"/>
    <col min="15629" max="15629" width="16" style="2139" bestFit="1" customWidth="1"/>
    <col min="15630" max="15872" width="9.140625" style="2139"/>
    <col min="15873" max="15873" width="4.7109375" style="2139" customWidth="1"/>
    <col min="15874" max="15874" width="6.7109375" style="2139" customWidth="1"/>
    <col min="15875" max="15875" width="8.85546875" style="2139" customWidth="1"/>
    <col min="15876" max="15876" width="47.85546875" style="2139" customWidth="1"/>
    <col min="15877" max="15877" width="12.85546875" style="2139" customWidth="1"/>
    <col min="15878" max="15878" width="15.5703125" style="2139" customWidth="1"/>
    <col min="15879" max="15879" width="15.85546875" style="2139" customWidth="1"/>
    <col min="15880" max="15880" width="6.42578125" style="2139" customWidth="1"/>
    <col min="15881" max="15883" width="9.140625" style="2139"/>
    <col min="15884" max="15884" width="18.42578125" style="2139" customWidth="1"/>
    <col min="15885" max="15885" width="16" style="2139" bestFit="1" customWidth="1"/>
    <col min="15886" max="16128" width="9.140625" style="2139"/>
    <col min="16129" max="16129" width="4.7109375" style="2139" customWidth="1"/>
    <col min="16130" max="16130" width="6.7109375" style="2139" customWidth="1"/>
    <col min="16131" max="16131" width="8.85546875" style="2139" customWidth="1"/>
    <col min="16132" max="16132" width="47.85546875" style="2139" customWidth="1"/>
    <col min="16133" max="16133" width="12.85546875" style="2139" customWidth="1"/>
    <col min="16134" max="16134" width="15.5703125" style="2139" customWidth="1"/>
    <col min="16135" max="16135" width="15.85546875" style="2139" customWidth="1"/>
    <col min="16136" max="16136" width="6.42578125" style="2139" customWidth="1"/>
    <col min="16137" max="16139" width="9.140625" style="2139"/>
    <col min="16140" max="16140" width="18.42578125" style="2139" customWidth="1"/>
    <col min="16141" max="16141" width="16" style="2139" bestFit="1" customWidth="1"/>
    <col min="16142" max="16384" width="9.140625" style="2139"/>
  </cols>
  <sheetData>
    <row r="1" spans="1:8" ht="18.75" thickBot="1" x14ac:dyDescent="0.3">
      <c r="A1" s="2133" t="s">
        <v>1481</v>
      </c>
      <c r="B1" s="2134"/>
      <c r="C1" s="2135"/>
      <c r="D1" s="2136"/>
      <c r="E1" s="2137"/>
      <c r="F1" s="2136"/>
      <c r="G1" s="2138"/>
      <c r="H1" s="2133"/>
    </row>
    <row r="2" spans="1:8" ht="18" x14ac:dyDescent="0.25">
      <c r="A2" s="2140"/>
      <c r="B2" s="2141"/>
      <c r="C2" s="2141"/>
      <c r="D2" s="2141"/>
      <c r="E2" s="2141"/>
      <c r="F2" s="2141"/>
      <c r="G2" s="2141"/>
      <c r="H2" s="2142" t="s">
        <v>1480</v>
      </c>
    </row>
    <row r="3" spans="1:8" ht="18" x14ac:dyDescent="0.25">
      <c r="A3" s="2143" t="s">
        <v>387</v>
      </c>
      <c r="B3" s="2141"/>
      <c r="C3" s="2144" t="s">
        <v>363</v>
      </c>
      <c r="D3" s="2141"/>
      <c r="E3" s="2141"/>
      <c r="F3" s="2141"/>
      <c r="G3" s="2141"/>
      <c r="H3" s="2142"/>
    </row>
    <row r="4" spans="1:8" ht="18" x14ac:dyDescent="0.25">
      <c r="A4" s="2140"/>
      <c r="B4" s="2141"/>
      <c r="C4" s="2144" t="s">
        <v>364</v>
      </c>
      <c r="D4" s="2141"/>
      <c r="E4" s="2141"/>
      <c r="F4" s="2141"/>
      <c r="G4" s="2141"/>
      <c r="H4" s="2142"/>
    </row>
    <row r="5" spans="1:8" ht="18" x14ac:dyDescent="0.25">
      <c r="A5" s="2145" t="s">
        <v>1479</v>
      </c>
      <c r="B5" s="2141"/>
      <c r="C5" s="2141"/>
      <c r="D5" s="2141"/>
      <c r="E5" s="2141"/>
      <c r="F5" s="2141"/>
      <c r="G5" s="2141"/>
      <c r="H5" s="2142"/>
    </row>
    <row r="6" spans="1:8" x14ac:dyDescent="0.2">
      <c r="A6" s="2146"/>
      <c r="B6" s="2146"/>
      <c r="C6" s="2146"/>
      <c r="E6" s="2147"/>
      <c r="F6" s="2147"/>
      <c r="G6" s="2147"/>
    </row>
    <row r="7" spans="1:8" ht="15.75" thickBot="1" x14ac:dyDescent="0.3">
      <c r="A7" s="2132" t="s">
        <v>263</v>
      </c>
      <c r="B7" s="2146"/>
      <c r="C7" s="2146"/>
      <c r="E7" s="2147"/>
      <c r="F7" s="2147"/>
      <c r="G7" s="2147"/>
      <c r="H7" s="2148" t="s">
        <v>173</v>
      </c>
    </row>
    <row r="8" spans="1:8" ht="25.5" thickTop="1" thickBot="1" x14ac:dyDescent="0.25">
      <c r="A8" s="1943" t="s">
        <v>174</v>
      </c>
      <c r="B8" s="1944" t="s">
        <v>800</v>
      </c>
      <c r="C8" s="1944" t="s">
        <v>397</v>
      </c>
      <c r="D8" s="1945" t="s">
        <v>176</v>
      </c>
      <c r="E8" s="1976" t="s">
        <v>669</v>
      </c>
      <c r="F8" s="1976" t="s">
        <v>670</v>
      </c>
      <c r="G8" s="1977" t="s">
        <v>923</v>
      </c>
      <c r="H8" s="1978" t="s">
        <v>924</v>
      </c>
    </row>
    <row r="9" spans="1:8" ht="14.25" thickTop="1" thickBot="1" x14ac:dyDescent="0.25">
      <c r="A9" s="1740">
        <v>1</v>
      </c>
      <c r="B9" s="1739">
        <v>2</v>
      </c>
      <c r="C9" s="1739">
        <v>3</v>
      </c>
      <c r="D9" s="1739">
        <v>4</v>
      </c>
      <c r="E9" s="1738">
        <v>5</v>
      </c>
      <c r="F9" s="1738">
        <v>6</v>
      </c>
      <c r="G9" s="2028">
        <v>7</v>
      </c>
      <c r="H9" s="2054" t="s">
        <v>61</v>
      </c>
    </row>
    <row r="10" spans="1:8" ht="45.75" thickTop="1" x14ac:dyDescent="0.2">
      <c r="A10" s="2160">
        <v>3299</v>
      </c>
      <c r="B10" s="2161">
        <v>5213</v>
      </c>
      <c r="C10" s="2161">
        <v>32133030</v>
      </c>
      <c r="D10" s="2162" t="s">
        <v>1087</v>
      </c>
      <c r="E10" s="2163">
        <v>0</v>
      </c>
      <c r="F10" s="2163">
        <v>900</v>
      </c>
      <c r="G10" s="2163">
        <v>800</v>
      </c>
      <c r="H10" s="2164">
        <f t="shared" ref="H10:H27" si="0">G10/F10*100</f>
        <v>88.888888888888886</v>
      </c>
    </row>
    <row r="11" spans="1:8" ht="45" x14ac:dyDescent="0.2">
      <c r="A11" s="2165">
        <v>3299</v>
      </c>
      <c r="B11" s="2166">
        <v>5213</v>
      </c>
      <c r="C11" s="2166">
        <v>32533030</v>
      </c>
      <c r="D11" s="2167" t="s">
        <v>1087</v>
      </c>
      <c r="E11" s="2168">
        <v>0</v>
      </c>
      <c r="F11" s="2168">
        <v>5098</v>
      </c>
      <c r="G11" s="2168">
        <v>4533</v>
      </c>
      <c r="H11" s="2169">
        <f t="shared" si="0"/>
        <v>88.917222440172623</v>
      </c>
    </row>
    <row r="12" spans="1:8" ht="30" x14ac:dyDescent="0.2">
      <c r="A12" s="2165">
        <v>3299</v>
      </c>
      <c r="B12" s="2166">
        <v>5221</v>
      </c>
      <c r="C12" s="2166">
        <v>32133030</v>
      </c>
      <c r="D12" s="2167" t="s">
        <v>1380</v>
      </c>
      <c r="E12" s="2168">
        <v>0</v>
      </c>
      <c r="F12" s="2168">
        <v>484</v>
      </c>
      <c r="G12" s="2168">
        <v>459</v>
      </c>
      <c r="H12" s="2169">
        <f t="shared" si="0"/>
        <v>94.834710743801651</v>
      </c>
    </row>
    <row r="13" spans="1:8" ht="30" x14ac:dyDescent="0.2">
      <c r="A13" s="2165">
        <v>3299</v>
      </c>
      <c r="B13" s="2166">
        <v>5221</v>
      </c>
      <c r="C13" s="2166">
        <v>32533030</v>
      </c>
      <c r="D13" s="2167" t="s">
        <v>1380</v>
      </c>
      <c r="E13" s="2168">
        <v>0</v>
      </c>
      <c r="F13" s="2168">
        <v>2743</v>
      </c>
      <c r="G13" s="2168">
        <v>2598</v>
      </c>
      <c r="H13" s="2169">
        <f t="shared" si="0"/>
        <v>94.713816988698511</v>
      </c>
    </row>
    <row r="14" spans="1:8" ht="15" x14ac:dyDescent="0.2">
      <c r="A14" s="2165">
        <v>3299</v>
      </c>
      <c r="B14" s="2166">
        <v>5222</v>
      </c>
      <c r="C14" s="2166">
        <v>32133030</v>
      </c>
      <c r="D14" s="2167" t="s">
        <v>1885</v>
      </c>
      <c r="E14" s="2168">
        <v>0</v>
      </c>
      <c r="F14" s="2168">
        <v>261</v>
      </c>
      <c r="G14" s="2168">
        <v>260</v>
      </c>
      <c r="H14" s="2169">
        <f t="shared" si="0"/>
        <v>99.616858237547888</v>
      </c>
    </row>
    <row r="15" spans="1:8" ht="15" x14ac:dyDescent="0.2">
      <c r="A15" s="2165">
        <v>3299</v>
      </c>
      <c r="B15" s="2166">
        <v>5222</v>
      </c>
      <c r="C15" s="2166">
        <v>32533030</v>
      </c>
      <c r="D15" s="2167" t="s">
        <v>1885</v>
      </c>
      <c r="E15" s="2168">
        <v>0</v>
      </c>
      <c r="F15" s="2168">
        <v>1478</v>
      </c>
      <c r="G15" s="2168">
        <v>1476</v>
      </c>
      <c r="H15" s="2169">
        <f t="shared" si="0"/>
        <v>99.86468200270636</v>
      </c>
    </row>
    <row r="16" spans="1:8" ht="15" x14ac:dyDescent="0.2">
      <c r="A16" s="2165">
        <v>3299</v>
      </c>
      <c r="B16" s="2166">
        <v>5332</v>
      </c>
      <c r="C16" s="2170">
        <v>32133030</v>
      </c>
      <c r="D16" s="2167" t="s">
        <v>656</v>
      </c>
      <c r="E16" s="2168">
        <v>0</v>
      </c>
      <c r="F16" s="2168">
        <v>170</v>
      </c>
      <c r="G16" s="2168">
        <v>137</v>
      </c>
      <c r="H16" s="2169">
        <f t="shared" si="0"/>
        <v>80.588235294117652</v>
      </c>
    </row>
    <row r="17" spans="1:9" ht="15" x14ac:dyDescent="0.2">
      <c r="A17" s="2165">
        <v>3299</v>
      </c>
      <c r="B17" s="2166">
        <v>5332</v>
      </c>
      <c r="C17" s="2170">
        <v>32533030</v>
      </c>
      <c r="D17" s="2167" t="s">
        <v>656</v>
      </c>
      <c r="E17" s="2168">
        <v>0</v>
      </c>
      <c r="F17" s="2168">
        <v>963</v>
      </c>
      <c r="G17" s="2168">
        <v>777</v>
      </c>
      <c r="H17" s="2169">
        <f t="shared" si="0"/>
        <v>80.685358255451717</v>
      </c>
    </row>
    <row r="18" spans="1:9" ht="15" customHeight="1" x14ac:dyDescent="0.2">
      <c r="A18" s="2165">
        <v>3299</v>
      </c>
      <c r="B18" s="2166">
        <v>5901</v>
      </c>
      <c r="C18" s="2170">
        <v>32133030</v>
      </c>
      <c r="D18" s="2167" t="s">
        <v>639</v>
      </c>
      <c r="E18" s="2168">
        <v>0</v>
      </c>
      <c r="F18" s="2168">
        <v>1447</v>
      </c>
      <c r="G18" s="2168">
        <v>0</v>
      </c>
      <c r="H18" s="2169">
        <f t="shared" si="0"/>
        <v>0</v>
      </c>
    </row>
    <row r="19" spans="1:9" ht="15" x14ac:dyDescent="0.2">
      <c r="A19" s="2165">
        <v>3299</v>
      </c>
      <c r="B19" s="2166">
        <v>5901</v>
      </c>
      <c r="C19" s="2170">
        <v>32533030</v>
      </c>
      <c r="D19" s="2167" t="s">
        <v>639</v>
      </c>
      <c r="E19" s="2168">
        <v>0</v>
      </c>
      <c r="F19" s="2168">
        <v>8202</v>
      </c>
      <c r="G19" s="2168">
        <v>0</v>
      </c>
      <c r="H19" s="2169">
        <f t="shared" si="0"/>
        <v>0</v>
      </c>
    </row>
    <row r="20" spans="1:9" ht="45" hidden="1" x14ac:dyDescent="0.2">
      <c r="A20" s="2165">
        <v>3299</v>
      </c>
      <c r="B20" s="2166">
        <v>6313</v>
      </c>
      <c r="C20" s="2170">
        <v>32133006</v>
      </c>
      <c r="D20" s="2167" t="s">
        <v>583</v>
      </c>
      <c r="E20" s="2168">
        <v>0</v>
      </c>
      <c r="F20" s="2168">
        <v>0</v>
      </c>
      <c r="G20" s="2168">
        <v>0</v>
      </c>
      <c r="H20" s="2169" t="e">
        <f t="shared" si="0"/>
        <v>#DIV/0!</v>
      </c>
    </row>
    <row r="21" spans="1:9" ht="45" hidden="1" x14ac:dyDescent="0.2">
      <c r="A21" s="2165">
        <v>3299</v>
      </c>
      <c r="B21" s="2166">
        <v>6313</v>
      </c>
      <c r="C21" s="2170">
        <v>32533006</v>
      </c>
      <c r="D21" s="2167" t="s">
        <v>583</v>
      </c>
      <c r="E21" s="2168">
        <v>0</v>
      </c>
      <c r="F21" s="2168">
        <v>0</v>
      </c>
      <c r="G21" s="2168">
        <v>0</v>
      </c>
      <c r="H21" s="2169" t="e">
        <f t="shared" si="0"/>
        <v>#DIV/0!</v>
      </c>
    </row>
    <row r="22" spans="1:9" ht="30" hidden="1" x14ac:dyDescent="0.2">
      <c r="A22" s="2165">
        <v>3299</v>
      </c>
      <c r="B22" s="2166">
        <v>6323</v>
      </c>
      <c r="C22" s="2170">
        <v>32133006</v>
      </c>
      <c r="D22" s="2167" t="s">
        <v>584</v>
      </c>
      <c r="E22" s="2168">
        <v>0</v>
      </c>
      <c r="F22" s="2168">
        <v>0</v>
      </c>
      <c r="G22" s="2168">
        <v>0</v>
      </c>
      <c r="H22" s="2169" t="e">
        <f t="shared" si="0"/>
        <v>#DIV/0!</v>
      </c>
    </row>
    <row r="23" spans="1:9" ht="30" hidden="1" x14ac:dyDescent="0.2">
      <c r="A23" s="2165">
        <v>3299</v>
      </c>
      <c r="B23" s="2166">
        <v>6323</v>
      </c>
      <c r="C23" s="2170">
        <v>32533006</v>
      </c>
      <c r="D23" s="2167" t="s">
        <v>584</v>
      </c>
      <c r="E23" s="2168">
        <v>0</v>
      </c>
      <c r="F23" s="2168">
        <v>0</v>
      </c>
      <c r="G23" s="2168">
        <v>0</v>
      </c>
      <c r="H23" s="2169" t="e">
        <f t="shared" si="0"/>
        <v>#DIV/0!</v>
      </c>
    </row>
    <row r="24" spans="1:9" ht="15" customHeight="1" x14ac:dyDescent="0.2">
      <c r="A24" s="2165">
        <v>3299</v>
      </c>
      <c r="B24" s="2166">
        <v>6901</v>
      </c>
      <c r="C24" s="2170">
        <v>32133030</v>
      </c>
      <c r="D24" s="2167" t="s">
        <v>449</v>
      </c>
      <c r="E24" s="2168">
        <v>0</v>
      </c>
      <c r="F24" s="2168">
        <v>75</v>
      </c>
      <c r="G24" s="2168">
        <v>0</v>
      </c>
      <c r="H24" s="2169">
        <f t="shared" si="0"/>
        <v>0</v>
      </c>
    </row>
    <row r="25" spans="1:9" ht="15" customHeight="1" x14ac:dyDescent="0.2">
      <c r="A25" s="2165">
        <v>3299</v>
      </c>
      <c r="B25" s="2166">
        <v>6901</v>
      </c>
      <c r="C25" s="2170">
        <v>32533926</v>
      </c>
      <c r="D25" s="2167" t="s">
        <v>449</v>
      </c>
      <c r="E25" s="2168">
        <v>0</v>
      </c>
      <c r="F25" s="2168">
        <v>425</v>
      </c>
      <c r="G25" s="2168">
        <v>0</v>
      </c>
      <c r="H25" s="2169">
        <f t="shared" si="0"/>
        <v>0</v>
      </c>
    </row>
    <row r="26" spans="1:9" ht="15.75" thickBot="1" x14ac:dyDescent="0.25">
      <c r="A26" s="2165">
        <v>6330</v>
      </c>
      <c r="B26" s="2166">
        <v>5345</v>
      </c>
      <c r="C26" s="2170">
        <v>0</v>
      </c>
      <c r="D26" s="2167" t="s">
        <v>806</v>
      </c>
      <c r="E26" s="2168">
        <v>0</v>
      </c>
      <c r="F26" s="2168">
        <v>0</v>
      </c>
      <c r="G26" s="2168">
        <v>16599</v>
      </c>
      <c r="H26" s="2171">
        <v>0</v>
      </c>
    </row>
    <row r="27" spans="1:9" ht="16.5" thickTop="1" thickBot="1" x14ac:dyDescent="0.3">
      <c r="A27" s="2750" t="s">
        <v>802</v>
      </c>
      <c r="B27" s="2751"/>
      <c r="C27" s="2751"/>
      <c r="D27" s="2751"/>
      <c r="E27" s="1957">
        <f>SUM(E10:E25)</f>
        <v>0</v>
      </c>
      <c r="F27" s="1957">
        <f>SUM(F10:F26)</f>
        <v>22246</v>
      </c>
      <c r="G27" s="1957">
        <f>SUM(G10:G26)</f>
        <v>27639</v>
      </c>
      <c r="H27" s="1962">
        <f t="shared" si="0"/>
        <v>124.24256046030746</v>
      </c>
    </row>
    <row r="28" spans="1:9" ht="15.75" thickTop="1" x14ac:dyDescent="0.25">
      <c r="A28" s="2212"/>
      <c r="B28" s="2212"/>
      <c r="C28" s="2212"/>
      <c r="D28" s="2212"/>
      <c r="E28" s="2213"/>
      <c r="F28" s="2213"/>
      <c r="G28" s="2213"/>
      <c r="H28" s="2214"/>
    </row>
    <row r="29" spans="1:9" ht="15" x14ac:dyDescent="0.25">
      <c r="A29" s="2132" t="s">
        <v>1679</v>
      </c>
      <c r="B29" s="2146"/>
      <c r="C29" s="2146"/>
      <c r="D29" s="2146"/>
      <c r="F29" s="2147"/>
      <c r="G29" s="2147"/>
      <c r="H29" s="2147"/>
      <c r="I29" s="2147"/>
    </row>
    <row r="30" spans="1:9" ht="15.75" thickBot="1" x14ac:dyDescent="0.3">
      <c r="A30" s="2132" t="s">
        <v>1037</v>
      </c>
      <c r="B30" s="2146"/>
      <c r="C30" s="2146"/>
      <c r="D30" s="2146"/>
      <c r="F30" s="2147"/>
      <c r="G30" s="2147"/>
      <c r="H30" s="2148" t="s">
        <v>173</v>
      </c>
      <c r="I30" s="2147"/>
    </row>
    <row r="31" spans="1:9" ht="25.5" thickTop="1" thickBot="1" x14ac:dyDescent="0.25">
      <c r="A31" s="2149" t="s">
        <v>174</v>
      </c>
      <c r="B31" s="2150" t="s">
        <v>800</v>
      </c>
      <c r="C31" s="2150" t="s">
        <v>397</v>
      </c>
      <c r="D31" s="2151" t="s">
        <v>176</v>
      </c>
      <c r="E31" s="2152" t="s">
        <v>669</v>
      </c>
      <c r="F31" s="2152" t="s">
        <v>670</v>
      </c>
      <c r="G31" s="2153" t="s">
        <v>923</v>
      </c>
      <c r="H31" s="2154" t="s">
        <v>924</v>
      </c>
      <c r="I31" s="2147"/>
    </row>
    <row r="32" spans="1:9" ht="14.25" thickTop="1" thickBot="1" x14ac:dyDescent="0.25">
      <c r="A32" s="2155">
        <v>1</v>
      </c>
      <c r="B32" s="2156">
        <v>2</v>
      </c>
      <c r="C32" s="2156">
        <v>3</v>
      </c>
      <c r="D32" s="2156">
        <v>5</v>
      </c>
      <c r="E32" s="2157">
        <v>6</v>
      </c>
      <c r="F32" s="2157">
        <v>7</v>
      </c>
      <c r="G32" s="2158">
        <v>8</v>
      </c>
      <c r="H32" s="2174" t="s">
        <v>801</v>
      </c>
      <c r="I32" s="2147"/>
    </row>
    <row r="33" spans="1:9" ht="30.75" thickTop="1" x14ac:dyDescent="0.2">
      <c r="A33" s="2165">
        <v>3299</v>
      </c>
      <c r="B33" s="2166">
        <v>5336</v>
      </c>
      <c r="C33" s="2166">
        <v>32133030</v>
      </c>
      <c r="D33" s="2167" t="s">
        <v>1325</v>
      </c>
      <c r="E33" s="2163">
        <v>0</v>
      </c>
      <c r="F33" s="2163">
        <v>73</v>
      </c>
      <c r="G33" s="2175">
        <v>72</v>
      </c>
      <c r="H33" s="2164">
        <f>G33/F33*100</f>
        <v>98.630136986301366</v>
      </c>
      <c r="I33" s="2147"/>
    </row>
    <row r="34" spans="1:9" ht="30.75" thickBot="1" x14ac:dyDescent="0.25">
      <c r="A34" s="2165">
        <v>3299</v>
      </c>
      <c r="B34" s="2166">
        <v>5336</v>
      </c>
      <c r="C34" s="2166">
        <v>32533030</v>
      </c>
      <c r="D34" s="2167" t="s">
        <v>1325</v>
      </c>
      <c r="E34" s="2168">
        <v>0</v>
      </c>
      <c r="F34" s="2168">
        <v>412</v>
      </c>
      <c r="G34" s="2176">
        <v>408</v>
      </c>
      <c r="H34" s="2169">
        <f>G34/F34*100</f>
        <v>99.029126213592235</v>
      </c>
      <c r="I34" s="2147"/>
    </row>
    <row r="35" spans="1:9" ht="30.75" hidden="1" thickBot="1" x14ac:dyDescent="0.25">
      <c r="A35" s="2165">
        <v>3299</v>
      </c>
      <c r="B35" s="2166">
        <v>6351</v>
      </c>
      <c r="C35" s="2166">
        <v>32133006</v>
      </c>
      <c r="D35" s="2167" t="s">
        <v>1339</v>
      </c>
      <c r="E35" s="2168">
        <v>0</v>
      </c>
      <c r="F35" s="2168">
        <v>0</v>
      </c>
      <c r="G35" s="2176">
        <v>0</v>
      </c>
      <c r="H35" s="2169" t="e">
        <f>G35/F35*100</f>
        <v>#DIV/0!</v>
      </c>
      <c r="I35" s="2147"/>
    </row>
    <row r="36" spans="1:9" ht="30.75" hidden="1" thickBot="1" x14ac:dyDescent="0.25">
      <c r="A36" s="2165">
        <v>3299</v>
      </c>
      <c r="B36" s="2166">
        <v>6351</v>
      </c>
      <c r="C36" s="2166">
        <v>32533006</v>
      </c>
      <c r="D36" s="2167" t="s">
        <v>1339</v>
      </c>
      <c r="E36" s="2168">
        <v>0</v>
      </c>
      <c r="F36" s="2168">
        <v>0</v>
      </c>
      <c r="G36" s="2176">
        <v>0</v>
      </c>
      <c r="H36" s="2169" t="e">
        <f>G36/F36*100</f>
        <v>#DIV/0!</v>
      </c>
      <c r="I36" s="2147"/>
    </row>
    <row r="37" spans="1:9" ht="16.5" thickTop="1" thickBot="1" x14ac:dyDescent="0.3">
      <c r="A37" s="2177" t="s">
        <v>802</v>
      </c>
      <c r="B37" s="2178"/>
      <c r="C37" s="2178"/>
      <c r="D37" s="2179"/>
      <c r="E37" s="2172">
        <f>SUM(E33:E36)</f>
        <v>0</v>
      </c>
      <c r="F37" s="2172">
        <f>SUM(F33:F36)</f>
        <v>485</v>
      </c>
      <c r="G37" s="2172">
        <f>SUM(G33:G36)</f>
        <v>480</v>
      </c>
      <c r="H37" s="2173">
        <f>G37/F37*100</f>
        <v>98.969072164948457</v>
      </c>
      <c r="I37" s="2147"/>
    </row>
    <row r="38" spans="1:9" ht="15.75" thickTop="1" x14ac:dyDescent="0.25">
      <c r="A38" s="2212"/>
      <c r="B38" s="2212"/>
      <c r="C38" s="2212"/>
      <c r="D38" s="2212"/>
      <c r="E38" s="2213"/>
      <c r="F38" s="2213"/>
      <c r="G38" s="2213"/>
      <c r="H38" s="2214"/>
    </row>
    <row r="39" spans="1:9" ht="15" x14ac:dyDescent="0.25">
      <c r="A39" s="2132" t="s">
        <v>1680</v>
      </c>
      <c r="B39" s="2146"/>
      <c r="C39" s="2146"/>
      <c r="D39" s="2146"/>
      <c r="F39" s="2147"/>
      <c r="G39" s="2147"/>
      <c r="H39" s="2147"/>
      <c r="I39" s="2147"/>
    </row>
    <row r="40" spans="1:9" ht="15.75" thickBot="1" x14ac:dyDescent="0.3">
      <c r="A40" s="2132" t="s">
        <v>1038</v>
      </c>
      <c r="B40" s="2146"/>
      <c r="C40" s="2146"/>
      <c r="D40" s="2146"/>
      <c r="F40" s="2147"/>
      <c r="G40" s="2147"/>
      <c r="H40" s="2148" t="s">
        <v>173</v>
      </c>
      <c r="I40" s="2147"/>
    </row>
    <row r="41" spans="1:9" ht="25.5" thickTop="1" thickBot="1" x14ac:dyDescent="0.25">
      <c r="A41" s="2149" t="s">
        <v>174</v>
      </c>
      <c r="B41" s="2150" t="s">
        <v>800</v>
      </c>
      <c r="C41" s="2150" t="s">
        <v>397</v>
      </c>
      <c r="D41" s="2151" t="s">
        <v>176</v>
      </c>
      <c r="E41" s="2152" t="s">
        <v>669</v>
      </c>
      <c r="F41" s="2152" t="s">
        <v>670</v>
      </c>
      <c r="G41" s="2153" t="s">
        <v>923</v>
      </c>
      <c r="H41" s="2154" t="s">
        <v>924</v>
      </c>
      <c r="I41" s="2147"/>
    </row>
    <row r="42" spans="1:9" ht="14.25" thickTop="1" thickBot="1" x14ac:dyDescent="0.25">
      <c r="A42" s="2155">
        <v>1</v>
      </c>
      <c r="B42" s="2156">
        <v>2</v>
      </c>
      <c r="C42" s="2156">
        <v>3</v>
      </c>
      <c r="D42" s="2156">
        <v>5</v>
      </c>
      <c r="E42" s="2157">
        <v>6</v>
      </c>
      <c r="F42" s="2157">
        <v>7</v>
      </c>
      <c r="G42" s="2158">
        <v>8</v>
      </c>
      <c r="H42" s="2174" t="s">
        <v>801</v>
      </c>
      <c r="I42" s="2147"/>
    </row>
    <row r="43" spans="1:9" ht="30.75" thickTop="1" x14ac:dyDescent="0.2">
      <c r="A43" s="2165">
        <v>3299</v>
      </c>
      <c r="B43" s="2166">
        <v>5336</v>
      </c>
      <c r="C43" s="2166">
        <v>32133030</v>
      </c>
      <c r="D43" s="2167" t="s">
        <v>1325</v>
      </c>
      <c r="E43" s="2163">
        <v>0</v>
      </c>
      <c r="F43" s="2163">
        <v>268</v>
      </c>
      <c r="G43" s="2175">
        <v>254</v>
      </c>
      <c r="H43" s="2164">
        <f>G43/F43*100</f>
        <v>94.776119402985074</v>
      </c>
      <c r="I43" s="2147"/>
    </row>
    <row r="44" spans="1:9" ht="30.75" thickBot="1" x14ac:dyDescent="0.25">
      <c r="A44" s="2165">
        <v>3299</v>
      </c>
      <c r="B44" s="2166">
        <v>5336</v>
      </c>
      <c r="C44" s="2166">
        <v>32533030</v>
      </c>
      <c r="D44" s="2167" t="s">
        <v>1325</v>
      </c>
      <c r="E44" s="2168">
        <v>0</v>
      </c>
      <c r="F44" s="2168">
        <v>1516</v>
      </c>
      <c r="G44" s="2176">
        <v>1438</v>
      </c>
      <c r="H44" s="2169">
        <f>G44/F44*100</f>
        <v>94.854881266490764</v>
      </c>
      <c r="I44" s="2147"/>
    </row>
    <row r="45" spans="1:9" ht="30.75" hidden="1" thickBot="1" x14ac:dyDescent="0.25">
      <c r="A45" s="2165">
        <v>3299</v>
      </c>
      <c r="B45" s="2166">
        <v>6351</v>
      </c>
      <c r="C45" s="2166">
        <v>32133006</v>
      </c>
      <c r="D45" s="2167" t="s">
        <v>1339</v>
      </c>
      <c r="E45" s="2168">
        <v>0</v>
      </c>
      <c r="F45" s="2168">
        <v>0</v>
      </c>
      <c r="G45" s="2176">
        <v>0</v>
      </c>
      <c r="H45" s="2169" t="e">
        <f>G45/F45*100</f>
        <v>#DIV/0!</v>
      </c>
      <c r="I45" s="2147"/>
    </row>
    <row r="46" spans="1:9" ht="30.75" hidden="1" thickBot="1" x14ac:dyDescent="0.25">
      <c r="A46" s="2165">
        <v>3299</v>
      </c>
      <c r="B46" s="2166">
        <v>6351</v>
      </c>
      <c r="C46" s="2166">
        <v>32533006</v>
      </c>
      <c r="D46" s="2167" t="s">
        <v>1339</v>
      </c>
      <c r="E46" s="2168">
        <v>0</v>
      </c>
      <c r="F46" s="2168">
        <v>0</v>
      </c>
      <c r="G46" s="2176">
        <v>0</v>
      </c>
      <c r="H46" s="2169" t="e">
        <f>G46/F46*100</f>
        <v>#DIV/0!</v>
      </c>
      <c r="I46" s="2147"/>
    </row>
    <row r="47" spans="1:9" ht="16.5" thickTop="1" thickBot="1" x14ac:dyDescent="0.3">
      <c r="A47" s="2177" t="s">
        <v>802</v>
      </c>
      <c r="B47" s="2178"/>
      <c r="C47" s="2178"/>
      <c r="D47" s="2179"/>
      <c r="E47" s="2172">
        <f>SUM(E43:E46)</f>
        <v>0</v>
      </c>
      <c r="F47" s="2172">
        <f>SUM(F43:F46)</f>
        <v>1784</v>
      </c>
      <c r="G47" s="2172">
        <f>SUM(G43:G46)</f>
        <v>1692</v>
      </c>
      <c r="H47" s="2173">
        <f>G47/F47*100</f>
        <v>94.843049327354251</v>
      </c>
      <c r="I47" s="2147"/>
    </row>
    <row r="48" spans="1:9" ht="15.75" thickTop="1" x14ac:dyDescent="0.25">
      <c r="A48" s="2212"/>
      <c r="B48" s="2212"/>
      <c r="C48" s="2212"/>
      <c r="D48" s="2212"/>
      <c r="E48" s="2213"/>
      <c r="F48" s="2213"/>
      <c r="G48" s="2213"/>
      <c r="H48" s="2214"/>
    </row>
    <row r="49" spans="1:9" ht="15" x14ac:dyDescent="0.25">
      <c r="A49" s="2132" t="s">
        <v>1666</v>
      </c>
      <c r="B49" s="2146"/>
      <c r="C49" s="2146"/>
      <c r="D49" s="2146"/>
      <c r="F49" s="2147"/>
      <c r="G49" s="2147"/>
      <c r="H49" s="2147"/>
      <c r="I49" s="2147"/>
    </row>
    <row r="50" spans="1:9" ht="15.75" thickBot="1" x14ac:dyDescent="0.3">
      <c r="A50" s="2132" t="s">
        <v>1328</v>
      </c>
      <c r="B50" s="2146"/>
      <c r="C50" s="2146"/>
      <c r="D50" s="2146"/>
      <c r="F50" s="2147"/>
      <c r="G50" s="2147"/>
      <c r="H50" s="2148" t="s">
        <v>173</v>
      </c>
      <c r="I50" s="2147"/>
    </row>
    <row r="51" spans="1:9" ht="25.5" thickTop="1" thickBot="1" x14ac:dyDescent="0.25">
      <c r="A51" s="2149" t="s">
        <v>174</v>
      </c>
      <c r="B51" s="2150" t="s">
        <v>800</v>
      </c>
      <c r="C51" s="2150" t="s">
        <v>397</v>
      </c>
      <c r="D51" s="2151" t="s">
        <v>176</v>
      </c>
      <c r="E51" s="2152" t="s">
        <v>669</v>
      </c>
      <c r="F51" s="2152" t="s">
        <v>670</v>
      </c>
      <c r="G51" s="2153" t="s">
        <v>923</v>
      </c>
      <c r="H51" s="2154" t="s">
        <v>924</v>
      </c>
      <c r="I51" s="2147"/>
    </row>
    <row r="52" spans="1:9" ht="14.25" thickTop="1" thickBot="1" x14ac:dyDescent="0.25">
      <c r="A52" s="2155">
        <v>1</v>
      </c>
      <c r="B52" s="2156">
        <v>2</v>
      </c>
      <c r="C52" s="2156">
        <v>3</v>
      </c>
      <c r="D52" s="2156">
        <v>5</v>
      </c>
      <c r="E52" s="2157">
        <v>6</v>
      </c>
      <c r="F52" s="2157">
        <v>7</v>
      </c>
      <c r="G52" s="2158">
        <v>8</v>
      </c>
      <c r="H52" s="2174" t="s">
        <v>801</v>
      </c>
      <c r="I52" s="2147"/>
    </row>
    <row r="53" spans="1:9" ht="30.75" thickTop="1" x14ac:dyDescent="0.2">
      <c r="A53" s="2165">
        <v>3299</v>
      </c>
      <c r="B53" s="2166">
        <v>5336</v>
      </c>
      <c r="C53" s="2166">
        <v>32133030</v>
      </c>
      <c r="D53" s="2167" t="s">
        <v>1325</v>
      </c>
      <c r="E53" s="2163">
        <v>0</v>
      </c>
      <c r="F53" s="2163">
        <v>233</v>
      </c>
      <c r="G53" s="2175">
        <v>175</v>
      </c>
      <c r="H53" s="2164">
        <f>G53/F53*100</f>
        <v>75.107296137339048</v>
      </c>
      <c r="I53" s="2147"/>
    </row>
    <row r="54" spans="1:9" ht="30.75" thickBot="1" x14ac:dyDescent="0.25">
      <c r="A54" s="2165">
        <v>3299</v>
      </c>
      <c r="B54" s="2166">
        <v>5336</v>
      </c>
      <c r="C54" s="2166">
        <v>32533030</v>
      </c>
      <c r="D54" s="2167" t="s">
        <v>1325</v>
      </c>
      <c r="E54" s="2168">
        <v>0</v>
      </c>
      <c r="F54" s="2168">
        <v>1320</v>
      </c>
      <c r="G54" s="2176">
        <v>995</v>
      </c>
      <c r="H54" s="2169">
        <f>G54/F54*100</f>
        <v>75.378787878787875</v>
      </c>
      <c r="I54" s="2147"/>
    </row>
    <row r="55" spans="1:9" ht="30.75" hidden="1" thickBot="1" x14ac:dyDescent="0.25">
      <c r="A55" s="2165">
        <v>3299</v>
      </c>
      <c r="B55" s="2166">
        <v>6351</v>
      </c>
      <c r="C55" s="2166">
        <v>32133006</v>
      </c>
      <c r="D55" s="2167" t="s">
        <v>1339</v>
      </c>
      <c r="E55" s="2168">
        <v>0</v>
      </c>
      <c r="F55" s="2168">
        <v>0</v>
      </c>
      <c r="G55" s="2176">
        <v>0</v>
      </c>
      <c r="H55" s="2169" t="e">
        <f>G55/F55*100</f>
        <v>#DIV/0!</v>
      </c>
      <c r="I55" s="2147"/>
    </row>
    <row r="56" spans="1:9" ht="30.75" hidden="1" thickBot="1" x14ac:dyDescent="0.25">
      <c r="A56" s="2165">
        <v>3299</v>
      </c>
      <c r="B56" s="2166">
        <v>6351</v>
      </c>
      <c r="C56" s="2166">
        <v>32533006</v>
      </c>
      <c r="D56" s="2167" t="s">
        <v>1339</v>
      </c>
      <c r="E56" s="2168">
        <v>0</v>
      </c>
      <c r="F56" s="2168">
        <v>0</v>
      </c>
      <c r="G56" s="2176">
        <v>0</v>
      </c>
      <c r="H56" s="2169" t="e">
        <f>G56/F56*100</f>
        <v>#DIV/0!</v>
      </c>
      <c r="I56" s="2147"/>
    </row>
    <row r="57" spans="1:9" ht="16.5" thickTop="1" thickBot="1" x14ac:dyDescent="0.3">
      <c r="A57" s="2177" t="s">
        <v>802</v>
      </c>
      <c r="B57" s="2178"/>
      <c r="C57" s="2178"/>
      <c r="D57" s="2179"/>
      <c r="E57" s="2172">
        <f>SUM(E53:E56)</f>
        <v>0</v>
      </c>
      <c r="F57" s="2172">
        <f>SUM(F53:F56)</f>
        <v>1553</v>
      </c>
      <c r="G57" s="2172">
        <f>SUM(G53:G56)</f>
        <v>1170</v>
      </c>
      <c r="H57" s="2173">
        <f>G57/F57*100</f>
        <v>75.338055376690278</v>
      </c>
      <c r="I57" s="2147"/>
    </row>
    <row r="58" spans="1:9" ht="15.75" thickTop="1" x14ac:dyDescent="0.25">
      <c r="A58" s="2212"/>
      <c r="B58" s="2212"/>
      <c r="C58" s="2212"/>
      <c r="D58" s="2212"/>
      <c r="E58" s="2213"/>
      <c r="F58" s="2213"/>
      <c r="G58" s="2213"/>
      <c r="H58" s="2214"/>
    </row>
    <row r="59" spans="1:9" ht="15" x14ac:dyDescent="0.25">
      <c r="A59" s="2132" t="s">
        <v>1681</v>
      </c>
      <c r="B59" s="2146"/>
      <c r="C59" s="2146"/>
      <c r="D59" s="2146"/>
      <c r="F59" s="2147"/>
      <c r="G59" s="2147"/>
      <c r="H59" s="2147"/>
      <c r="I59" s="2147"/>
    </row>
    <row r="60" spans="1:9" ht="15.75" thickBot="1" x14ac:dyDescent="0.3">
      <c r="A60" s="2132" t="s">
        <v>1203</v>
      </c>
      <c r="B60" s="2146"/>
      <c r="C60" s="2146"/>
      <c r="D60" s="2146"/>
      <c r="F60" s="2147"/>
      <c r="G60" s="2147"/>
      <c r="H60" s="2148" t="s">
        <v>173</v>
      </c>
      <c r="I60" s="2147"/>
    </row>
    <row r="61" spans="1:9" ht="25.5" thickTop="1" thickBot="1" x14ac:dyDescent="0.25">
      <c r="A61" s="2149" t="s">
        <v>174</v>
      </c>
      <c r="B61" s="2150" t="s">
        <v>800</v>
      </c>
      <c r="C61" s="2150" t="s">
        <v>397</v>
      </c>
      <c r="D61" s="2151" t="s">
        <v>176</v>
      </c>
      <c r="E61" s="2152" t="s">
        <v>669</v>
      </c>
      <c r="F61" s="2152" t="s">
        <v>670</v>
      </c>
      <c r="G61" s="2153" t="s">
        <v>923</v>
      </c>
      <c r="H61" s="2154" t="s">
        <v>924</v>
      </c>
      <c r="I61" s="2147"/>
    </row>
    <row r="62" spans="1:9" ht="14.25" thickTop="1" thickBot="1" x14ac:dyDescent="0.25">
      <c r="A62" s="2155">
        <v>1</v>
      </c>
      <c r="B62" s="2156">
        <v>2</v>
      </c>
      <c r="C62" s="2156">
        <v>3</v>
      </c>
      <c r="D62" s="2156">
        <v>5</v>
      </c>
      <c r="E62" s="2157">
        <v>6</v>
      </c>
      <c r="F62" s="2157">
        <v>7</v>
      </c>
      <c r="G62" s="2158">
        <v>8</v>
      </c>
      <c r="H62" s="2174" t="s">
        <v>801</v>
      </c>
      <c r="I62" s="2147"/>
    </row>
    <row r="63" spans="1:9" ht="30.75" thickTop="1" x14ac:dyDescent="0.2">
      <c r="A63" s="2165">
        <v>3299</v>
      </c>
      <c r="B63" s="2166">
        <v>5336</v>
      </c>
      <c r="C63" s="2166">
        <v>32133030</v>
      </c>
      <c r="D63" s="2167" t="s">
        <v>1325</v>
      </c>
      <c r="E63" s="2163">
        <v>0</v>
      </c>
      <c r="F63" s="2163">
        <v>289</v>
      </c>
      <c r="G63" s="2175">
        <v>287</v>
      </c>
      <c r="H63" s="2164">
        <f>G63/F63*100</f>
        <v>99.307958477508649</v>
      </c>
      <c r="I63" s="2147"/>
    </row>
    <row r="64" spans="1:9" ht="30.75" thickBot="1" x14ac:dyDescent="0.25">
      <c r="A64" s="2165">
        <v>3299</v>
      </c>
      <c r="B64" s="2166">
        <v>5336</v>
      </c>
      <c r="C64" s="2166">
        <v>32533030</v>
      </c>
      <c r="D64" s="2167" t="s">
        <v>1325</v>
      </c>
      <c r="E64" s="2168">
        <v>0</v>
      </c>
      <c r="F64" s="2168">
        <v>1639</v>
      </c>
      <c r="G64" s="2176">
        <v>1629</v>
      </c>
      <c r="H64" s="2169">
        <f>G64/F64*100</f>
        <v>99.389871873093355</v>
      </c>
      <c r="I64" s="2147"/>
    </row>
    <row r="65" spans="1:9" ht="30.75" hidden="1" thickBot="1" x14ac:dyDescent="0.25">
      <c r="A65" s="2165">
        <v>3299</v>
      </c>
      <c r="B65" s="2166">
        <v>6351</v>
      </c>
      <c r="C65" s="2166">
        <v>32133006</v>
      </c>
      <c r="D65" s="2167" t="s">
        <v>1339</v>
      </c>
      <c r="E65" s="2168">
        <v>0</v>
      </c>
      <c r="F65" s="2168">
        <v>0</v>
      </c>
      <c r="G65" s="2176">
        <v>0</v>
      </c>
      <c r="H65" s="2169" t="e">
        <f>G65/F65*100</f>
        <v>#DIV/0!</v>
      </c>
      <c r="I65" s="2147"/>
    </row>
    <row r="66" spans="1:9" ht="30.75" hidden="1" thickBot="1" x14ac:dyDescent="0.25">
      <c r="A66" s="2165">
        <v>3299</v>
      </c>
      <c r="B66" s="2166">
        <v>6351</v>
      </c>
      <c r="C66" s="2166">
        <v>32533006</v>
      </c>
      <c r="D66" s="2167" t="s">
        <v>1339</v>
      </c>
      <c r="E66" s="2168">
        <v>0</v>
      </c>
      <c r="F66" s="2168">
        <v>0</v>
      </c>
      <c r="G66" s="2176">
        <v>0</v>
      </c>
      <c r="H66" s="2169" t="e">
        <f>G66/F66*100</f>
        <v>#DIV/0!</v>
      </c>
      <c r="I66" s="2147"/>
    </row>
    <row r="67" spans="1:9" ht="16.5" thickTop="1" thickBot="1" x14ac:dyDescent="0.3">
      <c r="A67" s="2177" t="s">
        <v>802</v>
      </c>
      <c r="B67" s="2178"/>
      <c r="C67" s="2178"/>
      <c r="D67" s="2179"/>
      <c r="E67" s="2172">
        <f>SUM(E63:E66)</f>
        <v>0</v>
      </c>
      <c r="F67" s="2172">
        <f>SUM(F63:F66)</f>
        <v>1928</v>
      </c>
      <c r="G67" s="2172">
        <f>SUM(G63:G66)</f>
        <v>1916</v>
      </c>
      <c r="H67" s="2173">
        <f>G67/F67*100</f>
        <v>99.37759336099586</v>
      </c>
      <c r="I67" s="2147"/>
    </row>
    <row r="68" spans="1:9" ht="15.75" thickTop="1" x14ac:dyDescent="0.25">
      <c r="A68" s="2212"/>
      <c r="B68" s="2212"/>
      <c r="C68" s="2212"/>
      <c r="D68" s="2212"/>
      <c r="E68" s="2213"/>
      <c r="F68" s="2213"/>
      <c r="G68" s="2213"/>
      <c r="H68" s="2214"/>
    </row>
    <row r="69" spans="1:9" ht="15" x14ac:dyDescent="0.25">
      <c r="A69" s="2132" t="s">
        <v>1741</v>
      </c>
      <c r="B69" s="2146"/>
      <c r="C69" s="2146"/>
      <c r="D69" s="2146"/>
      <c r="F69" s="2147"/>
      <c r="G69" s="2147"/>
      <c r="H69" s="2147"/>
      <c r="I69" s="2147"/>
    </row>
    <row r="70" spans="1:9" ht="15.75" thickBot="1" x14ac:dyDescent="0.3">
      <c r="A70" s="2132" t="s">
        <v>909</v>
      </c>
      <c r="B70" s="2146"/>
      <c r="C70" s="2146"/>
      <c r="D70" s="2146"/>
      <c r="F70" s="2147"/>
      <c r="G70" s="2147"/>
      <c r="H70" s="2148" t="s">
        <v>173</v>
      </c>
      <c r="I70" s="2147"/>
    </row>
    <row r="71" spans="1:9" ht="25.5" thickTop="1" thickBot="1" x14ac:dyDescent="0.25">
      <c r="A71" s="2149" t="s">
        <v>174</v>
      </c>
      <c r="B71" s="2150" t="s">
        <v>800</v>
      </c>
      <c r="C71" s="2150" t="s">
        <v>397</v>
      </c>
      <c r="D71" s="2151" t="s">
        <v>176</v>
      </c>
      <c r="E71" s="2152" t="s">
        <v>669</v>
      </c>
      <c r="F71" s="2152" t="s">
        <v>670</v>
      </c>
      <c r="G71" s="2153" t="s">
        <v>923</v>
      </c>
      <c r="H71" s="2154" t="s">
        <v>924</v>
      </c>
      <c r="I71" s="2147"/>
    </row>
    <row r="72" spans="1:9" ht="14.25" thickTop="1" thickBot="1" x14ac:dyDescent="0.25">
      <c r="A72" s="2155">
        <v>1</v>
      </c>
      <c r="B72" s="2156">
        <v>2</v>
      </c>
      <c r="C72" s="2156">
        <v>3</v>
      </c>
      <c r="D72" s="2156">
        <v>5</v>
      </c>
      <c r="E72" s="2157">
        <v>6</v>
      </c>
      <c r="F72" s="2157">
        <v>7</v>
      </c>
      <c r="G72" s="2158">
        <v>8</v>
      </c>
      <c r="H72" s="2174" t="s">
        <v>801</v>
      </c>
      <c r="I72" s="2147"/>
    </row>
    <row r="73" spans="1:9" ht="30.75" thickTop="1" x14ac:dyDescent="0.2">
      <c r="A73" s="2165">
        <v>3299</v>
      </c>
      <c r="B73" s="2166">
        <v>5336</v>
      </c>
      <c r="C73" s="2166">
        <v>32133030</v>
      </c>
      <c r="D73" s="2167" t="s">
        <v>1325</v>
      </c>
      <c r="E73" s="2163">
        <v>0</v>
      </c>
      <c r="F73" s="2163">
        <v>135</v>
      </c>
      <c r="G73" s="2175">
        <v>131</v>
      </c>
      <c r="H73" s="2164">
        <f>G73/F73*100</f>
        <v>97.037037037037038</v>
      </c>
      <c r="I73" s="2147"/>
    </row>
    <row r="74" spans="1:9" ht="30.75" thickBot="1" x14ac:dyDescent="0.25">
      <c r="A74" s="2165">
        <v>3299</v>
      </c>
      <c r="B74" s="2166">
        <v>5336</v>
      </c>
      <c r="C74" s="2166">
        <v>32533030</v>
      </c>
      <c r="D74" s="2167" t="s">
        <v>1325</v>
      </c>
      <c r="E74" s="2168">
        <v>0</v>
      </c>
      <c r="F74" s="2168">
        <v>765</v>
      </c>
      <c r="G74" s="2176">
        <v>744</v>
      </c>
      <c r="H74" s="2169">
        <f>G74/F74*100</f>
        <v>97.254901960784309</v>
      </c>
      <c r="I74" s="2147"/>
    </row>
    <row r="75" spans="1:9" ht="30.75" hidden="1" thickBot="1" x14ac:dyDescent="0.25">
      <c r="A75" s="2165">
        <v>3299</v>
      </c>
      <c r="B75" s="2166">
        <v>6351</v>
      </c>
      <c r="C75" s="2166">
        <v>32133006</v>
      </c>
      <c r="D75" s="2167" t="s">
        <v>1339</v>
      </c>
      <c r="E75" s="2168">
        <v>0</v>
      </c>
      <c r="F75" s="2168">
        <v>0</v>
      </c>
      <c r="G75" s="2176">
        <v>0</v>
      </c>
      <c r="H75" s="2169" t="e">
        <f>G75/F75*100</f>
        <v>#DIV/0!</v>
      </c>
      <c r="I75" s="2147"/>
    </row>
    <row r="76" spans="1:9" ht="30.75" hidden="1" thickBot="1" x14ac:dyDescent="0.25">
      <c r="A76" s="2165">
        <v>3299</v>
      </c>
      <c r="B76" s="2166">
        <v>6351</v>
      </c>
      <c r="C76" s="2166">
        <v>32533006</v>
      </c>
      <c r="D76" s="2167" t="s">
        <v>1339</v>
      </c>
      <c r="E76" s="2168">
        <v>0</v>
      </c>
      <c r="F76" s="2168">
        <v>0</v>
      </c>
      <c r="G76" s="2176">
        <v>0</v>
      </c>
      <c r="H76" s="2169" t="e">
        <f>G76/F76*100</f>
        <v>#DIV/0!</v>
      </c>
      <c r="I76" s="2147"/>
    </row>
    <row r="77" spans="1:9" ht="16.5" thickTop="1" thickBot="1" x14ac:dyDescent="0.3">
      <c r="A77" s="2177" t="s">
        <v>802</v>
      </c>
      <c r="B77" s="2178"/>
      <c r="C77" s="2178"/>
      <c r="D77" s="2179"/>
      <c r="E77" s="2172">
        <f>SUM(E73:E76)</f>
        <v>0</v>
      </c>
      <c r="F77" s="2172">
        <f>SUM(F73:F76)</f>
        <v>900</v>
      </c>
      <c r="G77" s="2172">
        <f>SUM(G73:G76)</f>
        <v>875</v>
      </c>
      <c r="H77" s="2173">
        <f>G77/F77*100</f>
        <v>97.222222222222214</v>
      </c>
      <c r="I77" s="2147"/>
    </row>
    <row r="78" spans="1:9" ht="15.75" thickTop="1" x14ac:dyDescent="0.25">
      <c r="A78" s="2212"/>
      <c r="B78" s="2212"/>
      <c r="C78" s="2212"/>
      <c r="D78" s="2212"/>
      <c r="E78" s="2213"/>
      <c r="F78" s="2213"/>
      <c r="G78" s="2213"/>
      <c r="H78" s="2214"/>
    </row>
    <row r="79" spans="1:9" ht="15" x14ac:dyDescent="0.25">
      <c r="A79" s="2132" t="s">
        <v>241</v>
      </c>
      <c r="B79" s="2146"/>
      <c r="C79" s="2146"/>
      <c r="D79" s="2146"/>
      <c r="F79" s="2147"/>
      <c r="G79" s="2147"/>
      <c r="H79" s="2147"/>
      <c r="I79" s="2147"/>
    </row>
    <row r="80" spans="1:9" ht="15.75" thickBot="1" x14ac:dyDescent="0.3">
      <c r="A80" s="2132" t="s">
        <v>242</v>
      </c>
      <c r="B80" s="2146"/>
      <c r="C80" s="2146"/>
      <c r="D80" s="2146"/>
      <c r="F80" s="2147"/>
      <c r="G80" s="2147"/>
      <c r="H80" s="2148" t="s">
        <v>173</v>
      </c>
      <c r="I80" s="2147"/>
    </row>
    <row r="81" spans="1:9" ht="25.5" thickTop="1" thickBot="1" x14ac:dyDescent="0.25">
      <c r="A81" s="2149" t="s">
        <v>174</v>
      </c>
      <c r="B81" s="2150" t="s">
        <v>800</v>
      </c>
      <c r="C81" s="2150" t="s">
        <v>397</v>
      </c>
      <c r="D81" s="2151" t="s">
        <v>176</v>
      </c>
      <c r="E81" s="2152" t="s">
        <v>669</v>
      </c>
      <c r="F81" s="2152" t="s">
        <v>670</v>
      </c>
      <c r="G81" s="2153" t="s">
        <v>923</v>
      </c>
      <c r="H81" s="2154" t="s">
        <v>924</v>
      </c>
      <c r="I81" s="2147"/>
    </row>
    <row r="82" spans="1:9" ht="14.25" thickTop="1" thickBot="1" x14ac:dyDescent="0.25">
      <c r="A82" s="2155">
        <v>1</v>
      </c>
      <c r="B82" s="2156">
        <v>2</v>
      </c>
      <c r="C82" s="2156">
        <v>3</v>
      </c>
      <c r="D82" s="2156">
        <v>5</v>
      </c>
      <c r="E82" s="2157">
        <v>6</v>
      </c>
      <c r="F82" s="2157">
        <v>7</v>
      </c>
      <c r="G82" s="2158">
        <v>8</v>
      </c>
      <c r="H82" s="2174" t="s">
        <v>801</v>
      </c>
      <c r="I82" s="2147"/>
    </row>
    <row r="83" spans="1:9" ht="15.75" thickTop="1" x14ac:dyDescent="0.25">
      <c r="A83" s="2186">
        <v>3299</v>
      </c>
      <c r="B83" s="2187">
        <v>5321</v>
      </c>
      <c r="C83" s="2187">
        <v>32133030</v>
      </c>
      <c r="D83" s="2189" t="s">
        <v>1261</v>
      </c>
      <c r="E83" s="2168">
        <v>0</v>
      </c>
      <c r="F83" s="2168">
        <v>84</v>
      </c>
      <c r="G83" s="2176">
        <v>78</v>
      </c>
      <c r="H83" s="2169">
        <f>G83/F83*100</f>
        <v>92.857142857142861</v>
      </c>
      <c r="I83" s="2147"/>
    </row>
    <row r="84" spans="1:9" ht="15.75" thickBot="1" x14ac:dyDescent="0.3">
      <c r="A84" s="2186">
        <v>3299</v>
      </c>
      <c r="B84" s="2187">
        <v>5321</v>
      </c>
      <c r="C84" s="2187">
        <v>32533030</v>
      </c>
      <c r="D84" s="2189" t="s">
        <v>1261</v>
      </c>
      <c r="E84" s="2168">
        <v>0</v>
      </c>
      <c r="F84" s="2168">
        <v>475</v>
      </c>
      <c r="G84" s="2176">
        <v>440</v>
      </c>
      <c r="H84" s="2169">
        <f>G84/F84*100</f>
        <v>92.631578947368425</v>
      </c>
      <c r="I84" s="2147"/>
    </row>
    <row r="85" spans="1:9" ht="15.75" hidden="1" thickBot="1" x14ac:dyDescent="0.3">
      <c r="A85" s="2190">
        <v>3299</v>
      </c>
      <c r="B85" s="2191">
        <v>6341</v>
      </c>
      <c r="C85" s="2191">
        <v>32533926</v>
      </c>
      <c r="D85" s="2188" t="s">
        <v>261</v>
      </c>
      <c r="E85" s="2168">
        <v>0</v>
      </c>
      <c r="F85" s="2168">
        <v>0</v>
      </c>
      <c r="G85" s="2176">
        <v>0</v>
      </c>
      <c r="H85" s="2169" t="e">
        <f>G85/F85*100</f>
        <v>#DIV/0!</v>
      </c>
      <c r="I85" s="2147"/>
    </row>
    <row r="86" spans="1:9" ht="16.5" thickTop="1" thickBot="1" x14ac:dyDescent="0.3">
      <c r="A86" s="2177" t="s">
        <v>802</v>
      </c>
      <c r="B86" s="2178"/>
      <c r="C86" s="2178"/>
      <c r="D86" s="2179"/>
      <c r="E86" s="2172">
        <f>SUM(E83:E85)</f>
        <v>0</v>
      </c>
      <c r="F86" s="2172">
        <f>SUM(F83:F85)</f>
        <v>559</v>
      </c>
      <c r="G86" s="2172">
        <f>SUM(G83:G85)</f>
        <v>518</v>
      </c>
      <c r="H86" s="2173">
        <f>G86/F86*100</f>
        <v>92.665474060822888</v>
      </c>
      <c r="I86" s="2147"/>
    </row>
    <row r="87" spans="1:9" ht="15.75" thickTop="1" x14ac:dyDescent="0.25">
      <c r="A87" s="2212"/>
      <c r="B87" s="2212"/>
      <c r="C87" s="2212"/>
      <c r="D87" s="2212"/>
      <c r="E87" s="2213"/>
      <c r="F87" s="2213"/>
      <c r="G87" s="2213"/>
      <c r="H87" s="2214"/>
    </row>
    <row r="88" spans="1:9" ht="15" x14ac:dyDescent="0.25">
      <c r="A88" s="2132" t="s">
        <v>1911</v>
      </c>
      <c r="B88" s="2146"/>
      <c r="C88" s="2146"/>
      <c r="D88" s="2146"/>
      <c r="F88" s="2147"/>
      <c r="G88" s="2147"/>
      <c r="H88" s="2147"/>
      <c r="I88" s="2147"/>
    </row>
    <row r="89" spans="1:9" ht="15.75" thickBot="1" x14ac:dyDescent="0.3">
      <c r="A89" s="2132" t="s">
        <v>1028</v>
      </c>
      <c r="B89" s="2146"/>
      <c r="C89" s="2146"/>
      <c r="D89" s="2146"/>
      <c r="F89" s="2147"/>
      <c r="G89" s="2147"/>
      <c r="H89" s="2148" t="s">
        <v>173</v>
      </c>
      <c r="I89" s="2147"/>
    </row>
    <row r="90" spans="1:9" ht="25.5" thickTop="1" thickBot="1" x14ac:dyDescent="0.25">
      <c r="A90" s="2149" t="s">
        <v>174</v>
      </c>
      <c r="B90" s="2150" t="s">
        <v>800</v>
      </c>
      <c r="C90" s="2150" t="s">
        <v>397</v>
      </c>
      <c r="D90" s="2151" t="s">
        <v>176</v>
      </c>
      <c r="E90" s="2152" t="s">
        <v>669</v>
      </c>
      <c r="F90" s="2152" t="s">
        <v>670</v>
      </c>
      <c r="G90" s="2153" t="s">
        <v>923</v>
      </c>
      <c r="H90" s="2154" t="s">
        <v>924</v>
      </c>
      <c r="I90" s="2147"/>
    </row>
    <row r="91" spans="1:9" ht="14.25" thickTop="1" thickBot="1" x14ac:dyDescent="0.25">
      <c r="A91" s="2155">
        <v>1</v>
      </c>
      <c r="B91" s="2156">
        <v>2</v>
      </c>
      <c r="C91" s="2156">
        <v>3</v>
      </c>
      <c r="D91" s="2156">
        <v>5</v>
      </c>
      <c r="E91" s="2157">
        <v>6</v>
      </c>
      <c r="F91" s="2157">
        <v>7</v>
      </c>
      <c r="G91" s="2158">
        <v>8</v>
      </c>
      <c r="H91" s="2174" t="s">
        <v>801</v>
      </c>
      <c r="I91" s="2147"/>
    </row>
    <row r="92" spans="1:9" ht="15.75" thickTop="1" x14ac:dyDescent="0.25">
      <c r="A92" s="2186">
        <v>3299</v>
      </c>
      <c r="B92" s="2187">
        <v>5321</v>
      </c>
      <c r="C92" s="2187">
        <v>32133030</v>
      </c>
      <c r="D92" s="2189" t="s">
        <v>1261</v>
      </c>
      <c r="E92" s="2168">
        <v>0</v>
      </c>
      <c r="F92" s="2168">
        <v>60</v>
      </c>
      <c r="G92" s="2176">
        <v>53</v>
      </c>
      <c r="H92" s="2169">
        <f>G92/F92*100</f>
        <v>88.333333333333329</v>
      </c>
      <c r="I92" s="2147"/>
    </row>
    <row r="93" spans="1:9" ht="15.75" thickBot="1" x14ac:dyDescent="0.3">
      <c r="A93" s="2186">
        <v>3299</v>
      </c>
      <c r="B93" s="2187">
        <v>5321</v>
      </c>
      <c r="C93" s="2187">
        <v>32533030</v>
      </c>
      <c r="D93" s="2189" t="s">
        <v>1261</v>
      </c>
      <c r="E93" s="2168">
        <v>0</v>
      </c>
      <c r="F93" s="2168">
        <v>340</v>
      </c>
      <c r="G93" s="2176">
        <v>301</v>
      </c>
      <c r="H93" s="2169">
        <f>G93/F93*100</f>
        <v>88.529411764705884</v>
      </c>
      <c r="I93" s="2147"/>
    </row>
    <row r="94" spans="1:9" ht="15.75" hidden="1" thickBot="1" x14ac:dyDescent="0.3">
      <c r="A94" s="2190">
        <v>3299</v>
      </c>
      <c r="B94" s="2191">
        <v>6341</v>
      </c>
      <c r="C94" s="2191">
        <v>32533926</v>
      </c>
      <c r="D94" s="2188" t="s">
        <v>261</v>
      </c>
      <c r="E94" s="2168">
        <v>0</v>
      </c>
      <c r="F94" s="2168">
        <v>0</v>
      </c>
      <c r="G94" s="2176">
        <v>0</v>
      </c>
      <c r="H94" s="2169" t="e">
        <f>G94/F94*100</f>
        <v>#DIV/0!</v>
      </c>
      <c r="I94" s="2147"/>
    </row>
    <row r="95" spans="1:9" ht="16.5" thickTop="1" thickBot="1" x14ac:dyDescent="0.3">
      <c r="A95" s="2177" t="s">
        <v>802</v>
      </c>
      <c r="B95" s="2178"/>
      <c r="C95" s="2178"/>
      <c r="D95" s="2179"/>
      <c r="E95" s="2172">
        <f>SUM(E92:E94)</f>
        <v>0</v>
      </c>
      <c r="F95" s="2172">
        <f>SUM(F92:F94)</f>
        <v>400</v>
      </c>
      <c r="G95" s="2172">
        <f>SUM(G92:G94)</f>
        <v>354</v>
      </c>
      <c r="H95" s="2173">
        <f>G95/F95*100</f>
        <v>88.5</v>
      </c>
      <c r="I95" s="2147"/>
    </row>
    <row r="96" spans="1:9" ht="15.75" thickTop="1" x14ac:dyDescent="0.25">
      <c r="A96" s="2212"/>
      <c r="B96" s="2212"/>
      <c r="C96" s="2212"/>
      <c r="D96" s="2212"/>
      <c r="E96" s="2213"/>
      <c r="F96" s="2213"/>
      <c r="G96" s="2213"/>
      <c r="H96" s="2214"/>
    </row>
    <row r="97" spans="1:9" ht="15" x14ac:dyDescent="0.25">
      <c r="A97" s="2132" t="s">
        <v>1682</v>
      </c>
      <c r="B97" s="2146"/>
      <c r="C97" s="2146"/>
      <c r="D97" s="2146"/>
      <c r="F97" s="2147"/>
      <c r="G97" s="2147"/>
      <c r="H97" s="2147"/>
      <c r="I97" s="2147"/>
    </row>
    <row r="98" spans="1:9" ht="15.75" thickBot="1" x14ac:dyDescent="0.3">
      <c r="A98" s="2132" t="s">
        <v>1683</v>
      </c>
      <c r="B98" s="2146"/>
      <c r="C98" s="2146"/>
      <c r="D98" s="2146"/>
      <c r="F98" s="2147"/>
      <c r="G98" s="2147"/>
      <c r="H98" s="2148" t="s">
        <v>173</v>
      </c>
      <c r="I98" s="2147"/>
    </row>
    <row r="99" spans="1:9" ht="25.5" thickTop="1" thickBot="1" x14ac:dyDescent="0.25">
      <c r="A99" s="2149" t="s">
        <v>174</v>
      </c>
      <c r="B99" s="2150" t="s">
        <v>800</v>
      </c>
      <c r="C99" s="2150" t="s">
        <v>397</v>
      </c>
      <c r="D99" s="2151" t="s">
        <v>176</v>
      </c>
      <c r="E99" s="2152" t="s">
        <v>669</v>
      </c>
      <c r="F99" s="2152" t="s">
        <v>670</v>
      </c>
      <c r="G99" s="2153" t="s">
        <v>923</v>
      </c>
      <c r="H99" s="2154" t="s">
        <v>924</v>
      </c>
      <c r="I99" s="2147"/>
    </row>
    <row r="100" spans="1:9" ht="14.25" thickTop="1" thickBot="1" x14ac:dyDescent="0.25">
      <c r="A100" s="2155">
        <v>1</v>
      </c>
      <c r="B100" s="2156">
        <v>2</v>
      </c>
      <c r="C100" s="2156">
        <v>3</v>
      </c>
      <c r="D100" s="2156">
        <v>5</v>
      </c>
      <c r="E100" s="2157">
        <v>6</v>
      </c>
      <c r="F100" s="2157">
        <v>7</v>
      </c>
      <c r="G100" s="2158">
        <v>8</v>
      </c>
      <c r="H100" s="2174" t="s">
        <v>801</v>
      </c>
      <c r="I100" s="2147"/>
    </row>
    <row r="101" spans="1:9" ht="15.75" thickTop="1" x14ac:dyDescent="0.25">
      <c r="A101" s="2186">
        <v>3299</v>
      </c>
      <c r="B101" s="2187">
        <v>5321</v>
      </c>
      <c r="C101" s="2187">
        <v>32133030</v>
      </c>
      <c r="D101" s="2189" t="s">
        <v>1261</v>
      </c>
      <c r="E101" s="2168">
        <v>0</v>
      </c>
      <c r="F101" s="2168">
        <v>163</v>
      </c>
      <c r="G101" s="2176">
        <v>157</v>
      </c>
      <c r="H101" s="2169">
        <f>G101/F101*100</f>
        <v>96.319018404907979</v>
      </c>
      <c r="I101" s="2147"/>
    </row>
    <row r="102" spans="1:9" ht="15.75" thickBot="1" x14ac:dyDescent="0.3">
      <c r="A102" s="2186">
        <v>3299</v>
      </c>
      <c r="B102" s="2187">
        <v>5321</v>
      </c>
      <c r="C102" s="2187">
        <v>32533030</v>
      </c>
      <c r="D102" s="2189" t="s">
        <v>1261</v>
      </c>
      <c r="E102" s="2168">
        <v>0</v>
      </c>
      <c r="F102" s="2168">
        <v>923</v>
      </c>
      <c r="G102" s="2176">
        <v>890</v>
      </c>
      <c r="H102" s="2169">
        <f>G102/F102*100</f>
        <v>96.424702058504877</v>
      </c>
      <c r="I102" s="2147"/>
    </row>
    <row r="103" spans="1:9" ht="15.75" hidden="1" thickBot="1" x14ac:dyDescent="0.3">
      <c r="A103" s="2190">
        <v>3299</v>
      </c>
      <c r="B103" s="2191">
        <v>6341</v>
      </c>
      <c r="C103" s="2191">
        <v>32533926</v>
      </c>
      <c r="D103" s="2188" t="s">
        <v>261</v>
      </c>
      <c r="E103" s="2168">
        <v>0</v>
      </c>
      <c r="F103" s="2168">
        <v>0</v>
      </c>
      <c r="G103" s="2176">
        <v>0</v>
      </c>
      <c r="H103" s="2169" t="e">
        <f>G103/F103*100</f>
        <v>#DIV/0!</v>
      </c>
      <c r="I103" s="2147"/>
    </row>
    <row r="104" spans="1:9" ht="16.5" thickTop="1" thickBot="1" x14ac:dyDescent="0.3">
      <c r="A104" s="2177" t="s">
        <v>802</v>
      </c>
      <c r="B104" s="2178"/>
      <c r="C104" s="2178"/>
      <c r="D104" s="2179"/>
      <c r="E104" s="2172">
        <f>SUM(E101:E103)</f>
        <v>0</v>
      </c>
      <c r="F104" s="2172">
        <f>SUM(F101:F103)</f>
        <v>1086</v>
      </c>
      <c r="G104" s="2172">
        <f>SUM(G101:G103)</f>
        <v>1047</v>
      </c>
      <c r="H104" s="2173">
        <f>G104/F104*100</f>
        <v>96.408839779005532</v>
      </c>
      <c r="I104" s="2147"/>
    </row>
    <row r="105" spans="1:9" ht="15.75" thickTop="1" x14ac:dyDescent="0.25">
      <c r="A105" s="2212"/>
      <c r="B105" s="2212"/>
      <c r="C105" s="2212"/>
      <c r="D105" s="2212"/>
      <c r="E105" s="2213"/>
      <c r="F105" s="2213"/>
      <c r="G105" s="2213"/>
      <c r="H105" s="2214"/>
    </row>
    <row r="106" spans="1:9" ht="15" x14ac:dyDescent="0.25">
      <c r="A106" s="2132" t="s">
        <v>1031</v>
      </c>
      <c r="B106" s="2146"/>
      <c r="C106" s="2146"/>
      <c r="D106" s="2146"/>
      <c r="F106" s="2147"/>
      <c r="G106" s="2147"/>
      <c r="H106" s="2147"/>
      <c r="I106" s="2147"/>
    </row>
    <row r="107" spans="1:9" ht="15.75" thickBot="1" x14ac:dyDescent="0.3">
      <c r="A107" s="2132" t="s">
        <v>1032</v>
      </c>
      <c r="B107" s="2146"/>
      <c r="C107" s="2146"/>
      <c r="D107" s="2146"/>
      <c r="F107" s="2147"/>
      <c r="G107" s="2147"/>
      <c r="H107" s="2148" t="s">
        <v>173</v>
      </c>
      <c r="I107" s="2147"/>
    </row>
    <row r="108" spans="1:9" ht="25.5" thickTop="1" thickBot="1" x14ac:dyDescent="0.25">
      <c r="A108" s="2149" t="s">
        <v>174</v>
      </c>
      <c r="B108" s="2150" t="s">
        <v>800</v>
      </c>
      <c r="C108" s="2150" t="s">
        <v>397</v>
      </c>
      <c r="D108" s="2151" t="s">
        <v>176</v>
      </c>
      <c r="E108" s="2152" t="s">
        <v>669</v>
      </c>
      <c r="F108" s="2152" t="s">
        <v>670</v>
      </c>
      <c r="G108" s="2153" t="s">
        <v>923</v>
      </c>
      <c r="H108" s="2154" t="s">
        <v>924</v>
      </c>
      <c r="I108" s="2147"/>
    </row>
    <row r="109" spans="1:9" ht="14.25" thickTop="1" thickBot="1" x14ac:dyDescent="0.25">
      <c r="A109" s="2155">
        <v>1</v>
      </c>
      <c r="B109" s="2156">
        <v>2</v>
      </c>
      <c r="C109" s="2156">
        <v>3</v>
      </c>
      <c r="D109" s="2156">
        <v>5</v>
      </c>
      <c r="E109" s="2157">
        <v>6</v>
      </c>
      <c r="F109" s="2157">
        <v>7</v>
      </c>
      <c r="G109" s="2158">
        <v>8</v>
      </c>
      <c r="H109" s="2174" t="s">
        <v>801</v>
      </c>
      <c r="I109" s="2147"/>
    </row>
    <row r="110" spans="1:9" ht="15.75" thickTop="1" x14ac:dyDescent="0.25">
      <c r="A110" s="2186">
        <v>3299</v>
      </c>
      <c r="B110" s="2187">
        <v>5321</v>
      </c>
      <c r="C110" s="2187">
        <v>32133030</v>
      </c>
      <c r="D110" s="2189" t="s">
        <v>1261</v>
      </c>
      <c r="E110" s="2168">
        <v>0</v>
      </c>
      <c r="F110" s="2168">
        <v>286</v>
      </c>
      <c r="G110" s="2176">
        <v>260</v>
      </c>
      <c r="H110" s="2169">
        <f>G110/F110*100</f>
        <v>90.909090909090907</v>
      </c>
      <c r="I110" s="2147"/>
    </row>
    <row r="111" spans="1:9" ht="15.75" thickBot="1" x14ac:dyDescent="0.3">
      <c r="A111" s="2186">
        <v>3299</v>
      </c>
      <c r="B111" s="2187">
        <v>5321</v>
      </c>
      <c r="C111" s="2187">
        <v>32533030</v>
      </c>
      <c r="D111" s="2189" t="s">
        <v>1261</v>
      </c>
      <c r="E111" s="2168">
        <v>0</v>
      </c>
      <c r="F111" s="2168">
        <v>1618</v>
      </c>
      <c r="G111" s="2176">
        <v>1475</v>
      </c>
      <c r="H111" s="2169">
        <f>G111/F111*100</f>
        <v>91.161928306551303</v>
      </c>
      <c r="I111" s="2147"/>
    </row>
    <row r="112" spans="1:9" ht="15.75" hidden="1" thickBot="1" x14ac:dyDescent="0.3">
      <c r="A112" s="2190">
        <v>3299</v>
      </c>
      <c r="B112" s="2191">
        <v>6341</v>
      </c>
      <c r="C112" s="2191">
        <v>32533926</v>
      </c>
      <c r="D112" s="2188" t="s">
        <v>261</v>
      </c>
      <c r="E112" s="2168">
        <v>0</v>
      </c>
      <c r="F112" s="2168">
        <v>0</v>
      </c>
      <c r="G112" s="2176">
        <v>0</v>
      </c>
      <c r="H112" s="2169" t="e">
        <f>G112/F112*100</f>
        <v>#DIV/0!</v>
      </c>
      <c r="I112" s="2147"/>
    </row>
    <row r="113" spans="1:13" ht="16.5" thickTop="1" thickBot="1" x14ac:dyDescent="0.3">
      <c r="A113" s="2177" t="s">
        <v>802</v>
      </c>
      <c r="B113" s="2178"/>
      <c r="C113" s="2178"/>
      <c r="D113" s="2179"/>
      <c r="E113" s="2172">
        <f>SUM(E110:E112)</f>
        <v>0</v>
      </c>
      <c r="F113" s="2172">
        <f>SUM(F110:F112)</f>
        <v>1904</v>
      </c>
      <c r="G113" s="2172">
        <f>SUM(G110:G112)</f>
        <v>1735</v>
      </c>
      <c r="H113" s="2173">
        <f>G113/F113*100</f>
        <v>91.12394957983193</v>
      </c>
      <c r="I113" s="2147"/>
    </row>
    <row r="114" spans="1:13" ht="15.75" thickTop="1" x14ac:dyDescent="0.25">
      <c r="A114" s="2212"/>
      <c r="B114" s="2212"/>
      <c r="C114" s="2212"/>
      <c r="D114" s="2212"/>
      <c r="E114" s="2213"/>
      <c r="F114" s="2213"/>
      <c r="G114" s="2213"/>
      <c r="H114" s="2214"/>
    </row>
    <row r="115" spans="1:13" ht="15" x14ac:dyDescent="0.25">
      <c r="A115" s="2212"/>
      <c r="B115" s="2212"/>
      <c r="C115" s="2212"/>
      <c r="D115" s="2212"/>
      <c r="E115" s="2213"/>
      <c r="F115" s="2213"/>
      <c r="G115" s="2213"/>
      <c r="H115" s="2214"/>
    </row>
    <row r="116" spans="1:13" hidden="1" x14ac:dyDescent="0.2"/>
    <row r="117" spans="1:13" hidden="1" x14ac:dyDescent="0.2"/>
    <row r="118" spans="1:13" hidden="1" x14ac:dyDescent="0.2"/>
    <row r="120" spans="1:13" ht="16.5" x14ac:dyDescent="0.25">
      <c r="A120" s="2193" t="s">
        <v>487</v>
      </c>
      <c r="B120" s="2194"/>
      <c r="C120" s="2195"/>
      <c r="D120" s="2196"/>
      <c r="E120" s="2197">
        <f>SUM(E121:E123)</f>
        <v>0</v>
      </c>
      <c r="F120" s="2197">
        <f>F121+F122+F123+F124</f>
        <v>32845</v>
      </c>
      <c r="G120" s="2197">
        <f>G121+G122+G123+G124</f>
        <v>37426</v>
      </c>
      <c r="H120" s="2198">
        <f>G120/F120*100</f>
        <v>113.94732836048105</v>
      </c>
      <c r="K120" s="2199">
        <f>K121+K122+K123</f>
        <v>0</v>
      </c>
      <c r="L120" s="2199">
        <f>L121+L122+L123</f>
        <v>32844747.399999999</v>
      </c>
      <c r="M120" s="2199">
        <f>M121+M122+M123</f>
        <v>37426414.769999996</v>
      </c>
    </row>
    <row r="121" spans="1:13" ht="15" x14ac:dyDescent="0.2">
      <c r="A121" s="2200" t="s">
        <v>277</v>
      </c>
      <c r="B121" s="2201"/>
      <c r="C121" s="2202"/>
      <c r="D121" s="2203"/>
      <c r="E121" s="2204">
        <f>E10+E11+E12+E13+E14+E15+E16+E17+E18+E19+E33+E34+E43+E44+E53+E54+E63+E64+E83+E84+E101+E102+E110+E111+E92+E93+E73+E74</f>
        <v>0</v>
      </c>
      <c r="F121" s="2204">
        <f>F10+F11+F12+F13+F14+F15+F16+F17+F18+F19+F33+F34+F43+F44+F53+F54+F63+F64+F83+F84+F101+F102+F110+F111+F92+F93+F73+F74</f>
        <v>32345</v>
      </c>
      <c r="G121" s="2204">
        <f>G10+G11+G12+G13+G14+G15+G16+G17+G18+G19+G33+G34+G43+G44+G53+G54+G63+G64+G83+G84+G101+G102+G110+G111+G92+G93+G73+G74</f>
        <v>20827</v>
      </c>
      <c r="H121" s="2205">
        <f>G121/F121*100</f>
        <v>64.390168495903538</v>
      </c>
      <c r="K121" s="2206">
        <v>0</v>
      </c>
      <c r="L121" s="2206">
        <v>32344893.399999999</v>
      </c>
      <c r="M121" s="2206">
        <v>20827028.84</v>
      </c>
    </row>
    <row r="122" spans="1:13" ht="15" x14ac:dyDescent="0.2">
      <c r="A122" s="2200" t="s">
        <v>278</v>
      </c>
      <c r="B122" s="2207"/>
      <c r="C122" s="2202"/>
      <c r="D122" s="2208"/>
      <c r="E122" s="2204">
        <f>E24+E25</f>
        <v>0</v>
      </c>
      <c r="F122" s="2204">
        <f>F24+F25</f>
        <v>500</v>
      </c>
      <c r="G122" s="2204">
        <f>G24+G25</f>
        <v>0</v>
      </c>
      <c r="H122" s="2205">
        <f>G122/F122*100</f>
        <v>0</v>
      </c>
      <c r="K122" s="2206">
        <v>0</v>
      </c>
      <c r="L122" s="2206">
        <v>499854</v>
      </c>
      <c r="M122" s="2206">
        <v>0</v>
      </c>
    </row>
    <row r="123" spans="1:13" ht="15" x14ac:dyDescent="0.2">
      <c r="A123" s="2200" t="s">
        <v>488</v>
      </c>
      <c r="B123" s="2207"/>
      <c r="C123" s="2202"/>
      <c r="D123" s="2208"/>
      <c r="E123" s="2204">
        <f>E26</f>
        <v>0</v>
      </c>
      <c r="F123" s="2204">
        <f>F26</f>
        <v>0</v>
      </c>
      <c r="G123" s="2204">
        <f>G26</f>
        <v>16599</v>
      </c>
      <c r="H123" s="2205">
        <v>0</v>
      </c>
      <c r="K123" s="2206">
        <v>0</v>
      </c>
      <c r="L123" s="2206">
        <v>0</v>
      </c>
      <c r="M123" s="2206">
        <v>16599385.93</v>
      </c>
    </row>
    <row r="124" spans="1:13" ht="16.5" customHeight="1" x14ac:dyDescent="0.2">
      <c r="A124" s="2200"/>
      <c r="B124" s="2207"/>
      <c r="C124" s="2202"/>
      <c r="D124" s="2208"/>
      <c r="E124" s="2204"/>
      <c r="F124" s="2204"/>
      <c r="G124" s="2204"/>
      <c r="H124" s="2209"/>
    </row>
    <row r="125" spans="1:13" ht="57.75" customHeight="1" thickBot="1" x14ac:dyDescent="0.4">
      <c r="A125" s="2763" t="s">
        <v>1478</v>
      </c>
      <c r="B125" s="2768"/>
      <c r="C125" s="2768"/>
      <c r="D125" s="2768"/>
      <c r="E125" s="2210">
        <f>SUM(E120)</f>
        <v>0</v>
      </c>
      <c r="F125" s="2210">
        <f>SUM(F120)</f>
        <v>32845</v>
      </c>
      <c r="G125" s="2210">
        <f>SUM(G120)</f>
        <v>37426</v>
      </c>
      <c r="H125" s="2211">
        <f>(G125/F125)*100</f>
        <v>113.94732836048105</v>
      </c>
    </row>
    <row r="126" spans="1:13" ht="13.5" thickTop="1" x14ac:dyDescent="0.2"/>
  </sheetData>
  <mergeCells count="2">
    <mergeCell ref="A27:D27"/>
    <mergeCell ref="A125:D125"/>
  </mergeCells>
  <pageMargins left="0.70866141732283472" right="0.70866141732283472" top="0.78740157480314965" bottom="0.78740157480314965" header="0.31496062992125984" footer="0.31496062992125984"/>
  <pageSetup paperSize="9" scale="70" firstPageNumber="159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1" manualBreakCount="1">
    <brk id="58" max="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03"/>
  <sheetViews>
    <sheetView view="pageBreakPreview" zoomScaleNormal="100" zoomScaleSheetLayoutView="100" workbookViewId="0">
      <selection activeCell="I82" sqref="I82"/>
    </sheetView>
  </sheetViews>
  <sheetFormatPr defaultRowHeight="12.75" x14ac:dyDescent="0.2"/>
  <cols>
    <col min="1" max="1" width="5.140625" style="2139" customWidth="1"/>
    <col min="2" max="2" width="6.7109375" style="2139" customWidth="1"/>
    <col min="3" max="3" width="8.85546875" style="2139" customWidth="1"/>
    <col min="4" max="4" width="47.85546875" style="2139" customWidth="1"/>
    <col min="5" max="5" width="12.85546875" style="2139" customWidth="1"/>
    <col min="6" max="6" width="15.5703125" style="2139" customWidth="1"/>
    <col min="7" max="7" width="15.85546875" style="2139" customWidth="1"/>
    <col min="8" max="8" width="8.42578125" style="2139" customWidth="1"/>
    <col min="9" max="10" width="9.140625" style="2139"/>
    <col min="11" max="11" width="18.42578125" style="2139" customWidth="1"/>
    <col min="12" max="12" width="16" style="2139" bestFit="1" customWidth="1"/>
    <col min="13" max="256" width="9.140625" style="2139"/>
    <col min="257" max="257" width="4.7109375" style="2139" customWidth="1"/>
    <col min="258" max="258" width="6.7109375" style="2139" customWidth="1"/>
    <col min="259" max="259" width="8.85546875" style="2139" customWidth="1"/>
    <col min="260" max="260" width="47.85546875" style="2139" customWidth="1"/>
    <col min="261" max="261" width="12.85546875" style="2139" customWidth="1"/>
    <col min="262" max="262" width="15.5703125" style="2139" customWidth="1"/>
    <col min="263" max="263" width="15.85546875" style="2139" customWidth="1"/>
    <col min="264" max="264" width="6.42578125" style="2139" customWidth="1"/>
    <col min="265" max="266" width="9.140625" style="2139"/>
    <col min="267" max="267" width="18.42578125" style="2139" customWidth="1"/>
    <col min="268" max="268" width="16" style="2139" bestFit="1" customWidth="1"/>
    <col min="269" max="512" width="9.140625" style="2139"/>
    <col min="513" max="513" width="4.7109375" style="2139" customWidth="1"/>
    <col min="514" max="514" width="6.7109375" style="2139" customWidth="1"/>
    <col min="515" max="515" width="8.85546875" style="2139" customWidth="1"/>
    <col min="516" max="516" width="47.85546875" style="2139" customWidth="1"/>
    <col min="517" max="517" width="12.85546875" style="2139" customWidth="1"/>
    <col min="518" max="518" width="15.5703125" style="2139" customWidth="1"/>
    <col min="519" max="519" width="15.85546875" style="2139" customWidth="1"/>
    <col min="520" max="520" width="6.42578125" style="2139" customWidth="1"/>
    <col min="521" max="522" width="9.140625" style="2139"/>
    <col min="523" max="523" width="18.42578125" style="2139" customWidth="1"/>
    <col min="524" max="524" width="16" style="2139" bestFit="1" customWidth="1"/>
    <col min="525" max="768" width="9.140625" style="2139"/>
    <col min="769" max="769" width="4.7109375" style="2139" customWidth="1"/>
    <col min="770" max="770" width="6.7109375" style="2139" customWidth="1"/>
    <col min="771" max="771" width="8.85546875" style="2139" customWidth="1"/>
    <col min="772" max="772" width="47.85546875" style="2139" customWidth="1"/>
    <col min="773" max="773" width="12.85546875" style="2139" customWidth="1"/>
    <col min="774" max="774" width="15.5703125" style="2139" customWidth="1"/>
    <col min="775" max="775" width="15.85546875" style="2139" customWidth="1"/>
    <col min="776" max="776" width="6.42578125" style="2139" customWidth="1"/>
    <col min="777" max="778" width="9.140625" style="2139"/>
    <col min="779" max="779" width="18.42578125" style="2139" customWidth="1"/>
    <col min="780" max="780" width="16" style="2139" bestFit="1" customWidth="1"/>
    <col min="781" max="1024" width="9.140625" style="2139"/>
    <col min="1025" max="1025" width="4.7109375" style="2139" customWidth="1"/>
    <col min="1026" max="1026" width="6.7109375" style="2139" customWidth="1"/>
    <col min="1027" max="1027" width="8.85546875" style="2139" customWidth="1"/>
    <col min="1028" max="1028" width="47.85546875" style="2139" customWidth="1"/>
    <col min="1029" max="1029" width="12.85546875" style="2139" customWidth="1"/>
    <col min="1030" max="1030" width="15.5703125" style="2139" customWidth="1"/>
    <col min="1031" max="1031" width="15.85546875" style="2139" customWidth="1"/>
    <col min="1032" max="1032" width="6.42578125" style="2139" customWidth="1"/>
    <col min="1033" max="1034" width="9.140625" style="2139"/>
    <col min="1035" max="1035" width="18.42578125" style="2139" customWidth="1"/>
    <col min="1036" max="1036" width="16" style="2139" bestFit="1" customWidth="1"/>
    <col min="1037" max="1280" width="9.140625" style="2139"/>
    <col min="1281" max="1281" width="4.7109375" style="2139" customWidth="1"/>
    <col min="1282" max="1282" width="6.7109375" style="2139" customWidth="1"/>
    <col min="1283" max="1283" width="8.85546875" style="2139" customWidth="1"/>
    <col min="1284" max="1284" width="47.85546875" style="2139" customWidth="1"/>
    <col min="1285" max="1285" width="12.85546875" style="2139" customWidth="1"/>
    <col min="1286" max="1286" width="15.5703125" style="2139" customWidth="1"/>
    <col min="1287" max="1287" width="15.85546875" style="2139" customWidth="1"/>
    <col min="1288" max="1288" width="6.42578125" style="2139" customWidth="1"/>
    <col min="1289" max="1290" width="9.140625" style="2139"/>
    <col min="1291" max="1291" width="18.42578125" style="2139" customWidth="1"/>
    <col min="1292" max="1292" width="16" style="2139" bestFit="1" customWidth="1"/>
    <col min="1293" max="1536" width="9.140625" style="2139"/>
    <col min="1537" max="1537" width="4.7109375" style="2139" customWidth="1"/>
    <col min="1538" max="1538" width="6.7109375" style="2139" customWidth="1"/>
    <col min="1539" max="1539" width="8.85546875" style="2139" customWidth="1"/>
    <col min="1540" max="1540" width="47.85546875" style="2139" customWidth="1"/>
    <col min="1541" max="1541" width="12.85546875" style="2139" customWidth="1"/>
    <col min="1542" max="1542" width="15.5703125" style="2139" customWidth="1"/>
    <col min="1543" max="1543" width="15.85546875" style="2139" customWidth="1"/>
    <col min="1544" max="1544" width="6.42578125" style="2139" customWidth="1"/>
    <col min="1545" max="1546" width="9.140625" style="2139"/>
    <col min="1547" max="1547" width="18.42578125" style="2139" customWidth="1"/>
    <col min="1548" max="1548" width="16" style="2139" bestFit="1" customWidth="1"/>
    <col min="1549" max="1792" width="9.140625" style="2139"/>
    <col min="1793" max="1793" width="4.7109375" style="2139" customWidth="1"/>
    <col min="1794" max="1794" width="6.7109375" style="2139" customWidth="1"/>
    <col min="1795" max="1795" width="8.85546875" style="2139" customWidth="1"/>
    <col min="1796" max="1796" width="47.85546875" style="2139" customWidth="1"/>
    <col min="1797" max="1797" width="12.85546875" style="2139" customWidth="1"/>
    <col min="1798" max="1798" width="15.5703125" style="2139" customWidth="1"/>
    <col min="1799" max="1799" width="15.85546875" style="2139" customWidth="1"/>
    <col min="1800" max="1800" width="6.42578125" style="2139" customWidth="1"/>
    <col min="1801" max="1802" width="9.140625" style="2139"/>
    <col min="1803" max="1803" width="18.42578125" style="2139" customWidth="1"/>
    <col min="1804" max="1804" width="16" style="2139" bestFit="1" customWidth="1"/>
    <col min="1805" max="2048" width="9.140625" style="2139"/>
    <col min="2049" max="2049" width="4.7109375" style="2139" customWidth="1"/>
    <col min="2050" max="2050" width="6.7109375" style="2139" customWidth="1"/>
    <col min="2051" max="2051" width="8.85546875" style="2139" customWidth="1"/>
    <col min="2052" max="2052" width="47.85546875" style="2139" customWidth="1"/>
    <col min="2053" max="2053" width="12.85546875" style="2139" customWidth="1"/>
    <col min="2054" max="2054" width="15.5703125" style="2139" customWidth="1"/>
    <col min="2055" max="2055" width="15.85546875" style="2139" customWidth="1"/>
    <col min="2056" max="2056" width="6.42578125" style="2139" customWidth="1"/>
    <col min="2057" max="2058" width="9.140625" style="2139"/>
    <col min="2059" max="2059" width="18.42578125" style="2139" customWidth="1"/>
    <col min="2060" max="2060" width="16" style="2139" bestFit="1" customWidth="1"/>
    <col min="2061" max="2304" width="9.140625" style="2139"/>
    <col min="2305" max="2305" width="4.7109375" style="2139" customWidth="1"/>
    <col min="2306" max="2306" width="6.7109375" style="2139" customWidth="1"/>
    <col min="2307" max="2307" width="8.85546875" style="2139" customWidth="1"/>
    <col min="2308" max="2308" width="47.85546875" style="2139" customWidth="1"/>
    <col min="2309" max="2309" width="12.85546875" style="2139" customWidth="1"/>
    <col min="2310" max="2310" width="15.5703125" style="2139" customWidth="1"/>
    <col min="2311" max="2311" width="15.85546875" style="2139" customWidth="1"/>
    <col min="2312" max="2312" width="6.42578125" style="2139" customWidth="1"/>
    <col min="2313" max="2314" width="9.140625" style="2139"/>
    <col min="2315" max="2315" width="18.42578125" style="2139" customWidth="1"/>
    <col min="2316" max="2316" width="16" style="2139" bestFit="1" customWidth="1"/>
    <col min="2317" max="2560" width="9.140625" style="2139"/>
    <col min="2561" max="2561" width="4.7109375" style="2139" customWidth="1"/>
    <col min="2562" max="2562" width="6.7109375" style="2139" customWidth="1"/>
    <col min="2563" max="2563" width="8.85546875" style="2139" customWidth="1"/>
    <col min="2564" max="2564" width="47.85546875" style="2139" customWidth="1"/>
    <col min="2565" max="2565" width="12.85546875" style="2139" customWidth="1"/>
    <col min="2566" max="2566" width="15.5703125" style="2139" customWidth="1"/>
    <col min="2567" max="2567" width="15.85546875" style="2139" customWidth="1"/>
    <col min="2568" max="2568" width="6.42578125" style="2139" customWidth="1"/>
    <col min="2569" max="2570" width="9.140625" style="2139"/>
    <col min="2571" max="2571" width="18.42578125" style="2139" customWidth="1"/>
    <col min="2572" max="2572" width="16" style="2139" bestFit="1" customWidth="1"/>
    <col min="2573" max="2816" width="9.140625" style="2139"/>
    <col min="2817" max="2817" width="4.7109375" style="2139" customWidth="1"/>
    <col min="2818" max="2818" width="6.7109375" style="2139" customWidth="1"/>
    <col min="2819" max="2819" width="8.85546875" style="2139" customWidth="1"/>
    <col min="2820" max="2820" width="47.85546875" style="2139" customWidth="1"/>
    <col min="2821" max="2821" width="12.85546875" style="2139" customWidth="1"/>
    <col min="2822" max="2822" width="15.5703125" style="2139" customWidth="1"/>
    <col min="2823" max="2823" width="15.85546875" style="2139" customWidth="1"/>
    <col min="2824" max="2824" width="6.42578125" style="2139" customWidth="1"/>
    <col min="2825" max="2826" width="9.140625" style="2139"/>
    <col min="2827" max="2827" width="18.42578125" style="2139" customWidth="1"/>
    <col min="2828" max="2828" width="16" style="2139" bestFit="1" customWidth="1"/>
    <col min="2829" max="3072" width="9.140625" style="2139"/>
    <col min="3073" max="3073" width="4.7109375" style="2139" customWidth="1"/>
    <col min="3074" max="3074" width="6.7109375" style="2139" customWidth="1"/>
    <col min="3075" max="3075" width="8.85546875" style="2139" customWidth="1"/>
    <col min="3076" max="3076" width="47.85546875" style="2139" customWidth="1"/>
    <col min="3077" max="3077" width="12.85546875" style="2139" customWidth="1"/>
    <col min="3078" max="3078" width="15.5703125" style="2139" customWidth="1"/>
    <col min="3079" max="3079" width="15.85546875" style="2139" customWidth="1"/>
    <col min="3080" max="3080" width="6.42578125" style="2139" customWidth="1"/>
    <col min="3081" max="3082" width="9.140625" style="2139"/>
    <col min="3083" max="3083" width="18.42578125" style="2139" customWidth="1"/>
    <col min="3084" max="3084" width="16" style="2139" bestFit="1" customWidth="1"/>
    <col min="3085" max="3328" width="9.140625" style="2139"/>
    <col min="3329" max="3329" width="4.7109375" style="2139" customWidth="1"/>
    <col min="3330" max="3330" width="6.7109375" style="2139" customWidth="1"/>
    <col min="3331" max="3331" width="8.85546875" style="2139" customWidth="1"/>
    <col min="3332" max="3332" width="47.85546875" style="2139" customWidth="1"/>
    <col min="3333" max="3333" width="12.85546875" style="2139" customWidth="1"/>
    <col min="3334" max="3334" width="15.5703125" style="2139" customWidth="1"/>
    <col min="3335" max="3335" width="15.85546875" style="2139" customWidth="1"/>
    <col min="3336" max="3336" width="6.42578125" style="2139" customWidth="1"/>
    <col min="3337" max="3338" width="9.140625" style="2139"/>
    <col min="3339" max="3339" width="18.42578125" style="2139" customWidth="1"/>
    <col min="3340" max="3340" width="16" style="2139" bestFit="1" customWidth="1"/>
    <col min="3341" max="3584" width="9.140625" style="2139"/>
    <col min="3585" max="3585" width="4.7109375" style="2139" customWidth="1"/>
    <col min="3586" max="3586" width="6.7109375" style="2139" customWidth="1"/>
    <col min="3587" max="3587" width="8.85546875" style="2139" customWidth="1"/>
    <col min="3588" max="3588" width="47.85546875" style="2139" customWidth="1"/>
    <col min="3589" max="3589" width="12.85546875" style="2139" customWidth="1"/>
    <col min="3590" max="3590" width="15.5703125" style="2139" customWidth="1"/>
    <col min="3591" max="3591" width="15.85546875" style="2139" customWidth="1"/>
    <col min="3592" max="3592" width="6.42578125" style="2139" customWidth="1"/>
    <col min="3593" max="3594" width="9.140625" style="2139"/>
    <col min="3595" max="3595" width="18.42578125" style="2139" customWidth="1"/>
    <col min="3596" max="3596" width="16" style="2139" bestFit="1" customWidth="1"/>
    <col min="3597" max="3840" width="9.140625" style="2139"/>
    <col min="3841" max="3841" width="4.7109375" style="2139" customWidth="1"/>
    <col min="3842" max="3842" width="6.7109375" style="2139" customWidth="1"/>
    <col min="3843" max="3843" width="8.85546875" style="2139" customWidth="1"/>
    <col min="3844" max="3844" width="47.85546875" style="2139" customWidth="1"/>
    <col min="3845" max="3845" width="12.85546875" style="2139" customWidth="1"/>
    <col min="3846" max="3846" width="15.5703125" style="2139" customWidth="1"/>
    <col min="3847" max="3847" width="15.85546875" style="2139" customWidth="1"/>
    <col min="3848" max="3848" width="6.42578125" style="2139" customWidth="1"/>
    <col min="3849" max="3850" width="9.140625" style="2139"/>
    <col min="3851" max="3851" width="18.42578125" style="2139" customWidth="1"/>
    <col min="3852" max="3852" width="16" style="2139" bestFit="1" customWidth="1"/>
    <col min="3853" max="4096" width="9.140625" style="2139"/>
    <col min="4097" max="4097" width="4.7109375" style="2139" customWidth="1"/>
    <col min="4098" max="4098" width="6.7109375" style="2139" customWidth="1"/>
    <col min="4099" max="4099" width="8.85546875" style="2139" customWidth="1"/>
    <col min="4100" max="4100" width="47.85546875" style="2139" customWidth="1"/>
    <col min="4101" max="4101" width="12.85546875" style="2139" customWidth="1"/>
    <col min="4102" max="4102" width="15.5703125" style="2139" customWidth="1"/>
    <col min="4103" max="4103" width="15.85546875" style="2139" customWidth="1"/>
    <col min="4104" max="4104" width="6.42578125" style="2139" customWidth="1"/>
    <col min="4105" max="4106" width="9.140625" style="2139"/>
    <col min="4107" max="4107" width="18.42578125" style="2139" customWidth="1"/>
    <col min="4108" max="4108" width="16" style="2139" bestFit="1" customWidth="1"/>
    <col min="4109" max="4352" width="9.140625" style="2139"/>
    <col min="4353" max="4353" width="4.7109375" style="2139" customWidth="1"/>
    <col min="4354" max="4354" width="6.7109375" style="2139" customWidth="1"/>
    <col min="4355" max="4355" width="8.85546875" style="2139" customWidth="1"/>
    <col min="4356" max="4356" width="47.85546875" style="2139" customWidth="1"/>
    <col min="4357" max="4357" width="12.85546875" style="2139" customWidth="1"/>
    <col min="4358" max="4358" width="15.5703125" style="2139" customWidth="1"/>
    <col min="4359" max="4359" width="15.85546875" style="2139" customWidth="1"/>
    <col min="4360" max="4360" width="6.42578125" style="2139" customWidth="1"/>
    <col min="4361" max="4362" width="9.140625" style="2139"/>
    <col min="4363" max="4363" width="18.42578125" style="2139" customWidth="1"/>
    <col min="4364" max="4364" width="16" style="2139" bestFit="1" customWidth="1"/>
    <col min="4365" max="4608" width="9.140625" style="2139"/>
    <col min="4609" max="4609" width="4.7109375" style="2139" customWidth="1"/>
    <col min="4610" max="4610" width="6.7109375" style="2139" customWidth="1"/>
    <col min="4611" max="4611" width="8.85546875" style="2139" customWidth="1"/>
    <col min="4612" max="4612" width="47.85546875" style="2139" customWidth="1"/>
    <col min="4613" max="4613" width="12.85546875" style="2139" customWidth="1"/>
    <col min="4614" max="4614" width="15.5703125" style="2139" customWidth="1"/>
    <col min="4615" max="4615" width="15.85546875" style="2139" customWidth="1"/>
    <col min="4616" max="4616" width="6.42578125" style="2139" customWidth="1"/>
    <col min="4617" max="4618" width="9.140625" style="2139"/>
    <col min="4619" max="4619" width="18.42578125" style="2139" customWidth="1"/>
    <col min="4620" max="4620" width="16" style="2139" bestFit="1" customWidth="1"/>
    <col min="4621" max="4864" width="9.140625" style="2139"/>
    <col min="4865" max="4865" width="4.7109375" style="2139" customWidth="1"/>
    <col min="4866" max="4866" width="6.7109375" style="2139" customWidth="1"/>
    <col min="4867" max="4867" width="8.85546875" style="2139" customWidth="1"/>
    <col min="4868" max="4868" width="47.85546875" style="2139" customWidth="1"/>
    <col min="4869" max="4869" width="12.85546875" style="2139" customWidth="1"/>
    <col min="4870" max="4870" width="15.5703125" style="2139" customWidth="1"/>
    <col min="4871" max="4871" width="15.85546875" style="2139" customWidth="1"/>
    <col min="4872" max="4872" width="6.42578125" style="2139" customWidth="1"/>
    <col min="4873" max="4874" width="9.140625" style="2139"/>
    <col min="4875" max="4875" width="18.42578125" style="2139" customWidth="1"/>
    <col min="4876" max="4876" width="16" style="2139" bestFit="1" customWidth="1"/>
    <col min="4877" max="5120" width="9.140625" style="2139"/>
    <col min="5121" max="5121" width="4.7109375" style="2139" customWidth="1"/>
    <col min="5122" max="5122" width="6.7109375" style="2139" customWidth="1"/>
    <col min="5123" max="5123" width="8.85546875" style="2139" customWidth="1"/>
    <col min="5124" max="5124" width="47.85546875" style="2139" customWidth="1"/>
    <col min="5125" max="5125" width="12.85546875" style="2139" customWidth="1"/>
    <col min="5126" max="5126" width="15.5703125" style="2139" customWidth="1"/>
    <col min="5127" max="5127" width="15.85546875" style="2139" customWidth="1"/>
    <col min="5128" max="5128" width="6.42578125" style="2139" customWidth="1"/>
    <col min="5129" max="5130" width="9.140625" style="2139"/>
    <col min="5131" max="5131" width="18.42578125" style="2139" customWidth="1"/>
    <col min="5132" max="5132" width="16" style="2139" bestFit="1" customWidth="1"/>
    <col min="5133" max="5376" width="9.140625" style="2139"/>
    <col min="5377" max="5377" width="4.7109375" style="2139" customWidth="1"/>
    <col min="5378" max="5378" width="6.7109375" style="2139" customWidth="1"/>
    <col min="5379" max="5379" width="8.85546875" style="2139" customWidth="1"/>
    <col min="5380" max="5380" width="47.85546875" style="2139" customWidth="1"/>
    <col min="5381" max="5381" width="12.85546875" style="2139" customWidth="1"/>
    <col min="5382" max="5382" width="15.5703125" style="2139" customWidth="1"/>
    <col min="5383" max="5383" width="15.85546875" style="2139" customWidth="1"/>
    <col min="5384" max="5384" width="6.42578125" style="2139" customWidth="1"/>
    <col min="5385" max="5386" width="9.140625" style="2139"/>
    <col min="5387" max="5387" width="18.42578125" style="2139" customWidth="1"/>
    <col min="5388" max="5388" width="16" style="2139" bestFit="1" customWidth="1"/>
    <col min="5389" max="5632" width="9.140625" style="2139"/>
    <col min="5633" max="5633" width="4.7109375" style="2139" customWidth="1"/>
    <col min="5634" max="5634" width="6.7109375" style="2139" customWidth="1"/>
    <col min="5635" max="5635" width="8.85546875" style="2139" customWidth="1"/>
    <col min="5636" max="5636" width="47.85546875" style="2139" customWidth="1"/>
    <col min="5637" max="5637" width="12.85546875" style="2139" customWidth="1"/>
    <col min="5638" max="5638" width="15.5703125" style="2139" customWidth="1"/>
    <col min="5639" max="5639" width="15.85546875" style="2139" customWidth="1"/>
    <col min="5640" max="5640" width="6.42578125" style="2139" customWidth="1"/>
    <col min="5641" max="5642" width="9.140625" style="2139"/>
    <col min="5643" max="5643" width="18.42578125" style="2139" customWidth="1"/>
    <col min="5644" max="5644" width="16" style="2139" bestFit="1" customWidth="1"/>
    <col min="5645" max="5888" width="9.140625" style="2139"/>
    <col min="5889" max="5889" width="4.7109375" style="2139" customWidth="1"/>
    <col min="5890" max="5890" width="6.7109375" style="2139" customWidth="1"/>
    <col min="5891" max="5891" width="8.85546875" style="2139" customWidth="1"/>
    <col min="5892" max="5892" width="47.85546875" style="2139" customWidth="1"/>
    <col min="5893" max="5893" width="12.85546875" style="2139" customWidth="1"/>
    <col min="5894" max="5894" width="15.5703125" style="2139" customWidth="1"/>
    <col min="5895" max="5895" width="15.85546875" style="2139" customWidth="1"/>
    <col min="5896" max="5896" width="6.42578125" style="2139" customWidth="1"/>
    <col min="5897" max="5898" width="9.140625" style="2139"/>
    <col min="5899" max="5899" width="18.42578125" style="2139" customWidth="1"/>
    <col min="5900" max="5900" width="16" style="2139" bestFit="1" customWidth="1"/>
    <col min="5901" max="6144" width="9.140625" style="2139"/>
    <col min="6145" max="6145" width="4.7109375" style="2139" customWidth="1"/>
    <col min="6146" max="6146" width="6.7109375" style="2139" customWidth="1"/>
    <col min="6147" max="6147" width="8.85546875" style="2139" customWidth="1"/>
    <col min="6148" max="6148" width="47.85546875" style="2139" customWidth="1"/>
    <col min="6149" max="6149" width="12.85546875" style="2139" customWidth="1"/>
    <col min="6150" max="6150" width="15.5703125" style="2139" customWidth="1"/>
    <col min="6151" max="6151" width="15.85546875" style="2139" customWidth="1"/>
    <col min="6152" max="6152" width="6.42578125" style="2139" customWidth="1"/>
    <col min="6153" max="6154" width="9.140625" style="2139"/>
    <col min="6155" max="6155" width="18.42578125" style="2139" customWidth="1"/>
    <col min="6156" max="6156" width="16" style="2139" bestFit="1" customWidth="1"/>
    <col min="6157" max="6400" width="9.140625" style="2139"/>
    <col min="6401" max="6401" width="4.7109375" style="2139" customWidth="1"/>
    <col min="6402" max="6402" width="6.7109375" style="2139" customWidth="1"/>
    <col min="6403" max="6403" width="8.85546875" style="2139" customWidth="1"/>
    <col min="6404" max="6404" width="47.85546875" style="2139" customWidth="1"/>
    <col min="6405" max="6405" width="12.85546875" style="2139" customWidth="1"/>
    <col min="6406" max="6406" width="15.5703125" style="2139" customWidth="1"/>
    <col min="6407" max="6407" width="15.85546875" style="2139" customWidth="1"/>
    <col min="6408" max="6408" width="6.42578125" style="2139" customWidth="1"/>
    <col min="6409" max="6410" width="9.140625" style="2139"/>
    <col min="6411" max="6411" width="18.42578125" style="2139" customWidth="1"/>
    <col min="6412" max="6412" width="16" style="2139" bestFit="1" customWidth="1"/>
    <col min="6413" max="6656" width="9.140625" style="2139"/>
    <col min="6657" max="6657" width="4.7109375" style="2139" customWidth="1"/>
    <col min="6658" max="6658" width="6.7109375" style="2139" customWidth="1"/>
    <col min="6659" max="6659" width="8.85546875" style="2139" customWidth="1"/>
    <col min="6660" max="6660" width="47.85546875" style="2139" customWidth="1"/>
    <col min="6661" max="6661" width="12.85546875" style="2139" customWidth="1"/>
    <col min="6662" max="6662" width="15.5703125" style="2139" customWidth="1"/>
    <col min="6663" max="6663" width="15.85546875" style="2139" customWidth="1"/>
    <col min="6664" max="6664" width="6.42578125" style="2139" customWidth="1"/>
    <col min="6665" max="6666" width="9.140625" style="2139"/>
    <col min="6667" max="6667" width="18.42578125" style="2139" customWidth="1"/>
    <col min="6668" max="6668" width="16" style="2139" bestFit="1" customWidth="1"/>
    <col min="6669" max="6912" width="9.140625" style="2139"/>
    <col min="6913" max="6913" width="4.7109375" style="2139" customWidth="1"/>
    <col min="6914" max="6914" width="6.7109375" style="2139" customWidth="1"/>
    <col min="6915" max="6915" width="8.85546875" style="2139" customWidth="1"/>
    <col min="6916" max="6916" width="47.85546875" style="2139" customWidth="1"/>
    <col min="6917" max="6917" width="12.85546875" style="2139" customWidth="1"/>
    <col min="6918" max="6918" width="15.5703125" style="2139" customWidth="1"/>
    <col min="6919" max="6919" width="15.85546875" style="2139" customWidth="1"/>
    <col min="6920" max="6920" width="6.42578125" style="2139" customWidth="1"/>
    <col min="6921" max="6922" width="9.140625" style="2139"/>
    <col min="6923" max="6923" width="18.42578125" style="2139" customWidth="1"/>
    <col min="6924" max="6924" width="16" style="2139" bestFit="1" customWidth="1"/>
    <col min="6925" max="7168" width="9.140625" style="2139"/>
    <col min="7169" max="7169" width="4.7109375" style="2139" customWidth="1"/>
    <col min="7170" max="7170" width="6.7109375" style="2139" customWidth="1"/>
    <col min="7171" max="7171" width="8.85546875" style="2139" customWidth="1"/>
    <col min="7172" max="7172" width="47.85546875" style="2139" customWidth="1"/>
    <col min="7173" max="7173" width="12.85546875" style="2139" customWidth="1"/>
    <col min="7174" max="7174" width="15.5703125" style="2139" customWidth="1"/>
    <col min="7175" max="7175" width="15.85546875" style="2139" customWidth="1"/>
    <col min="7176" max="7176" width="6.42578125" style="2139" customWidth="1"/>
    <col min="7177" max="7178" width="9.140625" style="2139"/>
    <col min="7179" max="7179" width="18.42578125" style="2139" customWidth="1"/>
    <col min="7180" max="7180" width="16" style="2139" bestFit="1" customWidth="1"/>
    <col min="7181" max="7424" width="9.140625" style="2139"/>
    <col min="7425" max="7425" width="4.7109375" style="2139" customWidth="1"/>
    <col min="7426" max="7426" width="6.7109375" style="2139" customWidth="1"/>
    <col min="7427" max="7427" width="8.85546875" style="2139" customWidth="1"/>
    <col min="7428" max="7428" width="47.85546875" style="2139" customWidth="1"/>
    <col min="7429" max="7429" width="12.85546875" style="2139" customWidth="1"/>
    <col min="7430" max="7430" width="15.5703125" style="2139" customWidth="1"/>
    <col min="7431" max="7431" width="15.85546875" style="2139" customWidth="1"/>
    <col min="7432" max="7432" width="6.42578125" style="2139" customWidth="1"/>
    <col min="7433" max="7434" width="9.140625" style="2139"/>
    <col min="7435" max="7435" width="18.42578125" style="2139" customWidth="1"/>
    <col min="7436" max="7436" width="16" style="2139" bestFit="1" customWidth="1"/>
    <col min="7437" max="7680" width="9.140625" style="2139"/>
    <col min="7681" max="7681" width="4.7109375" style="2139" customWidth="1"/>
    <col min="7682" max="7682" width="6.7109375" style="2139" customWidth="1"/>
    <col min="7683" max="7683" width="8.85546875" style="2139" customWidth="1"/>
    <col min="7684" max="7684" width="47.85546875" style="2139" customWidth="1"/>
    <col min="7685" max="7685" width="12.85546875" style="2139" customWidth="1"/>
    <col min="7686" max="7686" width="15.5703125" style="2139" customWidth="1"/>
    <col min="7687" max="7687" width="15.85546875" style="2139" customWidth="1"/>
    <col min="7688" max="7688" width="6.42578125" style="2139" customWidth="1"/>
    <col min="7689" max="7690" width="9.140625" style="2139"/>
    <col min="7691" max="7691" width="18.42578125" style="2139" customWidth="1"/>
    <col min="7692" max="7692" width="16" style="2139" bestFit="1" customWidth="1"/>
    <col min="7693" max="7936" width="9.140625" style="2139"/>
    <col min="7937" max="7937" width="4.7109375" style="2139" customWidth="1"/>
    <col min="7938" max="7938" width="6.7109375" style="2139" customWidth="1"/>
    <col min="7939" max="7939" width="8.85546875" style="2139" customWidth="1"/>
    <col min="7940" max="7940" width="47.85546875" style="2139" customWidth="1"/>
    <col min="7941" max="7941" width="12.85546875" style="2139" customWidth="1"/>
    <col min="7942" max="7942" width="15.5703125" style="2139" customWidth="1"/>
    <col min="7943" max="7943" width="15.85546875" style="2139" customWidth="1"/>
    <col min="7944" max="7944" width="6.42578125" style="2139" customWidth="1"/>
    <col min="7945" max="7946" width="9.140625" style="2139"/>
    <col min="7947" max="7947" width="18.42578125" style="2139" customWidth="1"/>
    <col min="7948" max="7948" width="16" style="2139" bestFit="1" customWidth="1"/>
    <col min="7949" max="8192" width="9.140625" style="2139"/>
    <col min="8193" max="8193" width="4.7109375" style="2139" customWidth="1"/>
    <col min="8194" max="8194" width="6.7109375" style="2139" customWidth="1"/>
    <col min="8195" max="8195" width="8.85546875" style="2139" customWidth="1"/>
    <col min="8196" max="8196" width="47.85546875" style="2139" customWidth="1"/>
    <col min="8197" max="8197" width="12.85546875" style="2139" customWidth="1"/>
    <col min="8198" max="8198" width="15.5703125" style="2139" customWidth="1"/>
    <col min="8199" max="8199" width="15.85546875" style="2139" customWidth="1"/>
    <col min="8200" max="8200" width="6.42578125" style="2139" customWidth="1"/>
    <col min="8201" max="8202" width="9.140625" style="2139"/>
    <col min="8203" max="8203" width="18.42578125" style="2139" customWidth="1"/>
    <col min="8204" max="8204" width="16" style="2139" bestFit="1" customWidth="1"/>
    <col min="8205" max="8448" width="9.140625" style="2139"/>
    <col min="8449" max="8449" width="4.7109375" style="2139" customWidth="1"/>
    <col min="8450" max="8450" width="6.7109375" style="2139" customWidth="1"/>
    <col min="8451" max="8451" width="8.85546875" style="2139" customWidth="1"/>
    <col min="8452" max="8452" width="47.85546875" style="2139" customWidth="1"/>
    <col min="8453" max="8453" width="12.85546875" style="2139" customWidth="1"/>
    <col min="8454" max="8454" width="15.5703125" style="2139" customWidth="1"/>
    <col min="8455" max="8455" width="15.85546875" style="2139" customWidth="1"/>
    <col min="8456" max="8456" width="6.42578125" style="2139" customWidth="1"/>
    <col min="8457" max="8458" width="9.140625" style="2139"/>
    <col min="8459" max="8459" width="18.42578125" style="2139" customWidth="1"/>
    <col min="8460" max="8460" width="16" style="2139" bestFit="1" customWidth="1"/>
    <col min="8461" max="8704" width="9.140625" style="2139"/>
    <col min="8705" max="8705" width="4.7109375" style="2139" customWidth="1"/>
    <col min="8706" max="8706" width="6.7109375" style="2139" customWidth="1"/>
    <col min="8707" max="8707" width="8.85546875" style="2139" customWidth="1"/>
    <col min="8708" max="8708" width="47.85546875" style="2139" customWidth="1"/>
    <col min="8709" max="8709" width="12.85546875" style="2139" customWidth="1"/>
    <col min="8710" max="8710" width="15.5703125" style="2139" customWidth="1"/>
    <col min="8711" max="8711" width="15.85546875" style="2139" customWidth="1"/>
    <col min="8712" max="8712" width="6.42578125" style="2139" customWidth="1"/>
    <col min="8713" max="8714" width="9.140625" style="2139"/>
    <col min="8715" max="8715" width="18.42578125" style="2139" customWidth="1"/>
    <col min="8716" max="8716" width="16" style="2139" bestFit="1" customWidth="1"/>
    <col min="8717" max="8960" width="9.140625" style="2139"/>
    <col min="8961" max="8961" width="4.7109375" style="2139" customWidth="1"/>
    <col min="8962" max="8962" width="6.7109375" style="2139" customWidth="1"/>
    <col min="8963" max="8963" width="8.85546875" style="2139" customWidth="1"/>
    <col min="8964" max="8964" width="47.85546875" style="2139" customWidth="1"/>
    <col min="8965" max="8965" width="12.85546875" style="2139" customWidth="1"/>
    <col min="8966" max="8966" width="15.5703125" style="2139" customWidth="1"/>
    <col min="8967" max="8967" width="15.85546875" style="2139" customWidth="1"/>
    <col min="8968" max="8968" width="6.42578125" style="2139" customWidth="1"/>
    <col min="8969" max="8970" width="9.140625" style="2139"/>
    <col min="8971" max="8971" width="18.42578125" style="2139" customWidth="1"/>
    <col min="8972" max="8972" width="16" style="2139" bestFit="1" customWidth="1"/>
    <col min="8973" max="9216" width="9.140625" style="2139"/>
    <col min="9217" max="9217" width="4.7109375" style="2139" customWidth="1"/>
    <col min="9218" max="9218" width="6.7109375" style="2139" customWidth="1"/>
    <col min="9219" max="9219" width="8.85546875" style="2139" customWidth="1"/>
    <col min="9220" max="9220" width="47.85546875" style="2139" customWidth="1"/>
    <col min="9221" max="9221" width="12.85546875" style="2139" customWidth="1"/>
    <col min="9222" max="9222" width="15.5703125" style="2139" customWidth="1"/>
    <col min="9223" max="9223" width="15.85546875" style="2139" customWidth="1"/>
    <col min="9224" max="9224" width="6.42578125" style="2139" customWidth="1"/>
    <col min="9225" max="9226" width="9.140625" style="2139"/>
    <col min="9227" max="9227" width="18.42578125" style="2139" customWidth="1"/>
    <col min="9228" max="9228" width="16" style="2139" bestFit="1" customWidth="1"/>
    <col min="9229" max="9472" width="9.140625" style="2139"/>
    <col min="9473" max="9473" width="4.7109375" style="2139" customWidth="1"/>
    <col min="9474" max="9474" width="6.7109375" style="2139" customWidth="1"/>
    <col min="9475" max="9475" width="8.85546875" style="2139" customWidth="1"/>
    <col min="9476" max="9476" width="47.85546875" style="2139" customWidth="1"/>
    <col min="9477" max="9477" width="12.85546875" style="2139" customWidth="1"/>
    <col min="9478" max="9478" width="15.5703125" style="2139" customWidth="1"/>
    <col min="9479" max="9479" width="15.85546875" style="2139" customWidth="1"/>
    <col min="9480" max="9480" width="6.42578125" style="2139" customWidth="1"/>
    <col min="9481" max="9482" width="9.140625" style="2139"/>
    <col min="9483" max="9483" width="18.42578125" style="2139" customWidth="1"/>
    <col min="9484" max="9484" width="16" style="2139" bestFit="1" customWidth="1"/>
    <col min="9485" max="9728" width="9.140625" style="2139"/>
    <col min="9729" max="9729" width="4.7109375" style="2139" customWidth="1"/>
    <col min="9730" max="9730" width="6.7109375" style="2139" customWidth="1"/>
    <col min="9731" max="9731" width="8.85546875" style="2139" customWidth="1"/>
    <col min="9732" max="9732" width="47.85546875" style="2139" customWidth="1"/>
    <col min="9733" max="9733" width="12.85546875" style="2139" customWidth="1"/>
    <col min="9734" max="9734" width="15.5703125" style="2139" customWidth="1"/>
    <col min="9735" max="9735" width="15.85546875" style="2139" customWidth="1"/>
    <col min="9736" max="9736" width="6.42578125" style="2139" customWidth="1"/>
    <col min="9737" max="9738" width="9.140625" style="2139"/>
    <col min="9739" max="9739" width="18.42578125" style="2139" customWidth="1"/>
    <col min="9740" max="9740" width="16" style="2139" bestFit="1" customWidth="1"/>
    <col min="9741" max="9984" width="9.140625" style="2139"/>
    <col min="9985" max="9985" width="4.7109375" style="2139" customWidth="1"/>
    <col min="9986" max="9986" width="6.7109375" style="2139" customWidth="1"/>
    <col min="9987" max="9987" width="8.85546875" style="2139" customWidth="1"/>
    <col min="9988" max="9988" width="47.85546875" style="2139" customWidth="1"/>
    <col min="9989" max="9989" width="12.85546875" style="2139" customWidth="1"/>
    <col min="9990" max="9990" width="15.5703125" style="2139" customWidth="1"/>
    <col min="9991" max="9991" width="15.85546875" style="2139" customWidth="1"/>
    <col min="9992" max="9992" width="6.42578125" style="2139" customWidth="1"/>
    <col min="9993" max="9994" width="9.140625" style="2139"/>
    <col min="9995" max="9995" width="18.42578125" style="2139" customWidth="1"/>
    <col min="9996" max="9996" width="16" style="2139" bestFit="1" customWidth="1"/>
    <col min="9997" max="10240" width="9.140625" style="2139"/>
    <col min="10241" max="10241" width="4.7109375" style="2139" customWidth="1"/>
    <col min="10242" max="10242" width="6.7109375" style="2139" customWidth="1"/>
    <col min="10243" max="10243" width="8.85546875" style="2139" customWidth="1"/>
    <col min="10244" max="10244" width="47.85546875" style="2139" customWidth="1"/>
    <col min="10245" max="10245" width="12.85546875" style="2139" customWidth="1"/>
    <col min="10246" max="10246" width="15.5703125" style="2139" customWidth="1"/>
    <col min="10247" max="10247" width="15.85546875" style="2139" customWidth="1"/>
    <col min="10248" max="10248" width="6.42578125" style="2139" customWidth="1"/>
    <col min="10249" max="10250" width="9.140625" style="2139"/>
    <col min="10251" max="10251" width="18.42578125" style="2139" customWidth="1"/>
    <col min="10252" max="10252" width="16" style="2139" bestFit="1" customWidth="1"/>
    <col min="10253" max="10496" width="9.140625" style="2139"/>
    <col min="10497" max="10497" width="4.7109375" style="2139" customWidth="1"/>
    <col min="10498" max="10498" width="6.7109375" style="2139" customWidth="1"/>
    <col min="10499" max="10499" width="8.85546875" style="2139" customWidth="1"/>
    <col min="10500" max="10500" width="47.85546875" style="2139" customWidth="1"/>
    <col min="10501" max="10501" width="12.85546875" style="2139" customWidth="1"/>
    <col min="10502" max="10502" width="15.5703125" style="2139" customWidth="1"/>
    <col min="10503" max="10503" width="15.85546875" style="2139" customWidth="1"/>
    <col min="10504" max="10504" width="6.42578125" style="2139" customWidth="1"/>
    <col min="10505" max="10506" width="9.140625" style="2139"/>
    <col min="10507" max="10507" width="18.42578125" style="2139" customWidth="1"/>
    <col min="10508" max="10508" width="16" style="2139" bestFit="1" customWidth="1"/>
    <col min="10509" max="10752" width="9.140625" style="2139"/>
    <col min="10753" max="10753" width="4.7109375" style="2139" customWidth="1"/>
    <col min="10754" max="10754" width="6.7109375" style="2139" customWidth="1"/>
    <col min="10755" max="10755" width="8.85546875" style="2139" customWidth="1"/>
    <col min="10756" max="10756" width="47.85546875" style="2139" customWidth="1"/>
    <col min="10757" max="10757" width="12.85546875" style="2139" customWidth="1"/>
    <col min="10758" max="10758" width="15.5703125" style="2139" customWidth="1"/>
    <col min="10759" max="10759" width="15.85546875" style="2139" customWidth="1"/>
    <col min="10760" max="10760" width="6.42578125" style="2139" customWidth="1"/>
    <col min="10761" max="10762" width="9.140625" style="2139"/>
    <col min="10763" max="10763" width="18.42578125" style="2139" customWidth="1"/>
    <col min="10764" max="10764" width="16" style="2139" bestFit="1" customWidth="1"/>
    <col min="10765" max="11008" width="9.140625" style="2139"/>
    <col min="11009" max="11009" width="4.7109375" style="2139" customWidth="1"/>
    <col min="11010" max="11010" width="6.7109375" style="2139" customWidth="1"/>
    <col min="11011" max="11011" width="8.85546875" style="2139" customWidth="1"/>
    <col min="11012" max="11012" width="47.85546875" style="2139" customWidth="1"/>
    <col min="11013" max="11013" width="12.85546875" style="2139" customWidth="1"/>
    <col min="11014" max="11014" width="15.5703125" style="2139" customWidth="1"/>
    <col min="11015" max="11015" width="15.85546875" style="2139" customWidth="1"/>
    <col min="11016" max="11016" width="6.42578125" style="2139" customWidth="1"/>
    <col min="11017" max="11018" width="9.140625" style="2139"/>
    <col min="11019" max="11019" width="18.42578125" style="2139" customWidth="1"/>
    <col min="11020" max="11020" width="16" style="2139" bestFit="1" customWidth="1"/>
    <col min="11021" max="11264" width="9.140625" style="2139"/>
    <col min="11265" max="11265" width="4.7109375" style="2139" customWidth="1"/>
    <col min="11266" max="11266" width="6.7109375" style="2139" customWidth="1"/>
    <col min="11267" max="11267" width="8.85546875" style="2139" customWidth="1"/>
    <col min="11268" max="11268" width="47.85546875" style="2139" customWidth="1"/>
    <col min="11269" max="11269" width="12.85546875" style="2139" customWidth="1"/>
    <col min="11270" max="11270" width="15.5703125" style="2139" customWidth="1"/>
    <col min="11271" max="11271" width="15.85546875" style="2139" customWidth="1"/>
    <col min="11272" max="11272" width="6.42578125" style="2139" customWidth="1"/>
    <col min="11273" max="11274" width="9.140625" style="2139"/>
    <col min="11275" max="11275" width="18.42578125" style="2139" customWidth="1"/>
    <col min="11276" max="11276" width="16" style="2139" bestFit="1" customWidth="1"/>
    <col min="11277" max="11520" width="9.140625" style="2139"/>
    <col min="11521" max="11521" width="4.7109375" style="2139" customWidth="1"/>
    <col min="11522" max="11522" width="6.7109375" style="2139" customWidth="1"/>
    <col min="11523" max="11523" width="8.85546875" style="2139" customWidth="1"/>
    <col min="11524" max="11524" width="47.85546875" style="2139" customWidth="1"/>
    <col min="11525" max="11525" width="12.85546875" style="2139" customWidth="1"/>
    <col min="11526" max="11526" width="15.5703125" style="2139" customWidth="1"/>
    <col min="11527" max="11527" width="15.85546875" style="2139" customWidth="1"/>
    <col min="11528" max="11528" width="6.42578125" style="2139" customWidth="1"/>
    <col min="11529" max="11530" width="9.140625" style="2139"/>
    <col min="11531" max="11531" width="18.42578125" style="2139" customWidth="1"/>
    <col min="11532" max="11532" width="16" style="2139" bestFit="1" customWidth="1"/>
    <col min="11533" max="11776" width="9.140625" style="2139"/>
    <col min="11777" max="11777" width="4.7109375" style="2139" customWidth="1"/>
    <col min="11778" max="11778" width="6.7109375" style="2139" customWidth="1"/>
    <col min="11779" max="11779" width="8.85546875" style="2139" customWidth="1"/>
    <col min="11780" max="11780" width="47.85546875" style="2139" customWidth="1"/>
    <col min="11781" max="11781" width="12.85546875" style="2139" customWidth="1"/>
    <col min="11782" max="11782" width="15.5703125" style="2139" customWidth="1"/>
    <col min="11783" max="11783" width="15.85546875" style="2139" customWidth="1"/>
    <col min="11784" max="11784" width="6.42578125" style="2139" customWidth="1"/>
    <col min="11785" max="11786" width="9.140625" style="2139"/>
    <col min="11787" max="11787" width="18.42578125" style="2139" customWidth="1"/>
    <col min="11788" max="11788" width="16" style="2139" bestFit="1" customWidth="1"/>
    <col min="11789" max="12032" width="9.140625" style="2139"/>
    <col min="12033" max="12033" width="4.7109375" style="2139" customWidth="1"/>
    <col min="12034" max="12034" width="6.7109375" style="2139" customWidth="1"/>
    <col min="12035" max="12035" width="8.85546875" style="2139" customWidth="1"/>
    <col min="12036" max="12036" width="47.85546875" style="2139" customWidth="1"/>
    <col min="12037" max="12037" width="12.85546875" style="2139" customWidth="1"/>
    <col min="12038" max="12038" width="15.5703125" style="2139" customWidth="1"/>
    <col min="12039" max="12039" width="15.85546875" style="2139" customWidth="1"/>
    <col min="12040" max="12040" width="6.42578125" style="2139" customWidth="1"/>
    <col min="12041" max="12042" width="9.140625" style="2139"/>
    <col min="12043" max="12043" width="18.42578125" style="2139" customWidth="1"/>
    <col min="12044" max="12044" width="16" style="2139" bestFit="1" customWidth="1"/>
    <col min="12045" max="12288" width="9.140625" style="2139"/>
    <col min="12289" max="12289" width="4.7109375" style="2139" customWidth="1"/>
    <col min="12290" max="12290" width="6.7109375" style="2139" customWidth="1"/>
    <col min="12291" max="12291" width="8.85546875" style="2139" customWidth="1"/>
    <col min="12292" max="12292" width="47.85546875" style="2139" customWidth="1"/>
    <col min="12293" max="12293" width="12.85546875" style="2139" customWidth="1"/>
    <col min="12294" max="12294" width="15.5703125" style="2139" customWidth="1"/>
    <col min="12295" max="12295" width="15.85546875" style="2139" customWidth="1"/>
    <col min="12296" max="12296" width="6.42578125" style="2139" customWidth="1"/>
    <col min="12297" max="12298" width="9.140625" style="2139"/>
    <col min="12299" max="12299" width="18.42578125" style="2139" customWidth="1"/>
    <col min="12300" max="12300" width="16" style="2139" bestFit="1" customWidth="1"/>
    <col min="12301" max="12544" width="9.140625" style="2139"/>
    <col min="12545" max="12545" width="4.7109375" style="2139" customWidth="1"/>
    <col min="12546" max="12546" width="6.7109375" style="2139" customWidth="1"/>
    <col min="12547" max="12547" width="8.85546875" style="2139" customWidth="1"/>
    <col min="12548" max="12548" width="47.85546875" style="2139" customWidth="1"/>
    <col min="12549" max="12549" width="12.85546875" style="2139" customWidth="1"/>
    <col min="12550" max="12550" width="15.5703125" style="2139" customWidth="1"/>
    <col min="12551" max="12551" width="15.85546875" style="2139" customWidth="1"/>
    <col min="12552" max="12552" width="6.42578125" style="2139" customWidth="1"/>
    <col min="12553" max="12554" width="9.140625" style="2139"/>
    <col min="12555" max="12555" width="18.42578125" style="2139" customWidth="1"/>
    <col min="12556" max="12556" width="16" style="2139" bestFit="1" customWidth="1"/>
    <col min="12557" max="12800" width="9.140625" style="2139"/>
    <col min="12801" max="12801" width="4.7109375" style="2139" customWidth="1"/>
    <col min="12802" max="12802" width="6.7109375" style="2139" customWidth="1"/>
    <col min="12803" max="12803" width="8.85546875" style="2139" customWidth="1"/>
    <col min="12804" max="12804" width="47.85546875" style="2139" customWidth="1"/>
    <col min="12805" max="12805" width="12.85546875" style="2139" customWidth="1"/>
    <col min="12806" max="12806" width="15.5703125" style="2139" customWidth="1"/>
    <col min="12807" max="12807" width="15.85546875" style="2139" customWidth="1"/>
    <col min="12808" max="12808" width="6.42578125" style="2139" customWidth="1"/>
    <col min="12809" max="12810" width="9.140625" style="2139"/>
    <col min="12811" max="12811" width="18.42578125" style="2139" customWidth="1"/>
    <col min="12812" max="12812" width="16" style="2139" bestFit="1" customWidth="1"/>
    <col min="12813" max="13056" width="9.140625" style="2139"/>
    <col min="13057" max="13057" width="4.7109375" style="2139" customWidth="1"/>
    <col min="13058" max="13058" width="6.7109375" style="2139" customWidth="1"/>
    <col min="13059" max="13059" width="8.85546875" style="2139" customWidth="1"/>
    <col min="13060" max="13060" width="47.85546875" style="2139" customWidth="1"/>
    <col min="13061" max="13061" width="12.85546875" style="2139" customWidth="1"/>
    <col min="13062" max="13062" width="15.5703125" style="2139" customWidth="1"/>
    <col min="13063" max="13063" width="15.85546875" style="2139" customWidth="1"/>
    <col min="13064" max="13064" width="6.42578125" style="2139" customWidth="1"/>
    <col min="13065" max="13066" width="9.140625" style="2139"/>
    <col min="13067" max="13067" width="18.42578125" style="2139" customWidth="1"/>
    <col min="13068" max="13068" width="16" style="2139" bestFit="1" customWidth="1"/>
    <col min="13069" max="13312" width="9.140625" style="2139"/>
    <col min="13313" max="13313" width="4.7109375" style="2139" customWidth="1"/>
    <col min="13314" max="13314" width="6.7109375" style="2139" customWidth="1"/>
    <col min="13315" max="13315" width="8.85546875" style="2139" customWidth="1"/>
    <col min="13316" max="13316" width="47.85546875" style="2139" customWidth="1"/>
    <col min="13317" max="13317" width="12.85546875" style="2139" customWidth="1"/>
    <col min="13318" max="13318" width="15.5703125" style="2139" customWidth="1"/>
    <col min="13319" max="13319" width="15.85546875" style="2139" customWidth="1"/>
    <col min="13320" max="13320" width="6.42578125" style="2139" customWidth="1"/>
    <col min="13321" max="13322" width="9.140625" style="2139"/>
    <col min="13323" max="13323" width="18.42578125" style="2139" customWidth="1"/>
    <col min="13324" max="13324" width="16" style="2139" bestFit="1" customWidth="1"/>
    <col min="13325" max="13568" width="9.140625" style="2139"/>
    <col min="13569" max="13569" width="4.7109375" style="2139" customWidth="1"/>
    <col min="13570" max="13570" width="6.7109375" style="2139" customWidth="1"/>
    <col min="13571" max="13571" width="8.85546875" style="2139" customWidth="1"/>
    <col min="13572" max="13572" width="47.85546875" style="2139" customWidth="1"/>
    <col min="13573" max="13573" width="12.85546875" style="2139" customWidth="1"/>
    <col min="13574" max="13574" width="15.5703125" style="2139" customWidth="1"/>
    <col min="13575" max="13575" width="15.85546875" style="2139" customWidth="1"/>
    <col min="13576" max="13576" width="6.42578125" style="2139" customWidth="1"/>
    <col min="13577" max="13578" width="9.140625" style="2139"/>
    <col min="13579" max="13579" width="18.42578125" style="2139" customWidth="1"/>
    <col min="13580" max="13580" width="16" style="2139" bestFit="1" customWidth="1"/>
    <col min="13581" max="13824" width="9.140625" style="2139"/>
    <col min="13825" max="13825" width="4.7109375" style="2139" customWidth="1"/>
    <col min="13826" max="13826" width="6.7109375" style="2139" customWidth="1"/>
    <col min="13827" max="13827" width="8.85546875" style="2139" customWidth="1"/>
    <col min="13828" max="13828" width="47.85546875" style="2139" customWidth="1"/>
    <col min="13829" max="13829" width="12.85546875" style="2139" customWidth="1"/>
    <col min="13830" max="13830" width="15.5703125" style="2139" customWidth="1"/>
    <col min="13831" max="13831" width="15.85546875" style="2139" customWidth="1"/>
    <col min="13832" max="13832" width="6.42578125" style="2139" customWidth="1"/>
    <col min="13833" max="13834" width="9.140625" style="2139"/>
    <col min="13835" max="13835" width="18.42578125" style="2139" customWidth="1"/>
    <col min="13836" max="13836" width="16" style="2139" bestFit="1" customWidth="1"/>
    <col min="13837" max="14080" width="9.140625" style="2139"/>
    <col min="14081" max="14081" width="4.7109375" style="2139" customWidth="1"/>
    <col min="14082" max="14082" width="6.7109375" style="2139" customWidth="1"/>
    <col min="14083" max="14083" width="8.85546875" style="2139" customWidth="1"/>
    <col min="14084" max="14084" width="47.85546875" style="2139" customWidth="1"/>
    <col min="14085" max="14085" width="12.85546875" style="2139" customWidth="1"/>
    <col min="14086" max="14086" width="15.5703125" style="2139" customWidth="1"/>
    <col min="14087" max="14087" width="15.85546875" style="2139" customWidth="1"/>
    <col min="14088" max="14088" width="6.42578125" style="2139" customWidth="1"/>
    <col min="14089" max="14090" width="9.140625" style="2139"/>
    <col min="14091" max="14091" width="18.42578125" style="2139" customWidth="1"/>
    <col min="14092" max="14092" width="16" style="2139" bestFit="1" customWidth="1"/>
    <col min="14093" max="14336" width="9.140625" style="2139"/>
    <col min="14337" max="14337" width="4.7109375" style="2139" customWidth="1"/>
    <col min="14338" max="14338" width="6.7109375" style="2139" customWidth="1"/>
    <col min="14339" max="14339" width="8.85546875" style="2139" customWidth="1"/>
    <col min="14340" max="14340" width="47.85546875" style="2139" customWidth="1"/>
    <col min="14341" max="14341" width="12.85546875" style="2139" customWidth="1"/>
    <col min="14342" max="14342" width="15.5703125" style="2139" customWidth="1"/>
    <col min="14343" max="14343" width="15.85546875" style="2139" customWidth="1"/>
    <col min="14344" max="14344" width="6.42578125" style="2139" customWidth="1"/>
    <col min="14345" max="14346" width="9.140625" style="2139"/>
    <col min="14347" max="14347" width="18.42578125" style="2139" customWidth="1"/>
    <col min="14348" max="14348" width="16" style="2139" bestFit="1" customWidth="1"/>
    <col min="14349" max="14592" width="9.140625" style="2139"/>
    <col min="14593" max="14593" width="4.7109375" style="2139" customWidth="1"/>
    <col min="14594" max="14594" width="6.7109375" style="2139" customWidth="1"/>
    <col min="14595" max="14595" width="8.85546875" style="2139" customWidth="1"/>
    <col min="14596" max="14596" width="47.85546875" style="2139" customWidth="1"/>
    <col min="14597" max="14597" width="12.85546875" style="2139" customWidth="1"/>
    <col min="14598" max="14598" width="15.5703125" style="2139" customWidth="1"/>
    <col min="14599" max="14599" width="15.85546875" style="2139" customWidth="1"/>
    <col min="14600" max="14600" width="6.42578125" style="2139" customWidth="1"/>
    <col min="14601" max="14602" width="9.140625" style="2139"/>
    <col min="14603" max="14603" width="18.42578125" style="2139" customWidth="1"/>
    <col min="14604" max="14604" width="16" style="2139" bestFit="1" customWidth="1"/>
    <col min="14605" max="14848" width="9.140625" style="2139"/>
    <col min="14849" max="14849" width="4.7109375" style="2139" customWidth="1"/>
    <col min="14850" max="14850" width="6.7109375" style="2139" customWidth="1"/>
    <col min="14851" max="14851" width="8.85546875" style="2139" customWidth="1"/>
    <col min="14852" max="14852" width="47.85546875" style="2139" customWidth="1"/>
    <col min="14853" max="14853" width="12.85546875" style="2139" customWidth="1"/>
    <col min="14854" max="14854" width="15.5703125" style="2139" customWidth="1"/>
    <col min="14855" max="14855" width="15.85546875" style="2139" customWidth="1"/>
    <col min="14856" max="14856" width="6.42578125" style="2139" customWidth="1"/>
    <col min="14857" max="14858" width="9.140625" style="2139"/>
    <col min="14859" max="14859" width="18.42578125" style="2139" customWidth="1"/>
    <col min="14860" max="14860" width="16" style="2139" bestFit="1" customWidth="1"/>
    <col min="14861" max="15104" width="9.140625" style="2139"/>
    <col min="15105" max="15105" width="4.7109375" style="2139" customWidth="1"/>
    <col min="15106" max="15106" width="6.7109375" style="2139" customWidth="1"/>
    <col min="15107" max="15107" width="8.85546875" style="2139" customWidth="1"/>
    <col min="15108" max="15108" width="47.85546875" style="2139" customWidth="1"/>
    <col min="15109" max="15109" width="12.85546875" style="2139" customWidth="1"/>
    <col min="15110" max="15110" width="15.5703125" style="2139" customWidth="1"/>
    <col min="15111" max="15111" width="15.85546875" style="2139" customWidth="1"/>
    <col min="15112" max="15112" width="6.42578125" style="2139" customWidth="1"/>
    <col min="15113" max="15114" width="9.140625" style="2139"/>
    <col min="15115" max="15115" width="18.42578125" style="2139" customWidth="1"/>
    <col min="15116" max="15116" width="16" style="2139" bestFit="1" customWidth="1"/>
    <col min="15117" max="15360" width="9.140625" style="2139"/>
    <col min="15361" max="15361" width="4.7109375" style="2139" customWidth="1"/>
    <col min="15362" max="15362" width="6.7109375" style="2139" customWidth="1"/>
    <col min="15363" max="15363" width="8.85546875" style="2139" customWidth="1"/>
    <col min="15364" max="15364" width="47.85546875" style="2139" customWidth="1"/>
    <col min="15365" max="15365" width="12.85546875" style="2139" customWidth="1"/>
    <col min="15366" max="15366" width="15.5703125" style="2139" customWidth="1"/>
    <col min="15367" max="15367" width="15.85546875" style="2139" customWidth="1"/>
    <col min="15368" max="15368" width="6.42578125" style="2139" customWidth="1"/>
    <col min="15369" max="15370" width="9.140625" style="2139"/>
    <col min="15371" max="15371" width="18.42578125" style="2139" customWidth="1"/>
    <col min="15372" max="15372" width="16" style="2139" bestFit="1" customWidth="1"/>
    <col min="15373" max="15616" width="9.140625" style="2139"/>
    <col min="15617" max="15617" width="4.7109375" style="2139" customWidth="1"/>
    <col min="15618" max="15618" width="6.7109375" style="2139" customWidth="1"/>
    <col min="15619" max="15619" width="8.85546875" style="2139" customWidth="1"/>
    <col min="15620" max="15620" width="47.85546875" style="2139" customWidth="1"/>
    <col min="15621" max="15621" width="12.85546875" style="2139" customWidth="1"/>
    <col min="15622" max="15622" width="15.5703125" style="2139" customWidth="1"/>
    <col min="15623" max="15623" width="15.85546875" style="2139" customWidth="1"/>
    <col min="15624" max="15624" width="6.42578125" style="2139" customWidth="1"/>
    <col min="15625" max="15626" width="9.140625" style="2139"/>
    <col min="15627" max="15627" width="18.42578125" style="2139" customWidth="1"/>
    <col min="15628" max="15628" width="16" style="2139" bestFit="1" customWidth="1"/>
    <col min="15629" max="15872" width="9.140625" style="2139"/>
    <col min="15873" max="15873" width="4.7109375" style="2139" customWidth="1"/>
    <col min="15874" max="15874" width="6.7109375" style="2139" customWidth="1"/>
    <col min="15875" max="15875" width="8.85546875" style="2139" customWidth="1"/>
    <col min="15876" max="15876" width="47.85546875" style="2139" customWidth="1"/>
    <col min="15877" max="15877" width="12.85546875" style="2139" customWidth="1"/>
    <col min="15878" max="15878" width="15.5703125" style="2139" customWidth="1"/>
    <col min="15879" max="15879" width="15.85546875" style="2139" customWidth="1"/>
    <col min="15880" max="15880" width="6.42578125" style="2139" customWidth="1"/>
    <col min="15881" max="15882" width="9.140625" style="2139"/>
    <col min="15883" max="15883" width="18.42578125" style="2139" customWidth="1"/>
    <col min="15884" max="15884" width="16" style="2139" bestFit="1" customWidth="1"/>
    <col min="15885" max="16128" width="9.140625" style="2139"/>
    <col min="16129" max="16129" width="4.7109375" style="2139" customWidth="1"/>
    <col min="16130" max="16130" width="6.7109375" style="2139" customWidth="1"/>
    <col min="16131" max="16131" width="8.85546875" style="2139" customWidth="1"/>
    <col min="16132" max="16132" width="47.85546875" style="2139" customWidth="1"/>
    <col min="16133" max="16133" width="12.85546875" style="2139" customWidth="1"/>
    <col min="16134" max="16134" width="15.5703125" style="2139" customWidth="1"/>
    <col min="16135" max="16135" width="15.85546875" style="2139" customWidth="1"/>
    <col min="16136" max="16136" width="6.42578125" style="2139" customWidth="1"/>
    <col min="16137" max="16138" width="9.140625" style="2139"/>
    <col min="16139" max="16139" width="18.42578125" style="2139" customWidth="1"/>
    <col min="16140" max="16140" width="16" style="2139" bestFit="1" customWidth="1"/>
    <col min="16141" max="16384" width="9.140625" style="2139"/>
  </cols>
  <sheetData>
    <row r="1" spans="1:8" ht="18.75" thickBot="1" x14ac:dyDescent="0.3">
      <c r="A1" s="2133" t="s">
        <v>1484</v>
      </c>
      <c r="B1" s="2134"/>
      <c r="C1" s="2135"/>
      <c r="D1" s="2136"/>
      <c r="E1" s="2137"/>
      <c r="F1" s="2136"/>
      <c r="G1" s="2138"/>
      <c r="H1" s="2133"/>
    </row>
    <row r="2" spans="1:8" ht="18" x14ac:dyDescent="0.25">
      <c r="A2" s="2140"/>
      <c r="B2" s="2141"/>
      <c r="C2" s="2141"/>
      <c r="D2" s="2141"/>
      <c r="E2" s="2141"/>
      <c r="F2" s="2141"/>
      <c r="G2" s="2141"/>
      <c r="H2" s="2142" t="s">
        <v>1483</v>
      </c>
    </row>
    <row r="3" spans="1:8" ht="18" x14ac:dyDescent="0.25">
      <c r="A3" s="2143" t="s">
        <v>387</v>
      </c>
      <c r="B3" s="2141"/>
      <c r="C3" s="2144" t="s">
        <v>363</v>
      </c>
      <c r="D3" s="2141"/>
      <c r="E3" s="2141"/>
      <c r="F3" s="2141"/>
      <c r="G3" s="2141"/>
      <c r="H3" s="2142"/>
    </row>
    <row r="4" spans="1:8" ht="18" x14ac:dyDescent="0.25">
      <c r="A4" s="2140"/>
      <c r="B4" s="2141"/>
      <c r="C4" s="2144" t="s">
        <v>364</v>
      </c>
      <c r="D4" s="2141"/>
      <c r="E4" s="2141"/>
      <c r="F4" s="2141"/>
      <c r="G4" s="2141"/>
      <c r="H4" s="2142"/>
    </row>
    <row r="5" spans="1:8" ht="18" x14ac:dyDescent="0.25">
      <c r="A5" s="2145" t="s">
        <v>1482</v>
      </c>
      <c r="B5" s="2141"/>
      <c r="C5" s="2141"/>
      <c r="D5" s="2141"/>
      <c r="E5" s="2141"/>
      <c r="F5" s="2141"/>
      <c r="G5" s="2141"/>
      <c r="H5" s="2142"/>
    </row>
    <row r="6" spans="1:8" x14ac:dyDescent="0.2">
      <c r="A6" s="2146"/>
      <c r="B6" s="2146"/>
      <c r="C6" s="2146"/>
      <c r="E6" s="2147"/>
      <c r="F6" s="2147"/>
      <c r="G6" s="2147"/>
    </row>
    <row r="7" spans="1:8" ht="15.75" thickBot="1" x14ac:dyDescent="0.3">
      <c r="A7" s="2132" t="s">
        <v>263</v>
      </c>
      <c r="B7" s="2146"/>
      <c r="C7" s="2146"/>
      <c r="E7" s="2147"/>
      <c r="F7" s="2147"/>
      <c r="G7" s="2147"/>
      <c r="H7" s="2148" t="s">
        <v>173</v>
      </c>
    </row>
    <row r="8" spans="1:8" ht="25.5" thickTop="1" thickBot="1" x14ac:dyDescent="0.25">
      <c r="A8" s="1943" t="s">
        <v>174</v>
      </c>
      <c r="B8" s="1944" t="s">
        <v>800</v>
      </c>
      <c r="C8" s="1944" t="s">
        <v>397</v>
      </c>
      <c r="D8" s="1945" t="s">
        <v>176</v>
      </c>
      <c r="E8" s="1976" t="s">
        <v>669</v>
      </c>
      <c r="F8" s="1976" t="s">
        <v>670</v>
      </c>
      <c r="G8" s="1977" t="s">
        <v>923</v>
      </c>
      <c r="H8" s="1978" t="s">
        <v>924</v>
      </c>
    </row>
    <row r="9" spans="1:8" ht="14.25" thickTop="1" thickBot="1" x14ac:dyDescent="0.25">
      <c r="A9" s="1740">
        <v>1</v>
      </c>
      <c r="B9" s="1739">
        <v>2</v>
      </c>
      <c r="C9" s="1739">
        <v>3</v>
      </c>
      <c r="D9" s="1739">
        <v>4</v>
      </c>
      <c r="E9" s="1738">
        <v>5</v>
      </c>
      <c r="F9" s="1738">
        <v>6</v>
      </c>
      <c r="G9" s="2028">
        <v>7</v>
      </c>
      <c r="H9" s="2054" t="s">
        <v>61</v>
      </c>
    </row>
    <row r="10" spans="1:8" ht="45.75" thickTop="1" x14ac:dyDescent="0.2">
      <c r="A10" s="2160">
        <v>3299</v>
      </c>
      <c r="B10" s="2161">
        <v>5213</v>
      </c>
      <c r="C10" s="2161">
        <v>32133030</v>
      </c>
      <c r="D10" s="2162" t="s">
        <v>1087</v>
      </c>
      <c r="E10" s="2163">
        <v>0</v>
      </c>
      <c r="F10" s="2163">
        <v>1326</v>
      </c>
      <c r="G10" s="2163">
        <v>1302</v>
      </c>
      <c r="H10" s="2164">
        <f t="shared" ref="H10:H29" si="0">G10/F10*100</f>
        <v>98.19004524886877</v>
      </c>
    </row>
    <row r="11" spans="1:8" ht="45" x14ac:dyDescent="0.2">
      <c r="A11" s="2165">
        <v>3299</v>
      </c>
      <c r="B11" s="2166">
        <v>5213</v>
      </c>
      <c r="C11" s="2166">
        <v>32533030</v>
      </c>
      <c r="D11" s="2167" t="s">
        <v>1087</v>
      </c>
      <c r="E11" s="2168">
        <v>0</v>
      </c>
      <c r="F11" s="2168">
        <v>7513</v>
      </c>
      <c r="G11" s="2168">
        <v>7376</v>
      </c>
      <c r="H11" s="2169">
        <f t="shared" si="0"/>
        <v>98.176494076933324</v>
      </c>
    </row>
    <row r="12" spans="1:8" ht="30" x14ac:dyDescent="0.2">
      <c r="A12" s="2165">
        <v>3299</v>
      </c>
      <c r="B12" s="2166">
        <v>5221</v>
      </c>
      <c r="C12" s="2166">
        <v>32133030</v>
      </c>
      <c r="D12" s="2167" t="s">
        <v>1380</v>
      </c>
      <c r="E12" s="2168">
        <v>0</v>
      </c>
      <c r="F12" s="2168">
        <v>244</v>
      </c>
      <c r="G12" s="2168">
        <v>244</v>
      </c>
      <c r="H12" s="2169">
        <f t="shared" si="0"/>
        <v>100</v>
      </c>
    </row>
    <row r="13" spans="1:8" ht="30" x14ac:dyDescent="0.2">
      <c r="A13" s="2165">
        <v>3299</v>
      </c>
      <c r="B13" s="2166">
        <v>5221</v>
      </c>
      <c r="C13" s="2166">
        <v>32533030</v>
      </c>
      <c r="D13" s="2167" t="s">
        <v>1380</v>
      </c>
      <c r="E13" s="2168">
        <v>0</v>
      </c>
      <c r="F13" s="2168">
        <v>1383</v>
      </c>
      <c r="G13" s="2168">
        <v>1382</v>
      </c>
      <c r="H13" s="2169">
        <f t="shared" si="0"/>
        <v>99.927693420101221</v>
      </c>
    </row>
    <row r="14" spans="1:8" ht="15" x14ac:dyDescent="0.2">
      <c r="A14" s="2165">
        <v>3299</v>
      </c>
      <c r="B14" s="2166">
        <v>5222</v>
      </c>
      <c r="C14" s="2166">
        <v>32133030</v>
      </c>
      <c r="D14" s="2167" t="s">
        <v>1885</v>
      </c>
      <c r="E14" s="2168">
        <v>0</v>
      </c>
      <c r="F14" s="2168">
        <v>207</v>
      </c>
      <c r="G14" s="2168">
        <v>206</v>
      </c>
      <c r="H14" s="2169">
        <f t="shared" si="0"/>
        <v>99.516908212560381</v>
      </c>
    </row>
    <row r="15" spans="1:8" ht="15" x14ac:dyDescent="0.2">
      <c r="A15" s="2165">
        <v>3299</v>
      </c>
      <c r="B15" s="2166">
        <v>5222</v>
      </c>
      <c r="C15" s="2166">
        <v>32533030</v>
      </c>
      <c r="D15" s="2167" t="s">
        <v>1885</v>
      </c>
      <c r="E15" s="2168">
        <v>0</v>
      </c>
      <c r="F15" s="2168">
        <v>1170</v>
      </c>
      <c r="G15" s="2168">
        <v>1169</v>
      </c>
      <c r="H15" s="2169">
        <f t="shared" si="0"/>
        <v>99.914529914529908</v>
      </c>
    </row>
    <row r="16" spans="1:8" ht="15" x14ac:dyDescent="0.2">
      <c r="A16" s="2165">
        <v>3299</v>
      </c>
      <c r="B16" s="2166">
        <v>5332</v>
      </c>
      <c r="C16" s="2170">
        <v>32133030</v>
      </c>
      <c r="D16" s="2167" t="s">
        <v>656</v>
      </c>
      <c r="E16" s="2168">
        <v>0</v>
      </c>
      <c r="F16" s="2168">
        <v>446</v>
      </c>
      <c r="G16" s="2168">
        <v>372</v>
      </c>
      <c r="H16" s="2169">
        <f t="shared" si="0"/>
        <v>83.408071748878925</v>
      </c>
    </row>
    <row r="17" spans="1:9" ht="15" x14ac:dyDescent="0.2">
      <c r="A17" s="2165">
        <v>3299</v>
      </c>
      <c r="B17" s="2166">
        <v>5332</v>
      </c>
      <c r="C17" s="2170">
        <v>32533030</v>
      </c>
      <c r="D17" s="2167" t="s">
        <v>656</v>
      </c>
      <c r="E17" s="2168">
        <v>0</v>
      </c>
      <c r="F17" s="2168">
        <v>2530</v>
      </c>
      <c r="G17" s="2168">
        <v>2109</v>
      </c>
      <c r="H17" s="2169">
        <f t="shared" si="0"/>
        <v>83.359683794466406</v>
      </c>
    </row>
    <row r="18" spans="1:9" ht="30" x14ac:dyDescent="0.2">
      <c r="A18" s="2165">
        <v>3299</v>
      </c>
      <c r="B18" s="2166">
        <v>5339</v>
      </c>
      <c r="C18" s="2170">
        <v>32133030</v>
      </c>
      <c r="D18" s="2167" t="s">
        <v>1912</v>
      </c>
      <c r="E18" s="2168">
        <v>0</v>
      </c>
      <c r="F18" s="2168">
        <v>82</v>
      </c>
      <c r="G18" s="2168">
        <v>82</v>
      </c>
      <c r="H18" s="2169">
        <f t="shared" si="0"/>
        <v>100</v>
      </c>
    </row>
    <row r="19" spans="1:9" ht="30" x14ac:dyDescent="0.2">
      <c r="A19" s="2165">
        <v>3299</v>
      </c>
      <c r="B19" s="2166">
        <v>5339</v>
      </c>
      <c r="C19" s="2170">
        <v>32533030</v>
      </c>
      <c r="D19" s="2167" t="s">
        <v>1912</v>
      </c>
      <c r="E19" s="2168">
        <v>0</v>
      </c>
      <c r="F19" s="2168">
        <v>465</v>
      </c>
      <c r="G19" s="2168">
        <v>464</v>
      </c>
      <c r="H19" s="2169">
        <f t="shared" si="0"/>
        <v>99.784946236559136</v>
      </c>
    </row>
    <row r="20" spans="1:9" ht="15" customHeight="1" x14ac:dyDescent="0.2">
      <c r="A20" s="2165">
        <v>3299</v>
      </c>
      <c r="B20" s="2166">
        <v>5901</v>
      </c>
      <c r="C20" s="2170">
        <v>32133030</v>
      </c>
      <c r="D20" s="2167" t="s">
        <v>639</v>
      </c>
      <c r="E20" s="2168">
        <v>0</v>
      </c>
      <c r="F20" s="2168">
        <v>403</v>
      </c>
      <c r="G20" s="2168">
        <v>0</v>
      </c>
      <c r="H20" s="2169">
        <f t="shared" si="0"/>
        <v>0</v>
      </c>
    </row>
    <row r="21" spans="1:9" ht="15" customHeight="1" x14ac:dyDescent="0.2">
      <c r="A21" s="2165">
        <v>3299</v>
      </c>
      <c r="B21" s="2166">
        <v>5901</v>
      </c>
      <c r="C21" s="2170">
        <v>32533030</v>
      </c>
      <c r="D21" s="2167" t="s">
        <v>639</v>
      </c>
      <c r="E21" s="2168">
        <v>0</v>
      </c>
      <c r="F21" s="2168">
        <v>2281</v>
      </c>
      <c r="G21" s="2168">
        <v>0</v>
      </c>
      <c r="H21" s="2169">
        <f t="shared" si="0"/>
        <v>0</v>
      </c>
    </row>
    <row r="22" spans="1:9" ht="45" x14ac:dyDescent="0.2">
      <c r="A22" s="2165">
        <v>3299</v>
      </c>
      <c r="B22" s="2166">
        <v>6313</v>
      </c>
      <c r="C22" s="2170">
        <v>32133926</v>
      </c>
      <c r="D22" s="2167" t="s">
        <v>583</v>
      </c>
      <c r="E22" s="2168">
        <v>0</v>
      </c>
      <c r="F22" s="2168">
        <v>7</v>
      </c>
      <c r="G22" s="2168">
        <v>7</v>
      </c>
      <c r="H22" s="2169">
        <f t="shared" si="0"/>
        <v>100</v>
      </c>
    </row>
    <row r="23" spans="1:9" ht="45" x14ac:dyDescent="0.2">
      <c r="A23" s="2165">
        <v>3299</v>
      </c>
      <c r="B23" s="2166">
        <v>6313</v>
      </c>
      <c r="C23" s="2170">
        <v>32533926</v>
      </c>
      <c r="D23" s="2167" t="s">
        <v>583</v>
      </c>
      <c r="E23" s="2168">
        <v>0</v>
      </c>
      <c r="F23" s="2168">
        <v>41</v>
      </c>
      <c r="G23" s="2168">
        <v>41</v>
      </c>
      <c r="H23" s="2169">
        <f t="shared" si="0"/>
        <v>100</v>
      </c>
    </row>
    <row r="24" spans="1:9" ht="30" hidden="1" x14ac:dyDescent="0.2">
      <c r="A24" s="2165">
        <v>3299</v>
      </c>
      <c r="B24" s="2166">
        <v>6323</v>
      </c>
      <c r="C24" s="2170">
        <v>32133006</v>
      </c>
      <c r="D24" s="2167" t="s">
        <v>584</v>
      </c>
      <c r="E24" s="2168">
        <v>0</v>
      </c>
      <c r="F24" s="2168">
        <v>0</v>
      </c>
      <c r="G24" s="2168">
        <v>0</v>
      </c>
      <c r="H24" s="2169" t="e">
        <f t="shared" si="0"/>
        <v>#DIV/0!</v>
      </c>
    </row>
    <row r="25" spans="1:9" ht="30" hidden="1" x14ac:dyDescent="0.2">
      <c r="A25" s="2165">
        <v>3299</v>
      </c>
      <c r="B25" s="2166">
        <v>6323</v>
      </c>
      <c r="C25" s="2170">
        <v>32533006</v>
      </c>
      <c r="D25" s="2167" t="s">
        <v>584</v>
      </c>
      <c r="E25" s="2168">
        <v>0</v>
      </c>
      <c r="F25" s="2168">
        <v>0</v>
      </c>
      <c r="G25" s="2168">
        <v>0</v>
      </c>
      <c r="H25" s="2169" t="e">
        <f t="shared" si="0"/>
        <v>#DIV/0!</v>
      </c>
    </row>
    <row r="26" spans="1:9" ht="15" customHeight="1" x14ac:dyDescent="0.2">
      <c r="A26" s="2165">
        <v>3299</v>
      </c>
      <c r="B26" s="2166">
        <v>6901</v>
      </c>
      <c r="C26" s="2170">
        <v>32133926</v>
      </c>
      <c r="D26" s="2167" t="s">
        <v>449</v>
      </c>
      <c r="E26" s="2168">
        <v>0</v>
      </c>
      <c r="F26" s="2168">
        <v>47</v>
      </c>
      <c r="G26" s="2168">
        <v>0</v>
      </c>
      <c r="H26" s="2169">
        <f t="shared" si="0"/>
        <v>0</v>
      </c>
    </row>
    <row r="27" spans="1:9" ht="15" customHeight="1" x14ac:dyDescent="0.2">
      <c r="A27" s="2165">
        <v>3299</v>
      </c>
      <c r="B27" s="2166">
        <v>6901</v>
      </c>
      <c r="C27" s="2170">
        <v>32533926</v>
      </c>
      <c r="D27" s="2167" t="s">
        <v>449</v>
      </c>
      <c r="E27" s="2168">
        <v>0</v>
      </c>
      <c r="F27" s="2168">
        <v>268</v>
      </c>
      <c r="G27" s="2168">
        <v>0</v>
      </c>
      <c r="H27" s="2169">
        <f t="shared" si="0"/>
        <v>0</v>
      </c>
    </row>
    <row r="28" spans="1:9" ht="15.75" thickBot="1" x14ac:dyDescent="0.25">
      <c r="A28" s="2165">
        <v>6330</v>
      </c>
      <c r="B28" s="2166">
        <v>5345</v>
      </c>
      <c r="C28" s="2170">
        <v>0</v>
      </c>
      <c r="D28" s="2167" t="s">
        <v>806</v>
      </c>
      <c r="E28" s="2168">
        <v>0</v>
      </c>
      <c r="F28" s="2168">
        <v>0</v>
      </c>
      <c r="G28" s="2168">
        <v>14437</v>
      </c>
      <c r="H28" s="2171">
        <v>0</v>
      </c>
    </row>
    <row r="29" spans="1:9" ht="16.5" thickTop="1" thickBot="1" x14ac:dyDescent="0.3">
      <c r="A29" s="2750" t="s">
        <v>802</v>
      </c>
      <c r="B29" s="2751"/>
      <c r="C29" s="2751"/>
      <c r="D29" s="2751"/>
      <c r="E29" s="1957">
        <f>SUM(E10:E27)</f>
        <v>0</v>
      </c>
      <c r="F29" s="1957">
        <f>SUM(F10:F28)</f>
        <v>18413</v>
      </c>
      <c r="G29" s="1957">
        <f>SUM(G10:G28)</f>
        <v>29191</v>
      </c>
      <c r="H29" s="1962">
        <f t="shared" si="0"/>
        <v>158.53473089664911</v>
      </c>
    </row>
    <row r="30" spans="1:9" ht="13.5" thickTop="1" x14ac:dyDescent="0.2"/>
    <row r="31" spans="1:9" ht="15" x14ac:dyDescent="0.25">
      <c r="A31" s="2132" t="s">
        <v>1889</v>
      </c>
      <c r="B31" s="2146"/>
      <c r="C31" s="2146"/>
      <c r="D31" s="2146"/>
      <c r="F31" s="2147"/>
      <c r="G31" s="2147"/>
      <c r="H31" s="2147"/>
      <c r="I31" s="2147"/>
    </row>
    <row r="32" spans="1:9" ht="15.75" thickBot="1" x14ac:dyDescent="0.3">
      <c r="A32" s="2132" t="s">
        <v>1324</v>
      </c>
      <c r="B32" s="2146"/>
      <c r="C32" s="2146"/>
      <c r="D32" s="2146"/>
      <c r="F32" s="2147"/>
      <c r="G32" s="2147"/>
      <c r="H32" s="2148" t="s">
        <v>173</v>
      </c>
      <c r="I32" s="2147"/>
    </row>
    <row r="33" spans="1:9" ht="25.5" thickTop="1" thickBot="1" x14ac:dyDescent="0.25">
      <c r="A33" s="2149" t="s">
        <v>174</v>
      </c>
      <c r="B33" s="2150" t="s">
        <v>800</v>
      </c>
      <c r="C33" s="2150" t="s">
        <v>397</v>
      </c>
      <c r="D33" s="2151" t="s">
        <v>176</v>
      </c>
      <c r="E33" s="2152" t="s">
        <v>669</v>
      </c>
      <c r="F33" s="2152" t="s">
        <v>670</v>
      </c>
      <c r="G33" s="2153" t="s">
        <v>923</v>
      </c>
      <c r="H33" s="2154" t="s">
        <v>924</v>
      </c>
      <c r="I33" s="2147"/>
    </row>
    <row r="34" spans="1:9" ht="14.25" thickTop="1" thickBot="1" x14ac:dyDescent="0.25">
      <c r="A34" s="2155">
        <v>1</v>
      </c>
      <c r="B34" s="2156">
        <v>2</v>
      </c>
      <c r="C34" s="2156">
        <v>3</v>
      </c>
      <c r="D34" s="2156">
        <v>5</v>
      </c>
      <c r="E34" s="2157">
        <v>6</v>
      </c>
      <c r="F34" s="2157">
        <v>7</v>
      </c>
      <c r="G34" s="2158">
        <v>8</v>
      </c>
      <c r="H34" s="2174" t="s">
        <v>801</v>
      </c>
      <c r="I34" s="2147"/>
    </row>
    <row r="35" spans="1:9" ht="30.75" thickTop="1" x14ac:dyDescent="0.2">
      <c r="A35" s="2165">
        <v>3299</v>
      </c>
      <c r="B35" s="2166">
        <v>5336</v>
      </c>
      <c r="C35" s="2166">
        <v>32133030</v>
      </c>
      <c r="D35" s="2167" t="s">
        <v>1325</v>
      </c>
      <c r="E35" s="2163">
        <v>0</v>
      </c>
      <c r="F35" s="2163">
        <v>64</v>
      </c>
      <c r="G35" s="2175">
        <v>64</v>
      </c>
      <c r="H35" s="2164">
        <f>G35/F35*100</f>
        <v>100</v>
      </c>
      <c r="I35" s="2147"/>
    </row>
    <row r="36" spans="1:9" ht="30.75" thickBot="1" x14ac:dyDescent="0.25">
      <c r="A36" s="2165">
        <v>3299</v>
      </c>
      <c r="B36" s="2166">
        <v>5336</v>
      </c>
      <c r="C36" s="2166">
        <v>32533030</v>
      </c>
      <c r="D36" s="2167" t="s">
        <v>1325</v>
      </c>
      <c r="E36" s="2168">
        <v>0</v>
      </c>
      <c r="F36" s="2168">
        <v>361</v>
      </c>
      <c r="G36" s="2176">
        <v>361</v>
      </c>
      <c r="H36" s="2169">
        <f>G36/F36*100</f>
        <v>100</v>
      </c>
      <c r="I36" s="2147"/>
    </row>
    <row r="37" spans="1:9" ht="30.75" hidden="1" thickBot="1" x14ac:dyDescent="0.25">
      <c r="A37" s="2165">
        <v>3299</v>
      </c>
      <c r="B37" s="2166">
        <v>6351</v>
      </c>
      <c r="C37" s="2166">
        <v>32133006</v>
      </c>
      <c r="D37" s="2167" t="s">
        <v>1339</v>
      </c>
      <c r="E37" s="2168">
        <v>0</v>
      </c>
      <c r="F37" s="2168">
        <v>0</v>
      </c>
      <c r="G37" s="2176">
        <v>0</v>
      </c>
      <c r="H37" s="2169" t="e">
        <f>G37/F37*100</f>
        <v>#DIV/0!</v>
      </c>
      <c r="I37" s="2147"/>
    </row>
    <row r="38" spans="1:9" ht="30.75" hidden="1" thickBot="1" x14ac:dyDescent="0.25">
      <c r="A38" s="2165">
        <v>3299</v>
      </c>
      <c r="B38" s="2166">
        <v>6351</v>
      </c>
      <c r="C38" s="2166">
        <v>32533006</v>
      </c>
      <c r="D38" s="2167" t="s">
        <v>1339</v>
      </c>
      <c r="E38" s="2168">
        <v>0</v>
      </c>
      <c r="F38" s="2168">
        <v>0</v>
      </c>
      <c r="G38" s="2176">
        <v>0</v>
      </c>
      <c r="H38" s="2169" t="e">
        <f>G38/F38*100</f>
        <v>#DIV/0!</v>
      </c>
      <c r="I38" s="2147"/>
    </row>
    <row r="39" spans="1:9" ht="16.5" thickTop="1" thickBot="1" x14ac:dyDescent="0.3">
      <c r="A39" s="2177" t="s">
        <v>802</v>
      </c>
      <c r="B39" s="2178"/>
      <c r="C39" s="2178"/>
      <c r="D39" s="2179"/>
      <c r="E39" s="2172">
        <f>SUM(E35:E38)</f>
        <v>0</v>
      </c>
      <c r="F39" s="2172">
        <f>SUM(F35:F38)</f>
        <v>425</v>
      </c>
      <c r="G39" s="2172">
        <f>SUM(G35:G38)</f>
        <v>425</v>
      </c>
      <c r="H39" s="2173">
        <f>G39/F39*100</f>
        <v>100</v>
      </c>
      <c r="I39" s="2147"/>
    </row>
    <row r="40" spans="1:9" ht="13.5" thickTop="1" x14ac:dyDescent="0.2"/>
    <row r="41" spans="1:9" ht="15" x14ac:dyDescent="0.25">
      <c r="A41" s="2132" t="s">
        <v>548</v>
      </c>
      <c r="B41" s="2146"/>
      <c r="C41" s="2146"/>
      <c r="D41" s="2146"/>
      <c r="F41" s="2147"/>
      <c r="G41" s="2147"/>
      <c r="H41" s="2147"/>
      <c r="I41" s="2147"/>
    </row>
    <row r="42" spans="1:9" ht="15.75" thickBot="1" x14ac:dyDescent="0.3">
      <c r="A42" s="2132" t="s">
        <v>1684</v>
      </c>
      <c r="B42" s="2146"/>
      <c r="C42" s="2146"/>
      <c r="D42" s="2146"/>
      <c r="F42" s="2147"/>
      <c r="G42" s="2147"/>
      <c r="H42" s="2148" t="s">
        <v>173</v>
      </c>
      <c r="I42" s="2147"/>
    </row>
    <row r="43" spans="1:9" ht="25.5" thickTop="1" thickBot="1" x14ac:dyDescent="0.25">
      <c r="A43" s="2149" t="s">
        <v>174</v>
      </c>
      <c r="B43" s="2150" t="s">
        <v>800</v>
      </c>
      <c r="C43" s="2150" t="s">
        <v>397</v>
      </c>
      <c r="D43" s="2151" t="s">
        <v>176</v>
      </c>
      <c r="E43" s="2152" t="s">
        <v>669</v>
      </c>
      <c r="F43" s="2152" t="s">
        <v>670</v>
      </c>
      <c r="G43" s="2153" t="s">
        <v>923</v>
      </c>
      <c r="H43" s="2154" t="s">
        <v>924</v>
      </c>
      <c r="I43" s="2147"/>
    </row>
    <row r="44" spans="1:9" ht="14.25" thickTop="1" thickBot="1" x14ac:dyDescent="0.25">
      <c r="A44" s="2155">
        <v>1</v>
      </c>
      <c r="B44" s="2156">
        <v>2</v>
      </c>
      <c r="C44" s="2156">
        <v>3</v>
      </c>
      <c r="D44" s="2156">
        <v>5</v>
      </c>
      <c r="E44" s="2157">
        <v>6</v>
      </c>
      <c r="F44" s="2157">
        <v>7</v>
      </c>
      <c r="G44" s="2158">
        <v>8</v>
      </c>
      <c r="H44" s="2174" t="s">
        <v>801</v>
      </c>
      <c r="I44" s="2147"/>
    </row>
    <row r="45" spans="1:9" ht="30.75" thickTop="1" x14ac:dyDescent="0.2">
      <c r="A45" s="2165">
        <v>3299</v>
      </c>
      <c r="B45" s="2166">
        <v>5336</v>
      </c>
      <c r="C45" s="2166">
        <v>32133030</v>
      </c>
      <c r="D45" s="2167" t="s">
        <v>1325</v>
      </c>
      <c r="E45" s="2163">
        <v>0</v>
      </c>
      <c r="F45" s="2163">
        <v>227</v>
      </c>
      <c r="G45" s="2175">
        <v>224</v>
      </c>
      <c r="H45" s="2164">
        <f>G45/F45*100</f>
        <v>98.678414096916299</v>
      </c>
      <c r="I45" s="2147"/>
    </row>
    <row r="46" spans="1:9" ht="30.75" thickBot="1" x14ac:dyDescent="0.25">
      <c r="A46" s="2165">
        <v>3299</v>
      </c>
      <c r="B46" s="2166">
        <v>5336</v>
      </c>
      <c r="C46" s="2166">
        <v>32533030</v>
      </c>
      <c r="D46" s="2167" t="s">
        <v>1325</v>
      </c>
      <c r="E46" s="2168">
        <v>0</v>
      </c>
      <c r="F46" s="2168">
        <v>1288</v>
      </c>
      <c r="G46" s="2176">
        <v>1268</v>
      </c>
      <c r="H46" s="2169">
        <f>G46/F46*100</f>
        <v>98.447204968944106</v>
      </c>
      <c r="I46" s="2147"/>
    </row>
    <row r="47" spans="1:9" ht="30.75" hidden="1" thickBot="1" x14ac:dyDescent="0.25">
      <c r="A47" s="2165">
        <v>3299</v>
      </c>
      <c r="B47" s="2166">
        <v>6351</v>
      </c>
      <c r="C47" s="2166">
        <v>32133006</v>
      </c>
      <c r="D47" s="2167" t="s">
        <v>1339</v>
      </c>
      <c r="E47" s="2168">
        <v>0</v>
      </c>
      <c r="F47" s="2168">
        <v>0</v>
      </c>
      <c r="G47" s="2176">
        <v>0</v>
      </c>
      <c r="H47" s="2169" t="e">
        <f>G47/F47*100</f>
        <v>#DIV/0!</v>
      </c>
      <c r="I47" s="2147"/>
    </row>
    <row r="48" spans="1:9" ht="30.75" hidden="1" thickBot="1" x14ac:dyDescent="0.25">
      <c r="A48" s="2165">
        <v>3299</v>
      </c>
      <c r="B48" s="2166">
        <v>6351</v>
      </c>
      <c r="C48" s="2166">
        <v>32533006</v>
      </c>
      <c r="D48" s="2167" t="s">
        <v>1339</v>
      </c>
      <c r="E48" s="2168">
        <v>0</v>
      </c>
      <c r="F48" s="2168">
        <v>0</v>
      </c>
      <c r="G48" s="2176">
        <v>0</v>
      </c>
      <c r="H48" s="2169" t="e">
        <f>G48/F48*100</f>
        <v>#DIV/0!</v>
      </c>
      <c r="I48" s="2147"/>
    </row>
    <row r="49" spans="1:9" ht="16.5" thickTop="1" thickBot="1" x14ac:dyDescent="0.3">
      <c r="A49" s="2177" t="s">
        <v>802</v>
      </c>
      <c r="B49" s="2178"/>
      <c r="C49" s="2178"/>
      <c r="D49" s="2179"/>
      <c r="E49" s="2172">
        <f>SUM(E45:E48)</f>
        <v>0</v>
      </c>
      <c r="F49" s="2172">
        <f>SUM(F45:F48)</f>
        <v>1515</v>
      </c>
      <c r="G49" s="2172">
        <f>SUM(G45:G48)</f>
        <v>1492</v>
      </c>
      <c r="H49" s="2173">
        <f>G49/F49*100</f>
        <v>98.481848184818475</v>
      </c>
      <c r="I49" s="2147"/>
    </row>
    <row r="50" spans="1:9" ht="13.5" thickTop="1" x14ac:dyDescent="0.2"/>
    <row r="51" spans="1:9" ht="15" x14ac:dyDescent="0.25">
      <c r="A51" s="2132" t="s">
        <v>189</v>
      </c>
      <c r="B51" s="2146"/>
      <c r="C51" s="2146"/>
      <c r="D51" s="2146"/>
      <c r="F51" s="2147"/>
      <c r="G51" s="2147"/>
      <c r="H51" s="2147"/>
      <c r="I51" s="2147"/>
    </row>
    <row r="52" spans="1:9" ht="15.75" thickBot="1" x14ac:dyDescent="0.3">
      <c r="A52" s="2132" t="s">
        <v>1337</v>
      </c>
      <c r="B52" s="2146"/>
      <c r="C52" s="2146"/>
      <c r="D52" s="2146"/>
      <c r="F52" s="2147"/>
      <c r="G52" s="2147"/>
      <c r="H52" s="2148" t="s">
        <v>173</v>
      </c>
      <c r="I52" s="2147"/>
    </row>
    <row r="53" spans="1:9" ht="25.5" thickTop="1" thickBot="1" x14ac:dyDescent="0.25">
      <c r="A53" s="2149" t="s">
        <v>174</v>
      </c>
      <c r="B53" s="2150" t="s">
        <v>800</v>
      </c>
      <c r="C53" s="2150" t="s">
        <v>397</v>
      </c>
      <c r="D53" s="2151" t="s">
        <v>176</v>
      </c>
      <c r="E53" s="2152" t="s">
        <v>669</v>
      </c>
      <c r="F53" s="2152" t="s">
        <v>670</v>
      </c>
      <c r="G53" s="2153" t="s">
        <v>923</v>
      </c>
      <c r="H53" s="2154" t="s">
        <v>924</v>
      </c>
      <c r="I53" s="2147"/>
    </row>
    <row r="54" spans="1:9" ht="14.25" thickTop="1" thickBot="1" x14ac:dyDescent="0.25">
      <c r="A54" s="2155">
        <v>1</v>
      </c>
      <c r="B54" s="2156">
        <v>2</v>
      </c>
      <c r="C54" s="2156">
        <v>3</v>
      </c>
      <c r="D54" s="2156">
        <v>5</v>
      </c>
      <c r="E54" s="2157">
        <v>6</v>
      </c>
      <c r="F54" s="2157">
        <v>7</v>
      </c>
      <c r="G54" s="2158">
        <v>8</v>
      </c>
      <c r="H54" s="2174" t="s">
        <v>801</v>
      </c>
      <c r="I54" s="2147"/>
    </row>
    <row r="55" spans="1:9" ht="30.75" thickTop="1" x14ac:dyDescent="0.2">
      <c r="A55" s="2165">
        <v>3299</v>
      </c>
      <c r="B55" s="2166">
        <v>5336</v>
      </c>
      <c r="C55" s="2166">
        <v>32133030</v>
      </c>
      <c r="D55" s="2167" t="s">
        <v>1325</v>
      </c>
      <c r="E55" s="2163">
        <v>0</v>
      </c>
      <c r="F55" s="2163">
        <v>187</v>
      </c>
      <c r="G55" s="2175">
        <v>186</v>
      </c>
      <c r="H55" s="2164">
        <f>G55/F55*100</f>
        <v>99.465240641711233</v>
      </c>
      <c r="I55" s="2147"/>
    </row>
    <row r="56" spans="1:9" ht="30.75" thickBot="1" x14ac:dyDescent="0.25">
      <c r="A56" s="2165">
        <v>3299</v>
      </c>
      <c r="B56" s="2166">
        <v>5336</v>
      </c>
      <c r="C56" s="2166">
        <v>32533030</v>
      </c>
      <c r="D56" s="2167" t="s">
        <v>1325</v>
      </c>
      <c r="E56" s="2168">
        <v>0</v>
      </c>
      <c r="F56" s="2168">
        <v>1057</v>
      </c>
      <c r="G56" s="2176">
        <v>1057</v>
      </c>
      <c r="H56" s="2169">
        <f>G56/F56*100</f>
        <v>100</v>
      </c>
      <c r="I56" s="2147"/>
    </row>
    <row r="57" spans="1:9" ht="30.75" hidden="1" thickBot="1" x14ac:dyDescent="0.25">
      <c r="A57" s="2165">
        <v>3299</v>
      </c>
      <c r="B57" s="2166">
        <v>6351</v>
      </c>
      <c r="C57" s="2166">
        <v>32133006</v>
      </c>
      <c r="D57" s="2167" t="s">
        <v>1339</v>
      </c>
      <c r="E57" s="2168">
        <v>0</v>
      </c>
      <c r="F57" s="2168">
        <v>0</v>
      </c>
      <c r="G57" s="2176">
        <v>0</v>
      </c>
      <c r="H57" s="2169" t="e">
        <f>G57/F57*100</f>
        <v>#DIV/0!</v>
      </c>
      <c r="I57" s="2147"/>
    </row>
    <row r="58" spans="1:9" ht="30.75" hidden="1" thickBot="1" x14ac:dyDescent="0.25">
      <c r="A58" s="2165">
        <v>3299</v>
      </c>
      <c r="B58" s="2166">
        <v>6351</v>
      </c>
      <c r="C58" s="2166">
        <v>32533006</v>
      </c>
      <c r="D58" s="2167" t="s">
        <v>1339</v>
      </c>
      <c r="E58" s="2168">
        <v>0</v>
      </c>
      <c r="F58" s="2168">
        <v>0</v>
      </c>
      <c r="G58" s="2176">
        <v>0</v>
      </c>
      <c r="H58" s="2169" t="e">
        <f>G58/F58*100</f>
        <v>#DIV/0!</v>
      </c>
      <c r="I58" s="2147"/>
    </row>
    <row r="59" spans="1:9" ht="16.5" thickTop="1" thickBot="1" x14ac:dyDescent="0.3">
      <c r="A59" s="2177" t="s">
        <v>802</v>
      </c>
      <c r="B59" s="2178"/>
      <c r="C59" s="2178"/>
      <c r="D59" s="2179"/>
      <c r="E59" s="2172">
        <f>SUM(E55:E58)</f>
        <v>0</v>
      </c>
      <c r="F59" s="2172">
        <f>SUM(F55:F58)</f>
        <v>1244</v>
      </c>
      <c r="G59" s="2172">
        <f>SUM(G55:G58)</f>
        <v>1243</v>
      </c>
      <c r="H59" s="2173">
        <f>G59/F59*100</f>
        <v>99.919614147909968</v>
      </c>
      <c r="I59" s="2147"/>
    </row>
    <row r="60" spans="1:9" ht="13.5" thickTop="1" x14ac:dyDescent="0.2"/>
    <row r="61" spans="1:9" ht="15" x14ac:dyDescent="0.25">
      <c r="A61" s="2132" t="s">
        <v>1913</v>
      </c>
      <c r="B61" s="2146"/>
      <c r="C61" s="2146"/>
      <c r="D61" s="2146"/>
      <c r="F61" s="2147"/>
      <c r="G61" s="2147"/>
      <c r="H61" s="2147"/>
      <c r="I61" s="2147"/>
    </row>
    <row r="62" spans="1:9" ht="15.75" thickBot="1" x14ac:dyDescent="0.3">
      <c r="A62" s="2132" t="s">
        <v>1914</v>
      </c>
      <c r="B62" s="2146"/>
      <c r="C62" s="2146"/>
      <c r="D62" s="2146"/>
      <c r="F62" s="2147"/>
      <c r="G62" s="2147"/>
      <c r="H62" s="2148" t="s">
        <v>173</v>
      </c>
      <c r="I62" s="2147"/>
    </row>
    <row r="63" spans="1:9" ht="25.5" thickTop="1" thickBot="1" x14ac:dyDescent="0.25">
      <c r="A63" s="2149" t="s">
        <v>174</v>
      </c>
      <c r="B63" s="2150" t="s">
        <v>800</v>
      </c>
      <c r="C63" s="2150" t="s">
        <v>397</v>
      </c>
      <c r="D63" s="2151" t="s">
        <v>176</v>
      </c>
      <c r="E63" s="2152" t="s">
        <v>669</v>
      </c>
      <c r="F63" s="2152" t="s">
        <v>670</v>
      </c>
      <c r="G63" s="2153" t="s">
        <v>923</v>
      </c>
      <c r="H63" s="2154" t="s">
        <v>924</v>
      </c>
      <c r="I63" s="2147"/>
    </row>
    <row r="64" spans="1:9" ht="14.25" thickTop="1" thickBot="1" x14ac:dyDescent="0.25">
      <c r="A64" s="2155">
        <v>1</v>
      </c>
      <c r="B64" s="2156">
        <v>2</v>
      </c>
      <c r="C64" s="2156">
        <v>3</v>
      </c>
      <c r="D64" s="2156">
        <v>5</v>
      </c>
      <c r="E64" s="2157">
        <v>6</v>
      </c>
      <c r="F64" s="2157">
        <v>7</v>
      </c>
      <c r="G64" s="2158">
        <v>8</v>
      </c>
      <c r="H64" s="2174" t="s">
        <v>801</v>
      </c>
      <c r="I64" s="2147"/>
    </row>
    <row r="65" spans="1:9" ht="30.75" thickTop="1" x14ac:dyDescent="0.2">
      <c r="A65" s="2165">
        <v>3299</v>
      </c>
      <c r="B65" s="2166">
        <v>5336</v>
      </c>
      <c r="C65" s="2166">
        <v>32133030</v>
      </c>
      <c r="D65" s="2167" t="s">
        <v>1325</v>
      </c>
      <c r="E65" s="2163">
        <v>0</v>
      </c>
      <c r="F65" s="2163">
        <v>40</v>
      </c>
      <c r="G65" s="2175">
        <v>40</v>
      </c>
      <c r="H65" s="2164">
        <f>G65/F65*100</f>
        <v>100</v>
      </c>
      <c r="I65" s="2147"/>
    </row>
    <row r="66" spans="1:9" ht="30" x14ac:dyDescent="0.2">
      <c r="A66" s="2165">
        <v>3299</v>
      </c>
      <c r="B66" s="2166">
        <v>5336</v>
      </c>
      <c r="C66" s="2166">
        <v>32533030</v>
      </c>
      <c r="D66" s="2167" t="s">
        <v>1325</v>
      </c>
      <c r="E66" s="2168">
        <v>0</v>
      </c>
      <c r="F66" s="2168">
        <v>229</v>
      </c>
      <c r="G66" s="2176">
        <v>228</v>
      </c>
      <c r="H66" s="2169">
        <f>G66/F66*100</f>
        <v>99.563318777292579</v>
      </c>
      <c r="I66" s="2147"/>
    </row>
    <row r="67" spans="1:9" ht="30" x14ac:dyDescent="0.2">
      <c r="A67" s="2165">
        <v>3299</v>
      </c>
      <c r="B67" s="2166">
        <v>6351</v>
      </c>
      <c r="C67" s="2166">
        <v>32133926</v>
      </c>
      <c r="D67" s="2167" t="s">
        <v>1339</v>
      </c>
      <c r="E67" s="2168">
        <v>0</v>
      </c>
      <c r="F67" s="2168">
        <v>10</v>
      </c>
      <c r="G67" s="2176">
        <v>10</v>
      </c>
      <c r="H67" s="2169">
        <f>G67/F67*100</f>
        <v>100</v>
      </c>
      <c r="I67" s="2147"/>
    </row>
    <row r="68" spans="1:9" ht="30.75" thickBot="1" x14ac:dyDescent="0.25">
      <c r="A68" s="2165">
        <v>3299</v>
      </c>
      <c r="B68" s="2166">
        <v>6351</v>
      </c>
      <c r="C68" s="2166">
        <v>32533926</v>
      </c>
      <c r="D68" s="2167" t="s">
        <v>1339</v>
      </c>
      <c r="E68" s="2168">
        <v>0</v>
      </c>
      <c r="F68" s="2168">
        <v>55</v>
      </c>
      <c r="G68" s="2176">
        <v>55</v>
      </c>
      <c r="H68" s="2169">
        <f>G68/F68*100</f>
        <v>100</v>
      </c>
      <c r="I68" s="2147"/>
    </row>
    <row r="69" spans="1:9" ht="16.5" thickTop="1" thickBot="1" x14ac:dyDescent="0.3">
      <c r="A69" s="2177" t="s">
        <v>802</v>
      </c>
      <c r="B69" s="2178"/>
      <c r="C69" s="2178"/>
      <c r="D69" s="2179"/>
      <c r="E69" s="2172">
        <f>SUM(E65:E68)</f>
        <v>0</v>
      </c>
      <c r="F69" s="2172">
        <f>SUM(F65:F68)</f>
        <v>334</v>
      </c>
      <c r="G69" s="2172">
        <f>SUM(G65:G68)</f>
        <v>333</v>
      </c>
      <c r="H69" s="2173">
        <f>G69/F69*100</f>
        <v>99.700598802395206</v>
      </c>
      <c r="I69" s="2147"/>
    </row>
    <row r="70" spans="1:9" ht="13.5" thickTop="1" x14ac:dyDescent="0.2"/>
    <row r="71" spans="1:9" ht="15" x14ac:dyDescent="0.25">
      <c r="A71" s="2132" t="s">
        <v>1685</v>
      </c>
      <c r="B71" s="2146"/>
      <c r="C71" s="2146"/>
      <c r="D71" s="2146"/>
      <c r="F71" s="2147"/>
      <c r="G71" s="2147"/>
      <c r="H71" s="2147"/>
      <c r="I71" s="2147"/>
    </row>
    <row r="72" spans="1:9" ht="15.75" thickBot="1" x14ac:dyDescent="0.3">
      <c r="A72" s="2132" t="s">
        <v>909</v>
      </c>
      <c r="B72" s="2146"/>
      <c r="C72" s="2146"/>
      <c r="D72" s="2146"/>
      <c r="F72" s="2147"/>
      <c r="G72" s="2147"/>
      <c r="H72" s="2148" t="s">
        <v>173</v>
      </c>
      <c r="I72" s="2147"/>
    </row>
    <row r="73" spans="1:9" ht="25.5" thickTop="1" thickBot="1" x14ac:dyDescent="0.25">
      <c r="A73" s="2149" t="s">
        <v>174</v>
      </c>
      <c r="B73" s="2150" t="s">
        <v>800</v>
      </c>
      <c r="C73" s="2150" t="s">
        <v>397</v>
      </c>
      <c r="D73" s="2151" t="s">
        <v>176</v>
      </c>
      <c r="E73" s="2152" t="s">
        <v>669</v>
      </c>
      <c r="F73" s="2152" t="s">
        <v>670</v>
      </c>
      <c r="G73" s="2153" t="s">
        <v>923</v>
      </c>
      <c r="H73" s="2154" t="s">
        <v>924</v>
      </c>
      <c r="I73" s="2147"/>
    </row>
    <row r="74" spans="1:9" ht="14.25" thickTop="1" thickBot="1" x14ac:dyDescent="0.25">
      <c r="A74" s="2155">
        <v>1</v>
      </c>
      <c r="B74" s="2156">
        <v>2</v>
      </c>
      <c r="C74" s="2156">
        <v>3</v>
      </c>
      <c r="D74" s="2156">
        <v>5</v>
      </c>
      <c r="E74" s="2157">
        <v>6</v>
      </c>
      <c r="F74" s="2157">
        <v>7</v>
      </c>
      <c r="G74" s="2158">
        <v>8</v>
      </c>
      <c r="H74" s="2174" t="s">
        <v>801</v>
      </c>
      <c r="I74" s="2147"/>
    </row>
    <row r="75" spans="1:9" ht="30.75" thickTop="1" x14ac:dyDescent="0.2">
      <c r="A75" s="2165">
        <v>3299</v>
      </c>
      <c r="B75" s="2166">
        <v>5336</v>
      </c>
      <c r="C75" s="2166">
        <v>32133030</v>
      </c>
      <c r="D75" s="2167" t="s">
        <v>1325</v>
      </c>
      <c r="E75" s="2163">
        <v>0</v>
      </c>
      <c r="F75" s="2163">
        <v>381</v>
      </c>
      <c r="G75" s="2175">
        <v>380</v>
      </c>
      <c r="H75" s="2164">
        <f>G75/F75*100</f>
        <v>99.737532808398953</v>
      </c>
      <c r="I75" s="2147"/>
    </row>
    <row r="76" spans="1:9" ht="30.75" thickBot="1" x14ac:dyDescent="0.25">
      <c r="A76" s="2165">
        <v>3299</v>
      </c>
      <c r="B76" s="2166">
        <v>5336</v>
      </c>
      <c r="C76" s="2166">
        <v>32533030</v>
      </c>
      <c r="D76" s="2167" t="s">
        <v>1325</v>
      </c>
      <c r="E76" s="2168">
        <v>0</v>
      </c>
      <c r="F76" s="2168">
        <v>2161</v>
      </c>
      <c r="G76" s="2176">
        <v>2154</v>
      </c>
      <c r="H76" s="2169">
        <f>G76/F76*100</f>
        <v>99.67607589079131</v>
      </c>
      <c r="I76" s="2147"/>
    </row>
    <row r="77" spans="1:9" ht="30.75" hidden="1" thickBot="1" x14ac:dyDescent="0.25">
      <c r="A77" s="2165">
        <v>3299</v>
      </c>
      <c r="B77" s="2166">
        <v>6351</v>
      </c>
      <c r="C77" s="2166">
        <v>32133006</v>
      </c>
      <c r="D77" s="2167" t="s">
        <v>1339</v>
      </c>
      <c r="E77" s="2168">
        <v>0</v>
      </c>
      <c r="F77" s="2168">
        <v>0</v>
      </c>
      <c r="G77" s="2176">
        <v>0</v>
      </c>
      <c r="H77" s="2169" t="e">
        <f>G77/F77*100</f>
        <v>#DIV/0!</v>
      </c>
      <c r="I77" s="2147"/>
    </row>
    <row r="78" spans="1:9" ht="30.75" hidden="1" thickBot="1" x14ac:dyDescent="0.25">
      <c r="A78" s="2165">
        <v>3299</v>
      </c>
      <c r="B78" s="2166">
        <v>6351</v>
      </c>
      <c r="C78" s="2166">
        <v>32533006</v>
      </c>
      <c r="D78" s="2167" t="s">
        <v>1339</v>
      </c>
      <c r="E78" s="2168">
        <v>0</v>
      </c>
      <c r="F78" s="2168">
        <v>0</v>
      </c>
      <c r="G78" s="2176">
        <v>0</v>
      </c>
      <c r="H78" s="2169" t="e">
        <f>G78/F78*100</f>
        <v>#DIV/0!</v>
      </c>
      <c r="I78" s="2147"/>
    </row>
    <row r="79" spans="1:9" ht="16.5" thickTop="1" thickBot="1" x14ac:dyDescent="0.3">
      <c r="A79" s="2177" t="s">
        <v>802</v>
      </c>
      <c r="B79" s="2178"/>
      <c r="C79" s="2178"/>
      <c r="D79" s="2179"/>
      <c r="E79" s="2172">
        <f>SUM(E75:E78)</f>
        <v>0</v>
      </c>
      <c r="F79" s="2172">
        <f>SUM(F75:F78)</f>
        <v>2542</v>
      </c>
      <c r="G79" s="2172">
        <f>SUM(G75:G78)</f>
        <v>2534</v>
      </c>
      <c r="H79" s="2173">
        <f>G79/F79*100</f>
        <v>99.685287175452402</v>
      </c>
      <c r="I79" s="2147"/>
    </row>
    <row r="80" spans="1:9" ht="13.5" thickTop="1" x14ac:dyDescent="0.2"/>
    <row r="81" spans="1:9" ht="15" x14ac:dyDescent="0.25">
      <c r="A81" s="2132" t="s">
        <v>1915</v>
      </c>
      <c r="B81" s="2146"/>
      <c r="C81" s="2146"/>
      <c r="D81" s="2146"/>
      <c r="F81" s="2147"/>
      <c r="G81" s="2147"/>
      <c r="H81" s="2147"/>
      <c r="I81" s="2147"/>
    </row>
    <row r="82" spans="1:9" ht="15.75" thickBot="1" x14ac:dyDescent="0.3">
      <c r="A82" s="2132" t="s">
        <v>1916</v>
      </c>
      <c r="B82" s="2146"/>
      <c r="C82" s="2146"/>
      <c r="D82" s="2146"/>
      <c r="F82" s="2147"/>
      <c r="G82" s="2147"/>
      <c r="H82" s="2148" t="s">
        <v>173</v>
      </c>
      <c r="I82" s="2147"/>
    </row>
    <row r="83" spans="1:9" ht="25.5" thickTop="1" thickBot="1" x14ac:dyDescent="0.25">
      <c r="A83" s="2149" t="s">
        <v>174</v>
      </c>
      <c r="B83" s="2150" t="s">
        <v>800</v>
      </c>
      <c r="C83" s="2150" t="s">
        <v>397</v>
      </c>
      <c r="D83" s="2151" t="s">
        <v>176</v>
      </c>
      <c r="E83" s="2152" t="s">
        <v>669</v>
      </c>
      <c r="F83" s="2152" t="s">
        <v>670</v>
      </c>
      <c r="G83" s="2153" t="s">
        <v>923</v>
      </c>
      <c r="H83" s="2154" t="s">
        <v>924</v>
      </c>
      <c r="I83" s="2147"/>
    </row>
    <row r="84" spans="1:9" ht="14.25" thickTop="1" thickBot="1" x14ac:dyDescent="0.25">
      <c r="A84" s="2155">
        <v>1</v>
      </c>
      <c r="B84" s="2156">
        <v>2</v>
      </c>
      <c r="C84" s="2156">
        <v>3</v>
      </c>
      <c r="D84" s="2156">
        <v>5</v>
      </c>
      <c r="E84" s="2157">
        <v>6</v>
      </c>
      <c r="F84" s="2157">
        <v>7</v>
      </c>
      <c r="G84" s="2158">
        <v>8</v>
      </c>
      <c r="H84" s="2174" t="s">
        <v>801</v>
      </c>
      <c r="I84" s="2147"/>
    </row>
    <row r="85" spans="1:9" ht="15.75" thickTop="1" x14ac:dyDescent="0.25">
      <c r="A85" s="2186">
        <v>3299</v>
      </c>
      <c r="B85" s="2187">
        <v>5321</v>
      </c>
      <c r="C85" s="2187">
        <v>32133030</v>
      </c>
      <c r="D85" s="2189" t="s">
        <v>1261</v>
      </c>
      <c r="E85" s="2168">
        <v>0</v>
      </c>
      <c r="F85" s="2168">
        <v>54</v>
      </c>
      <c r="G85" s="2176">
        <v>54</v>
      </c>
      <c r="H85" s="2169">
        <f>G85/F85*100</f>
        <v>100</v>
      </c>
      <c r="I85" s="2147"/>
    </row>
    <row r="86" spans="1:9" ht="15" x14ac:dyDescent="0.25">
      <c r="A86" s="2186">
        <v>3299</v>
      </c>
      <c r="B86" s="2187">
        <v>5321</v>
      </c>
      <c r="C86" s="2187">
        <v>32533030</v>
      </c>
      <c r="D86" s="2189" t="s">
        <v>1261</v>
      </c>
      <c r="E86" s="2168">
        <v>0</v>
      </c>
      <c r="F86" s="2168">
        <v>309</v>
      </c>
      <c r="G86" s="2176">
        <v>309</v>
      </c>
      <c r="H86" s="2169">
        <f>G86/F86*100</f>
        <v>100</v>
      </c>
      <c r="I86" s="2147"/>
    </row>
    <row r="87" spans="1:9" ht="15" x14ac:dyDescent="0.25">
      <c r="A87" s="2186">
        <v>3299</v>
      </c>
      <c r="B87" s="2187">
        <v>6341</v>
      </c>
      <c r="C87" s="2187">
        <v>32133926</v>
      </c>
      <c r="D87" s="2188" t="s">
        <v>261</v>
      </c>
      <c r="E87" s="2168">
        <v>0</v>
      </c>
      <c r="F87" s="2168">
        <v>11</v>
      </c>
      <c r="G87" s="2176">
        <v>0</v>
      </c>
      <c r="H87" s="2169">
        <f>G87/F87*100</f>
        <v>0</v>
      </c>
      <c r="I87" s="2147"/>
    </row>
    <row r="88" spans="1:9" ht="15.75" thickBot="1" x14ac:dyDescent="0.3">
      <c r="A88" s="2190">
        <v>3299</v>
      </c>
      <c r="B88" s="2191">
        <v>6341</v>
      </c>
      <c r="C88" s="2191">
        <v>32533926</v>
      </c>
      <c r="D88" s="2188" t="s">
        <v>261</v>
      </c>
      <c r="E88" s="2168">
        <v>0</v>
      </c>
      <c r="F88" s="2168">
        <v>61</v>
      </c>
      <c r="G88" s="2176">
        <v>0</v>
      </c>
      <c r="H88" s="2169">
        <f>G88/F88*100</f>
        <v>0</v>
      </c>
      <c r="I88" s="2147"/>
    </row>
    <row r="89" spans="1:9" ht="16.5" thickTop="1" thickBot="1" x14ac:dyDescent="0.3">
      <c r="A89" s="2177" t="s">
        <v>802</v>
      </c>
      <c r="B89" s="2178"/>
      <c r="C89" s="2178"/>
      <c r="D89" s="2179"/>
      <c r="E89" s="2172">
        <f>SUM(E85:E88)</f>
        <v>0</v>
      </c>
      <c r="F89" s="2172">
        <f>SUM(F85:F88)</f>
        <v>435</v>
      </c>
      <c r="G89" s="2172">
        <f>SUM(G85:G88)</f>
        <v>363</v>
      </c>
      <c r="H89" s="2173">
        <f>G89/F89*100</f>
        <v>83.448275862068968</v>
      </c>
      <c r="I89" s="2147"/>
    </row>
    <row r="90" spans="1:9" ht="13.5" thickTop="1" x14ac:dyDescent="0.2"/>
    <row r="97" spans="1:12" ht="16.5" x14ac:dyDescent="0.25">
      <c r="A97" s="2193" t="s">
        <v>487</v>
      </c>
      <c r="B97" s="2194"/>
      <c r="C97" s="2195"/>
      <c r="D97" s="2196"/>
      <c r="E97" s="2197">
        <f>SUM(E98:E100)</f>
        <v>0</v>
      </c>
      <c r="F97" s="2197">
        <f>F98+F99+F100+F101</f>
        <v>24908</v>
      </c>
      <c r="G97" s="2197">
        <f>G98+G99+G100+G101</f>
        <v>35581</v>
      </c>
      <c r="H97" s="2198">
        <f>G97/F97*100</f>
        <v>142.84968684759914</v>
      </c>
      <c r="J97" s="2199">
        <f>J98+J99+J100</f>
        <v>0</v>
      </c>
      <c r="K97" s="2199">
        <f>K98+K99+K100</f>
        <v>24907819.530000001</v>
      </c>
      <c r="L97" s="2199">
        <f>L98+L99+L100</f>
        <v>35580650.539999999</v>
      </c>
    </row>
    <row r="98" spans="1:12" ht="15" x14ac:dyDescent="0.2">
      <c r="A98" s="2200" t="s">
        <v>277</v>
      </c>
      <c r="B98" s="2201"/>
      <c r="C98" s="2202"/>
      <c r="D98" s="2203"/>
      <c r="E98" s="2204">
        <f>E10+E11+E12+E13+E14+E15+E16+E17+E18+E19+E20+E21+E35+E36+E45+E46+E55+E56+E65+E66+E75+E76+E85+E86</f>
        <v>0</v>
      </c>
      <c r="F98" s="2204">
        <f>F10+F11+F12+F13+F14+F15+F16+F17+F18+F19+F20+F21+F35+F36+F45+F46+F55+F56+F65+F66+F75+F76+F85+F86</f>
        <v>24408</v>
      </c>
      <c r="G98" s="2204">
        <f>G10+G11+G12+G13+G14+G15+G16+G17+G18+G19+G20+G21+G35+G36+G45+G46+G55+G56+G65+G66+G75+G76+G85+G86</f>
        <v>21031</v>
      </c>
      <c r="H98" s="2205">
        <f>G98/F98*100</f>
        <v>86.164372336938712</v>
      </c>
      <c r="J98" s="2206">
        <v>0</v>
      </c>
      <c r="K98" s="2206">
        <v>24407965.530000001</v>
      </c>
      <c r="L98" s="2206">
        <v>21030946.170000002</v>
      </c>
    </row>
    <row r="99" spans="1:12" ht="15" x14ac:dyDescent="0.2">
      <c r="A99" s="2200" t="s">
        <v>278</v>
      </c>
      <c r="B99" s="2207"/>
      <c r="C99" s="2202"/>
      <c r="D99" s="2208"/>
      <c r="E99" s="2204">
        <f>E22+E23+E26+E27+E67+E68+E87+E88</f>
        <v>0</v>
      </c>
      <c r="F99" s="2204">
        <f>F22+F23+F26+F27+F67+F68+F87+F88</f>
        <v>500</v>
      </c>
      <c r="G99" s="2204">
        <f>G22+G23+G26+G27+G67+G68+G87+G88</f>
        <v>113</v>
      </c>
      <c r="H99" s="2205">
        <f>G99/F99*100</f>
        <v>22.6</v>
      </c>
      <c r="J99" s="2206">
        <v>0</v>
      </c>
      <c r="K99" s="2206">
        <v>499854</v>
      </c>
      <c r="L99" s="2206">
        <v>112900</v>
      </c>
    </row>
    <row r="100" spans="1:12" ht="15" x14ac:dyDescent="0.2">
      <c r="A100" s="2200" t="s">
        <v>488</v>
      </c>
      <c r="B100" s="2207"/>
      <c r="C100" s="2202"/>
      <c r="D100" s="2208"/>
      <c r="E100" s="2204">
        <f>E28</f>
        <v>0</v>
      </c>
      <c r="F100" s="2204">
        <f>F28</f>
        <v>0</v>
      </c>
      <c r="G100" s="2204">
        <f>G28</f>
        <v>14437</v>
      </c>
      <c r="H100" s="2205">
        <v>0</v>
      </c>
      <c r="J100" s="2206">
        <v>0</v>
      </c>
      <c r="K100" s="2206">
        <v>0</v>
      </c>
      <c r="L100" s="2206">
        <v>14436804.369999999</v>
      </c>
    </row>
    <row r="101" spans="1:12" ht="16.5" customHeight="1" x14ac:dyDescent="0.2">
      <c r="A101" s="2200"/>
      <c r="B101" s="2207"/>
      <c r="C101" s="2202"/>
      <c r="D101" s="2208"/>
      <c r="E101" s="2204"/>
      <c r="F101" s="2204"/>
      <c r="G101" s="2204"/>
      <c r="H101" s="2209"/>
    </row>
    <row r="102" spans="1:12" ht="57.75" customHeight="1" thickBot="1" x14ac:dyDescent="0.4">
      <c r="A102" s="2763" t="s">
        <v>1686</v>
      </c>
      <c r="B102" s="2768"/>
      <c r="C102" s="2768"/>
      <c r="D102" s="2768"/>
      <c r="E102" s="2210">
        <f>SUM(E97)</f>
        <v>0</v>
      </c>
      <c r="F102" s="2210">
        <f>SUM(F97)</f>
        <v>24908</v>
      </c>
      <c r="G102" s="2210">
        <f>SUM(G97)</f>
        <v>35581</v>
      </c>
      <c r="H102" s="2211">
        <f>(G102/F102)*100</f>
        <v>142.84968684759914</v>
      </c>
    </row>
    <row r="103" spans="1:12" ht="13.5" thickTop="1" x14ac:dyDescent="0.2"/>
  </sheetData>
  <mergeCells count="2">
    <mergeCell ref="A29:D29"/>
    <mergeCell ref="A102:D102"/>
  </mergeCells>
  <pageMargins left="0.70866141732283472" right="0.70866141732283472" top="0.78740157480314965" bottom="0.78740157480314965" header="0.31496062992125984" footer="0.31496062992125984"/>
  <pageSetup paperSize="9" scale="70" firstPageNumber="161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1" manualBreakCount="1">
    <brk id="50" max="7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73"/>
  <sheetViews>
    <sheetView view="pageBreakPreview" zoomScaleNormal="100" zoomScaleSheetLayoutView="100" workbookViewId="0">
      <selection activeCell="I82" sqref="I82"/>
    </sheetView>
  </sheetViews>
  <sheetFormatPr defaultRowHeight="12.75" x14ac:dyDescent="0.2"/>
  <cols>
    <col min="1" max="1" width="5.5703125" style="2139" customWidth="1"/>
    <col min="2" max="2" width="6.7109375" style="2139" customWidth="1"/>
    <col min="3" max="3" width="8.85546875" style="2139" customWidth="1"/>
    <col min="4" max="4" width="47.85546875" style="2139" customWidth="1"/>
    <col min="5" max="5" width="12.85546875" style="2139" customWidth="1"/>
    <col min="6" max="6" width="15.5703125" style="2139" customWidth="1"/>
    <col min="7" max="7" width="15.85546875" style="2139" customWidth="1"/>
    <col min="8" max="8" width="8.7109375" style="2139" customWidth="1"/>
    <col min="9" max="10" width="9.140625" style="2139"/>
    <col min="11" max="12" width="14.7109375" style="2139" bestFit="1" customWidth="1"/>
    <col min="13" max="256" width="9.140625" style="2139"/>
    <col min="257" max="257" width="5.5703125" style="2139" customWidth="1"/>
    <col min="258" max="258" width="6.7109375" style="2139" customWidth="1"/>
    <col min="259" max="259" width="8.85546875" style="2139" customWidth="1"/>
    <col min="260" max="260" width="47.85546875" style="2139" customWidth="1"/>
    <col min="261" max="261" width="12.85546875" style="2139" customWidth="1"/>
    <col min="262" max="262" width="15.5703125" style="2139" customWidth="1"/>
    <col min="263" max="263" width="15.85546875" style="2139" customWidth="1"/>
    <col min="264" max="264" width="6.42578125" style="2139" customWidth="1"/>
    <col min="265" max="266" width="9.140625" style="2139"/>
    <col min="267" max="268" width="14.7109375" style="2139" bestFit="1" customWidth="1"/>
    <col min="269" max="512" width="9.140625" style="2139"/>
    <col min="513" max="513" width="5.5703125" style="2139" customWidth="1"/>
    <col min="514" max="514" width="6.7109375" style="2139" customWidth="1"/>
    <col min="515" max="515" width="8.85546875" style="2139" customWidth="1"/>
    <col min="516" max="516" width="47.85546875" style="2139" customWidth="1"/>
    <col min="517" max="517" width="12.85546875" style="2139" customWidth="1"/>
    <col min="518" max="518" width="15.5703125" style="2139" customWidth="1"/>
    <col min="519" max="519" width="15.85546875" style="2139" customWidth="1"/>
    <col min="520" max="520" width="6.42578125" style="2139" customWidth="1"/>
    <col min="521" max="522" width="9.140625" style="2139"/>
    <col min="523" max="524" width="14.7109375" style="2139" bestFit="1" customWidth="1"/>
    <col min="525" max="768" width="9.140625" style="2139"/>
    <col min="769" max="769" width="5.5703125" style="2139" customWidth="1"/>
    <col min="770" max="770" width="6.7109375" style="2139" customWidth="1"/>
    <col min="771" max="771" width="8.85546875" style="2139" customWidth="1"/>
    <col min="772" max="772" width="47.85546875" style="2139" customWidth="1"/>
    <col min="773" max="773" width="12.85546875" style="2139" customWidth="1"/>
    <col min="774" max="774" width="15.5703125" style="2139" customWidth="1"/>
    <col min="775" max="775" width="15.85546875" style="2139" customWidth="1"/>
    <col min="776" max="776" width="6.42578125" style="2139" customWidth="1"/>
    <col min="777" max="778" width="9.140625" style="2139"/>
    <col min="779" max="780" width="14.7109375" style="2139" bestFit="1" customWidth="1"/>
    <col min="781" max="1024" width="9.140625" style="2139"/>
    <col min="1025" max="1025" width="5.5703125" style="2139" customWidth="1"/>
    <col min="1026" max="1026" width="6.7109375" style="2139" customWidth="1"/>
    <col min="1027" max="1027" width="8.85546875" style="2139" customWidth="1"/>
    <col min="1028" max="1028" width="47.85546875" style="2139" customWidth="1"/>
    <col min="1029" max="1029" width="12.85546875" style="2139" customWidth="1"/>
    <col min="1030" max="1030" width="15.5703125" style="2139" customWidth="1"/>
    <col min="1031" max="1031" width="15.85546875" style="2139" customWidth="1"/>
    <col min="1032" max="1032" width="6.42578125" style="2139" customWidth="1"/>
    <col min="1033" max="1034" width="9.140625" style="2139"/>
    <col min="1035" max="1036" width="14.7109375" style="2139" bestFit="1" customWidth="1"/>
    <col min="1037" max="1280" width="9.140625" style="2139"/>
    <col min="1281" max="1281" width="5.5703125" style="2139" customWidth="1"/>
    <col min="1282" max="1282" width="6.7109375" style="2139" customWidth="1"/>
    <col min="1283" max="1283" width="8.85546875" style="2139" customWidth="1"/>
    <col min="1284" max="1284" width="47.85546875" style="2139" customWidth="1"/>
    <col min="1285" max="1285" width="12.85546875" style="2139" customWidth="1"/>
    <col min="1286" max="1286" width="15.5703125" style="2139" customWidth="1"/>
    <col min="1287" max="1287" width="15.85546875" style="2139" customWidth="1"/>
    <col min="1288" max="1288" width="6.42578125" style="2139" customWidth="1"/>
    <col min="1289" max="1290" width="9.140625" style="2139"/>
    <col min="1291" max="1292" width="14.7109375" style="2139" bestFit="1" customWidth="1"/>
    <col min="1293" max="1536" width="9.140625" style="2139"/>
    <col min="1537" max="1537" width="5.5703125" style="2139" customWidth="1"/>
    <col min="1538" max="1538" width="6.7109375" style="2139" customWidth="1"/>
    <col min="1539" max="1539" width="8.85546875" style="2139" customWidth="1"/>
    <col min="1540" max="1540" width="47.85546875" style="2139" customWidth="1"/>
    <col min="1541" max="1541" width="12.85546875" style="2139" customWidth="1"/>
    <col min="1542" max="1542" width="15.5703125" style="2139" customWidth="1"/>
    <col min="1543" max="1543" width="15.85546875" style="2139" customWidth="1"/>
    <col min="1544" max="1544" width="6.42578125" style="2139" customWidth="1"/>
    <col min="1545" max="1546" width="9.140625" style="2139"/>
    <col min="1547" max="1548" width="14.7109375" style="2139" bestFit="1" customWidth="1"/>
    <col min="1549" max="1792" width="9.140625" style="2139"/>
    <col min="1793" max="1793" width="5.5703125" style="2139" customWidth="1"/>
    <col min="1794" max="1794" width="6.7109375" style="2139" customWidth="1"/>
    <col min="1795" max="1795" width="8.85546875" style="2139" customWidth="1"/>
    <col min="1796" max="1796" width="47.85546875" style="2139" customWidth="1"/>
    <col min="1797" max="1797" width="12.85546875" style="2139" customWidth="1"/>
    <col min="1798" max="1798" width="15.5703125" style="2139" customWidth="1"/>
    <col min="1799" max="1799" width="15.85546875" style="2139" customWidth="1"/>
    <col min="1800" max="1800" width="6.42578125" style="2139" customWidth="1"/>
    <col min="1801" max="1802" width="9.140625" style="2139"/>
    <col min="1803" max="1804" width="14.7109375" style="2139" bestFit="1" customWidth="1"/>
    <col min="1805" max="2048" width="9.140625" style="2139"/>
    <col min="2049" max="2049" width="5.5703125" style="2139" customWidth="1"/>
    <col min="2050" max="2050" width="6.7109375" style="2139" customWidth="1"/>
    <col min="2051" max="2051" width="8.85546875" style="2139" customWidth="1"/>
    <col min="2052" max="2052" width="47.85546875" style="2139" customWidth="1"/>
    <col min="2053" max="2053" width="12.85546875" style="2139" customWidth="1"/>
    <col min="2054" max="2054" width="15.5703125" style="2139" customWidth="1"/>
    <col min="2055" max="2055" width="15.85546875" style="2139" customWidth="1"/>
    <col min="2056" max="2056" width="6.42578125" style="2139" customWidth="1"/>
    <col min="2057" max="2058" width="9.140625" style="2139"/>
    <col min="2059" max="2060" width="14.7109375" style="2139" bestFit="1" customWidth="1"/>
    <col min="2061" max="2304" width="9.140625" style="2139"/>
    <col min="2305" max="2305" width="5.5703125" style="2139" customWidth="1"/>
    <col min="2306" max="2306" width="6.7109375" style="2139" customWidth="1"/>
    <col min="2307" max="2307" width="8.85546875" style="2139" customWidth="1"/>
    <col min="2308" max="2308" width="47.85546875" style="2139" customWidth="1"/>
    <col min="2309" max="2309" width="12.85546875" style="2139" customWidth="1"/>
    <col min="2310" max="2310" width="15.5703125" style="2139" customWidth="1"/>
    <col min="2311" max="2311" width="15.85546875" style="2139" customWidth="1"/>
    <col min="2312" max="2312" width="6.42578125" style="2139" customWidth="1"/>
    <col min="2313" max="2314" width="9.140625" style="2139"/>
    <col min="2315" max="2316" width="14.7109375" style="2139" bestFit="1" customWidth="1"/>
    <col min="2317" max="2560" width="9.140625" style="2139"/>
    <col min="2561" max="2561" width="5.5703125" style="2139" customWidth="1"/>
    <col min="2562" max="2562" width="6.7109375" style="2139" customWidth="1"/>
    <col min="2563" max="2563" width="8.85546875" style="2139" customWidth="1"/>
    <col min="2564" max="2564" width="47.85546875" style="2139" customWidth="1"/>
    <col min="2565" max="2565" width="12.85546875" style="2139" customWidth="1"/>
    <col min="2566" max="2566" width="15.5703125" style="2139" customWidth="1"/>
    <col min="2567" max="2567" width="15.85546875" style="2139" customWidth="1"/>
    <col min="2568" max="2568" width="6.42578125" style="2139" customWidth="1"/>
    <col min="2569" max="2570" width="9.140625" style="2139"/>
    <col min="2571" max="2572" width="14.7109375" style="2139" bestFit="1" customWidth="1"/>
    <col min="2573" max="2816" width="9.140625" style="2139"/>
    <col min="2817" max="2817" width="5.5703125" style="2139" customWidth="1"/>
    <col min="2818" max="2818" width="6.7109375" style="2139" customWidth="1"/>
    <col min="2819" max="2819" width="8.85546875" style="2139" customWidth="1"/>
    <col min="2820" max="2820" width="47.85546875" style="2139" customWidth="1"/>
    <col min="2821" max="2821" width="12.85546875" style="2139" customWidth="1"/>
    <col min="2822" max="2822" width="15.5703125" style="2139" customWidth="1"/>
    <col min="2823" max="2823" width="15.85546875" style="2139" customWidth="1"/>
    <col min="2824" max="2824" width="6.42578125" style="2139" customWidth="1"/>
    <col min="2825" max="2826" width="9.140625" style="2139"/>
    <col min="2827" max="2828" width="14.7109375" style="2139" bestFit="1" customWidth="1"/>
    <col min="2829" max="3072" width="9.140625" style="2139"/>
    <col min="3073" max="3073" width="5.5703125" style="2139" customWidth="1"/>
    <col min="3074" max="3074" width="6.7109375" style="2139" customWidth="1"/>
    <col min="3075" max="3075" width="8.85546875" style="2139" customWidth="1"/>
    <col min="3076" max="3076" width="47.85546875" style="2139" customWidth="1"/>
    <col min="3077" max="3077" width="12.85546875" style="2139" customWidth="1"/>
    <col min="3078" max="3078" width="15.5703125" style="2139" customWidth="1"/>
    <col min="3079" max="3079" width="15.85546875" style="2139" customWidth="1"/>
    <col min="3080" max="3080" width="6.42578125" style="2139" customWidth="1"/>
    <col min="3081" max="3082" width="9.140625" style="2139"/>
    <col min="3083" max="3084" width="14.7109375" style="2139" bestFit="1" customWidth="1"/>
    <col min="3085" max="3328" width="9.140625" style="2139"/>
    <col min="3329" max="3329" width="5.5703125" style="2139" customWidth="1"/>
    <col min="3330" max="3330" width="6.7109375" style="2139" customWidth="1"/>
    <col min="3331" max="3331" width="8.85546875" style="2139" customWidth="1"/>
    <col min="3332" max="3332" width="47.85546875" style="2139" customWidth="1"/>
    <col min="3333" max="3333" width="12.85546875" style="2139" customWidth="1"/>
    <col min="3334" max="3334" width="15.5703125" style="2139" customWidth="1"/>
    <col min="3335" max="3335" width="15.85546875" style="2139" customWidth="1"/>
    <col min="3336" max="3336" width="6.42578125" style="2139" customWidth="1"/>
    <col min="3337" max="3338" width="9.140625" style="2139"/>
    <col min="3339" max="3340" width="14.7109375" style="2139" bestFit="1" customWidth="1"/>
    <col min="3341" max="3584" width="9.140625" style="2139"/>
    <col min="3585" max="3585" width="5.5703125" style="2139" customWidth="1"/>
    <col min="3586" max="3586" width="6.7109375" style="2139" customWidth="1"/>
    <col min="3587" max="3587" width="8.85546875" style="2139" customWidth="1"/>
    <col min="3588" max="3588" width="47.85546875" style="2139" customWidth="1"/>
    <col min="3589" max="3589" width="12.85546875" style="2139" customWidth="1"/>
    <col min="3590" max="3590" width="15.5703125" style="2139" customWidth="1"/>
    <col min="3591" max="3591" width="15.85546875" style="2139" customWidth="1"/>
    <col min="3592" max="3592" width="6.42578125" style="2139" customWidth="1"/>
    <col min="3593" max="3594" width="9.140625" style="2139"/>
    <col min="3595" max="3596" width="14.7109375" style="2139" bestFit="1" customWidth="1"/>
    <col min="3597" max="3840" width="9.140625" style="2139"/>
    <col min="3841" max="3841" width="5.5703125" style="2139" customWidth="1"/>
    <col min="3842" max="3842" width="6.7109375" style="2139" customWidth="1"/>
    <col min="3843" max="3843" width="8.85546875" style="2139" customWidth="1"/>
    <col min="3844" max="3844" width="47.85546875" style="2139" customWidth="1"/>
    <col min="3845" max="3845" width="12.85546875" style="2139" customWidth="1"/>
    <col min="3846" max="3846" width="15.5703125" style="2139" customWidth="1"/>
    <col min="3847" max="3847" width="15.85546875" style="2139" customWidth="1"/>
    <col min="3848" max="3848" width="6.42578125" style="2139" customWidth="1"/>
    <col min="3849" max="3850" width="9.140625" style="2139"/>
    <col min="3851" max="3852" width="14.7109375" style="2139" bestFit="1" customWidth="1"/>
    <col min="3853" max="4096" width="9.140625" style="2139"/>
    <col min="4097" max="4097" width="5.5703125" style="2139" customWidth="1"/>
    <col min="4098" max="4098" width="6.7109375" style="2139" customWidth="1"/>
    <col min="4099" max="4099" width="8.85546875" style="2139" customWidth="1"/>
    <col min="4100" max="4100" width="47.85546875" style="2139" customWidth="1"/>
    <col min="4101" max="4101" width="12.85546875" style="2139" customWidth="1"/>
    <col min="4102" max="4102" width="15.5703125" style="2139" customWidth="1"/>
    <col min="4103" max="4103" width="15.85546875" style="2139" customWidth="1"/>
    <col min="4104" max="4104" width="6.42578125" style="2139" customWidth="1"/>
    <col min="4105" max="4106" width="9.140625" style="2139"/>
    <col min="4107" max="4108" width="14.7109375" style="2139" bestFit="1" customWidth="1"/>
    <col min="4109" max="4352" width="9.140625" style="2139"/>
    <col min="4353" max="4353" width="5.5703125" style="2139" customWidth="1"/>
    <col min="4354" max="4354" width="6.7109375" style="2139" customWidth="1"/>
    <col min="4355" max="4355" width="8.85546875" style="2139" customWidth="1"/>
    <col min="4356" max="4356" width="47.85546875" style="2139" customWidth="1"/>
    <col min="4357" max="4357" width="12.85546875" style="2139" customWidth="1"/>
    <col min="4358" max="4358" width="15.5703125" style="2139" customWidth="1"/>
    <col min="4359" max="4359" width="15.85546875" style="2139" customWidth="1"/>
    <col min="4360" max="4360" width="6.42578125" style="2139" customWidth="1"/>
    <col min="4361" max="4362" width="9.140625" style="2139"/>
    <col min="4363" max="4364" width="14.7109375" style="2139" bestFit="1" customWidth="1"/>
    <col min="4365" max="4608" width="9.140625" style="2139"/>
    <col min="4609" max="4609" width="5.5703125" style="2139" customWidth="1"/>
    <col min="4610" max="4610" width="6.7109375" style="2139" customWidth="1"/>
    <col min="4611" max="4611" width="8.85546875" style="2139" customWidth="1"/>
    <col min="4612" max="4612" width="47.85546875" style="2139" customWidth="1"/>
    <col min="4613" max="4613" width="12.85546875" style="2139" customWidth="1"/>
    <col min="4614" max="4614" width="15.5703125" style="2139" customWidth="1"/>
    <col min="4615" max="4615" width="15.85546875" style="2139" customWidth="1"/>
    <col min="4616" max="4616" width="6.42578125" style="2139" customWidth="1"/>
    <col min="4617" max="4618" width="9.140625" style="2139"/>
    <col min="4619" max="4620" width="14.7109375" style="2139" bestFit="1" customWidth="1"/>
    <col min="4621" max="4864" width="9.140625" style="2139"/>
    <col min="4865" max="4865" width="5.5703125" style="2139" customWidth="1"/>
    <col min="4866" max="4866" width="6.7109375" style="2139" customWidth="1"/>
    <col min="4867" max="4867" width="8.85546875" style="2139" customWidth="1"/>
    <col min="4868" max="4868" width="47.85546875" style="2139" customWidth="1"/>
    <col min="4869" max="4869" width="12.85546875" style="2139" customWidth="1"/>
    <col min="4870" max="4870" width="15.5703125" style="2139" customWidth="1"/>
    <col min="4871" max="4871" width="15.85546875" style="2139" customWidth="1"/>
    <col min="4872" max="4872" width="6.42578125" style="2139" customWidth="1"/>
    <col min="4873" max="4874" width="9.140625" style="2139"/>
    <col min="4875" max="4876" width="14.7109375" style="2139" bestFit="1" customWidth="1"/>
    <col min="4877" max="5120" width="9.140625" style="2139"/>
    <col min="5121" max="5121" width="5.5703125" style="2139" customWidth="1"/>
    <col min="5122" max="5122" width="6.7109375" style="2139" customWidth="1"/>
    <col min="5123" max="5123" width="8.85546875" style="2139" customWidth="1"/>
    <col min="5124" max="5124" width="47.85546875" style="2139" customWidth="1"/>
    <col min="5125" max="5125" width="12.85546875" style="2139" customWidth="1"/>
    <col min="5126" max="5126" width="15.5703125" style="2139" customWidth="1"/>
    <col min="5127" max="5127" width="15.85546875" style="2139" customWidth="1"/>
    <col min="5128" max="5128" width="6.42578125" style="2139" customWidth="1"/>
    <col min="5129" max="5130" width="9.140625" style="2139"/>
    <col min="5131" max="5132" width="14.7109375" style="2139" bestFit="1" customWidth="1"/>
    <col min="5133" max="5376" width="9.140625" style="2139"/>
    <col min="5377" max="5377" width="5.5703125" style="2139" customWidth="1"/>
    <col min="5378" max="5378" width="6.7109375" style="2139" customWidth="1"/>
    <col min="5379" max="5379" width="8.85546875" style="2139" customWidth="1"/>
    <col min="5380" max="5380" width="47.85546875" style="2139" customWidth="1"/>
    <col min="5381" max="5381" width="12.85546875" style="2139" customWidth="1"/>
    <col min="5382" max="5382" width="15.5703125" style="2139" customWidth="1"/>
    <col min="5383" max="5383" width="15.85546875" style="2139" customWidth="1"/>
    <col min="5384" max="5384" width="6.42578125" style="2139" customWidth="1"/>
    <col min="5385" max="5386" width="9.140625" style="2139"/>
    <col min="5387" max="5388" width="14.7109375" style="2139" bestFit="1" customWidth="1"/>
    <col min="5389" max="5632" width="9.140625" style="2139"/>
    <col min="5633" max="5633" width="5.5703125" style="2139" customWidth="1"/>
    <col min="5634" max="5634" width="6.7109375" style="2139" customWidth="1"/>
    <col min="5635" max="5635" width="8.85546875" style="2139" customWidth="1"/>
    <col min="5636" max="5636" width="47.85546875" style="2139" customWidth="1"/>
    <col min="5637" max="5637" width="12.85546875" style="2139" customWidth="1"/>
    <col min="5638" max="5638" width="15.5703125" style="2139" customWidth="1"/>
    <col min="5639" max="5639" width="15.85546875" style="2139" customWidth="1"/>
    <col min="5640" max="5640" width="6.42578125" style="2139" customWidth="1"/>
    <col min="5641" max="5642" width="9.140625" style="2139"/>
    <col min="5643" max="5644" width="14.7109375" style="2139" bestFit="1" customWidth="1"/>
    <col min="5645" max="5888" width="9.140625" style="2139"/>
    <col min="5889" max="5889" width="5.5703125" style="2139" customWidth="1"/>
    <col min="5890" max="5890" width="6.7109375" style="2139" customWidth="1"/>
    <col min="5891" max="5891" width="8.85546875" style="2139" customWidth="1"/>
    <col min="5892" max="5892" width="47.85546875" style="2139" customWidth="1"/>
    <col min="5893" max="5893" width="12.85546875" style="2139" customWidth="1"/>
    <col min="5894" max="5894" width="15.5703125" style="2139" customWidth="1"/>
    <col min="5895" max="5895" width="15.85546875" style="2139" customWidth="1"/>
    <col min="5896" max="5896" width="6.42578125" style="2139" customWidth="1"/>
    <col min="5897" max="5898" width="9.140625" style="2139"/>
    <col min="5899" max="5900" width="14.7109375" style="2139" bestFit="1" customWidth="1"/>
    <col min="5901" max="6144" width="9.140625" style="2139"/>
    <col min="6145" max="6145" width="5.5703125" style="2139" customWidth="1"/>
    <col min="6146" max="6146" width="6.7109375" style="2139" customWidth="1"/>
    <col min="6147" max="6147" width="8.85546875" style="2139" customWidth="1"/>
    <col min="6148" max="6148" width="47.85546875" style="2139" customWidth="1"/>
    <col min="6149" max="6149" width="12.85546875" style="2139" customWidth="1"/>
    <col min="6150" max="6150" width="15.5703125" style="2139" customWidth="1"/>
    <col min="6151" max="6151" width="15.85546875" style="2139" customWidth="1"/>
    <col min="6152" max="6152" width="6.42578125" style="2139" customWidth="1"/>
    <col min="6153" max="6154" width="9.140625" style="2139"/>
    <col min="6155" max="6156" width="14.7109375" style="2139" bestFit="1" customWidth="1"/>
    <col min="6157" max="6400" width="9.140625" style="2139"/>
    <col min="6401" max="6401" width="5.5703125" style="2139" customWidth="1"/>
    <col min="6402" max="6402" width="6.7109375" style="2139" customWidth="1"/>
    <col min="6403" max="6403" width="8.85546875" style="2139" customWidth="1"/>
    <col min="6404" max="6404" width="47.85546875" style="2139" customWidth="1"/>
    <col min="6405" max="6405" width="12.85546875" style="2139" customWidth="1"/>
    <col min="6406" max="6406" width="15.5703125" style="2139" customWidth="1"/>
    <col min="6407" max="6407" width="15.85546875" style="2139" customWidth="1"/>
    <col min="6408" max="6408" width="6.42578125" style="2139" customWidth="1"/>
    <col min="6409" max="6410" width="9.140625" style="2139"/>
    <col min="6411" max="6412" width="14.7109375" style="2139" bestFit="1" customWidth="1"/>
    <col min="6413" max="6656" width="9.140625" style="2139"/>
    <col min="6657" max="6657" width="5.5703125" style="2139" customWidth="1"/>
    <col min="6658" max="6658" width="6.7109375" style="2139" customWidth="1"/>
    <col min="6659" max="6659" width="8.85546875" style="2139" customWidth="1"/>
    <col min="6660" max="6660" width="47.85546875" style="2139" customWidth="1"/>
    <col min="6661" max="6661" width="12.85546875" style="2139" customWidth="1"/>
    <col min="6662" max="6662" width="15.5703125" style="2139" customWidth="1"/>
    <col min="6663" max="6663" width="15.85546875" style="2139" customWidth="1"/>
    <col min="6664" max="6664" width="6.42578125" style="2139" customWidth="1"/>
    <col min="6665" max="6666" width="9.140625" style="2139"/>
    <col min="6667" max="6668" width="14.7109375" style="2139" bestFit="1" customWidth="1"/>
    <col min="6669" max="6912" width="9.140625" style="2139"/>
    <col min="6913" max="6913" width="5.5703125" style="2139" customWidth="1"/>
    <col min="6914" max="6914" width="6.7109375" style="2139" customWidth="1"/>
    <col min="6915" max="6915" width="8.85546875" style="2139" customWidth="1"/>
    <col min="6916" max="6916" width="47.85546875" style="2139" customWidth="1"/>
    <col min="6917" max="6917" width="12.85546875" style="2139" customWidth="1"/>
    <col min="6918" max="6918" width="15.5703125" style="2139" customWidth="1"/>
    <col min="6919" max="6919" width="15.85546875" style="2139" customWidth="1"/>
    <col min="6920" max="6920" width="6.42578125" style="2139" customWidth="1"/>
    <col min="6921" max="6922" width="9.140625" style="2139"/>
    <col min="6923" max="6924" width="14.7109375" style="2139" bestFit="1" customWidth="1"/>
    <col min="6925" max="7168" width="9.140625" style="2139"/>
    <col min="7169" max="7169" width="5.5703125" style="2139" customWidth="1"/>
    <col min="7170" max="7170" width="6.7109375" style="2139" customWidth="1"/>
    <col min="7171" max="7171" width="8.85546875" style="2139" customWidth="1"/>
    <col min="7172" max="7172" width="47.85546875" style="2139" customWidth="1"/>
    <col min="7173" max="7173" width="12.85546875" style="2139" customWidth="1"/>
    <col min="7174" max="7174" width="15.5703125" style="2139" customWidth="1"/>
    <col min="7175" max="7175" width="15.85546875" style="2139" customWidth="1"/>
    <col min="7176" max="7176" width="6.42578125" style="2139" customWidth="1"/>
    <col min="7177" max="7178" width="9.140625" style="2139"/>
    <col min="7179" max="7180" width="14.7109375" style="2139" bestFit="1" customWidth="1"/>
    <col min="7181" max="7424" width="9.140625" style="2139"/>
    <col min="7425" max="7425" width="5.5703125" style="2139" customWidth="1"/>
    <col min="7426" max="7426" width="6.7109375" style="2139" customWidth="1"/>
    <col min="7427" max="7427" width="8.85546875" style="2139" customWidth="1"/>
    <col min="7428" max="7428" width="47.85546875" style="2139" customWidth="1"/>
    <col min="7429" max="7429" width="12.85546875" style="2139" customWidth="1"/>
    <col min="7430" max="7430" width="15.5703125" style="2139" customWidth="1"/>
    <col min="7431" max="7431" width="15.85546875" style="2139" customWidth="1"/>
    <col min="7432" max="7432" width="6.42578125" style="2139" customWidth="1"/>
    <col min="7433" max="7434" width="9.140625" style="2139"/>
    <col min="7435" max="7436" width="14.7109375" style="2139" bestFit="1" customWidth="1"/>
    <col min="7437" max="7680" width="9.140625" style="2139"/>
    <col min="7681" max="7681" width="5.5703125" style="2139" customWidth="1"/>
    <col min="7682" max="7682" width="6.7109375" style="2139" customWidth="1"/>
    <col min="7683" max="7683" width="8.85546875" style="2139" customWidth="1"/>
    <col min="7684" max="7684" width="47.85546875" style="2139" customWidth="1"/>
    <col min="7685" max="7685" width="12.85546875" style="2139" customWidth="1"/>
    <col min="7686" max="7686" width="15.5703125" style="2139" customWidth="1"/>
    <col min="7687" max="7687" width="15.85546875" style="2139" customWidth="1"/>
    <col min="7688" max="7688" width="6.42578125" style="2139" customWidth="1"/>
    <col min="7689" max="7690" width="9.140625" style="2139"/>
    <col min="7691" max="7692" width="14.7109375" style="2139" bestFit="1" customWidth="1"/>
    <col min="7693" max="7936" width="9.140625" style="2139"/>
    <col min="7937" max="7937" width="5.5703125" style="2139" customWidth="1"/>
    <col min="7938" max="7938" width="6.7109375" style="2139" customWidth="1"/>
    <col min="7939" max="7939" width="8.85546875" style="2139" customWidth="1"/>
    <col min="7940" max="7940" width="47.85546875" style="2139" customWidth="1"/>
    <col min="7941" max="7941" width="12.85546875" style="2139" customWidth="1"/>
    <col min="7942" max="7942" width="15.5703125" style="2139" customWidth="1"/>
    <col min="7943" max="7943" width="15.85546875" style="2139" customWidth="1"/>
    <col min="7944" max="7944" width="6.42578125" style="2139" customWidth="1"/>
    <col min="7945" max="7946" width="9.140625" style="2139"/>
    <col min="7947" max="7948" width="14.7109375" style="2139" bestFit="1" customWidth="1"/>
    <col min="7949" max="8192" width="9.140625" style="2139"/>
    <col min="8193" max="8193" width="5.5703125" style="2139" customWidth="1"/>
    <col min="8194" max="8194" width="6.7109375" style="2139" customWidth="1"/>
    <col min="8195" max="8195" width="8.85546875" style="2139" customWidth="1"/>
    <col min="8196" max="8196" width="47.85546875" style="2139" customWidth="1"/>
    <col min="8197" max="8197" width="12.85546875" style="2139" customWidth="1"/>
    <col min="8198" max="8198" width="15.5703125" style="2139" customWidth="1"/>
    <col min="8199" max="8199" width="15.85546875" style="2139" customWidth="1"/>
    <col min="8200" max="8200" width="6.42578125" style="2139" customWidth="1"/>
    <col min="8201" max="8202" width="9.140625" style="2139"/>
    <col min="8203" max="8204" width="14.7109375" style="2139" bestFit="1" customWidth="1"/>
    <col min="8205" max="8448" width="9.140625" style="2139"/>
    <col min="8449" max="8449" width="5.5703125" style="2139" customWidth="1"/>
    <col min="8450" max="8450" width="6.7109375" style="2139" customWidth="1"/>
    <col min="8451" max="8451" width="8.85546875" style="2139" customWidth="1"/>
    <col min="8452" max="8452" width="47.85546875" style="2139" customWidth="1"/>
    <col min="8453" max="8453" width="12.85546875" style="2139" customWidth="1"/>
    <col min="8454" max="8454" width="15.5703125" style="2139" customWidth="1"/>
    <col min="8455" max="8455" width="15.85546875" style="2139" customWidth="1"/>
    <col min="8456" max="8456" width="6.42578125" style="2139" customWidth="1"/>
    <col min="8457" max="8458" width="9.140625" style="2139"/>
    <col min="8459" max="8460" width="14.7109375" style="2139" bestFit="1" customWidth="1"/>
    <col min="8461" max="8704" width="9.140625" style="2139"/>
    <col min="8705" max="8705" width="5.5703125" style="2139" customWidth="1"/>
    <col min="8706" max="8706" width="6.7109375" style="2139" customWidth="1"/>
    <col min="8707" max="8707" width="8.85546875" style="2139" customWidth="1"/>
    <col min="8708" max="8708" width="47.85546875" style="2139" customWidth="1"/>
    <col min="8709" max="8709" width="12.85546875" style="2139" customWidth="1"/>
    <col min="8710" max="8710" width="15.5703125" style="2139" customWidth="1"/>
    <col min="8711" max="8711" width="15.85546875" style="2139" customWidth="1"/>
    <col min="8712" max="8712" width="6.42578125" style="2139" customWidth="1"/>
    <col min="8713" max="8714" width="9.140625" style="2139"/>
    <col min="8715" max="8716" width="14.7109375" style="2139" bestFit="1" customWidth="1"/>
    <col min="8717" max="8960" width="9.140625" style="2139"/>
    <col min="8961" max="8961" width="5.5703125" style="2139" customWidth="1"/>
    <col min="8962" max="8962" width="6.7109375" style="2139" customWidth="1"/>
    <col min="8963" max="8963" width="8.85546875" style="2139" customWidth="1"/>
    <col min="8964" max="8964" width="47.85546875" style="2139" customWidth="1"/>
    <col min="8965" max="8965" width="12.85546875" style="2139" customWidth="1"/>
    <col min="8966" max="8966" width="15.5703125" style="2139" customWidth="1"/>
    <col min="8967" max="8967" width="15.85546875" style="2139" customWidth="1"/>
    <col min="8968" max="8968" width="6.42578125" style="2139" customWidth="1"/>
    <col min="8969" max="8970" width="9.140625" style="2139"/>
    <col min="8971" max="8972" width="14.7109375" style="2139" bestFit="1" customWidth="1"/>
    <col min="8973" max="9216" width="9.140625" style="2139"/>
    <col min="9217" max="9217" width="5.5703125" style="2139" customWidth="1"/>
    <col min="9218" max="9218" width="6.7109375" style="2139" customWidth="1"/>
    <col min="9219" max="9219" width="8.85546875" style="2139" customWidth="1"/>
    <col min="9220" max="9220" width="47.85546875" style="2139" customWidth="1"/>
    <col min="9221" max="9221" width="12.85546875" style="2139" customWidth="1"/>
    <col min="9222" max="9222" width="15.5703125" style="2139" customWidth="1"/>
    <col min="9223" max="9223" width="15.85546875" style="2139" customWidth="1"/>
    <col min="9224" max="9224" width="6.42578125" style="2139" customWidth="1"/>
    <col min="9225" max="9226" width="9.140625" style="2139"/>
    <col min="9227" max="9228" width="14.7109375" style="2139" bestFit="1" customWidth="1"/>
    <col min="9229" max="9472" width="9.140625" style="2139"/>
    <col min="9473" max="9473" width="5.5703125" style="2139" customWidth="1"/>
    <col min="9474" max="9474" width="6.7109375" style="2139" customWidth="1"/>
    <col min="9475" max="9475" width="8.85546875" style="2139" customWidth="1"/>
    <col min="9476" max="9476" width="47.85546875" style="2139" customWidth="1"/>
    <col min="9477" max="9477" width="12.85546875" style="2139" customWidth="1"/>
    <col min="9478" max="9478" width="15.5703125" style="2139" customWidth="1"/>
    <col min="9479" max="9479" width="15.85546875" style="2139" customWidth="1"/>
    <col min="9480" max="9480" width="6.42578125" style="2139" customWidth="1"/>
    <col min="9481" max="9482" width="9.140625" style="2139"/>
    <col min="9483" max="9484" width="14.7109375" style="2139" bestFit="1" customWidth="1"/>
    <col min="9485" max="9728" width="9.140625" style="2139"/>
    <col min="9729" max="9729" width="5.5703125" style="2139" customWidth="1"/>
    <col min="9730" max="9730" width="6.7109375" style="2139" customWidth="1"/>
    <col min="9731" max="9731" width="8.85546875" style="2139" customWidth="1"/>
    <col min="9732" max="9732" width="47.85546875" style="2139" customWidth="1"/>
    <col min="9733" max="9733" width="12.85546875" style="2139" customWidth="1"/>
    <col min="9734" max="9734" width="15.5703125" style="2139" customWidth="1"/>
    <col min="9735" max="9735" width="15.85546875" style="2139" customWidth="1"/>
    <col min="9736" max="9736" width="6.42578125" style="2139" customWidth="1"/>
    <col min="9737" max="9738" width="9.140625" style="2139"/>
    <col min="9739" max="9740" width="14.7109375" style="2139" bestFit="1" customWidth="1"/>
    <col min="9741" max="9984" width="9.140625" style="2139"/>
    <col min="9985" max="9985" width="5.5703125" style="2139" customWidth="1"/>
    <col min="9986" max="9986" width="6.7109375" style="2139" customWidth="1"/>
    <col min="9987" max="9987" width="8.85546875" style="2139" customWidth="1"/>
    <col min="9988" max="9988" width="47.85546875" style="2139" customWidth="1"/>
    <col min="9989" max="9989" width="12.85546875" style="2139" customWidth="1"/>
    <col min="9990" max="9990" width="15.5703125" style="2139" customWidth="1"/>
    <col min="9991" max="9991" width="15.85546875" style="2139" customWidth="1"/>
    <col min="9992" max="9992" width="6.42578125" style="2139" customWidth="1"/>
    <col min="9993" max="9994" width="9.140625" style="2139"/>
    <col min="9995" max="9996" width="14.7109375" style="2139" bestFit="1" customWidth="1"/>
    <col min="9997" max="10240" width="9.140625" style="2139"/>
    <col min="10241" max="10241" width="5.5703125" style="2139" customWidth="1"/>
    <col min="10242" max="10242" width="6.7109375" style="2139" customWidth="1"/>
    <col min="10243" max="10243" width="8.85546875" style="2139" customWidth="1"/>
    <col min="10244" max="10244" width="47.85546875" style="2139" customWidth="1"/>
    <col min="10245" max="10245" width="12.85546875" style="2139" customWidth="1"/>
    <col min="10246" max="10246" width="15.5703125" style="2139" customWidth="1"/>
    <col min="10247" max="10247" width="15.85546875" style="2139" customWidth="1"/>
    <col min="10248" max="10248" width="6.42578125" style="2139" customWidth="1"/>
    <col min="10249" max="10250" width="9.140625" style="2139"/>
    <col min="10251" max="10252" width="14.7109375" style="2139" bestFit="1" customWidth="1"/>
    <col min="10253" max="10496" width="9.140625" style="2139"/>
    <col min="10497" max="10497" width="5.5703125" style="2139" customWidth="1"/>
    <col min="10498" max="10498" width="6.7109375" style="2139" customWidth="1"/>
    <col min="10499" max="10499" width="8.85546875" style="2139" customWidth="1"/>
    <col min="10500" max="10500" width="47.85546875" style="2139" customWidth="1"/>
    <col min="10501" max="10501" width="12.85546875" style="2139" customWidth="1"/>
    <col min="10502" max="10502" width="15.5703125" style="2139" customWidth="1"/>
    <col min="10503" max="10503" width="15.85546875" style="2139" customWidth="1"/>
    <col min="10504" max="10504" width="6.42578125" style="2139" customWidth="1"/>
    <col min="10505" max="10506" width="9.140625" style="2139"/>
    <col min="10507" max="10508" width="14.7109375" style="2139" bestFit="1" customWidth="1"/>
    <col min="10509" max="10752" width="9.140625" style="2139"/>
    <col min="10753" max="10753" width="5.5703125" style="2139" customWidth="1"/>
    <col min="10754" max="10754" width="6.7109375" style="2139" customWidth="1"/>
    <col min="10755" max="10755" width="8.85546875" style="2139" customWidth="1"/>
    <col min="10756" max="10756" width="47.85546875" style="2139" customWidth="1"/>
    <col min="10757" max="10757" width="12.85546875" style="2139" customWidth="1"/>
    <col min="10758" max="10758" width="15.5703125" style="2139" customWidth="1"/>
    <col min="10759" max="10759" width="15.85546875" style="2139" customWidth="1"/>
    <col min="10760" max="10760" width="6.42578125" style="2139" customWidth="1"/>
    <col min="10761" max="10762" width="9.140625" style="2139"/>
    <col min="10763" max="10764" width="14.7109375" style="2139" bestFit="1" customWidth="1"/>
    <col min="10765" max="11008" width="9.140625" style="2139"/>
    <col min="11009" max="11009" width="5.5703125" style="2139" customWidth="1"/>
    <col min="11010" max="11010" width="6.7109375" style="2139" customWidth="1"/>
    <col min="11011" max="11011" width="8.85546875" style="2139" customWidth="1"/>
    <col min="11012" max="11012" width="47.85546875" style="2139" customWidth="1"/>
    <col min="11013" max="11013" width="12.85546875" style="2139" customWidth="1"/>
    <col min="11014" max="11014" width="15.5703125" style="2139" customWidth="1"/>
    <col min="11015" max="11015" width="15.85546875" style="2139" customWidth="1"/>
    <col min="11016" max="11016" width="6.42578125" style="2139" customWidth="1"/>
    <col min="11017" max="11018" width="9.140625" style="2139"/>
    <col min="11019" max="11020" width="14.7109375" style="2139" bestFit="1" customWidth="1"/>
    <col min="11021" max="11264" width="9.140625" style="2139"/>
    <col min="11265" max="11265" width="5.5703125" style="2139" customWidth="1"/>
    <col min="11266" max="11266" width="6.7109375" style="2139" customWidth="1"/>
    <col min="11267" max="11267" width="8.85546875" style="2139" customWidth="1"/>
    <col min="11268" max="11268" width="47.85546875" style="2139" customWidth="1"/>
    <col min="11269" max="11269" width="12.85546875" style="2139" customWidth="1"/>
    <col min="11270" max="11270" width="15.5703125" style="2139" customWidth="1"/>
    <col min="11271" max="11271" width="15.85546875" style="2139" customWidth="1"/>
    <col min="11272" max="11272" width="6.42578125" style="2139" customWidth="1"/>
    <col min="11273" max="11274" width="9.140625" style="2139"/>
    <col min="11275" max="11276" width="14.7109375" style="2139" bestFit="1" customWidth="1"/>
    <col min="11277" max="11520" width="9.140625" style="2139"/>
    <col min="11521" max="11521" width="5.5703125" style="2139" customWidth="1"/>
    <col min="11522" max="11522" width="6.7109375" style="2139" customWidth="1"/>
    <col min="11523" max="11523" width="8.85546875" style="2139" customWidth="1"/>
    <col min="11524" max="11524" width="47.85546875" style="2139" customWidth="1"/>
    <col min="11525" max="11525" width="12.85546875" style="2139" customWidth="1"/>
    <col min="11526" max="11526" width="15.5703125" style="2139" customWidth="1"/>
    <col min="11527" max="11527" width="15.85546875" style="2139" customWidth="1"/>
    <col min="11528" max="11528" width="6.42578125" style="2139" customWidth="1"/>
    <col min="11529" max="11530" width="9.140625" style="2139"/>
    <col min="11531" max="11532" width="14.7109375" style="2139" bestFit="1" customWidth="1"/>
    <col min="11533" max="11776" width="9.140625" style="2139"/>
    <col min="11777" max="11777" width="5.5703125" style="2139" customWidth="1"/>
    <col min="11778" max="11778" width="6.7109375" style="2139" customWidth="1"/>
    <col min="11779" max="11779" width="8.85546875" style="2139" customWidth="1"/>
    <col min="11780" max="11780" width="47.85546875" style="2139" customWidth="1"/>
    <col min="11781" max="11781" width="12.85546875" style="2139" customWidth="1"/>
    <col min="11782" max="11782" width="15.5703125" style="2139" customWidth="1"/>
    <col min="11783" max="11783" width="15.85546875" style="2139" customWidth="1"/>
    <col min="11784" max="11784" width="6.42578125" style="2139" customWidth="1"/>
    <col min="11785" max="11786" width="9.140625" style="2139"/>
    <col min="11787" max="11788" width="14.7109375" style="2139" bestFit="1" customWidth="1"/>
    <col min="11789" max="12032" width="9.140625" style="2139"/>
    <col min="12033" max="12033" width="5.5703125" style="2139" customWidth="1"/>
    <col min="12034" max="12034" width="6.7109375" style="2139" customWidth="1"/>
    <col min="12035" max="12035" width="8.85546875" style="2139" customWidth="1"/>
    <col min="12036" max="12036" width="47.85546875" style="2139" customWidth="1"/>
    <col min="12037" max="12037" width="12.85546875" style="2139" customWidth="1"/>
    <col min="12038" max="12038" width="15.5703125" style="2139" customWidth="1"/>
    <col min="12039" max="12039" width="15.85546875" style="2139" customWidth="1"/>
    <col min="12040" max="12040" width="6.42578125" style="2139" customWidth="1"/>
    <col min="12041" max="12042" width="9.140625" style="2139"/>
    <col min="12043" max="12044" width="14.7109375" style="2139" bestFit="1" customWidth="1"/>
    <col min="12045" max="12288" width="9.140625" style="2139"/>
    <col min="12289" max="12289" width="5.5703125" style="2139" customWidth="1"/>
    <col min="12290" max="12290" width="6.7109375" style="2139" customWidth="1"/>
    <col min="12291" max="12291" width="8.85546875" style="2139" customWidth="1"/>
    <col min="12292" max="12292" width="47.85546875" style="2139" customWidth="1"/>
    <col min="12293" max="12293" width="12.85546875" style="2139" customWidth="1"/>
    <col min="12294" max="12294" width="15.5703125" style="2139" customWidth="1"/>
    <col min="12295" max="12295" width="15.85546875" style="2139" customWidth="1"/>
    <col min="12296" max="12296" width="6.42578125" style="2139" customWidth="1"/>
    <col min="12297" max="12298" width="9.140625" style="2139"/>
    <col min="12299" max="12300" width="14.7109375" style="2139" bestFit="1" customWidth="1"/>
    <col min="12301" max="12544" width="9.140625" style="2139"/>
    <col min="12545" max="12545" width="5.5703125" style="2139" customWidth="1"/>
    <col min="12546" max="12546" width="6.7109375" style="2139" customWidth="1"/>
    <col min="12547" max="12547" width="8.85546875" style="2139" customWidth="1"/>
    <col min="12548" max="12548" width="47.85546875" style="2139" customWidth="1"/>
    <col min="12549" max="12549" width="12.85546875" style="2139" customWidth="1"/>
    <col min="12550" max="12550" width="15.5703125" style="2139" customWidth="1"/>
    <col min="12551" max="12551" width="15.85546875" style="2139" customWidth="1"/>
    <col min="12552" max="12552" width="6.42578125" style="2139" customWidth="1"/>
    <col min="12553" max="12554" width="9.140625" style="2139"/>
    <col min="12555" max="12556" width="14.7109375" style="2139" bestFit="1" customWidth="1"/>
    <col min="12557" max="12800" width="9.140625" style="2139"/>
    <col min="12801" max="12801" width="5.5703125" style="2139" customWidth="1"/>
    <col min="12802" max="12802" width="6.7109375" style="2139" customWidth="1"/>
    <col min="12803" max="12803" width="8.85546875" style="2139" customWidth="1"/>
    <col min="12804" max="12804" width="47.85546875" style="2139" customWidth="1"/>
    <col min="12805" max="12805" width="12.85546875" style="2139" customWidth="1"/>
    <col min="12806" max="12806" width="15.5703125" style="2139" customWidth="1"/>
    <col min="12807" max="12807" width="15.85546875" style="2139" customWidth="1"/>
    <col min="12808" max="12808" width="6.42578125" style="2139" customWidth="1"/>
    <col min="12809" max="12810" width="9.140625" style="2139"/>
    <col min="12811" max="12812" width="14.7109375" style="2139" bestFit="1" customWidth="1"/>
    <col min="12813" max="13056" width="9.140625" style="2139"/>
    <col min="13057" max="13057" width="5.5703125" style="2139" customWidth="1"/>
    <col min="13058" max="13058" width="6.7109375" style="2139" customWidth="1"/>
    <col min="13059" max="13059" width="8.85546875" style="2139" customWidth="1"/>
    <col min="13060" max="13060" width="47.85546875" style="2139" customWidth="1"/>
    <col min="13061" max="13061" width="12.85546875" style="2139" customWidth="1"/>
    <col min="13062" max="13062" width="15.5703125" style="2139" customWidth="1"/>
    <col min="13063" max="13063" width="15.85546875" style="2139" customWidth="1"/>
    <col min="13064" max="13064" width="6.42578125" style="2139" customWidth="1"/>
    <col min="13065" max="13066" width="9.140625" style="2139"/>
    <col min="13067" max="13068" width="14.7109375" style="2139" bestFit="1" customWidth="1"/>
    <col min="13069" max="13312" width="9.140625" style="2139"/>
    <col min="13313" max="13313" width="5.5703125" style="2139" customWidth="1"/>
    <col min="13314" max="13314" width="6.7109375" style="2139" customWidth="1"/>
    <col min="13315" max="13315" width="8.85546875" style="2139" customWidth="1"/>
    <col min="13316" max="13316" width="47.85546875" style="2139" customWidth="1"/>
    <col min="13317" max="13317" width="12.85546875" style="2139" customWidth="1"/>
    <col min="13318" max="13318" width="15.5703125" style="2139" customWidth="1"/>
    <col min="13319" max="13319" width="15.85546875" style="2139" customWidth="1"/>
    <col min="13320" max="13320" width="6.42578125" style="2139" customWidth="1"/>
    <col min="13321" max="13322" width="9.140625" style="2139"/>
    <col min="13323" max="13324" width="14.7109375" style="2139" bestFit="1" customWidth="1"/>
    <col min="13325" max="13568" width="9.140625" style="2139"/>
    <col min="13569" max="13569" width="5.5703125" style="2139" customWidth="1"/>
    <col min="13570" max="13570" width="6.7109375" style="2139" customWidth="1"/>
    <col min="13571" max="13571" width="8.85546875" style="2139" customWidth="1"/>
    <col min="13572" max="13572" width="47.85546875" style="2139" customWidth="1"/>
    <col min="13573" max="13573" width="12.85546875" style="2139" customWidth="1"/>
    <col min="13574" max="13574" width="15.5703125" style="2139" customWidth="1"/>
    <col min="13575" max="13575" width="15.85546875" style="2139" customWidth="1"/>
    <col min="13576" max="13576" width="6.42578125" style="2139" customWidth="1"/>
    <col min="13577" max="13578" width="9.140625" style="2139"/>
    <col min="13579" max="13580" width="14.7109375" style="2139" bestFit="1" customWidth="1"/>
    <col min="13581" max="13824" width="9.140625" style="2139"/>
    <col min="13825" max="13825" width="5.5703125" style="2139" customWidth="1"/>
    <col min="13826" max="13826" width="6.7109375" style="2139" customWidth="1"/>
    <col min="13827" max="13827" width="8.85546875" style="2139" customWidth="1"/>
    <col min="13828" max="13828" width="47.85546875" style="2139" customWidth="1"/>
    <col min="13829" max="13829" width="12.85546875" style="2139" customWidth="1"/>
    <col min="13830" max="13830" width="15.5703125" style="2139" customWidth="1"/>
    <col min="13831" max="13831" width="15.85546875" style="2139" customWidth="1"/>
    <col min="13832" max="13832" width="6.42578125" style="2139" customWidth="1"/>
    <col min="13833" max="13834" width="9.140625" style="2139"/>
    <col min="13835" max="13836" width="14.7109375" style="2139" bestFit="1" customWidth="1"/>
    <col min="13837" max="14080" width="9.140625" style="2139"/>
    <col min="14081" max="14081" width="5.5703125" style="2139" customWidth="1"/>
    <col min="14082" max="14082" width="6.7109375" style="2139" customWidth="1"/>
    <col min="14083" max="14083" width="8.85546875" style="2139" customWidth="1"/>
    <col min="14084" max="14084" width="47.85546875" style="2139" customWidth="1"/>
    <col min="14085" max="14085" width="12.85546875" style="2139" customWidth="1"/>
    <col min="14086" max="14086" width="15.5703125" style="2139" customWidth="1"/>
    <col min="14087" max="14087" width="15.85546875" style="2139" customWidth="1"/>
    <col min="14088" max="14088" width="6.42578125" style="2139" customWidth="1"/>
    <col min="14089" max="14090" width="9.140625" style="2139"/>
    <col min="14091" max="14092" width="14.7109375" style="2139" bestFit="1" customWidth="1"/>
    <col min="14093" max="14336" width="9.140625" style="2139"/>
    <col min="14337" max="14337" width="5.5703125" style="2139" customWidth="1"/>
    <col min="14338" max="14338" width="6.7109375" style="2139" customWidth="1"/>
    <col min="14339" max="14339" width="8.85546875" style="2139" customWidth="1"/>
    <col min="14340" max="14340" width="47.85546875" style="2139" customWidth="1"/>
    <col min="14341" max="14341" width="12.85546875" style="2139" customWidth="1"/>
    <col min="14342" max="14342" width="15.5703125" style="2139" customWidth="1"/>
    <col min="14343" max="14343" width="15.85546875" style="2139" customWidth="1"/>
    <col min="14344" max="14344" width="6.42578125" style="2139" customWidth="1"/>
    <col min="14345" max="14346" width="9.140625" style="2139"/>
    <col min="14347" max="14348" width="14.7109375" style="2139" bestFit="1" customWidth="1"/>
    <col min="14349" max="14592" width="9.140625" style="2139"/>
    <col min="14593" max="14593" width="5.5703125" style="2139" customWidth="1"/>
    <col min="14594" max="14594" width="6.7109375" style="2139" customWidth="1"/>
    <col min="14595" max="14595" width="8.85546875" style="2139" customWidth="1"/>
    <col min="14596" max="14596" width="47.85546875" style="2139" customWidth="1"/>
    <col min="14597" max="14597" width="12.85546875" style="2139" customWidth="1"/>
    <col min="14598" max="14598" width="15.5703125" style="2139" customWidth="1"/>
    <col min="14599" max="14599" width="15.85546875" style="2139" customWidth="1"/>
    <col min="14600" max="14600" width="6.42578125" style="2139" customWidth="1"/>
    <col min="14601" max="14602" width="9.140625" style="2139"/>
    <col min="14603" max="14604" width="14.7109375" style="2139" bestFit="1" customWidth="1"/>
    <col min="14605" max="14848" width="9.140625" style="2139"/>
    <col min="14849" max="14849" width="5.5703125" style="2139" customWidth="1"/>
    <col min="14850" max="14850" width="6.7109375" style="2139" customWidth="1"/>
    <col min="14851" max="14851" width="8.85546875" style="2139" customWidth="1"/>
    <col min="14852" max="14852" width="47.85546875" style="2139" customWidth="1"/>
    <col min="14853" max="14853" width="12.85546875" style="2139" customWidth="1"/>
    <col min="14854" max="14854" width="15.5703125" style="2139" customWidth="1"/>
    <col min="14855" max="14855" width="15.85546875" style="2139" customWidth="1"/>
    <col min="14856" max="14856" width="6.42578125" style="2139" customWidth="1"/>
    <col min="14857" max="14858" width="9.140625" style="2139"/>
    <col min="14859" max="14860" width="14.7109375" style="2139" bestFit="1" customWidth="1"/>
    <col min="14861" max="15104" width="9.140625" style="2139"/>
    <col min="15105" max="15105" width="5.5703125" style="2139" customWidth="1"/>
    <col min="15106" max="15106" width="6.7109375" style="2139" customWidth="1"/>
    <col min="15107" max="15107" width="8.85546875" style="2139" customWidth="1"/>
    <col min="15108" max="15108" width="47.85546875" style="2139" customWidth="1"/>
    <col min="15109" max="15109" width="12.85546875" style="2139" customWidth="1"/>
    <col min="15110" max="15110" width="15.5703125" style="2139" customWidth="1"/>
    <col min="15111" max="15111" width="15.85546875" style="2139" customWidth="1"/>
    <col min="15112" max="15112" width="6.42578125" style="2139" customWidth="1"/>
    <col min="15113" max="15114" width="9.140625" style="2139"/>
    <col min="15115" max="15116" width="14.7109375" style="2139" bestFit="1" customWidth="1"/>
    <col min="15117" max="15360" width="9.140625" style="2139"/>
    <col min="15361" max="15361" width="5.5703125" style="2139" customWidth="1"/>
    <col min="15362" max="15362" width="6.7109375" style="2139" customWidth="1"/>
    <col min="15363" max="15363" width="8.85546875" style="2139" customWidth="1"/>
    <col min="15364" max="15364" width="47.85546875" style="2139" customWidth="1"/>
    <col min="15365" max="15365" width="12.85546875" style="2139" customWidth="1"/>
    <col min="15366" max="15366" width="15.5703125" style="2139" customWidth="1"/>
    <col min="15367" max="15367" width="15.85546875" style="2139" customWidth="1"/>
    <col min="15368" max="15368" width="6.42578125" style="2139" customWidth="1"/>
    <col min="15369" max="15370" width="9.140625" style="2139"/>
    <col min="15371" max="15372" width="14.7109375" style="2139" bestFit="1" customWidth="1"/>
    <col min="15373" max="15616" width="9.140625" style="2139"/>
    <col min="15617" max="15617" width="5.5703125" style="2139" customWidth="1"/>
    <col min="15618" max="15618" width="6.7109375" style="2139" customWidth="1"/>
    <col min="15619" max="15619" width="8.85546875" style="2139" customWidth="1"/>
    <col min="15620" max="15620" width="47.85546875" style="2139" customWidth="1"/>
    <col min="15621" max="15621" width="12.85546875" style="2139" customWidth="1"/>
    <col min="15622" max="15622" width="15.5703125" style="2139" customWidth="1"/>
    <col min="15623" max="15623" width="15.85546875" style="2139" customWidth="1"/>
    <col min="15624" max="15624" width="6.42578125" style="2139" customWidth="1"/>
    <col min="15625" max="15626" width="9.140625" style="2139"/>
    <col min="15627" max="15628" width="14.7109375" style="2139" bestFit="1" customWidth="1"/>
    <col min="15629" max="15872" width="9.140625" style="2139"/>
    <col min="15873" max="15873" width="5.5703125" style="2139" customWidth="1"/>
    <col min="15874" max="15874" width="6.7109375" style="2139" customWidth="1"/>
    <col min="15875" max="15875" width="8.85546875" style="2139" customWidth="1"/>
    <col min="15876" max="15876" width="47.85546875" style="2139" customWidth="1"/>
    <col min="15877" max="15877" width="12.85546875" style="2139" customWidth="1"/>
    <col min="15878" max="15878" width="15.5703125" style="2139" customWidth="1"/>
    <col min="15879" max="15879" width="15.85546875" style="2139" customWidth="1"/>
    <col min="15880" max="15880" width="6.42578125" style="2139" customWidth="1"/>
    <col min="15881" max="15882" width="9.140625" style="2139"/>
    <col min="15883" max="15884" width="14.7109375" style="2139" bestFit="1" customWidth="1"/>
    <col min="15885" max="16128" width="9.140625" style="2139"/>
    <col min="16129" max="16129" width="5.5703125" style="2139" customWidth="1"/>
    <col min="16130" max="16130" width="6.7109375" style="2139" customWidth="1"/>
    <col min="16131" max="16131" width="8.85546875" style="2139" customWidth="1"/>
    <col min="16132" max="16132" width="47.85546875" style="2139" customWidth="1"/>
    <col min="16133" max="16133" width="12.85546875" style="2139" customWidth="1"/>
    <col min="16134" max="16134" width="15.5703125" style="2139" customWidth="1"/>
    <col min="16135" max="16135" width="15.85546875" style="2139" customWidth="1"/>
    <col min="16136" max="16136" width="6.42578125" style="2139" customWidth="1"/>
    <col min="16137" max="16138" width="9.140625" style="2139"/>
    <col min="16139" max="16140" width="14.7109375" style="2139" bestFit="1" customWidth="1"/>
    <col min="16141" max="16384" width="9.140625" style="2139"/>
  </cols>
  <sheetData>
    <row r="1" spans="1:8" ht="18.75" thickBot="1" x14ac:dyDescent="0.3">
      <c r="A1" s="2133" t="s">
        <v>1488</v>
      </c>
      <c r="B1" s="2134"/>
      <c r="C1" s="2135"/>
      <c r="D1" s="2136"/>
      <c r="E1" s="2137"/>
      <c r="F1" s="2136"/>
      <c r="G1" s="2138"/>
      <c r="H1" s="2133"/>
    </row>
    <row r="2" spans="1:8" ht="18" x14ac:dyDescent="0.25">
      <c r="A2" s="2140"/>
      <c r="B2" s="2141"/>
      <c r="C2" s="2141"/>
      <c r="D2" s="2141"/>
      <c r="E2" s="2141"/>
      <c r="F2" s="2141"/>
      <c r="G2" s="2141"/>
      <c r="H2" s="2142" t="s">
        <v>1487</v>
      </c>
    </row>
    <row r="3" spans="1:8" ht="18" x14ac:dyDescent="0.25">
      <c r="A3" s="2143" t="s">
        <v>387</v>
      </c>
      <c r="B3" s="2141"/>
      <c r="C3" s="2144" t="s">
        <v>363</v>
      </c>
      <c r="D3" s="2141"/>
      <c r="E3" s="2141"/>
      <c r="F3" s="2141"/>
      <c r="G3" s="2141"/>
      <c r="H3" s="2142"/>
    </row>
    <row r="4" spans="1:8" ht="18" x14ac:dyDescent="0.25">
      <c r="A4" s="2140"/>
      <c r="B4" s="2141"/>
      <c r="C4" s="2144" t="s">
        <v>364</v>
      </c>
      <c r="D4" s="2141"/>
      <c r="E4" s="2141"/>
      <c r="F4" s="2141"/>
      <c r="G4" s="2141"/>
      <c r="H4" s="2142"/>
    </row>
    <row r="5" spans="1:8" ht="18" x14ac:dyDescent="0.25">
      <c r="A5" s="2145" t="s">
        <v>1486</v>
      </c>
      <c r="B5" s="2141"/>
      <c r="C5" s="2141"/>
      <c r="D5" s="2141"/>
      <c r="E5" s="2141"/>
      <c r="F5" s="2141"/>
      <c r="G5" s="2141"/>
      <c r="H5" s="2142"/>
    </row>
    <row r="6" spans="1:8" ht="18" x14ac:dyDescent="0.25">
      <c r="A6" s="2145"/>
      <c r="B6" s="2141"/>
      <c r="C6" s="2141"/>
      <c r="D6" s="2141"/>
      <c r="E6" s="2141"/>
      <c r="F6" s="2141"/>
      <c r="G6" s="2141"/>
      <c r="H6" s="2142"/>
    </row>
    <row r="7" spans="1:8" x14ac:dyDescent="0.2">
      <c r="A7" s="2146"/>
      <c r="B7" s="2146"/>
      <c r="C7" s="2146"/>
      <c r="E7" s="2147"/>
      <c r="F7" s="2147"/>
      <c r="G7" s="2147"/>
    </row>
    <row r="8" spans="1:8" ht="27" customHeight="1" x14ac:dyDescent="0.25">
      <c r="A8" s="2744" t="s">
        <v>1687</v>
      </c>
      <c r="B8" s="2745"/>
      <c r="C8" s="2745"/>
      <c r="D8" s="2745"/>
      <c r="E8" s="2745"/>
      <c r="F8" s="2745"/>
      <c r="G8" s="2745"/>
      <c r="H8" s="2745"/>
    </row>
    <row r="9" spans="1:8" ht="15.75" thickBot="1" x14ac:dyDescent="0.3">
      <c r="A9" s="2132" t="s">
        <v>1688</v>
      </c>
      <c r="B9" s="2146"/>
      <c r="C9" s="2146"/>
      <c r="E9" s="2147"/>
      <c r="F9" s="2147"/>
      <c r="G9" s="2147"/>
      <c r="H9" s="2148" t="s">
        <v>173</v>
      </c>
    </row>
    <row r="10" spans="1:8" ht="25.5" thickTop="1" thickBot="1" x14ac:dyDescent="0.25">
      <c r="A10" s="1943" t="s">
        <v>174</v>
      </c>
      <c r="B10" s="1944" t="s">
        <v>800</v>
      </c>
      <c r="C10" s="1944" t="s">
        <v>397</v>
      </c>
      <c r="D10" s="1945" t="s">
        <v>176</v>
      </c>
      <c r="E10" s="1976" t="s">
        <v>669</v>
      </c>
      <c r="F10" s="1976" t="s">
        <v>670</v>
      </c>
      <c r="G10" s="1977" t="s">
        <v>923</v>
      </c>
      <c r="H10" s="1978" t="s">
        <v>924</v>
      </c>
    </row>
    <row r="11" spans="1:8" ht="14.25" thickTop="1" thickBot="1" x14ac:dyDescent="0.25">
      <c r="A11" s="1740">
        <v>1</v>
      </c>
      <c r="B11" s="1739">
        <v>2</v>
      </c>
      <c r="C11" s="1739">
        <v>3</v>
      </c>
      <c r="D11" s="1739">
        <v>4</v>
      </c>
      <c r="E11" s="1738">
        <v>5</v>
      </c>
      <c r="F11" s="1738">
        <v>6</v>
      </c>
      <c r="G11" s="2028">
        <v>7</v>
      </c>
      <c r="H11" s="2054" t="s">
        <v>61</v>
      </c>
    </row>
    <row r="12" spans="1:8" ht="15.75" thickTop="1" x14ac:dyDescent="0.2">
      <c r="A12" s="2160">
        <v>3299</v>
      </c>
      <c r="B12" s="2161">
        <v>5011</v>
      </c>
      <c r="C12" s="2161">
        <v>32133019</v>
      </c>
      <c r="D12" s="2162" t="s">
        <v>219</v>
      </c>
      <c r="E12" s="2163">
        <v>0</v>
      </c>
      <c r="F12" s="2163">
        <v>19</v>
      </c>
      <c r="G12" s="2163">
        <v>19</v>
      </c>
      <c r="H12" s="2164">
        <f t="shared" ref="H12:H19" si="0">G12/F12*100</f>
        <v>100</v>
      </c>
    </row>
    <row r="13" spans="1:8" ht="15" x14ac:dyDescent="0.2">
      <c r="A13" s="2165">
        <v>3299</v>
      </c>
      <c r="B13" s="2166">
        <v>5011</v>
      </c>
      <c r="C13" s="2166">
        <v>32533019</v>
      </c>
      <c r="D13" s="2167" t="s">
        <v>219</v>
      </c>
      <c r="E13" s="2168">
        <v>0</v>
      </c>
      <c r="F13" s="2168">
        <v>111</v>
      </c>
      <c r="G13" s="2168">
        <v>109</v>
      </c>
      <c r="H13" s="2169">
        <f t="shared" si="0"/>
        <v>98.198198198198199</v>
      </c>
    </row>
    <row r="14" spans="1:8" ht="15" x14ac:dyDescent="0.2">
      <c r="A14" s="2165">
        <v>3299</v>
      </c>
      <c r="B14" s="2166">
        <v>5021</v>
      </c>
      <c r="C14" s="2166">
        <v>32133019</v>
      </c>
      <c r="D14" s="2167" t="s">
        <v>409</v>
      </c>
      <c r="E14" s="2168">
        <v>0</v>
      </c>
      <c r="F14" s="2168">
        <v>284</v>
      </c>
      <c r="G14" s="2168">
        <v>284</v>
      </c>
      <c r="H14" s="2169">
        <f t="shared" si="0"/>
        <v>100</v>
      </c>
    </row>
    <row r="15" spans="1:8" ht="15" x14ac:dyDescent="0.2">
      <c r="A15" s="2165">
        <v>3299</v>
      </c>
      <c r="B15" s="2166">
        <v>5021</v>
      </c>
      <c r="C15" s="2166">
        <v>32533019</v>
      </c>
      <c r="D15" s="2167" t="s">
        <v>409</v>
      </c>
      <c r="E15" s="2168">
        <v>0</v>
      </c>
      <c r="F15" s="2168">
        <v>1615</v>
      </c>
      <c r="G15" s="2168">
        <v>1615</v>
      </c>
      <c r="H15" s="2169">
        <f t="shared" si="0"/>
        <v>100</v>
      </c>
    </row>
    <row r="16" spans="1:8" ht="30" x14ac:dyDescent="0.2">
      <c r="A16" s="2165">
        <v>3299</v>
      </c>
      <c r="B16" s="2166">
        <v>5031</v>
      </c>
      <c r="C16" s="2166">
        <v>32133019</v>
      </c>
      <c r="D16" s="2167" t="s">
        <v>1362</v>
      </c>
      <c r="E16" s="2168">
        <v>0</v>
      </c>
      <c r="F16" s="2168">
        <v>61</v>
      </c>
      <c r="G16" s="2168">
        <v>60</v>
      </c>
      <c r="H16" s="2169">
        <f t="shared" si="0"/>
        <v>98.360655737704917</v>
      </c>
    </row>
    <row r="17" spans="1:8" ht="30" x14ac:dyDescent="0.2">
      <c r="A17" s="2165">
        <v>3299</v>
      </c>
      <c r="B17" s="2166">
        <v>5031</v>
      </c>
      <c r="C17" s="2166">
        <v>32533019</v>
      </c>
      <c r="D17" s="2167" t="s">
        <v>1362</v>
      </c>
      <c r="E17" s="2168">
        <v>0</v>
      </c>
      <c r="F17" s="2168">
        <v>343</v>
      </c>
      <c r="G17" s="2168">
        <v>338</v>
      </c>
      <c r="H17" s="2169">
        <f t="shared" si="0"/>
        <v>98.542274052478135</v>
      </c>
    </row>
    <row r="18" spans="1:8" ht="30" customHeight="1" x14ac:dyDescent="0.2">
      <c r="A18" s="2165">
        <v>3299</v>
      </c>
      <c r="B18" s="2166">
        <v>5032</v>
      </c>
      <c r="C18" s="2170">
        <v>32133019</v>
      </c>
      <c r="D18" s="2167" t="s">
        <v>1236</v>
      </c>
      <c r="E18" s="2168">
        <v>0</v>
      </c>
      <c r="F18" s="2168">
        <v>22</v>
      </c>
      <c r="G18" s="2168">
        <v>21</v>
      </c>
      <c r="H18" s="2169">
        <f t="shared" si="0"/>
        <v>95.454545454545453</v>
      </c>
    </row>
    <row r="19" spans="1:8" ht="30" x14ac:dyDescent="0.2">
      <c r="A19" s="2165">
        <v>3299</v>
      </c>
      <c r="B19" s="2166">
        <v>5032</v>
      </c>
      <c r="C19" s="2170">
        <v>32533019</v>
      </c>
      <c r="D19" s="2167" t="s">
        <v>1236</v>
      </c>
      <c r="E19" s="2168">
        <v>0</v>
      </c>
      <c r="F19" s="2168">
        <v>125</v>
      </c>
      <c r="G19" s="2168">
        <v>122</v>
      </c>
      <c r="H19" s="2169">
        <f t="shared" si="0"/>
        <v>97.6</v>
      </c>
    </row>
    <row r="20" spans="1:8" ht="15" x14ac:dyDescent="0.2">
      <c r="A20" s="2165">
        <v>3299</v>
      </c>
      <c r="B20" s="2166">
        <v>5164</v>
      </c>
      <c r="C20" s="2170">
        <v>32133019</v>
      </c>
      <c r="D20" s="2167" t="s">
        <v>182</v>
      </c>
      <c r="E20" s="2168">
        <v>0</v>
      </c>
      <c r="F20" s="2168">
        <v>4</v>
      </c>
      <c r="G20" s="2168">
        <v>4</v>
      </c>
      <c r="H20" s="2169">
        <v>0</v>
      </c>
    </row>
    <row r="21" spans="1:8" ht="15" x14ac:dyDescent="0.2">
      <c r="A21" s="2165">
        <v>3299</v>
      </c>
      <c r="B21" s="2166">
        <v>5164</v>
      </c>
      <c r="C21" s="2170">
        <v>32533019</v>
      </c>
      <c r="D21" s="2167" t="s">
        <v>182</v>
      </c>
      <c r="E21" s="2168">
        <v>0</v>
      </c>
      <c r="F21" s="2168">
        <v>25</v>
      </c>
      <c r="G21" s="2168">
        <v>25</v>
      </c>
      <c r="H21" s="2169">
        <f t="shared" ref="H21:H31" si="1">G21/F21*100</f>
        <v>100</v>
      </c>
    </row>
    <row r="22" spans="1:8" ht="15" x14ac:dyDescent="0.2">
      <c r="A22" s="2165">
        <v>3299</v>
      </c>
      <c r="B22" s="2166">
        <v>5169</v>
      </c>
      <c r="C22" s="2170">
        <v>32133019</v>
      </c>
      <c r="D22" s="2167" t="s">
        <v>892</v>
      </c>
      <c r="E22" s="2168">
        <v>0</v>
      </c>
      <c r="F22" s="2168">
        <v>328</v>
      </c>
      <c r="G22" s="2168">
        <v>328</v>
      </c>
      <c r="H22" s="2169">
        <f t="shared" si="1"/>
        <v>100</v>
      </c>
    </row>
    <row r="23" spans="1:8" ht="15" x14ac:dyDescent="0.2">
      <c r="A23" s="2165">
        <v>3299</v>
      </c>
      <c r="B23" s="2166">
        <v>5169</v>
      </c>
      <c r="C23" s="2170">
        <v>32533019</v>
      </c>
      <c r="D23" s="2167" t="s">
        <v>892</v>
      </c>
      <c r="E23" s="2168">
        <v>0</v>
      </c>
      <c r="F23" s="2168">
        <v>1857</v>
      </c>
      <c r="G23" s="2168">
        <v>1857</v>
      </c>
      <c r="H23" s="2169">
        <f t="shared" si="1"/>
        <v>100</v>
      </c>
    </row>
    <row r="24" spans="1:8" ht="15" x14ac:dyDescent="0.2">
      <c r="A24" s="2165">
        <v>3299</v>
      </c>
      <c r="B24" s="2166">
        <v>5175</v>
      </c>
      <c r="C24" s="2170">
        <v>32133019</v>
      </c>
      <c r="D24" s="2167" t="s">
        <v>707</v>
      </c>
      <c r="E24" s="2168">
        <v>0</v>
      </c>
      <c r="F24" s="2168">
        <v>10</v>
      </c>
      <c r="G24" s="2168">
        <v>10</v>
      </c>
      <c r="H24" s="2169">
        <f t="shared" si="1"/>
        <v>100</v>
      </c>
    </row>
    <row r="25" spans="1:8" ht="15" x14ac:dyDescent="0.2">
      <c r="A25" s="2165">
        <v>3299</v>
      </c>
      <c r="B25" s="2166">
        <v>5175</v>
      </c>
      <c r="C25" s="2170">
        <v>32533019</v>
      </c>
      <c r="D25" s="2167" t="s">
        <v>707</v>
      </c>
      <c r="E25" s="2168">
        <v>0</v>
      </c>
      <c r="F25" s="2168">
        <v>54</v>
      </c>
      <c r="G25" s="2168">
        <v>54</v>
      </c>
      <c r="H25" s="2169">
        <f t="shared" si="1"/>
        <v>100</v>
      </c>
    </row>
    <row r="26" spans="1:8" ht="15" hidden="1" x14ac:dyDescent="0.2">
      <c r="A26" s="2165">
        <v>3299</v>
      </c>
      <c r="B26" s="2166">
        <v>5901</v>
      </c>
      <c r="C26" s="2170">
        <v>0</v>
      </c>
      <c r="D26" s="2167" t="s">
        <v>639</v>
      </c>
      <c r="E26" s="2168">
        <v>0</v>
      </c>
      <c r="F26" s="2168"/>
      <c r="G26" s="2168">
        <v>0</v>
      </c>
      <c r="H26" s="2169" t="e">
        <f t="shared" si="1"/>
        <v>#DIV/0!</v>
      </c>
    </row>
    <row r="27" spans="1:8" ht="15" x14ac:dyDescent="0.2">
      <c r="A27" s="2165">
        <v>3299</v>
      </c>
      <c r="B27" s="2166">
        <v>5901</v>
      </c>
      <c r="C27" s="2170">
        <v>32133019</v>
      </c>
      <c r="D27" s="2167" t="s">
        <v>639</v>
      </c>
      <c r="E27" s="2168">
        <v>0</v>
      </c>
      <c r="F27" s="2168">
        <v>283</v>
      </c>
      <c r="G27" s="2168">
        <v>0</v>
      </c>
      <c r="H27" s="2169">
        <f t="shared" si="1"/>
        <v>0</v>
      </c>
    </row>
    <row r="28" spans="1:8" ht="15" x14ac:dyDescent="0.2">
      <c r="A28" s="2165">
        <v>3299</v>
      </c>
      <c r="B28" s="2166">
        <v>5901</v>
      </c>
      <c r="C28" s="2170">
        <v>32533019</v>
      </c>
      <c r="D28" s="2167" t="s">
        <v>639</v>
      </c>
      <c r="E28" s="2168">
        <v>0</v>
      </c>
      <c r="F28" s="2168">
        <v>1595</v>
      </c>
      <c r="G28" s="2168">
        <v>0</v>
      </c>
      <c r="H28" s="2169">
        <f t="shared" si="1"/>
        <v>0</v>
      </c>
    </row>
    <row r="29" spans="1:8" ht="15" x14ac:dyDescent="0.2">
      <c r="A29" s="2165">
        <v>3299</v>
      </c>
      <c r="B29" s="2166">
        <v>5323</v>
      </c>
      <c r="C29" s="2170">
        <v>32133019</v>
      </c>
      <c r="D29" s="2167" t="s">
        <v>235</v>
      </c>
      <c r="E29" s="2168">
        <v>0</v>
      </c>
      <c r="F29" s="2168">
        <v>22</v>
      </c>
      <c r="G29" s="2168">
        <v>22</v>
      </c>
      <c r="H29" s="2169">
        <f t="shared" si="1"/>
        <v>100</v>
      </c>
    </row>
    <row r="30" spans="1:8" ht="15" x14ac:dyDescent="0.2">
      <c r="A30" s="2165">
        <v>3299</v>
      </c>
      <c r="B30" s="2166">
        <v>5323</v>
      </c>
      <c r="C30" s="2170">
        <v>32533019</v>
      </c>
      <c r="D30" s="2167" t="s">
        <v>235</v>
      </c>
      <c r="E30" s="2168">
        <v>0</v>
      </c>
      <c r="F30" s="2168">
        <v>126</v>
      </c>
      <c r="G30" s="2168">
        <v>126</v>
      </c>
      <c r="H30" s="2169">
        <f t="shared" si="1"/>
        <v>100</v>
      </c>
    </row>
    <row r="31" spans="1:8" ht="15" hidden="1" x14ac:dyDescent="0.2">
      <c r="A31" s="2165">
        <v>3299</v>
      </c>
      <c r="B31" s="2166">
        <v>6901</v>
      </c>
      <c r="C31" s="2170">
        <v>32533926</v>
      </c>
      <c r="D31" s="2167" t="s">
        <v>449</v>
      </c>
      <c r="E31" s="2168">
        <v>0</v>
      </c>
      <c r="F31" s="2168">
        <v>0</v>
      </c>
      <c r="G31" s="2168">
        <v>0</v>
      </c>
      <c r="H31" s="2169" t="e">
        <f t="shared" si="1"/>
        <v>#DIV/0!</v>
      </c>
    </row>
    <row r="32" spans="1:8" ht="15.75" thickBot="1" x14ac:dyDescent="0.25">
      <c r="A32" s="2165">
        <v>6330</v>
      </c>
      <c r="B32" s="2166">
        <v>5345</v>
      </c>
      <c r="C32" s="2170">
        <v>0</v>
      </c>
      <c r="D32" s="2167" t="s">
        <v>806</v>
      </c>
      <c r="E32" s="2168">
        <v>0</v>
      </c>
      <c r="F32" s="2168">
        <v>0</v>
      </c>
      <c r="G32" s="2168">
        <v>3315</v>
      </c>
      <c r="H32" s="2171">
        <v>0</v>
      </c>
    </row>
    <row r="33" spans="1:8" ht="16.5" thickTop="1" thickBot="1" x14ac:dyDescent="0.3">
      <c r="A33" s="2750" t="s">
        <v>802</v>
      </c>
      <c r="B33" s="2751"/>
      <c r="C33" s="2751"/>
      <c r="D33" s="2751"/>
      <c r="E33" s="1957">
        <f>SUM(E12:E31)</f>
        <v>0</v>
      </c>
      <c r="F33" s="1957">
        <f>SUM(F12:F32)</f>
        <v>6884</v>
      </c>
      <c r="G33" s="1957">
        <f>SUM(G12:G32)</f>
        <v>8309</v>
      </c>
      <c r="H33" s="1962">
        <f>G33/F33*100</f>
        <v>120.70017431725742</v>
      </c>
    </row>
    <row r="34" spans="1:8" ht="25.5" customHeight="1" thickTop="1" x14ac:dyDescent="0.2"/>
    <row r="35" spans="1:8" ht="27" customHeight="1" x14ac:dyDescent="0.25">
      <c r="A35" s="2744" t="s">
        <v>1689</v>
      </c>
      <c r="B35" s="2745"/>
      <c r="C35" s="2745"/>
      <c r="D35" s="2745"/>
      <c r="E35" s="2745"/>
      <c r="F35" s="2745"/>
      <c r="G35" s="2745"/>
      <c r="H35" s="2745"/>
    </row>
    <row r="36" spans="1:8" ht="15.75" thickBot="1" x14ac:dyDescent="0.3">
      <c r="A36" s="2132" t="s">
        <v>1690</v>
      </c>
      <c r="B36" s="2146"/>
      <c r="C36" s="2146"/>
      <c r="E36" s="2147"/>
      <c r="F36" s="2147"/>
      <c r="G36" s="2147"/>
      <c r="H36" s="2148" t="s">
        <v>173</v>
      </c>
    </row>
    <row r="37" spans="1:8" ht="25.5" thickTop="1" thickBot="1" x14ac:dyDescent="0.25">
      <c r="A37" s="1943" t="s">
        <v>174</v>
      </c>
      <c r="B37" s="1944" t="s">
        <v>800</v>
      </c>
      <c r="C37" s="1944" t="s">
        <v>397</v>
      </c>
      <c r="D37" s="1945" t="s">
        <v>176</v>
      </c>
      <c r="E37" s="1976" t="s">
        <v>669</v>
      </c>
      <c r="F37" s="1976" t="s">
        <v>670</v>
      </c>
      <c r="G37" s="1977" t="s">
        <v>923</v>
      </c>
      <c r="H37" s="1978" t="s">
        <v>924</v>
      </c>
    </row>
    <row r="38" spans="1:8" ht="14.25" thickTop="1" thickBot="1" x14ac:dyDescent="0.25">
      <c r="A38" s="1740">
        <v>1</v>
      </c>
      <c r="B38" s="1739">
        <v>2</v>
      </c>
      <c r="C38" s="1739">
        <v>3</v>
      </c>
      <c r="D38" s="1739">
        <v>4</v>
      </c>
      <c r="E38" s="1738">
        <v>5</v>
      </c>
      <c r="F38" s="1738">
        <v>6</v>
      </c>
      <c r="G38" s="2028">
        <v>7</v>
      </c>
      <c r="H38" s="2054" t="s">
        <v>61</v>
      </c>
    </row>
    <row r="39" spans="1:8" ht="15.75" thickTop="1" x14ac:dyDescent="0.2">
      <c r="A39" s="2160">
        <v>3299</v>
      </c>
      <c r="B39" s="2161">
        <v>5011</v>
      </c>
      <c r="C39" s="2161">
        <v>32133019</v>
      </c>
      <c r="D39" s="2162" t="s">
        <v>219</v>
      </c>
      <c r="E39" s="2163">
        <v>0</v>
      </c>
      <c r="F39" s="2163">
        <v>3</v>
      </c>
      <c r="G39" s="2163">
        <v>3</v>
      </c>
      <c r="H39" s="2164">
        <f t="shared" ref="H39:H46" si="2">G39/F39*100</f>
        <v>100</v>
      </c>
    </row>
    <row r="40" spans="1:8" ht="15" x14ac:dyDescent="0.2">
      <c r="A40" s="2165">
        <v>3299</v>
      </c>
      <c r="B40" s="2166">
        <v>5011</v>
      </c>
      <c r="C40" s="2166">
        <v>32533019</v>
      </c>
      <c r="D40" s="2167" t="s">
        <v>219</v>
      </c>
      <c r="E40" s="2168">
        <v>0</v>
      </c>
      <c r="F40" s="2168">
        <v>17</v>
      </c>
      <c r="G40" s="2168">
        <v>17</v>
      </c>
      <c r="H40" s="2169">
        <f t="shared" si="2"/>
        <v>100</v>
      </c>
    </row>
    <row r="41" spans="1:8" ht="15" x14ac:dyDescent="0.2">
      <c r="A41" s="2165">
        <v>3299</v>
      </c>
      <c r="B41" s="2166">
        <v>5021</v>
      </c>
      <c r="C41" s="2166">
        <v>32133019</v>
      </c>
      <c r="D41" s="2167" t="s">
        <v>409</v>
      </c>
      <c r="E41" s="2168">
        <v>0</v>
      </c>
      <c r="F41" s="2168">
        <v>12</v>
      </c>
      <c r="G41" s="2168">
        <v>12</v>
      </c>
      <c r="H41" s="2169">
        <f t="shared" si="2"/>
        <v>100</v>
      </c>
    </row>
    <row r="42" spans="1:8" ht="15" x14ac:dyDescent="0.2">
      <c r="A42" s="2165">
        <v>3299</v>
      </c>
      <c r="B42" s="2166">
        <v>5021</v>
      </c>
      <c r="C42" s="2166">
        <v>32533019</v>
      </c>
      <c r="D42" s="2167" t="s">
        <v>409</v>
      </c>
      <c r="E42" s="2168">
        <v>0</v>
      </c>
      <c r="F42" s="2168">
        <v>68</v>
      </c>
      <c r="G42" s="2168">
        <v>65</v>
      </c>
      <c r="H42" s="2169">
        <f t="shared" si="2"/>
        <v>95.588235294117652</v>
      </c>
    </row>
    <row r="43" spans="1:8" ht="30" x14ac:dyDescent="0.2">
      <c r="A43" s="2165">
        <v>3299</v>
      </c>
      <c r="B43" s="2166">
        <v>5031</v>
      </c>
      <c r="C43" s="2166">
        <v>32133019</v>
      </c>
      <c r="D43" s="2215" t="s">
        <v>1362</v>
      </c>
      <c r="E43" s="2168">
        <v>0</v>
      </c>
      <c r="F43" s="2168">
        <v>6</v>
      </c>
      <c r="G43" s="2168">
        <v>1</v>
      </c>
      <c r="H43" s="2169">
        <f t="shared" si="2"/>
        <v>16.666666666666664</v>
      </c>
    </row>
    <row r="44" spans="1:8" ht="30" x14ac:dyDescent="0.2">
      <c r="A44" s="2165">
        <v>3299</v>
      </c>
      <c r="B44" s="2166">
        <v>5031</v>
      </c>
      <c r="C44" s="2166">
        <v>32533019</v>
      </c>
      <c r="D44" s="2215" t="s">
        <v>1362</v>
      </c>
      <c r="E44" s="2168">
        <v>0</v>
      </c>
      <c r="F44" s="2168">
        <v>32</v>
      </c>
      <c r="G44" s="2168">
        <v>4</v>
      </c>
      <c r="H44" s="2169">
        <f t="shared" si="2"/>
        <v>12.5</v>
      </c>
    </row>
    <row r="45" spans="1:8" ht="30" x14ac:dyDescent="0.2">
      <c r="A45" s="2165">
        <v>3299</v>
      </c>
      <c r="B45" s="2166">
        <v>5032</v>
      </c>
      <c r="C45" s="2170">
        <v>32133019</v>
      </c>
      <c r="D45" s="2167" t="s">
        <v>1236</v>
      </c>
      <c r="E45" s="2168">
        <v>0</v>
      </c>
      <c r="F45" s="2168">
        <v>2</v>
      </c>
      <c r="G45" s="2168">
        <v>0</v>
      </c>
      <c r="H45" s="2169">
        <f t="shared" si="2"/>
        <v>0</v>
      </c>
    </row>
    <row r="46" spans="1:8" ht="30" x14ac:dyDescent="0.2">
      <c r="A46" s="2165">
        <v>3299</v>
      </c>
      <c r="B46" s="2166">
        <v>5032</v>
      </c>
      <c r="C46" s="2170">
        <v>32533019</v>
      </c>
      <c r="D46" s="2167" t="s">
        <v>1236</v>
      </c>
      <c r="E46" s="2168">
        <v>0</v>
      </c>
      <c r="F46" s="2168">
        <v>12</v>
      </c>
      <c r="G46" s="2168">
        <v>2</v>
      </c>
      <c r="H46" s="2169">
        <f t="shared" si="2"/>
        <v>16.666666666666664</v>
      </c>
    </row>
    <row r="47" spans="1:8" ht="15" x14ac:dyDescent="0.2">
      <c r="A47" s="2165">
        <v>3299</v>
      </c>
      <c r="B47" s="2166">
        <v>5137</v>
      </c>
      <c r="C47" s="2170">
        <v>32133019</v>
      </c>
      <c r="D47" s="2167" t="s">
        <v>167</v>
      </c>
      <c r="E47" s="2168">
        <v>0</v>
      </c>
      <c r="F47" s="2168">
        <v>12</v>
      </c>
      <c r="G47" s="2168">
        <v>12</v>
      </c>
      <c r="H47" s="2169">
        <v>0</v>
      </c>
    </row>
    <row r="48" spans="1:8" ht="15" x14ac:dyDescent="0.2">
      <c r="A48" s="2165">
        <v>3299</v>
      </c>
      <c r="B48" s="2166">
        <v>5137</v>
      </c>
      <c r="C48" s="2170">
        <v>32533019</v>
      </c>
      <c r="D48" s="2167" t="s">
        <v>167</v>
      </c>
      <c r="E48" s="2168">
        <v>0</v>
      </c>
      <c r="F48" s="2168">
        <v>66</v>
      </c>
      <c r="G48" s="2168">
        <v>66</v>
      </c>
      <c r="H48" s="2169">
        <f t="shared" ref="H48:H62" si="3">G48/F48*100</f>
        <v>100</v>
      </c>
    </row>
    <row r="49" spans="1:8" ht="15" x14ac:dyDescent="0.2">
      <c r="A49" s="2165">
        <v>3299</v>
      </c>
      <c r="B49" s="2166">
        <v>5139</v>
      </c>
      <c r="C49" s="2170">
        <v>32133019</v>
      </c>
      <c r="D49" s="2167" t="s">
        <v>284</v>
      </c>
      <c r="E49" s="2168">
        <v>0</v>
      </c>
      <c r="F49" s="2168">
        <v>45</v>
      </c>
      <c r="G49" s="2168">
        <v>40</v>
      </c>
      <c r="H49" s="2169">
        <f t="shared" si="3"/>
        <v>88.888888888888886</v>
      </c>
    </row>
    <row r="50" spans="1:8" ht="15" x14ac:dyDescent="0.2">
      <c r="A50" s="2165">
        <v>3299</v>
      </c>
      <c r="B50" s="2166">
        <v>5139</v>
      </c>
      <c r="C50" s="2170">
        <v>32533019</v>
      </c>
      <c r="D50" s="2167" t="s">
        <v>284</v>
      </c>
      <c r="E50" s="2168">
        <v>0</v>
      </c>
      <c r="F50" s="2168">
        <v>255</v>
      </c>
      <c r="G50" s="2168">
        <v>229</v>
      </c>
      <c r="H50" s="2169">
        <f t="shared" si="3"/>
        <v>89.803921568627459</v>
      </c>
    </row>
    <row r="51" spans="1:8" ht="15" hidden="1" x14ac:dyDescent="0.2">
      <c r="A51" s="2165">
        <v>3299</v>
      </c>
      <c r="B51" s="2166">
        <v>5162</v>
      </c>
      <c r="C51" s="2170">
        <v>32133019</v>
      </c>
      <c r="D51" s="2167" t="s">
        <v>904</v>
      </c>
      <c r="E51" s="2168">
        <v>0</v>
      </c>
      <c r="F51" s="2168">
        <v>0</v>
      </c>
      <c r="G51" s="2168">
        <v>0</v>
      </c>
      <c r="H51" s="2169" t="e">
        <f t="shared" si="3"/>
        <v>#DIV/0!</v>
      </c>
    </row>
    <row r="52" spans="1:8" ht="15" hidden="1" x14ac:dyDescent="0.2">
      <c r="A52" s="2165">
        <v>3299</v>
      </c>
      <c r="B52" s="2166">
        <v>5162</v>
      </c>
      <c r="C52" s="2170">
        <v>32533019</v>
      </c>
      <c r="D52" s="2167" t="s">
        <v>904</v>
      </c>
      <c r="E52" s="2168">
        <v>0</v>
      </c>
      <c r="F52" s="2168">
        <v>0</v>
      </c>
      <c r="G52" s="2168">
        <v>0</v>
      </c>
      <c r="H52" s="2169" t="e">
        <f t="shared" si="3"/>
        <v>#DIV/0!</v>
      </c>
    </row>
    <row r="53" spans="1:8" ht="15" x14ac:dyDescent="0.2">
      <c r="A53" s="2165">
        <v>3299</v>
      </c>
      <c r="B53" s="2166">
        <v>5169</v>
      </c>
      <c r="C53" s="2170">
        <v>32133019</v>
      </c>
      <c r="D53" s="2167" t="s">
        <v>892</v>
      </c>
      <c r="E53" s="2168">
        <v>0</v>
      </c>
      <c r="F53" s="2168">
        <v>44</v>
      </c>
      <c r="G53" s="2168">
        <v>13</v>
      </c>
      <c r="H53" s="2169">
        <f t="shared" si="3"/>
        <v>29.545454545454547</v>
      </c>
    </row>
    <row r="54" spans="1:8" ht="15" x14ac:dyDescent="0.2">
      <c r="A54" s="2165">
        <v>3299</v>
      </c>
      <c r="B54" s="2166">
        <v>5169</v>
      </c>
      <c r="C54" s="2170">
        <v>32533019</v>
      </c>
      <c r="D54" s="2167" t="s">
        <v>892</v>
      </c>
      <c r="E54" s="2168">
        <v>0</v>
      </c>
      <c r="F54" s="2168">
        <v>250</v>
      </c>
      <c r="G54" s="2168">
        <v>76</v>
      </c>
      <c r="H54" s="2169">
        <f t="shared" si="3"/>
        <v>30.4</v>
      </c>
    </row>
    <row r="55" spans="1:8" ht="15" x14ac:dyDescent="0.2">
      <c r="A55" s="2165">
        <v>3299</v>
      </c>
      <c r="B55" s="2166">
        <v>5175</v>
      </c>
      <c r="C55" s="2170">
        <v>32133019</v>
      </c>
      <c r="D55" s="2167" t="s">
        <v>707</v>
      </c>
      <c r="E55" s="2168">
        <v>0</v>
      </c>
      <c r="F55" s="2168">
        <v>4</v>
      </c>
      <c r="G55" s="2168">
        <v>2</v>
      </c>
      <c r="H55" s="2169">
        <f t="shared" si="3"/>
        <v>50</v>
      </c>
    </row>
    <row r="56" spans="1:8" ht="15" x14ac:dyDescent="0.2">
      <c r="A56" s="2165">
        <v>3299</v>
      </c>
      <c r="B56" s="2166">
        <v>5175</v>
      </c>
      <c r="C56" s="2170">
        <v>32533019</v>
      </c>
      <c r="D56" s="2167" t="s">
        <v>707</v>
      </c>
      <c r="E56" s="2168">
        <v>0</v>
      </c>
      <c r="F56" s="2168">
        <v>25</v>
      </c>
      <c r="G56" s="2168">
        <v>9</v>
      </c>
      <c r="H56" s="2169">
        <f t="shared" si="3"/>
        <v>36</v>
      </c>
    </row>
    <row r="57" spans="1:8" ht="15" hidden="1" x14ac:dyDescent="0.2">
      <c r="A57" s="2165">
        <v>3299</v>
      </c>
      <c r="B57" s="2166">
        <v>5901</v>
      </c>
      <c r="C57" s="2170">
        <v>0</v>
      </c>
      <c r="D57" s="2167" t="s">
        <v>639</v>
      </c>
      <c r="E57" s="2168">
        <v>0</v>
      </c>
      <c r="F57" s="2168">
        <v>0</v>
      </c>
      <c r="G57" s="2168">
        <v>0</v>
      </c>
      <c r="H57" s="2169" t="e">
        <f t="shared" si="3"/>
        <v>#DIV/0!</v>
      </c>
    </row>
    <row r="58" spans="1:8" ht="15" x14ac:dyDescent="0.2">
      <c r="A58" s="2165">
        <v>3299</v>
      </c>
      <c r="B58" s="2166">
        <v>5901</v>
      </c>
      <c r="C58" s="2170">
        <v>32133019</v>
      </c>
      <c r="D58" s="2167" t="s">
        <v>639</v>
      </c>
      <c r="E58" s="2168">
        <v>0</v>
      </c>
      <c r="F58" s="2168">
        <v>38</v>
      </c>
      <c r="G58" s="2168">
        <v>0</v>
      </c>
      <c r="H58" s="2169">
        <f t="shared" si="3"/>
        <v>0</v>
      </c>
    </row>
    <row r="59" spans="1:8" ht="15" x14ac:dyDescent="0.2">
      <c r="A59" s="2165">
        <v>3299</v>
      </c>
      <c r="B59" s="2166">
        <v>5901</v>
      </c>
      <c r="C59" s="2170">
        <v>32533019</v>
      </c>
      <c r="D59" s="2167" t="s">
        <v>639</v>
      </c>
      <c r="E59" s="2168">
        <v>0</v>
      </c>
      <c r="F59" s="2168">
        <v>216</v>
      </c>
      <c r="G59" s="2168">
        <v>0</v>
      </c>
      <c r="H59" s="2169">
        <f t="shared" si="3"/>
        <v>0</v>
      </c>
    </row>
    <row r="60" spans="1:8" ht="15" x14ac:dyDescent="0.2">
      <c r="A60" s="2165">
        <v>3299</v>
      </c>
      <c r="B60" s="2166">
        <v>5323</v>
      </c>
      <c r="C60" s="2170">
        <v>32133019</v>
      </c>
      <c r="D60" s="2167" t="s">
        <v>235</v>
      </c>
      <c r="E60" s="2168">
        <v>0</v>
      </c>
      <c r="F60" s="2168">
        <v>3</v>
      </c>
      <c r="G60" s="2168">
        <v>3</v>
      </c>
      <c r="H60" s="2169">
        <f t="shared" si="3"/>
        <v>100</v>
      </c>
    </row>
    <row r="61" spans="1:8" ht="15" x14ac:dyDescent="0.2">
      <c r="A61" s="2165">
        <v>3299</v>
      </c>
      <c r="B61" s="2166">
        <v>5323</v>
      </c>
      <c r="C61" s="2170">
        <v>32533019</v>
      </c>
      <c r="D61" s="2167" t="s">
        <v>235</v>
      </c>
      <c r="E61" s="2168">
        <v>0</v>
      </c>
      <c r="F61" s="2168">
        <v>15</v>
      </c>
      <c r="G61" s="2168">
        <v>15</v>
      </c>
      <c r="H61" s="2169">
        <f t="shared" si="3"/>
        <v>100</v>
      </c>
    </row>
    <row r="62" spans="1:8" ht="15" hidden="1" x14ac:dyDescent="0.2">
      <c r="A62" s="2165">
        <v>3636</v>
      </c>
      <c r="B62" s="2166">
        <v>6901</v>
      </c>
      <c r="C62" s="2170">
        <v>32533926</v>
      </c>
      <c r="D62" s="2167" t="s">
        <v>449</v>
      </c>
      <c r="E62" s="2168">
        <v>0</v>
      </c>
      <c r="F62" s="2168">
        <v>0</v>
      </c>
      <c r="G62" s="2168">
        <v>0</v>
      </c>
      <c r="H62" s="2169" t="e">
        <f t="shared" si="3"/>
        <v>#DIV/0!</v>
      </c>
    </row>
    <row r="63" spans="1:8" ht="15.75" thickBot="1" x14ac:dyDescent="0.25">
      <c r="A63" s="2165">
        <v>6330</v>
      </c>
      <c r="B63" s="2166">
        <v>5345</v>
      </c>
      <c r="C63" s="2170">
        <v>0</v>
      </c>
      <c r="D63" s="2167" t="s">
        <v>806</v>
      </c>
      <c r="E63" s="2168">
        <v>0</v>
      </c>
      <c r="F63" s="2168">
        <v>0</v>
      </c>
      <c r="G63" s="2168">
        <v>399</v>
      </c>
      <c r="H63" s="2171">
        <v>0</v>
      </c>
    </row>
    <row r="64" spans="1:8" ht="16.5" thickTop="1" thickBot="1" x14ac:dyDescent="0.3">
      <c r="A64" s="2750" t="s">
        <v>802</v>
      </c>
      <c r="B64" s="2751"/>
      <c r="C64" s="2751"/>
      <c r="D64" s="2751"/>
      <c r="E64" s="1957">
        <f>SUM(E39:E62)</f>
        <v>0</v>
      </c>
      <c r="F64" s="1957">
        <f>SUM(F39:F63)</f>
        <v>1125</v>
      </c>
      <c r="G64" s="1957">
        <f>SUM(G39:G63)</f>
        <v>968</v>
      </c>
      <c r="H64" s="1962">
        <v>61.717249327698809</v>
      </c>
    </row>
    <row r="65" spans="1:12" ht="13.5" thickTop="1" x14ac:dyDescent="0.2"/>
    <row r="67" spans="1:12" ht="16.5" x14ac:dyDescent="0.25">
      <c r="A67" s="2193" t="s">
        <v>487</v>
      </c>
      <c r="B67" s="2194"/>
      <c r="C67" s="2195"/>
      <c r="D67" s="2196"/>
      <c r="E67" s="2197">
        <f>SUM(E68:E70)</f>
        <v>0</v>
      </c>
      <c r="F67" s="2197">
        <f>F68+F69+F70+F71</f>
        <v>8009</v>
      </c>
      <c r="G67" s="2197">
        <f>G68+G69+G70+G71</f>
        <v>9277</v>
      </c>
      <c r="H67" s="2198">
        <v>61.717249327698809</v>
      </c>
      <c r="J67" s="2199">
        <f>J68+J69+J70</f>
        <v>0</v>
      </c>
      <c r="K67" s="2199">
        <f>K68+K69+K70</f>
        <v>8008920.9500000002</v>
      </c>
      <c r="L67" s="2199">
        <f>L68+L69+L70</f>
        <v>9276822.5500000007</v>
      </c>
    </row>
    <row r="68" spans="1:12" ht="15" x14ac:dyDescent="0.2">
      <c r="A68" s="2200" t="s">
        <v>277</v>
      </c>
      <c r="B68" s="2201"/>
      <c r="C68" s="2202"/>
      <c r="D68" s="2203"/>
      <c r="E68" s="2204">
        <f>E12+E13+E14+E15+E16+E17+E18+E19+E20+E21+E22+E23+E24+E25+E27+E28+E29+E30+E39+E40+E41+E42+E43+E44+E45+E46+E47+E48+E49+E50+E53+E54+E55+E56+E58+E59+E60+E61</f>
        <v>0</v>
      </c>
      <c r="F68" s="2204">
        <f>F12+F13+F14+F15+F16+F17+F18+F19+F20+F21+F22+F23+F24+F25+F27+F28+F29+F30+F39+F40+F41+F42+F43+F44+F45+F46+F47+F48+F49+F50+F53+F54+F55+F56+F58+F59+F60+F61</f>
        <v>8009</v>
      </c>
      <c r="G68" s="2204">
        <f>G12+G13+G14+G15+G16+G17+G18+G19+G20+G21+G22+G23+G24+G25+G27+G28+G29+G30+G39+G40+G41+G42+G43+G44+G45+G46+G47+G48+G49+G50+G53+G54+G55+G56+G58+G59+G60+G61</f>
        <v>5563</v>
      </c>
      <c r="H68" s="2205">
        <f>G68/F68*100</f>
        <v>69.459358222000247</v>
      </c>
      <c r="J68" s="2206">
        <v>0</v>
      </c>
      <c r="K68" s="2206">
        <v>8008920.9500000002</v>
      </c>
      <c r="L68" s="2206">
        <v>5562591.6600000001</v>
      </c>
    </row>
    <row r="69" spans="1:12" ht="15" x14ac:dyDescent="0.2">
      <c r="A69" s="2200" t="s">
        <v>278</v>
      </c>
      <c r="B69" s="2207"/>
      <c r="C69" s="2202"/>
      <c r="D69" s="2208"/>
      <c r="E69" s="2204">
        <f>0</f>
        <v>0</v>
      </c>
      <c r="F69" s="2204">
        <f>0</f>
        <v>0</v>
      </c>
      <c r="G69" s="2204">
        <f>0</f>
        <v>0</v>
      </c>
      <c r="H69" s="2205">
        <v>0</v>
      </c>
      <c r="J69" s="2206">
        <v>0</v>
      </c>
      <c r="K69" s="2206">
        <v>0</v>
      </c>
      <c r="L69" s="2206">
        <v>0</v>
      </c>
    </row>
    <row r="70" spans="1:12" ht="15" x14ac:dyDescent="0.2">
      <c r="A70" s="2200" t="s">
        <v>488</v>
      </c>
      <c r="B70" s="2207"/>
      <c r="C70" s="2202"/>
      <c r="D70" s="2208"/>
      <c r="E70" s="2204">
        <f>E32+E63</f>
        <v>0</v>
      </c>
      <c r="F70" s="2204">
        <f>F32+F63</f>
        <v>0</v>
      </c>
      <c r="G70" s="2204">
        <f>G32+G63</f>
        <v>3714</v>
      </c>
      <c r="H70" s="2205">
        <v>0</v>
      </c>
      <c r="J70" s="2206">
        <v>0</v>
      </c>
      <c r="K70" s="2206">
        <v>0</v>
      </c>
      <c r="L70" s="2206">
        <v>3714230.89</v>
      </c>
    </row>
    <row r="71" spans="1:12" ht="16.5" customHeight="1" x14ac:dyDescent="0.2">
      <c r="A71" s="2200"/>
      <c r="B71" s="2207"/>
      <c r="C71" s="2202"/>
      <c r="D71" s="2208"/>
      <c r="E71" s="2204"/>
      <c r="F71" s="2204"/>
      <c r="G71" s="2204"/>
      <c r="H71" s="2209"/>
    </row>
    <row r="72" spans="1:12" ht="57.75" customHeight="1" thickBot="1" x14ac:dyDescent="0.4">
      <c r="A72" s="2763" t="s">
        <v>1485</v>
      </c>
      <c r="B72" s="2768"/>
      <c r="C72" s="2768"/>
      <c r="D72" s="2768"/>
      <c r="E72" s="2210">
        <f>SUM(E67)</f>
        <v>0</v>
      </c>
      <c r="F72" s="2210">
        <f>SUM(F67)</f>
        <v>8009</v>
      </c>
      <c r="G72" s="2210">
        <f>SUM(G67)</f>
        <v>9277</v>
      </c>
      <c r="H72" s="2211">
        <v>61.717249327698809</v>
      </c>
    </row>
    <row r="73" spans="1:12" ht="13.5" thickTop="1" x14ac:dyDescent="0.2"/>
  </sheetData>
  <mergeCells count="5">
    <mergeCell ref="A8:H8"/>
    <mergeCell ref="A33:D33"/>
    <mergeCell ref="A35:H35"/>
    <mergeCell ref="A64:D64"/>
    <mergeCell ref="A72:D72"/>
  </mergeCells>
  <pageMargins left="0.70866141732283472" right="0.70866141732283472" top="0.78740157480314965" bottom="0.78740157480314965" header="0.31496062992125984" footer="0.31496062992125984"/>
  <pageSetup paperSize="9" scale="70" firstPageNumber="163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1" manualBreakCount="1">
    <brk id="64" max="7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1"/>
  <sheetViews>
    <sheetView view="pageBreakPreview" zoomScaleNormal="100" zoomScaleSheetLayoutView="100" workbookViewId="0">
      <selection activeCell="K36" sqref="K36"/>
    </sheetView>
  </sheetViews>
  <sheetFormatPr defaultRowHeight="12.75" x14ac:dyDescent="0.2"/>
  <cols>
    <col min="1" max="1" width="4.7109375" style="2139" customWidth="1"/>
    <col min="2" max="2" width="6.7109375" style="2139" customWidth="1"/>
    <col min="3" max="3" width="8.85546875" style="2139" customWidth="1"/>
    <col min="4" max="4" width="47.85546875" style="2139" customWidth="1"/>
    <col min="5" max="5" width="12.85546875" style="2139" customWidth="1"/>
    <col min="6" max="6" width="15.5703125" style="2139" customWidth="1"/>
    <col min="7" max="7" width="15.85546875" style="2139" customWidth="1"/>
    <col min="8" max="8" width="8.85546875" style="2139" customWidth="1"/>
    <col min="9" max="10" width="9.140625" style="2139"/>
    <col min="11" max="12" width="14.7109375" style="2139" bestFit="1" customWidth="1"/>
    <col min="13" max="256" width="9.140625" style="2139"/>
    <col min="257" max="257" width="4.7109375" style="2139" customWidth="1"/>
    <col min="258" max="258" width="6.7109375" style="2139" customWidth="1"/>
    <col min="259" max="259" width="8.85546875" style="2139" customWidth="1"/>
    <col min="260" max="260" width="47.85546875" style="2139" customWidth="1"/>
    <col min="261" max="261" width="12.85546875" style="2139" customWidth="1"/>
    <col min="262" max="262" width="15.5703125" style="2139" customWidth="1"/>
    <col min="263" max="263" width="15.85546875" style="2139" customWidth="1"/>
    <col min="264" max="264" width="6.42578125" style="2139" customWidth="1"/>
    <col min="265" max="266" width="9.140625" style="2139"/>
    <col min="267" max="268" width="14.7109375" style="2139" bestFit="1" customWidth="1"/>
    <col min="269" max="512" width="9.140625" style="2139"/>
    <col min="513" max="513" width="4.7109375" style="2139" customWidth="1"/>
    <col min="514" max="514" width="6.7109375" style="2139" customWidth="1"/>
    <col min="515" max="515" width="8.85546875" style="2139" customWidth="1"/>
    <col min="516" max="516" width="47.85546875" style="2139" customWidth="1"/>
    <col min="517" max="517" width="12.85546875" style="2139" customWidth="1"/>
    <col min="518" max="518" width="15.5703125" style="2139" customWidth="1"/>
    <col min="519" max="519" width="15.85546875" style="2139" customWidth="1"/>
    <col min="520" max="520" width="6.42578125" style="2139" customWidth="1"/>
    <col min="521" max="522" width="9.140625" style="2139"/>
    <col min="523" max="524" width="14.7109375" style="2139" bestFit="1" customWidth="1"/>
    <col min="525" max="768" width="9.140625" style="2139"/>
    <col min="769" max="769" width="4.7109375" style="2139" customWidth="1"/>
    <col min="770" max="770" width="6.7109375" style="2139" customWidth="1"/>
    <col min="771" max="771" width="8.85546875" style="2139" customWidth="1"/>
    <col min="772" max="772" width="47.85546875" style="2139" customWidth="1"/>
    <col min="773" max="773" width="12.85546875" style="2139" customWidth="1"/>
    <col min="774" max="774" width="15.5703125" style="2139" customWidth="1"/>
    <col min="775" max="775" width="15.85546875" style="2139" customWidth="1"/>
    <col min="776" max="776" width="6.42578125" style="2139" customWidth="1"/>
    <col min="777" max="778" width="9.140625" style="2139"/>
    <col min="779" max="780" width="14.7109375" style="2139" bestFit="1" customWidth="1"/>
    <col min="781" max="1024" width="9.140625" style="2139"/>
    <col min="1025" max="1025" width="4.7109375" style="2139" customWidth="1"/>
    <col min="1026" max="1026" width="6.7109375" style="2139" customWidth="1"/>
    <col min="1027" max="1027" width="8.85546875" style="2139" customWidth="1"/>
    <col min="1028" max="1028" width="47.85546875" style="2139" customWidth="1"/>
    <col min="1029" max="1029" width="12.85546875" style="2139" customWidth="1"/>
    <col min="1030" max="1030" width="15.5703125" style="2139" customWidth="1"/>
    <col min="1031" max="1031" width="15.85546875" style="2139" customWidth="1"/>
    <col min="1032" max="1032" width="6.42578125" style="2139" customWidth="1"/>
    <col min="1033" max="1034" width="9.140625" style="2139"/>
    <col min="1035" max="1036" width="14.7109375" style="2139" bestFit="1" customWidth="1"/>
    <col min="1037" max="1280" width="9.140625" style="2139"/>
    <col min="1281" max="1281" width="4.7109375" style="2139" customWidth="1"/>
    <col min="1282" max="1282" width="6.7109375" style="2139" customWidth="1"/>
    <col min="1283" max="1283" width="8.85546875" style="2139" customWidth="1"/>
    <col min="1284" max="1284" width="47.85546875" style="2139" customWidth="1"/>
    <col min="1285" max="1285" width="12.85546875" style="2139" customWidth="1"/>
    <col min="1286" max="1286" width="15.5703125" style="2139" customWidth="1"/>
    <col min="1287" max="1287" width="15.85546875" style="2139" customWidth="1"/>
    <col min="1288" max="1288" width="6.42578125" style="2139" customWidth="1"/>
    <col min="1289" max="1290" width="9.140625" style="2139"/>
    <col min="1291" max="1292" width="14.7109375" style="2139" bestFit="1" customWidth="1"/>
    <col min="1293" max="1536" width="9.140625" style="2139"/>
    <col min="1537" max="1537" width="4.7109375" style="2139" customWidth="1"/>
    <col min="1538" max="1538" width="6.7109375" style="2139" customWidth="1"/>
    <col min="1539" max="1539" width="8.85546875" style="2139" customWidth="1"/>
    <col min="1540" max="1540" width="47.85546875" style="2139" customWidth="1"/>
    <col min="1541" max="1541" width="12.85546875" style="2139" customWidth="1"/>
    <col min="1542" max="1542" width="15.5703125" style="2139" customWidth="1"/>
    <col min="1543" max="1543" width="15.85546875" style="2139" customWidth="1"/>
    <col min="1544" max="1544" width="6.42578125" style="2139" customWidth="1"/>
    <col min="1545" max="1546" width="9.140625" style="2139"/>
    <col min="1547" max="1548" width="14.7109375" style="2139" bestFit="1" customWidth="1"/>
    <col min="1549" max="1792" width="9.140625" style="2139"/>
    <col min="1793" max="1793" width="4.7109375" style="2139" customWidth="1"/>
    <col min="1794" max="1794" width="6.7109375" style="2139" customWidth="1"/>
    <col min="1795" max="1795" width="8.85546875" style="2139" customWidth="1"/>
    <col min="1796" max="1796" width="47.85546875" style="2139" customWidth="1"/>
    <col min="1797" max="1797" width="12.85546875" style="2139" customWidth="1"/>
    <col min="1798" max="1798" width="15.5703125" style="2139" customWidth="1"/>
    <col min="1799" max="1799" width="15.85546875" style="2139" customWidth="1"/>
    <col min="1800" max="1800" width="6.42578125" style="2139" customWidth="1"/>
    <col min="1801" max="1802" width="9.140625" style="2139"/>
    <col min="1803" max="1804" width="14.7109375" style="2139" bestFit="1" customWidth="1"/>
    <col min="1805" max="2048" width="9.140625" style="2139"/>
    <col min="2049" max="2049" width="4.7109375" style="2139" customWidth="1"/>
    <col min="2050" max="2050" width="6.7109375" style="2139" customWidth="1"/>
    <col min="2051" max="2051" width="8.85546875" style="2139" customWidth="1"/>
    <col min="2052" max="2052" width="47.85546875" style="2139" customWidth="1"/>
    <col min="2053" max="2053" width="12.85546875" style="2139" customWidth="1"/>
    <col min="2054" max="2054" width="15.5703125" style="2139" customWidth="1"/>
    <col min="2055" max="2055" width="15.85546875" style="2139" customWidth="1"/>
    <col min="2056" max="2056" width="6.42578125" style="2139" customWidth="1"/>
    <col min="2057" max="2058" width="9.140625" style="2139"/>
    <col min="2059" max="2060" width="14.7109375" style="2139" bestFit="1" customWidth="1"/>
    <col min="2061" max="2304" width="9.140625" style="2139"/>
    <col min="2305" max="2305" width="4.7109375" style="2139" customWidth="1"/>
    <col min="2306" max="2306" width="6.7109375" style="2139" customWidth="1"/>
    <col min="2307" max="2307" width="8.85546875" style="2139" customWidth="1"/>
    <col min="2308" max="2308" width="47.85546875" style="2139" customWidth="1"/>
    <col min="2309" max="2309" width="12.85546875" style="2139" customWidth="1"/>
    <col min="2310" max="2310" width="15.5703125" style="2139" customWidth="1"/>
    <col min="2311" max="2311" width="15.85546875" style="2139" customWidth="1"/>
    <col min="2312" max="2312" width="6.42578125" style="2139" customWidth="1"/>
    <col min="2313" max="2314" width="9.140625" style="2139"/>
    <col min="2315" max="2316" width="14.7109375" style="2139" bestFit="1" customWidth="1"/>
    <col min="2317" max="2560" width="9.140625" style="2139"/>
    <col min="2561" max="2561" width="4.7109375" style="2139" customWidth="1"/>
    <col min="2562" max="2562" width="6.7109375" style="2139" customWidth="1"/>
    <col min="2563" max="2563" width="8.85546875" style="2139" customWidth="1"/>
    <col min="2564" max="2564" width="47.85546875" style="2139" customWidth="1"/>
    <col min="2565" max="2565" width="12.85546875" style="2139" customWidth="1"/>
    <col min="2566" max="2566" width="15.5703125" style="2139" customWidth="1"/>
    <col min="2567" max="2567" width="15.85546875" style="2139" customWidth="1"/>
    <col min="2568" max="2568" width="6.42578125" style="2139" customWidth="1"/>
    <col min="2569" max="2570" width="9.140625" style="2139"/>
    <col min="2571" max="2572" width="14.7109375" style="2139" bestFit="1" customWidth="1"/>
    <col min="2573" max="2816" width="9.140625" style="2139"/>
    <col min="2817" max="2817" width="4.7109375" style="2139" customWidth="1"/>
    <col min="2818" max="2818" width="6.7109375" style="2139" customWidth="1"/>
    <col min="2819" max="2819" width="8.85546875" style="2139" customWidth="1"/>
    <col min="2820" max="2820" width="47.85546875" style="2139" customWidth="1"/>
    <col min="2821" max="2821" width="12.85546875" style="2139" customWidth="1"/>
    <col min="2822" max="2822" width="15.5703125" style="2139" customWidth="1"/>
    <col min="2823" max="2823" width="15.85546875" style="2139" customWidth="1"/>
    <col min="2824" max="2824" width="6.42578125" style="2139" customWidth="1"/>
    <col min="2825" max="2826" width="9.140625" style="2139"/>
    <col min="2827" max="2828" width="14.7109375" style="2139" bestFit="1" customWidth="1"/>
    <col min="2829" max="3072" width="9.140625" style="2139"/>
    <col min="3073" max="3073" width="4.7109375" style="2139" customWidth="1"/>
    <col min="3074" max="3074" width="6.7109375" style="2139" customWidth="1"/>
    <col min="3075" max="3075" width="8.85546875" style="2139" customWidth="1"/>
    <col min="3076" max="3076" width="47.85546875" style="2139" customWidth="1"/>
    <col min="3077" max="3077" width="12.85546875" style="2139" customWidth="1"/>
    <col min="3078" max="3078" width="15.5703125" style="2139" customWidth="1"/>
    <col min="3079" max="3079" width="15.85546875" style="2139" customWidth="1"/>
    <col min="3080" max="3080" width="6.42578125" style="2139" customWidth="1"/>
    <col min="3081" max="3082" width="9.140625" style="2139"/>
    <col min="3083" max="3084" width="14.7109375" style="2139" bestFit="1" customWidth="1"/>
    <col min="3085" max="3328" width="9.140625" style="2139"/>
    <col min="3329" max="3329" width="4.7109375" style="2139" customWidth="1"/>
    <col min="3330" max="3330" width="6.7109375" style="2139" customWidth="1"/>
    <col min="3331" max="3331" width="8.85546875" style="2139" customWidth="1"/>
    <col min="3332" max="3332" width="47.85546875" style="2139" customWidth="1"/>
    <col min="3333" max="3333" width="12.85546875" style="2139" customWidth="1"/>
    <col min="3334" max="3334" width="15.5703125" style="2139" customWidth="1"/>
    <col min="3335" max="3335" width="15.85546875" style="2139" customWidth="1"/>
    <col min="3336" max="3336" width="6.42578125" style="2139" customWidth="1"/>
    <col min="3337" max="3338" width="9.140625" style="2139"/>
    <col min="3339" max="3340" width="14.7109375" style="2139" bestFit="1" customWidth="1"/>
    <col min="3341" max="3584" width="9.140625" style="2139"/>
    <col min="3585" max="3585" width="4.7109375" style="2139" customWidth="1"/>
    <col min="3586" max="3586" width="6.7109375" style="2139" customWidth="1"/>
    <col min="3587" max="3587" width="8.85546875" style="2139" customWidth="1"/>
    <col min="3588" max="3588" width="47.85546875" style="2139" customWidth="1"/>
    <col min="3589" max="3589" width="12.85546875" style="2139" customWidth="1"/>
    <col min="3590" max="3590" width="15.5703125" style="2139" customWidth="1"/>
    <col min="3591" max="3591" width="15.85546875" style="2139" customWidth="1"/>
    <col min="3592" max="3592" width="6.42578125" style="2139" customWidth="1"/>
    <col min="3593" max="3594" width="9.140625" style="2139"/>
    <col min="3595" max="3596" width="14.7109375" style="2139" bestFit="1" customWidth="1"/>
    <col min="3597" max="3840" width="9.140625" style="2139"/>
    <col min="3841" max="3841" width="4.7109375" style="2139" customWidth="1"/>
    <col min="3842" max="3842" width="6.7109375" style="2139" customWidth="1"/>
    <col min="3843" max="3843" width="8.85546875" style="2139" customWidth="1"/>
    <col min="3844" max="3844" width="47.85546875" style="2139" customWidth="1"/>
    <col min="3845" max="3845" width="12.85546875" style="2139" customWidth="1"/>
    <col min="3846" max="3846" width="15.5703125" style="2139" customWidth="1"/>
    <col min="3847" max="3847" width="15.85546875" style="2139" customWidth="1"/>
    <col min="3848" max="3848" width="6.42578125" style="2139" customWidth="1"/>
    <col min="3849" max="3850" width="9.140625" style="2139"/>
    <col min="3851" max="3852" width="14.7109375" style="2139" bestFit="1" customWidth="1"/>
    <col min="3853" max="4096" width="9.140625" style="2139"/>
    <col min="4097" max="4097" width="4.7109375" style="2139" customWidth="1"/>
    <col min="4098" max="4098" width="6.7109375" style="2139" customWidth="1"/>
    <col min="4099" max="4099" width="8.85546875" style="2139" customWidth="1"/>
    <col min="4100" max="4100" width="47.85546875" style="2139" customWidth="1"/>
    <col min="4101" max="4101" width="12.85546875" style="2139" customWidth="1"/>
    <col min="4102" max="4102" width="15.5703125" style="2139" customWidth="1"/>
    <col min="4103" max="4103" width="15.85546875" style="2139" customWidth="1"/>
    <col min="4104" max="4104" width="6.42578125" style="2139" customWidth="1"/>
    <col min="4105" max="4106" width="9.140625" style="2139"/>
    <col min="4107" max="4108" width="14.7109375" style="2139" bestFit="1" customWidth="1"/>
    <col min="4109" max="4352" width="9.140625" style="2139"/>
    <col min="4353" max="4353" width="4.7109375" style="2139" customWidth="1"/>
    <col min="4354" max="4354" width="6.7109375" style="2139" customWidth="1"/>
    <col min="4355" max="4355" width="8.85546875" style="2139" customWidth="1"/>
    <col min="4356" max="4356" width="47.85546875" style="2139" customWidth="1"/>
    <col min="4357" max="4357" width="12.85546875" style="2139" customWidth="1"/>
    <col min="4358" max="4358" width="15.5703125" style="2139" customWidth="1"/>
    <col min="4359" max="4359" width="15.85546875" style="2139" customWidth="1"/>
    <col min="4360" max="4360" width="6.42578125" style="2139" customWidth="1"/>
    <col min="4361" max="4362" width="9.140625" style="2139"/>
    <col min="4363" max="4364" width="14.7109375" style="2139" bestFit="1" customWidth="1"/>
    <col min="4365" max="4608" width="9.140625" style="2139"/>
    <col min="4609" max="4609" width="4.7109375" style="2139" customWidth="1"/>
    <col min="4610" max="4610" width="6.7109375" style="2139" customWidth="1"/>
    <col min="4611" max="4611" width="8.85546875" style="2139" customWidth="1"/>
    <col min="4612" max="4612" width="47.85546875" style="2139" customWidth="1"/>
    <col min="4613" max="4613" width="12.85546875" style="2139" customWidth="1"/>
    <col min="4614" max="4614" width="15.5703125" style="2139" customWidth="1"/>
    <col min="4615" max="4615" width="15.85546875" style="2139" customWidth="1"/>
    <col min="4616" max="4616" width="6.42578125" style="2139" customWidth="1"/>
    <col min="4617" max="4618" width="9.140625" style="2139"/>
    <col min="4619" max="4620" width="14.7109375" style="2139" bestFit="1" customWidth="1"/>
    <col min="4621" max="4864" width="9.140625" style="2139"/>
    <col min="4865" max="4865" width="4.7109375" style="2139" customWidth="1"/>
    <col min="4866" max="4866" width="6.7109375" style="2139" customWidth="1"/>
    <col min="4867" max="4867" width="8.85546875" style="2139" customWidth="1"/>
    <col min="4868" max="4868" width="47.85546875" style="2139" customWidth="1"/>
    <col min="4869" max="4869" width="12.85546875" style="2139" customWidth="1"/>
    <col min="4870" max="4870" width="15.5703125" style="2139" customWidth="1"/>
    <col min="4871" max="4871" width="15.85546875" style="2139" customWidth="1"/>
    <col min="4872" max="4872" width="6.42578125" style="2139" customWidth="1"/>
    <col min="4873" max="4874" width="9.140625" style="2139"/>
    <col min="4875" max="4876" width="14.7109375" style="2139" bestFit="1" customWidth="1"/>
    <col min="4877" max="5120" width="9.140625" style="2139"/>
    <col min="5121" max="5121" width="4.7109375" style="2139" customWidth="1"/>
    <col min="5122" max="5122" width="6.7109375" style="2139" customWidth="1"/>
    <col min="5123" max="5123" width="8.85546875" style="2139" customWidth="1"/>
    <col min="5124" max="5124" width="47.85546875" style="2139" customWidth="1"/>
    <col min="5125" max="5125" width="12.85546875" style="2139" customWidth="1"/>
    <col min="5126" max="5126" width="15.5703125" style="2139" customWidth="1"/>
    <col min="5127" max="5127" width="15.85546875" style="2139" customWidth="1"/>
    <col min="5128" max="5128" width="6.42578125" style="2139" customWidth="1"/>
    <col min="5129" max="5130" width="9.140625" style="2139"/>
    <col min="5131" max="5132" width="14.7109375" style="2139" bestFit="1" customWidth="1"/>
    <col min="5133" max="5376" width="9.140625" style="2139"/>
    <col min="5377" max="5377" width="4.7109375" style="2139" customWidth="1"/>
    <col min="5378" max="5378" width="6.7109375" style="2139" customWidth="1"/>
    <col min="5379" max="5379" width="8.85546875" style="2139" customWidth="1"/>
    <col min="5380" max="5380" width="47.85546875" style="2139" customWidth="1"/>
    <col min="5381" max="5381" width="12.85546875" style="2139" customWidth="1"/>
    <col min="5382" max="5382" width="15.5703125" style="2139" customWidth="1"/>
    <col min="5383" max="5383" width="15.85546875" style="2139" customWidth="1"/>
    <col min="5384" max="5384" width="6.42578125" style="2139" customWidth="1"/>
    <col min="5385" max="5386" width="9.140625" style="2139"/>
    <col min="5387" max="5388" width="14.7109375" style="2139" bestFit="1" customWidth="1"/>
    <col min="5389" max="5632" width="9.140625" style="2139"/>
    <col min="5633" max="5633" width="4.7109375" style="2139" customWidth="1"/>
    <col min="5634" max="5634" width="6.7109375" style="2139" customWidth="1"/>
    <col min="5635" max="5635" width="8.85546875" style="2139" customWidth="1"/>
    <col min="5636" max="5636" width="47.85546875" style="2139" customWidth="1"/>
    <col min="5637" max="5637" width="12.85546875" style="2139" customWidth="1"/>
    <col min="5638" max="5638" width="15.5703125" style="2139" customWidth="1"/>
    <col min="5639" max="5639" width="15.85546875" style="2139" customWidth="1"/>
    <col min="5640" max="5640" width="6.42578125" style="2139" customWidth="1"/>
    <col min="5641" max="5642" width="9.140625" style="2139"/>
    <col min="5643" max="5644" width="14.7109375" style="2139" bestFit="1" customWidth="1"/>
    <col min="5645" max="5888" width="9.140625" style="2139"/>
    <col min="5889" max="5889" width="4.7109375" style="2139" customWidth="1"/>
    <col min="5890" max="5890" width="6.7109375" style="2139" customWidth="1"/>
    <col min="5891" max="5891" width="8.85546875" style="2139" customWidth="1"/>
    <col min="5892" max="5892" width="47.85546875" style="2139" customWidth="1"/>
    <col min="5893" max="5893" width="12.85546875" style="2139" customWidth="1"/>
    <col min="5894" max="5894" width="15.5703125" style="2139" customWidth="1"/>
    <col min="5895" max="5895" width="15.85546875" style="2139" customWidth="1"/>
    <col min="5896" max="5896" width="6.42578125" style="2139" customWidth="1"/>
    <col min="5897" max="5898" width="9.140625" style="2139"/>
    <col min="5899" max="5900" width="14.7109375" style="2139" bestFit="1" customWidth="1"/>
    <col min="5901" max="6144" width="9.140625" style="2139"/>
    <col min="6145" max="6145" width="4.7109375" style="2139" customWidth="1"/>
    <col min="6146" max="6146" width="6.7109375" style="2139" customWidth="1"/>
    <col min="6147" max="6147" width="8.85546875" style="2139" customWidth="1"/>
    <col min="6148" max="6148" width="47.85546875" style="2139" customWidth="1"/>
    <col min="6149" max="6149" width="12.85546875" style="2139" customWidth="1"/>
    <col min="6150" max="6150" width="15.5703125" style="2139" customWidth="1"/>
    <col min="6151" max="6151" width="15.85546875" style="2139" customWidth="1"/>
    <col min="6152" max="6152" width="6.42578125" style="2139" customWidth="1"/>
    <col min="6153" max="6154" width="9.140625" style="2139"/>
    <col min="6155" max="6156" width="14.7109375" style="2139" bestFit="1" customWidth="1"/>
    <col min="6157" max="6400" width="9.140625" style="2139"/>
    <col min="6401" max="6401" width="4.7109375" style="2139" customWidth="1"/>
    <col min="6402" max="6402" width="6.7109375" style="2139" customWidth="1"/>
    <col min="6403" max="6403" width="8.85546875" style="2139" customWidth="1"/>
    <col min="6404" max="6404" width="47.85546875" style="2139" customWidth="1"/>
    <col min="6405" max="6405" width="12.85546875" style="2139" customWidth="1"/>
    <col min="6406" max="6406" width="15.5703125" style="2139" customWidth="1"/>
    <col min="6407" max="6407" width="15.85546875" style="2139" customWidth="1"/>
    <col min="6408" max="6408" width="6.42578125" style="2139" customWidth="1"/>
    <col min="6409" max="6410" width="9.140625" style="2139"/>
    <col min="6411" max="6412" width="14.7109375" style="2139" bestFit="1" customWidth="1"/>
    <col min="6413" max="6656" width="9.140625" style="2139"/>
    <col min="6657" max="6657" width="4.7109375" style="2139" customWidth="1"/>
    <col min="6658" max="6658" width="6.7109375" style="2139" customWidth="1"/>
    <col min="6659" max="6659" width="8.85546875" style="2139" customWidth="1"/>
    <col min="6660" max="6660" width="47.85546875" style="2139" customWidth="1"/>
    <col min="6661" max="6661" width="12.85546875" style="2139" customWidth="1"/>
    <col min="6662" max="6662" width="15.5703125" style="2139" customWidth="1"/>
    <col min="6663" max="6663" width="15.85546875" style="2139" customWidth="1"/>
    <col min="6664" max="6664" width="6.42578125" style="2139" customWidth="1"/>
    <col min="6665" max="6666" width="9.140625" style="2139"/>
    <col min="6667" max="6668" width="14.7109375" style="2139" bestFit="1" customWidth="1"/>
    <col min="6669" max="6912" width="9.140625" style="2139"/>
    <col min="6913" max="6913" width="4.7109375" style="2139" customWidth="1"/>
    <col min="6914" max="6914" width="6.7109375" style="2139" customWidth="1"/>
    <col min="6915" max="6915" width="8.85546875" style="2139" customWidth="1"/>
    <col min="6916" max="6916" width="47.85546875" style="2139" customWidth="1"/>
    <col min="6917" max="6917" width="12.85546875" style="2139" customWidth="1"/>
    <col min="6918" max="6918" width="15.5703125" style="2139" customWidth="1"/>
    <col min="6919" max="6919" width="15.85546875" style="2139" customWidth="1"/>
    <col min="6920" max="6920" width="6.42578125" style="2139" customWidth="1"/>
    <col min="6921" max="6922" width="9.140625" style="2139"/>
    <col min="6923" max="6924" width="14.7109375" style="2139" bestFit="1" customWidth="1"/>
    <col min="6925" max="7168" width="9.140625" style="2139"/>
    <col min="7169" max="7169" width="4.7109375" style="2139" customWidth="1"/>
    <col min="7170" max="7170" width="6.7109375" style="2139" customWidth="1"/>
    <col min="7171" max="7171" width="8.85546875" style="2139" customWidth="1"/>
    <col min="7172" max="7172" width="47.85546875" style="2139" customWidth="1"/>
    <col min="7173" max="7173" width="12.85546875" style="2139" customWidth="1"/>
    <col min="7174" max="7174" width="15.5703125" style="2139" customWidth="1"/>
    <col min="7175" max="7175" width="15.85546875" style="2139" customWidth="1"/>
    <col min="7176" max="7176" width="6.42578125" style="2139" customWidth="1"/>
    <col min="7177" max="7178" width="9.140625" style="2139"/>
    <col min="7179" max="7180" width="14.7109375" style="2139" bestFit="1" customWidth="1"/>
    <col min="7181" max="7424" width="9.140625" style="2139"/>
    <col min="7425" max="7425" width="4.7109375" style="2139" customWidth="1"/>
    <col min="7426" max="7426" width="6.7109375" style="2139" customWidth="1"/>
    <col min="7427" max="7427" width="8.85546875" style="2139" customWidth="1"/>
    <col min="7428" max="7428" width="47.85546875" style="2139" customWidth="1"/>
    <col min="7429" max="7429" width="12.85546875" style="2139" customWidth="1"/>
    <col min="7430" max="7430" width="15.5703125" style="2139" customWidth="1"/>
    <col min="7431" max="7431" width="15.85546875" style="2139" customWidth="1"/>
    <col min="7432" max="7432" width="6.42578125" style="2139" customWidth="1"/>
    <col min="7433" max="7434" width="9.140625" style="2139"/>
    <col min="7435" max="7436" width="14.7109375" style="2139" bestFit="1" customWidth="1"/>
    <col min="7437" max="7680" width="9.140625" style="2139"/>
    <col min="7681" max="7681" width="4.7109375" style="2139" customWidth="1"/>
    <col min="7682" max="7682" width="6.7109375" style="2139" customWidth="1"/>
    <col min="7683" max="7683" width="8.85546875" style="2139" customWidth="1"/>
    <col min="7684" max="7684" width="47.85546875" style="2139" customWidth="1"/>
    <col min="7685" max="7685" width="12.85546875" style="2139" customWidth="1"/>
    <col min="7686" max="7686" width="15.5703125" style="2139" customWidth="1"/>
    <col min="7687" max="7687" width="15.85546875" style="2139" customWidth="1"/>
    <col min="7688" max="7688" width="6.42578125" style="2139" customWidth="1"/>
    <col min="7689" max="7690" width="9.140625" style="2139"/>
    <col min="7691" max="7692" width="14.7109375" style="2139" bestFit="1" customWidth="1"/>
    <col min="7693" max="7936" width="9.140625" style="2139"/>
    <col min="7937" max="7937" width="4.7109375" style="2139" customWidth="1"/>
    <col min="7938" max="7938" width="6.7109375" style="2139" customWidth="1"/>
    <col min="7939" max="7939" width="8.85546875" style="2139" customWidth="1"/>
    <col min="7940" max="7940" width="47.85546875" style="2139" customWidth="1"/>
    <col min="7941" max="7941" width="12.85546875" style="2139" customWidth="1"/>
    <col min="7942" max="7942" width="15.5703125" style="2139" customWidth="1"/>
    <col min="7943" max="7943" width="15.85546875" style="2139" customWidth="1"/>
    <col min="7944" max="7944" width="6.42578125" style="2139" customWidth="1"/>
    <col min="7945" max="7946" width="9.140625" style="2139"/>
    <col min="7947" max="7948" width="14.7109375" style="2139" bestFit="1" customWidth="1"/>
    <col min="7949" max="8192" width="9.140625" style="2139"/>
    <col min="8193" max="8193" width="4.7109375" style="2139" customWidth="1"/>
    <col min="8194" max="8194" width="6.7109375" style="2139" customWidth="1"/>
    <col min="8195" max="8195" width="8.85546875" style="2139" customWidth="1"/>
    <col min="8196" max="8196" width="47.85546875" style="2139" customWidth="1"/>
    <col min="8197" max="8197" width="12.85546875" style="2139" customWidth="1"/>
    <col min="8198" max="8198" width="15.5703125" style="2139" customWidth="1"/>
    <col min="8199" max="8199" width="15.85546875" style="2139" customWidth="1"/>
    <col min="8200" max="8200" width="6.42578125" style="2139" customWidth="1"/>
    <col min="8201" max="8202" width="9.140625" style="2139"/>
    <col min="8203" max="8204" width="14.7109375" style="2139" bestFit="1" customWidth="1"/>
    <col min="8205" max="8448" width="9.140625" style="2139"/>
    <col min="8449" max="8449" width="4.7109375" style="2139" customWidth="1"/>
    <col min="8450" max="8450" width="6.7109375" style="2139" customWidth="1"/>
    <col min="8451" max="8451" width="8.85546875" style="2139" customWidth="1"/>
    <col min="8452" max="8452" width="47.85546875" style="2139" customWidth="1"/>
    <col min="8453" max="8453" width="12.85546875" style="2139" customWidth="1"/>
    <col min="8454" max="8454" width="15.5703125" style="2139" customWidth="1"/>
    <col min="8455" max="8455" width="15.85546875" style="2139" customWidth="1"/>
    <col min="8456" max="8456" width="6.42578125" style="2139" customWidth="1"/>
    <col min="8457" max="8458" width="9.140625" style="2139"/>
    <col min="8459" max="8460" width="14.7109375" style="2139" bestFit="1" customWidth="1"/>
    <col min="8461" max="8704" width="9.140625" style="2139"/>
    <col min="8705" max="8705" width="4.7109375" style="2139" customWidth="1"/>
    <col min="8706" max="8706" width="6.7109375" style="2139" customWidth="1"/>
    <col min="8707" max="8707" width="8.85546875" style="2139" customWidth="1"/>
    <col min="8708" max="8708" width="47.85546875" style="2139" customWidth="1"/>
    <col min="8709" max="8709" width="12.85546875" style="2139" customWidth="1"/>
    <col min="8710" max="8710" width="15.5703125" style="2139" customWidth="1"/>
    <col min="8711" max="8711" width="15.85546875" style="2139" customWidth="1"/>
    <col min="8712" max="8712" width="6.42578125" style="2139" customWidth="1"/>
    <col min="8713" max="8714" width="9.140625" style="2139"/>
    <col min="8715" max="8716" width="14.7109375" style="2139" bestFit="1" customWidth="1"/>
    <col min="8717" max="8960" width="9.140625" style="2139"/>
    <col min="8961" max="8961" width="4.7109375" style="2139" customWidth="1"/>
    <col min="8962" max="8962" width="6.7109375" style="2139" customWidth="1"/>
    <col min="8963" max="8963" width="8.85546875" style="2139" customWidth="1"/>
    <col min="8964" max="8964" width="47.85546875" style="2139" customWidth="1"/>
    <col min="8965" max="8965" width="12.85546875" style="2139" customWidth="1"/>
    <col min="8966" max="8966" width="15.5703125" style="2139" customWidth="1"/>
    <col min="8967" max="8967" width="15.85546875" style="2139" customWidth="1"/>
    <col min="8968" max="8968" width="6.42578125" style="2139" customWidth="1"/>
    <col min="8969" max="8970" width="9.140625" style="2139"/>
    <col min="8971" max="8972" width="14.7109375" style="2139" bestFit="1" customWidth="1"/>
    <col min="8973" max="9216" width="9.140625" style="2139"/>
    <col min="9217" max="9217" width="4.7109375" style="2139" customWidth="1"/>
    <col min="9218" max="9218" width="6.7109375" style="2139" customWidth="1"/>
    <col min="9219" max="9219" width="8.85546875" style="2139" customWidth="1"/>
    <col min="9220" max="9220" width="47.85546875" style="2139" customWidth="1"/>
    <col min="9221" max="9221" width="12.85546875" style="2139" customWidth="1"/>
    <col min="9222" max="9222" width="15.5703125" style="2139" customWidth="1"/>
    <col min="9223" max="9223" width="15.85546875" style="2139" customWidth="1"/>
    <col min="9224" max="9224" width="6.42578125" style="2139" customWidth="1"/>
    <col min="9225" max="9226" width="9.140625" style="2139"/>
    <col min="9227" max="9228" width="14.7109375" style="2139" bestFit="1" customWidth="1"/>
    <col min="9229" max="9472" width="9.140625" style="2139"/>
    <col min="9473" max="9473" width="4.7109375" style="2139" customWidth="1"/>
    <col min="9474" max="9474" width="6.7109375" style="2139" customWidth="1"/>
    <col min="9475" max="9475" width="8.85546875" style="2139" customWidth="1"/>
    <col min="9476" max="9476" width="47.85546875" style="2139" customWidth="1"/>
    <col min="9477" max="9477" width="12.85546875" style="2139" customWidth="1"/>
    <col min="9478" max="9478" width="15.5703125" style="2139" customWidth="1"/>
    <col min="9479" max="9479" width="15.85546875" style="2139" customWidth="1"/>
    <col min="9480" max="9480" width="6.42578125" style="2139" customWidth="1"/>
    <col min="9481" max="9482" width="9.140625" style="2139"/>
    <col min="9483" max="9484" width="14.7109375" style="2139" bestFit="1" customWidth="1"/>
    <col min="9485" max="9728" width="9.140625" style="2139"/>
    <col min="9729" max="9729" width="4.7109375" style="2139" customWidth="1"/>
    <col min="9730" max="9730" width="6.7109375" style="2139" customWidth="1"/>
    <col min="9731" max="9731" width="8.85546875" style="2139" customWidth="1"/>
    <col min="9732" max="9732" width="47.85546875" style="2139" customWidth="1"/>
    <col min="9733" max="9733" width="12.85546875" style="2139" customWidth="1"/>
    <col min="9734" max="9734" width="15.5703125" style="2139" customWidth="1"/>
    <col min="9735" max="9735" width="15.85546875" style="2139" customWidth="1"/>
    <col min="9736" max="9736" width="6.42578125" style="2139" customWidth="1"/>
    <col min="9737" max="9738" width="9.140625" style="2139"/>
    <col min="9739" max="9740" width="14.7109375" style="2139" bestFit="1" customWidth="1"/>
    <col min="9741" max="9984" width="9.140625" style="2139"/>
    <col min="9985" max="9985" width="4.7109375" style="2139" customWidth="1"/>
    <col min="9986" max="9986" width="6.7109375" style="2139" customWidth="1"/>
    <col min="9987" max="9987" width="8.85546875" style="2139" customWidth="1"/>
    <col min="9988" max="9988" width="47.85546875" style="2139" customWidth="1"/>
    <col min="9989" max="9989" width="12.85546875" style="2139" customWidth="1"/>
    <col min="9990" max="9990" width="15.5703125" style="2139" customWidth="1"/>
    <col min="9991" max="9991" width="15.85546875" style="2139" customWidth="1"/>
    <col min="9992" max="9992" width="6.42578125" style="2139" customWidth="1"/>
    <col min="9993" max="9994" width="9.140625" style="2139"/>
    <col min="9995" max="9996" width="14.7109375" style="2139" bestFit="1" customWidth="1"/>
    <col min="9997" max="10240" width="9.140625" style="2139"/>
    <col min="10241" max="10241" width="4.7109375" style="2139" customWidth="1"/>
    <col min="10242" max="10242" width="6.7109375" style="2139" customWidth="1"/>
    <col min="10243" max="10243" width="8.85546875" style="2139" customWidth="1"/>
    <col min="10244" max="10244" width="47.85546875" style="2139" customWidth="1"/>
    <col min="10245" max="10245" width="12.85546875" style="2139" customWidth="1"/>
    <col min="10246" max="10246" width="15.5703125" style="2139" customWidth="1"/>
    <col min="10247" max="10247" width="15.85546875" style="2139" customWidth="1"/>
    <col min="10248" max="10248" width="6.42578125" style="2139" customWidth="1"/>
    <col min="10249" max="10250" width="9.140625" style="2139"/>
    <col min="10251" max="10252" width="14.7109375" style="2139" bestFit="1" customWidth="1"/>
    <col min="10253" max="10496" width="9.140625" style="2139"/>
    <col min="10497" max="10497" width="4.7109375" style="2139" customWidth="1"/>
    <col min="10498" max="10498" width="6.7109375" style="2139" customWidth="1"/>
    <col min="10499" max="10499" width="8.85546875" style="2139" customWidth="1"/>
    <col min="10500" max="10500" width="47.85546875" style="2139" customWidth="1"/>
    <col min="10501" max="10501" width="12.85546875" style="2139" customWidth="1"/>
    <col min="10502" max="10502" width="15.5703125" style="2139" customWidth="1"/>
    <col min="10503" max="10503" width="15.85546875" style="2139" customWidth="1"/>
    <col min="10504" max="10504" width="6.42578125" style="2139" customWidth="1"/>
    <col min="10505" max="10506" width="9.140625" style="2139"/>
    <col min="10507" max="10508" width="14.7109375" style="2139" bestFit="1" customWidth="1"/>
    <col min="10509" max="10752" width="9.140625" style="2139"/>
    <col min="10753" max="10753" width="4.7109375" style="2139" customWidth="1"/>
    <col min="10754" max="10754" width="6.7109375" style="2139" customWidth="1"/>
    <col min="10755" max="10755" width="8.85546875" style="2139" customWidth="1"/>
    <col min="10756" max="10756" width="47.85546875" style="2139" customWidth="1"/>
    <col min="10757" max="10757" width="12.85546875" style="2139" customWidth="1"/>
    <col min="10758" max="10758" width="15.5703125" style="2139" customWidth="1"/>
    <col min="10759" max="10759" width="15.85546875" style="2139" customWidth="1"/>
    <col min="10760" max="10760" width="6.42578125" style="2139" customWidth="1"/>
    <col min="10761" max="10762" width="9.140625" style="2139"/>
    <col min="10763" max="10764" width="14.7109375" style="2139" bestFit="1" customWidth="1"/>
    <col min="10765" max="11008" width="9.140625" style="2139"/>
    <col min="11009" max="11009" width="4.7109375" style="2139" customWidth="1"/>
    <col min="11010" max="11010" width="6.7109375" style="2139" customWidth="1"/>
    <col min="11011" max="11011" width="8.85546875" style="2139" customWidth="1"/>
    <col min="11012" max="11012" width="47.85546875" style="2139" customWidth="1"/>
    <col min="11013" max="11013" width="12.85546875" style="2139" customWidth="1"/>
    <col min="11014" max="11014" width="15.5703125" style="2139" customWidth="1"/>
    <col min="11015" max="11015" width="15.85546875" style="2139" customWidth="1"/>
    <col min="11016" max="11016" width="6.42578125" style="2139" customWidth="1"/>
    <col min="11017" max="11018" width="9.140625" style="2139"/>
    <col min="11019" max="11020" width="14.7109375" style="2139" bestFit="1" customWidth="1"/>
    <col min="11021" max="11264" width="9.140625" style="2139"/>
    <col min="11265" max="11265" width="4.7109375" style="2139" customWidth="1"/>
    <col min="11266" max="11266" width="6.7109375" style="2139" customWidth="1"/>
    <col min="11267" max="11267" width="8.85546875" style="2139" customWidth="1"/>
    <col min="11268" max="11268" width="47.85546875" style="2139" customWidth="1"/>
    <col min="11269" max="11269" width="12.85546875" style="2139" customWidth="1"/>
    <col min="11270" max="11270" width="15.5703125" style="2139" customWidth="1"/>
    <col min="11271" max="11271" width="15.85546875" style="2139" customWidth="1"/>
    <col min="11272" max="11272" width="6.42578125" style="2139" customWidth="1"/>
    <col min="11273" max="11274" width="9.140625" style="2139"/>
    <col min="11275" max="11276" width="14.7109375" style="2139" bestFit="1" customWidth="1"/>
    <col min="11277" max="11520" width="9.140625" style="2139"/>
    <col min="11521" max="11521" width="4.7109375" style="2139" customWidth="1"/>
    <col min="11522" max="11522" width="6.7109375" style="2139" customWidth="1"/>
    <col min="11523" max="11523" width="8.85546875" style="2139" customWidth="1"/>
    <col min="11524" max="11524" width="47.85546875" style="2139" customWidth="1"/>
    <col min="11525" max="11525" width="12.85546875" style="2139" customWidth="1"/>
    <col min="11526" max="11526" width="15.5703125" style="2139" customWidth="1"/>
    <col min="11527" max="11527" width="15.85546875" style="2139" customWidth="1"/>
    <col min="11528" max="11528" width="6.42578125" style="2139" customWidth="1"/>
    <col min="11529" max="11530" width="9.140625" style="2139"/>
    <col min="11531" max="11532" width="14.7109375" style="2139" bestFit="1" customWidth="1"/>
    <col min="11533" max="11776" width="9.140625" style="2139"/>
    <col min="11777" max="11777" width="4.7109375" style="2139" customWidth="1"/>
    <col min="11778" max="11778" width="6.7109375" style="2139" customWidth="1"/>
    <col min="11779" max="11779" width="8.85546875" style="2139" customWidth="1"/>
    <col min="11780" max="11780" width="47.85546875" style="2139" customWidth="1"/>
    <col min="11781" max="11781" width="12.85546875" style="2139" customWidth="1"/>
    <col min="11782" max="11782" width="15.5703125" style="2139" customWidth="1"/>
    <col min="11783" max="11783" width="15.85546875" style="2139" customWidth="1"/>
    <col min="11784" max="11784" width="6.42578125" style="2139" customWidth="1"/>
    <col min="11785" max="11786" width="9.140625" style="2139"/>
    <col min="11787" max="11788" width="14.7109375" style="2139" bestFit="1" customWidth="1"/>
    <col min="11789" max="12032" width="9.140625" style="2139"/>
    <col min="12033" max="12033" width="4.7109375" style="2139" customWidth="1"/>
    <col min="12034" max="12034" width="6.7109375" style="2139" customWidth="1"/>
    <col min="12035" max="12035" width="8.85546875" style="2139" customWidth="1"/>
    <col min="12036" max="12036" width="47.85546875" style="2139" customWidth="1"/>
    <col min="12037" max="12037" width="12.85546875" style="2139" customWidth="1"/>
    <col min="12038" max="12038" width="15.5703125" style="2139" customWidth="1"/>
    <col min="12039" max="12039" width="15.85546875" style="2139" customWidth="1"/>
    <col min="12040" max="12040" width="6.42578125" style="2139" customWidth="1"/>
    <col min="12041" max="12042" width="9.140625" style="2139"/>
    <col min="12043" max="12044" width="14.7109375" style="2139" bestFit="1" customWidth="1"/>
    <col min="12045" max="12288" width="9.140625" style="2139"/>
    <col min="12289" max="12289" width="4.7109375" style="2139" customWidth="1"/>
    <col min="12290" max="12290" width="6.7109375" style="2139" customWidth="1"/>
    <col min="12291" max="12291" width="8.85546875" style="2139" customWidth="1"/>
    <col min="12292" max="12292" width="47.85546875" style="2139" customWidth="1"/>
    <col min="12293" max="12293" width="12.85546875" style="2139" customWidth="1"/>
    <col min="12294" max="12294" width="15.5703125" style="2139" customWidth="1"/>
    <col min="12295" max="12295" width="15.85546875" style="2139" customWidth="1"/>
    <col min="12296" max="12296" width="6.42578125" style="2139" customWidth="1"/>
    <col min="12297" max="12298" width="9.140625" style="2139"/>
    <col min="12299" max="12300" width="14.7109375" style="2139" bestFit="1" customWidth="1"/>
    <col min="12301" max="12544" width="9.140625" style="2139"/>
    <col min="12545" max="12545" width="4.7109375" style="2139" customWidth="1"/>
    <col min="12546" max="12546" width="6.7109375" style="2139" customWidth="1"/>
    <col min="12547" max="12547" width="8.85546875" style="2139" customWidth="1"/>
    <col min="12548" max="12548" width="47.85546875" style="2139" customWidth="1"/>
    <col min="12549" max="12549" width="12.85546875" style="2139" customWidth="1"/>
    <col min="12550" max="12550" width="15.5703125" style="2139" customWidth="1"/>
    <col min="12551" max="12551" width="15.85546875" style="2139" customWidth="1"/>
    <col min="12552" max="12552" width="6.42578125" style="2139" customWidth="1"/>
    <col min="12553" max="12554" width="9.140625" style="2139"/>
    <col min="12555" max="12556" width="14.7109375" style="2139" bestFit="1" customWidth="1"/>
    <col min="12557" max="12800" width="9.140625" style="2139"/>
    <col min="12801" max="12801" width="4.7109375" style="2139" customWidth="1"/>
    <col min="12802" max="12802" width="6.7109375" style="2139" customWidth="1"/>
    <col min="12803" max="12803" width="8.85546875" style="2139" customWidth="1"/>
    <col min="12804" max="12804" width="47.85546875" style="2139" customWidth="1"/>
    <col min="12805" max="12805" width="12.85546875" style="2139" customWidth="1"/>
    <col min="12806" max="12806" width="15.5703125" style="2139" customWidth="1"/>
    <col min="12807" max="12807" width="15.85546875" style="2139" customWidth="1"/>
    <col min="12808" max="12808" width="6.42578125" style="2139" customWidth="1"/>
    <col min="12809" max="12810" width="9.140625" style="2139"/>
    <col min="12811" max="12812" width="14.7109375" style="2139" bestFit="1" customWidth="1"/>
    <col min="12813" max="13056" width="9.140625" style="2139"/>
    <col min="13057" max="13057" width="4.7109375" style="2139" customWidth="1"/>
    <col min="13058" max="13058" width="6.7109375" style="2139" customWidth="1"/>
    <col min="13059" max="13059" width="8.85546875" style="2139" customWidth="1"/>
    <col min="13060" max="13060" width="47.85546875" style="2139" customWidth="1"/>
    <col min="13061" max="13061" width="12.85546875" style="2139" customWidth="1"/>
    <col min="13062" max="13062" width="15.5703125" style="2139" customWidth="1"/>
    <col min="13063" max="13063" width="15.85546875" style="2139" customWidth="1"/>
    <col min="13064" max="13064" width="6.42578125" style="2139" customWidth="1"/>
    <col min="13065" max="13066" width="9.140625" style="2139"/>
    <col min="13067" max="13068" width="14.7109375" style="2139" bestFit="1" customWidth="1"/>
    <col min="13069" max="13312" width="9.140625" style="2139"/>
    <col min="13313" max="13313" width="4.7109375" style="2139" customWidth="1"/>
    <col min="13314" max="13314" width="6.7109375" style="2139" customWidth="1"/>
    <col min="13315" max="13315" width="8.85546875" style="2139" customWidth="1"/>
    <col min="13316" max="13316" width="47.85546875" style="2139" customWidth="1"/>
    <col min="13317" max="13317" width="12.85546875" style="2139" customWidth="1"/>
    <col min="13318" max="13318" width="15.5703125" style="2139" customWidth="1"/>
    <col min="13319" max="13319" width="15.85546875" style="2139" customWidth="1"/>
    <col min="13320" max="13320" width="6.42578125" style="2139" customWidth="1"/>
    <col min="13321" max="13322" width="9.140625" style="2139"/>
    <col min="13323" max="13324" width="14.7109375" style="2139" bestFit="1" customWidth="1"/>
    <col min="13325" max="13568" width="9.140625" style="2139"/>
    <col min="13569" max="13569" width="4.7109375" style="2139" customWidth="1"/>
    <col min="13570" max="13570" width="6.7109375" style="2139" customWidth="1"/>
    <col min="13571" max="13571" width="8.85546875" style="2139" customWidth="1"/>
    <col min="13572" max="13572" width="47.85546875" style="2139" customWidth="1"/>
    <col min="13573" max="13573" width="12.85546875" style="2139" customWidth="1"/>
    <col min="13574" max="13574" width="15.5703125" style="2139" customWidth="1"/>
    <col min="13575" max="13575" width="15.85546875" style="2139" customWidth="1"/>
    <col min="13576" max="13576" width="6.42578125" style="2139" customWidth="1"/>
    <col min="13577" max="13578" width="9.140625" style="2139"/>
    <col min="13579" max="13580" width="14.7109375" style="2139" bestFit="1" customWidth="1"/>
    <col min="13581" max="13824" width="9.140625" style="2139"/>
    <col min="13825" max="13825" width="4.7109375" style="2139" customWidth="1"/>
    <col min="13826" max="13826" width="6.7109375" style="2139" customWidth="1"/>
    <col min="13827" max="13827" width="8.85546875" style="2139" customWidth="1"/>
    <col min="13828" max="13828" width="47.85546875" style="2139" customWidth="1"/>
    <col min="13829" max="13829" width="12.85546875" style="2139" customWidth="1"/>
    <col min="13830" max="13830" width="15.5703125" style="2139" customWidth="1"/>
    <col min="13831" max="13831" width="15.85546875" style="2139" customWidth="1"/>
    <col min="13832" max="13832" width="6.42578125" style="2139" customWidth="1"/>
    <col min="13833" max="13834" width="9.140625" style="2139"/>
    <col min="13835" max="13836" width="14.7109375" style="2139" bestFit="1" customWidth="1"/>
    <col min="13837" max="14080" width="9.140625" style="2139"/>
    <col min="14081" max="14081" width="4.7109375" style="2139" customWidth="1"/>
    <col min="14082" max="14082" width="6.7109375" style="2139" customWidth="1"/>
    <col min="14083" max="14083" width="8.85546875" style="2139" customWidth="1"/>
    <col min="14084" max="14084" width="47.85546875" style="2139" customWidth="1"/>
    <col min="14085" max="14085" width="12.85546875" style="2139" customWidth="1"/>
    <col min="14086" max="14086" width="15.5703125" style="2139" customWidth="1"/>
    <col min="14087" max="14087" width="15.85546875" style="2139" customWidth="1"/>
    <col min="14088" max="14088" width="6.42578125" style="2139" customWidth="1"/>
    <col min="14089" max="14090" width="9.140625" style="2139"/>
    <col min="14091" max="14092" width="14.7109375" style="2139" bestFit="1" customWidth="1"/>
    <col min="14093" max="14336" width="9.140625" style="2139"/>
    <col min="14337" max="14337" width="4.7109375" style="2139" customWidth="1"/>
    <col min="14338" max="14338" width="6.7109375" style="2139" customWidth="1"/>
    <col min="14339" max="14339" width="8.85546875" style="2139" customWidth="1"/>
    <col min="14340" max="14340" width="47.85546875" style="2139" customWidth="1"/>
    <col min="14341" max="14341" width="12.85546875" style="2139" customWidth="1"/>
    <col min="14342" max="14342" width="15.5703125" style="2139" customWidth="1"/>
    <col min="14343" max="14343" width="15.85546875" style="2139" customWidth="1"/>
    <col min="14344" max="14344" width="6.42578125" style="2139" customWidth="1"/>
    <col min="14345" max="14346" width="9.140625" style="2139"/>
    <col min="14347" max="14348" width="14.7109375" style="2139" bestFit="1" customWidth="1"/>
    <col min="14349" max="14592" width="9.140625" style="2139"/>
    <col min="14593" max="14593" width="4.7109375" style="2139" customWidth="1"/>
    <col min="14594" max="14594" width="6.7109375" style="2139" customWidth="1"/>
    <col min="14595" max="14595" width="8.85546875" style="2139" customWidth="1"/>
    <col min="14596" max="14596" width="47.85546875" style="2139" customWidth="1"/>
    <col min="14597" max="14597" width="12.85546875" style="2139" customWidth="1"/>
    <col min="14598" max="14598" width="15.5703125" style="2139" customWidth="1"/>
    <col min="14599" max="14599" width="15.85546875" style="2139" customWidth="1"/>
    <col min="14600" max="14600" width="6.42578125" style="2139" customWidth="1"/>
    <col min="14601" max="14602" width="9.140625" style="2139"/>
    <col min="14603" max="14604" width="14.7109375" style="2139" bestFit="1" customWidth="1"/>
    <col min="14605" max="14848" width="9.140625" style="2139"/>
    <col min="14849" max="14849" width="4.7109375" style="2139" customWidth="1"/>
    <col min="14850" max="14850" width="6.7109375" style="2139" customWidth="1"/>
    <col min="14851" max="14851" width="8.85546875" style="2139" customWidth="1"/>
    <col min="14852" max="14852" width="47.85546875" style="2139" customWidth="1"/>
    <col min="14853" max="14853" width="12.85546875" style="2139" customWidth="1"/>
    <col min="14854" max="14854" width="15.5703125" style="2139" customWidth="1"/>
    <col min="14855" max="14855" width="15.85546875" style="2139" customWidth="1"/>
    <col min="14856" max="14856" width="6.42578125" style="2139" customWidth="1"/>
    <col min="14857" max="14858" width="9.140625" style="2139"/>
    <col min="14859" max="14860" width="14.7109375" style="2139" bestFit="1" customWidth="1"/>
    <col min="14861" max="15104" width="9.140625" style="2139"/>
    <col min="15105" max="15105" width="4.7109375" style="2139" customWidth="1"/>
    <col min="15106" max="15106" width="6.7109375" style="2139" customWidth="1"/>
    <col min="15107" max="15107" width="8.85546875" style="2139" customWidth="1"/>
    <col min="15108" max="15108" width="47.85546875" style="2139" customWidth="1"/>
    <col min="15109" max="15109" width="12.85546875" style="2139" customWidth="1"/>
    <col min="15110" max="15110" width="15.5703125" style="2139" customWidth="1"/>
    <col min="15111" max="15111" width="15.85546875" style="2139" customWidth="1"/>
    <col min="15112" max="15112" width="6.42578125" style="2139" customWidth="1"/>
    <col min="15113" max="15114" width="9.140625" style="2139"/>
    <col min="15115" max="15116" width="14.7109375" style="2139" bestFit="1" customWidth="1"/>
    <col min="15117" max="15360" width="9.140625" style="2139"/>
    <col min="15361" max="15361" width="4.7109375" style="2139" customWidth="1"/>
    <col min="15362" max="15362" width="6.7109375" style="2139" customWidth="1"/>
    <col min="15363" max="15363" width="8.85546875" style="2139" customWidth="1"/>
    <col min="15364" max="15364" width="47.85546875" style="2139" customWidth="1"/>
    <col min="15365" max="15365" width="12.85546875" style="2139" customWidth="1"/>
    <col min="15366" max="15366" width="15.5703125" style="2139" customWidth="1"/>
    <col min="15367" max="15367" width="15.85546875" style="2139" customWidth="1"/>
    <col min="15368" max="15368" width="6.42578125" style="2139" customWidth="1"/>
    <col min="15369" max="15370" width="9.140625" style="2139"/>
    <col min="15371" max="15372" width="14.7109375" style="2139" bestFit="1" customWidth="1"/>
    <col min="15373" max="15616" width="9.140625" style="2139"/>
    <col min="15617" max="15617" width="4.7109375" style="2139" customWidth="1"/>
    <col min="15618" max="15618" width="6.7109375" style="2139" customWidth="1"/>
    <col min="15619" max="15619" width="8.85546875" style="2139" customWidth="1"/>
    <col min="15620" max="15620" width="47.85546875" style="2139" customWidth="1"/>
    <col min="15621" max="15621" width="12.85546875" style="2139" customWidth="1"/>
    <col min="15622" max="15622" width="15.5703125" style="2139" customWidth="1"/>
    <col min="15623" max="15623" width="15.85546875" style="2139" customWidth="1"/>
    <col min="15624" max="15624" width="6.42578125" style="2139" customWidth="1"/>
    <col min="15625" max="15626" width="9.140625" style="2139"/>
    <col min="15627" max="15628" width="14.7109375" style="2139" bestFit="1" customWidth="1"/>
    <col min="15629" max="15872" width="9.140625" style="2139"/>
    <col min="15873" max="15873" width="4.7109375" style="2139" customWidth="1"/>
    <col min="15874" max="15874" width="6.7109375" style="2139" customWidth="1"/>
    <col min="15875" max="15875" width="8.85546875" style="2139" customWidth="1"/>
    <col min="15876" max="15876" width="47.85546875" style="2139" customWidth="1"/>
    <col min="15877" max="15877" width="12.85546875" style="2139" customWidth="1"/>
    <col min="15878" max="15878" width="15.5703125" style="2139" customWidth="1"/>
    <col min="15879" max="15879" width="15.85546875" style="2139" customWidth="1"/>
    <col min="15880" max="15880" width="6.42578125" style="2139" customWidth="1"/>
    <col min="15881" max="15882" width="9.140625" style="2139"/>
    <col min="15883" max="15884" width="14.7109375" style="2139" bestFit="1" customWidth="1"/>
    <col min="15885" max="16128" width="9.140625" style="2139"/>
    <col min="16129" max="16129" width="4.7109375" style="2139" customWidth="1"/>
    <col min="16130" max="16130" width="6.7109375" style="2139" customWidth="1"/>
    <col min="16131" max="16131" width="8.85546875" style="2139" customWidth="1"/>
    <col min="16132" max="16132" width="47.85546875" style="2139" customWidth="1"/>
    <col min="16133" max="16133" width="12.85546875" style="2139" customWidth="1"/>
    <col min="16134" max="16134" width="15.5703125" style="2139" customWidth="1"/>
    <col min="16135" max="16135" width="15.85546875" style="2139" customWidth="1"/>
    <col min="16136" max="16136" width="6.42578125" style="2139" customWidth="1"/>
    <col min="16137" max="16138" width="9.140625" style="2139"/>
    <col min="16139" max="16140" width="14.7109375" style="2139" bestFit="1" customWidth="1"/>
    <col min="16141" max="16384" width="9.140625" style="2139"/>
  </cols>
  <sheetData>
    <row r="1" spans="1:8" ht="18.75" thickBot="1" x14ac:dyDescent="0.3">
      <c r="A1" s="1940" t="s">
        <v>1493</v>
      </c>
      <c r="B1" s="2134"/>
      <c r="C1" s="2135"/>
      <c r="D1" s="2136"/>
      <c r="E1" s="2137"/>
      <c r="F1" s="2136"/>
      <c r="G1" s="2138"/>
      <c r="H1" s="2133"/>
    </row>
    <row r="2" spans="1:8" ht="18" x14ac:dyDescent="0.25">
      <c r="A2" s="2140"/>
      <c r="B2" s="2141"/>
      <c r="C2" s="2141"/>
      <c r="D2" s="2141"/>
      <c r="E2" s="2141"/>
      <c r="F2" s="2141"/>
      <c r="G2" s="2141"/>
      <c r="H2" s="2142" t="s">
        <v>1492</v>
      </c>
    </row>
    <row r="3" spans="1:8" ht="18" x14ac:dyDescent="0.25">
      <c r="A3" s="2143" t="s">
        <v>387</v>
      </c>
      <c r="B3" s="2141"/>
      <c r="C3" s="2144" t="s">
        <v>363</v>
      </c>
      <c r="D3" s="2141"/>
      <c r="E3" s="2141"/>
      <c r="F3" s="2141"/>
      <c r="G3" s="2141"/>
      <c r="H3" s="2142"/>
    </row>
    <row r="4" spans="1:8" ht="18" x14ac:dyDescent="0.25">
      <c r="A4" s="2140"/>
      <c r="B4" s="2141"/>
      <c r="C4" s="2144" t="s">
        <v>364</v>
      </c>
      <c r="D4" s="2141"/>
      <c r="E4" s="2141"/>
      <c r="F4" s="2141"/>
      <c r="G4" s="2141"/>
      <c r="H4" s="2142"/>
    </row>
    <row r="5" spans="1:8" ht="18" x14ac:dyDescent="0.25">
      <c r="A5" s="1940" t="s">
        <v>1491</v>
      </c>
      <c r="B5" s="2141"/>
      <c r="C5" s="2141"/>
      <c r="D5" s="2141"/>
      <c r="E5" s="2141"/>
      <c r="F5" s="2141"/>
      <c r="G5" s="2141"/>
      <c r="H5" s="2142"/>
    </row>
    <row r="6" spans="1:8" x14ac:dyDescent="0.2">
      <c r="A6" s="2146"/>
      <c r="B6" s="2146"/>
      <c r="C6" s="2146"/>
      <c r="E6" s="2147"/>
      <c r="F6" s="2147"/>
      <c r="G6" s="2147"/>
    </row>
    <row r="7" spans="1:8" ht="15.75" thickBot="1" x14ac:dyDescent="0.3">
      <c r="A7" s="2132" t="s">
        <v>263</v>
      </c>
      <c r="B7" s="2146"/>
      <c r="C7" s="2146"/>
      <c r="E7" s="2147"/>
      <c r="F7" s="2147"/>
      <c r="G7" s="2147"/>
      <c r="H7" s="2148" t="s">
        <v>173</v>
      </c>
    </row>
    <row r="8" spans="1:8" ht="25.5" thickTop="1" thickBot="1" x14ac:dyDescent="0.25">
      <c r="A8" s="1943" t="s">
        <v>174</v>
      </c>
      <c r="B8" s="1944" t="s">
        <v>800</v>
      </c>
      <c r="C8" s="1944" t="s">
        <v>397</v>
      </c>
      <c r="D8" s="1945" t="s">
        <v>176</v>
      </c>
      <c r="E8" s="1976" t="s">
        <v>669</v>
      </c>
      <c r="F8" s="1976" t="s">
        <v>670</v>
      </c>
      <c r="G8" s="1977" t="s">
        <v>923</v>
      </c>
      <c r="H8" s="1978" t="s">
        <v>924</v>
      </c>
    </row>
    <row r="9" spans="1:8" ht="14.25" thickTop="1" thickBot="1" x14ac:dyDescent="0.25">
      <c r="A9" s="1740">
        <v>1</v>
      </c>
      <c r="B9" s="1739">
        <v>2</v>
      </c>
      <c r="C9" s="1739">
        <v>3</v>
      </c>
      <c r="D9" s="1739">
        <v>4</v>
      </c>
      <c r="E9" s="1738">
        <v>5</v>
      </c>
      <c r="F9" s="1738">
        <v>6</v>
      </c>
      <c r="G9" s="2028">
        <v>7</v>
      </c>
      <c r="H9" s="2054" t="s">
        <v>61</v>
      </c>
    </row>
    <row r="10" spans="1:8" ht="15.75" thickTop="1" x14ac:dyDescent="0.2">
      <c r="A10" s="2160">
        <v>3299</v>
      </c>
      <c r="B10" s="2161">
        <v>5011</v>
      </c>
      <c r="C10" s="2161">
        <v>32133007</v>
      </c>
      <c r="D10" s="2162" t="s">
        <v>219</v>
      </c>
      <c r="E10" s="2163">
        <v>0</v>
      </c>
      <c r="F10" s="2163">
        <v>669</v>
      </c>
      <c r="G10" s="2163">
        <v>379</v>
      </c>
      <c r="H10" s="2164">
        <f t="shared" ref="H10:H29" si="0">G10/F10*100</f>
        <v>56.651718983557551</v>
      </c>
    </row>
    <row r="11" spans="1:8" ht="15" x14ac:dyDescent="0.2">
      <c r="A11" s="2165">
        <v>3299</v>
      </c>
      <c r="B11" s="2166">
        <v>5011</v>
      </c>
      <c r="C11" s="2166">
        <v>32533007</v>
      </c>
      <c r="D11" s="2167" t="s">
        <v>219</v>
      </c>
      <c r="E11" s="2168">
        <v>0</v>
      </c>
      <c r="F11" s="2168">
        <v>3793</v>
      </c>
      <c r="G11" s="2168">
        <v>2149</v>
      </c>
      <c r="H11" s="2169">
        <f t="shared" si="0"/>
        <v>56.656999736356454</v>
      </c>
    </row>
    <row r="12" spans="1:8" ht="30" x14ac:dyDescent="0.2">
      <c r="A12" s="2165">
        <v>3299</v>
      </c>
      <c r="B12" s="2166">
        <v>5031</v>
      </c>
      <c r="C12" s="2166">
        <v>32133007</v>
      </c>
      <c r="D12" s="2167" t="s">
        <v>1362</v>
      </c>
      <c r="E12" s="2168">
        <v>0</v>
      </c>
      <c r="F12" s="2168">
        <v>167</v>
      </c>
      <c r="G12" s="2168">
        <v>95</v>
      </c>
      <c r="H12" s="2169">
        <f t="shared" si="0"/>
        <v>56.886227544910184</v>
      </c>
    </row>
    <row r="13" spans="1:8" ht="30" x14ac:dyDescent="0.2">
      <c r="A13" s="2165">
        <v>3299</v>
      </c>
      <c r="B13" s="2166">
        <v>5031</v>
      </c>
      <c r="C13" s="2166">
        <v>32533007</v>
      </c>
      <c r="D13" s="2167" t="s">
        <v>1362</v>
      </c>
      <c r="E13" s="2168">
        <v>0</v>
      </c>
      <c r="F13" s="2168">
        <v>948</v>
      </c>
      <c r="G13" s="2168">
        <v>537</v>
      </c>
      <c r="H13" s="2169">
        <f t="shared" si="0"/>
        <v>56.64556962025317</v>
      </c>
    </row>
    <row r="14" spans="1:8" ht="30" x14ac:dyDescent="0.2">
      <c r="A14" s="2165">
        <v>3299</v>
      </c>
      <c r="B14" s="2166">
        <v>5032</v>
      </c>
      <c r="C14" s="2166">
        <v>32133007</v>
      </c>
      <c r="D14" s="2167" t="s">
        <v>1236</v>
      </c>
      <c r="E14" s="2168">
        <v>0</v>
      </c>
      <c r="F14" s="2168">
        <v>60</v>
      </c>
      <c r="G14" s="2168">
        <v>34</v>
      </c>
      <c r="H14" s="2169">
        <f t="shared" si="0"/>
        <v>56.666666666666664</v>
      </c>
    </row>
    <row r="15" spans="1:8" ht="30" x14ac:dyDescent="0.2">
      <c r="A15" s="2165">
        <v>3299</v>
      </c>
      <c r="B15" s="2166">
        <v>5032</v>
      </c>
      <c r="C15" s="2166">
        <v>32533007</v>
      </c>
      <c r="D15" s="2167" t="s">
        <v>1236</v>
      </c>
      <c r="E15" s="2168">
        <v>0</v>
      </c>
      <c r="F15" s="2168">
        <v>341</v>
      </c>
      <c r="G15" s="2168">
        <v>193</v>
      </c>
      <c r="H15" s="2169">
        <f t="shared" si="0"/>
        <v>56.598240469208214</v>
      </c>
    </row>
    <row r="16" spans="1:8" ht="15" x14ac:dyDescent="0.2">
      <c r="A16" s="2165">
        <v>3299</v>
      </c>
      <c r="B16" s="2166">
        <v>5137</v>
      </c>
      <c r="C16" s="2170">
        <v>32133007</v>
      </c>
      <c r="D16" s="2167" t="s">
        <v>167</v>
      </c>
      <c r="E16" s="2168">
        <v>0</v>
      </c>
      <c r="F16" s="2168">
        <v>18</v>
      </c>
      <c r="G16" s="2168">
        <v>0</v>
      </c>
      <c r="H16" s="2169">
        <f t="shared" si="0"/>
        <v>0</v>
      </c>
    </row>
    <row r="17" spans="1:9" ht="15" x14ac:dyDescent="0.2">
      <c r="A17" s="2165">
        <v>3299</v>
      </c>
      <c r="B17" s="2166">
        <v>5137</v>
      </c>
      <c r="C17" s="2170">
        <v>32533007</v>
      </c>
      <c r="D17" s="2167" t="s">
        <v>167</v>
      </c>
      <c r="E17" s="2168">
        <v>0</v>
      </c>
      <c r="F17" s="2168">
        <v>102</v>
      </c>
      <c r="G17" s="2168">
        <v>0</v>
      </c>
      <c r="H17" s="2169">
        <f t="shared" si="0"/>
        <v>0</v>
      </c>
    </row>
    <row r="18" spans="1:9" ht="15" x14ac:dyDescent="0.2">
      <c r="A18" s="2165">
        <v>3299</v>
      </c>
      <c r="B18" s="2166">
        <v>5163</v>
      </c>
      <c r="C18" s="2170">
        <v>32133007</v>
      </c>
      <c r="D18" s="2167" t="s">
        <v>934</v>
      </c>
      <c r="E18" s="2168">
        <v>0</v>
      </c>
      <c r="F18" s="2168">
        <v>1</v>
      </c>
      <c r="G18" s="2168">
        <v>1</v>
      </c>
      <c r="H18" s="2169">
        <f t="shared" si="0"/>
        <v>100</v>
      </c>
    </row>
    <row r="19" spans="1:9" ht="15" x14ac:dyDescent="0.2">
      <c r="A19" s="2165">
        <v>3299</v>
      </c>
      <c r="B19" s="2166">
        <v>5163</v>
      </c>
      <c r="C19" s="2170">
        <v>32533007</v>
      </c>
      <c r="D19" s="2167" t="s">
        <v>934</v>
      </c>
      <c r="E19" s="2168">
        <v>0</v>
      </c>
      <c r="F19" s="2168">
        <v>5</v>
      </c>
      <c r="G19" s="2168">
        <v>3</v>
      </c>
      <c r="H19" s="2169">
        <f t="shared" si="0"/>
        <v>60</v>
      </c>
    </row>
    <row r="20" spans="1:9" ht="15" x14ac:dyDescent="0.2">
      <c r="A20" s="2165">
        <v>3299</v>
      </c>
      <c r="B20" s="2166">
        <v>5164</v>
      </c>
      <c r="C20" s="2170">
        <v>32133007</v>
      </c>
      <c r="D20" s="2167" t="s">
        <v>182</v>
      </c>
      <c r="E20" s="2168">
        <v>0</v>
      </c>
      <c r="F20" s="2168">
        <v>2</v>
      </c>
      <c r="G20" s="2168">
        <v>0</v>
      </c>
      <c r="H20" s="2169">
        <f t="shared" si="0"/>
        <v>0</v>
      </c>
    </row>
    <row r="21" spans="1:9" ht="15" x14ac:dyDescent="0.2">
      <c r="A21" s="2165">
        <v>3299</v>
      </c>
      <c r="B21" s="2166">
        <v>5164</v>
      </c>
      <c r="C21" s="2170">
        <v>32533007</v>
      </c>
      <c r="D21" s="2167" t="s">
        <v>182</v>
      </c>
      <c r="E21" s="2168">
        <v>0</v>
      </c>
      <c r="F21" s="2168">
        <v>12</v>
      </c>
      <c r="G21" s="2168">
        <v>0</v>
      </c>
      <c r="H21" s="2169">
        <f t="shared" si="0"/>
        <v>0</v>
      </c>
    </row>
    <row r="22" spans="1:9" ht="15" x14ac:dyDescent="0.2">
      <c r="A22" s="2165">
        <v>3299</v>
      </c>
      <c r="B22" s="2166">
        <v>5166</v>
      </c>
      <c r="C22" s="2170">
        <v>32133007</v>
      </c>
      <c r="D22" s="2167" t="s">
        <v>646</v>
      </c>
      <c r="E22" s="2168">
        <v>0</v>
      </c>
      <c r="F22" s="2168">
        <v>192</v>
      </c>
      <c r="G22" s="2168">
        <v>149</v>
      </c>
      <c r="H22" s="2169">
        <f t="shared" si="0"/>
        <v>77.604166666666657</v>
      </c>
    </row>
    <row r="23" spans="1:9" ht="15" x14ac:dyDescent="0.2">
      <c r="A23" s="2165">
        <v>3299</v>
      </c>
      <c r="B23" s="2166">
        <v>5166</v>
      </c>
      <c r="C23" s="2170">
        <v>32533007</v>
      </c>
      <c r="D23" s="2167" t="s">
        <v>646</v>
      </c>
      <c r="E23" s="2168">
        <v>0</v>
      </c>
      <c r="F23" s="2168">
        <v>1090</v>
      </c>
      <c r="G23" s="2168">
        <v>843</v>
      </c>
      <c r="H23" s="2169">
        <f t="shared" si="0"/>
        <v>77.339449541284395</v>
      </c>
    </row>
    <row r="24" spans="1:9" ht="15" x14ac:dyDescent="0.2">
      <c r="A24" s="2165">
        <v>3299</v>
      </c>
      <c r="B24" s="2166">
        <v>5167</v>
      </c>
      <c r="C24" s="2170">
        <v>32133007</v>
      </c>
      <c r="D24" s="2167" t="s">
        <v>937</v>
      </c>
      <c r="E24" s="2168">
        <v>0</v>
      </c>
      <c r="F24" s="2168">
        <v>23</v>
      </c>
      <c r="G24" s="2168">
        <v>5</v>
      </c>
      <c r="H24" s="2169">
        <f t="shared" si="0"/>
        <v>21.739130434782609</v>
      </c>
    </row>
    <row r="25" spans="1:9" ht="15" x14ac:dyDescent="0.2">
      <c r="A25" s="2165">
        <v>3299</v>
      </c>
      <c r="B25" s="2166">
        <v>5167</v>
      </c>
      <c r="C25" s="2170">
        <v>32533007</v>
      </c>
      <c r="D25" s="2167" t="s">
        <v>937</v>
      </c>
      <c r="E25" s="2168">
        <v>0</v>
      </c>
      <c r="F25" s="2168">
        <v>133</v>
      </c>
      <c r="G25" s="2168">
        <v>30</v>
      </c>
      <c r="H25" s="2169">
        <f t="shared" si="0"/>
        <v>22.556390977443609</v>
      </c>
    </row>
    <row r="26" spans="1:9" ht="15" x14ac:dyDescent="0.2">
      <c r="A26" s="2165">
        <v>3299</v>
      </c>
      <c r="B26" s="2166">
        <v>5175</v>
      </c>
      <c r="C26" s="2170">
        <v>32133007</v>
      </c>
      <c r="D26" s="2167" t="s">
        <v>707</v>
      </c>
      <c r="E26" s="2168">
        <v>0</v>
      </c>
      <c r="F26" s="2168">
        <v>3</v>
      </c>
      <c r="G26" s="2168">
        <v>1</v>
      </c>
      <c r="H26" s="2169">
        <f t="shared" si="0"/>
        <v>33.333333333333329</v>
      </c>
    </row>
    <row r="27" spans="1:9" ht="15" x14ac:dyDescent="0.2">
      <c r="A27" s="2165">
        <v>3299</v>
      </c>
      <c r="B27" s="2166">
        <v>5175</v>
      </c>
      <c r="C27" s="2170">
        <v>32533007</v>
      </c>
      <c r="D27" s="2167" t="s">
        <v>707</v>
      </c>
      <c r="E27" s="2168">
        <v>0</v>
      </c>
      <c r="F27" s="2168">
        <v>16</v>
      </c>
      <c r="G27" s="2168">
        <v>9</v>
      </c>
      <c r="H27" s="2169">
        <f t="shared" si="0"/>
        <v>56.25</v>
      </c>
    </row>
    <row r="28" spans="1:9" s="2141" customFormat="1" ht="15.75" thickBot="1" x14ac:dyDescent="0.3">
      <c r="A28" s="2216">
        <v>6330</v>
      </c>
      <c r="B28" s="2187">
        <v>5345</v>
      </c>
      <c r="C28" s="2217" t="s">
        <v>792</v>
      </c>
      <c r="D28" s="2188" t="s">
        <v>806</v>
      </c>
      <c r="E28" s="2218">
        <v>0</v>
      </c>
      <c r="F28" s="2218">
        <v>0</v>
      </c>
      <c r="G28" s="2218">
        <v>5547</v>
      </c>
      <c r="H28" s="2171">
        <v>0</v>
      </c>
    </row>
    <row r="29" spans="1:9" ht="16.5" thickTop="1" thickBot="1" x14ac:dyDescent="0.3">
      <c r="A29" s="2750" t="s">
        <v>802</v>
      </c>
      <c r="B29" s="2751"/>
      <c r="C29" s="2751"/>
      <c r="D29" s="2751"/>
      <c r="E29" s="1957">
        <f>SUM(E10:E27)</f>
        <v>0</v>
      </c>
      <c r="F29" s="1957">
        <f>SUM(F10:F28)</f>
        <v>7575</v>
      </c>
      <c r="G29" s="1957">
        <f>SUM(G10:G28)</f>
        <v>9975</v>
      </c>
      <c r="H29" s="1962">
        <f t="shared" si="0"/>
        <v>131.68316831683168</v>
      </c>
    </row>
    <row r="30" spans="1:9" ht="13.5" thickTop="1" x14ac:dyDescent="0.2"/>
    <row r="31" spans="1:9" ht="15" x14ac:dyDescent="0.25">
      <c r="A31" s="2132"/>
      <c r="B31" s="2146"/>
      <c r="C31" s="2146"/>
      <c r="D31" s="2146"/>
      <c r="F31" s="2147"/>
      <c r="G31" s="2147"/>
      <c r="H31" s="2148"/>
      <c r="I31" s="2219"/>
    </row>
    <row r="35" spans="1:12" ht="16.5" x14ac:dyDescent="0.25">
      <c r="A35" s="2193" t="s">
        <v>487</v>
      </c>
      <c r="B35" s="2194"/>
      <c r="C35" s="2195"/>
      <c r="D35" s="2196"/>
      <c r="E35" s="2197">
        <f>SUM(E36:E38)</f>
        <v>0</v>
      </c>
      <c r="F35" s="2197">
        <f>F36+F37+F38+F39</f>
        <v>7575</v>
      </c>
      <c r="G35" s="2197">
        <f>G36+G37+G38+G39</f>
        <v>9975</v>
      </c>
      <c r="H35" s="2198">
        <f>G35/F35*100</f>
        <v>131.68316831683168</v>
      </c>
      <c r="J35" s="2199">
        <f>J36+J37+J38</f>
        <v>0</v>
      </c>
      <c r="K35" s="2199">
        <f>K36+K37+K38</f>
        <v>7574941.2599999998</v>
      </c>
      <c r="L35" s="2199">
        <f>L36+L37+L38</f>
        <v>9975482.2699999996</v>
      </c>
    </row>
    <row r="36" spans="1:12" ht="15" x14ac:dyDescent="0.2">
      <c r="A36" s="2200" t="s">
        <v>277</v>
      </c>
      <c r="B36" s="2201"/>
      <c r="C36" s="2202"/>
      <c r="D36" s="2203"/>
      <c r="E36" s="2204">
        <f>E10+E11+E12+E13+E14+E15+E16+E17+E18+E19+E20+E21+E22+E23+E24+E25+E26+E27</f>
        <v>0</v>
      </c>
      <c r="F36" s="2204">
        <f>F10+F11+F12+F13+F14+F15+F16+F17+F18+F19+F20+F21+F22+F23+F24+F25+F26+F27</f>
        <v>7575</v>
      </c>
      <c r="G36" s="2204">
        <f>G10+G11+G12+G13+G14+G15+G16+G17+G18+G19+G20+G21+G22+G23+G24+G25+G26+G27</f>
        <v>4428</v>
      </c>
      <c r="H36" s="2205">
        <f>G36/F36*100</f>
        <v>58.455445544554451</v>
      </c>
      <c r="J36" s="2206">
        <v>0</v>
      </c>
      <c r="K36" s="2206">
        <v>7574941.2599999998</v>
      </c>
      <c r="L36" s="2206">
        <v>4428636.32</v>
      </c>
    </row>
    <row r="37" spans="1:12" ht="15" x14ac:dyDescent="0.2">
      <c r="A37" s="2200" t="s">
        <v>278</v>
      </c>
      <c r="B37" s="2207"/>
      <c r="C37" s="2202"/>
      <c r="D37" s="2208"/>
      <c r="E37" s="2204">
        <v>0</v>
      </c>
      <c r="F37" s="2204">
        <v>0</v>
      </c>
      <c r="G37" s="2204">
        <v>0</v>
      </c>
      <c r="H37" s="2205">
        <v>0</v>
      </c>
      <c r="J37" s="2206">
        <v>0</v>
      </c>
      <c r="K37" s="2206">
        <v>0</v>
      </c>
      <c r="L37" s="2206">
        <v>0</v>
      </c>
    </row>
    <row r="38" spans="1:12" ht="15" x14ac:dyDescent="0.2">
      <c r="A38" s="2200" t="s">
        <v>488</v>
      </c>
      <c r="B38" s="2207"/>
      <c r="C38" s="2202"/>
      <c r="D38" s="2208"/>
      <c r="E38" s="2204">
        <v>0</v>
      </c>
      <c r="F38" s="2204">
        <v>0</v>
      </c>
      <c r="G38" s="2204">
        <f>G28</f>
        <v>5547</v>
      </c>
      <c r="H38" s="2205">
        <v>0</v>
      </c>
      <c r="J38" s="2206">
        <v>0</v>
      </c>
      <c r="K38" s="2206">
        <v>0</v>
      </c>
      <c r="L38" s="2206">
        <v>5546845.9500000002</v>
      </c>
    </row>
    <row r="39" spans="1:12" ht="16.5" customHeight="1" x14ac:dyDescent="0.2">
      <c r="A39" s="2200"/>
      <c r="B39" s="2207"/>
      <c r="C39" s="2202"/>
      <c r="D39" s="2208"/>
      <c r="E39" s="2204"/>
      <c r="F39" s="2204"/>
      <c r="G39" s="2204"/>
      <c r="H39" s="2209"/>
    </row>
    <row r="40" spans="1:12" ht="69.75" customHeight="1" thickBot="1" x14ac:dyDescent="0.4">
      <c r="A40" s="2763" t="s">
        <v>1490</v>
      </c>
      <c r="B40" s="2768"/>
      <c r="C40" s="2768"/>
      <c r="D40" s="2768"/>
      <c r="E40" s="2210">
        <f>SUM(E35)</f>
        <v>0</v>
      </c>
      <c r="F40" s="2210">
        <f>SUM(F35)</f>
        <v>7575</v>
      </c>
      <c r="G40" s="2210">
        <f>SUM(G35)</f>
        <v>9975</v>
      </c>
      <c r="H40" s="2211">
        <f>G40/F40*100</f>
        <v>131.68316831683168</v>
      </c>
    </row>
    <row r="41" spans="1:12" ht="13.5" thickTop="1" x14ac:dyDescent="0.2"/>
  </sheetData>
  <mergeCells count="2">
    <mergeCell ref="A29:D29"/>
    <mergeCell ref="A40:D40"/>
  </mergeCells>
  <pageMargins left="0.70866141732283472" right="0.70866141732283472" top="0.78740157480314965" bottom="0.78740157480314965" header="0.31496062992125984" footer="0.31496062992125984"/>
  <pageSetup paperSize="9" scale="70" firstPageNumber="165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91"/>
  <sheetViews>
    <sheetView view="pageBreakPreview" zoomScaleNormal="100" zoomScaleSheetLayoutView="100" workbookViewId="0">
      <selection activeCell="K36" sqref="K36"/>
    </sheetView>
  </sheetViews>
  <sheetFormatPr defaultRowHeight="12.75" x14ac:dyDescent="0.2"/>
  <cols>
    <col min="1" max="1" width="4.7109375" style="2146" customWidth="1"/>
    <col min="2" max="2" width="6.7109375" style="2146" customWidth="1"/>
    <col min="3" max="3" width="8.85546875" style="2146" customWidth="1"/>
    <col min="4" max="4" width="46.42578125" style="2139" customWidth="1"/>
    <col min="5" max="5" width="12.85546875" style="2147" customWidth="1"/>
    <col min="6" max="6" width="15.5703125" style="2147" customWidth="1"/>
    <col min="7" max="7" width="15.85546875" style="2147" customWidth="1"/>
    <col min="8" max="8" width="8.85546875" style="2139" customWidth="1"/>
    <col min="9" max="9" width="14.28515625" style="2139" bestFit="1" customWidth="1"/>
    <col min="10" max="10" width="9.140625" style="2139"/>
    <col min="11" max="11" width="12.7109375" style="2139" bestFit="1" customWidth="1"/>
    <col min="12" max="12" width="13.140625" style="2139" customWidth="1"/>
    <col min="13" max="256" width="9.140625" style="2139"/>
    <col min="257" max="257" width="4.7109375" style="2139" customWidth="1"/>
    <col min="258" max="258" width="6.7109375" style="2139" customWidth="1"/>
    <col min="259" max="259" width="8.85546875" style="2139" customWidth="1"/>
    <col min="260" max="260" width="46.42578125" style="2139" customWidth="1"/>
    <col min="261" max="261" width="12.85546875" style="2139" customWidth="1"/>
    <col min="262" max="262" width="15.5703125" style="2139" customWidth="1"/>
    <col min="263" max="263" width="15.85546875" style="2139" customWidth="1"/>
    <col min="264" max="264" width="6.42578125" style="2139" customWidth="1"/>
    <col min="265" max="265" width="14.28515625" style="2139" bestFit="1" customWidth="1"/>
    <col min="266" max="266" width="9.140625" style="2139"/>
    <col min="267" max="267" width="12.7109375" style="2139" bestFit="1" customWidth="1"/>
    <col min="268" max="268" width="13.140625" style="2139" customWidth="1"/>
    <col min="269" max="512" width="9.140625" style="2139"/>
    <col min="513" max="513" width="4.7109375" style="2139" customWidth="1"/>
    <col min="514" max="514" width="6.7109375" style="2139" customWidth="1"/>
    <col min="515" max="515" width="8.85546875" style="2139" customWidth="1"/>
    <col min="516" max="516" width="46.42578125" style="2139" customWidth="1"/>
    <col min="517" max="517" width="12.85546875" style="2139" customWidth="1"/>
    <col min="518" max="518" width="15.5703125" style="2139" customWidth="1"/>
    <col min="519" max="519" width="15.85546875" style="2139" customWidth="1"/>
    <col min="520" max="520" width="6.42578125" style="2139" customWidth="1"/>
    <col min="521" max="521" width="14.28515625" style="2139" bestFit="1" customWidth="1"/>
    <col min="522" max="522" width="9.140625" style="2139"/>
    <col min="523" max="523" width="12.7109375" style="2139" bestFit="1" customWidth="1"/>
    <col min="524" max="524" width="13.140625" style="2139" customWidth="1"/>
    <col min="525" max="768" width="9.140625" style="2139"/>
    <col min="769" max="769" width="4.7109375" style="2139" customWidth="1"/>
    <col min="770" max="770" width="6.7109375" style="2139" customWidth="1"/>
    <col min="771" max="771" width="8.85546875" style="2139" customWidth="1"/>
    <col min="772" max="772" width="46.42578125" style="2139" customWidth="1"/>
    <col min="773" max="773" width="12.85546875" style="2139" customWidth="1"/>
    <col min="774" max="774" width="15.5703125" style="2139" customWidth="1"/>
    <col min="775" max="775" width="15.85546875" style="2139" customWidth="1"/>
    <col min="776" max="776" width="6.42578125" style="2139" customWidth="1"/>
    <col min="777" max="777" width="14.28515625" style="2139" bestFit="1" customWidth="1"/>
    <col min="778" max="778" width="9.140625" style="2139"/>
    <col min="779" max="779" width="12.7109375" style="2139" bestFit="1" customWidth="1"/>
    <col min="780" max="780" width="13.140625" style="2139" customWidth="1"/>
    <col min="781" max="1024" width="9.140625" style="2139"/>
    <col min="1025" max="1025" width="4.7109375" style="2139" customWidth="1"/>
    <col min="1026" max="1026" width="6.7109375" style="2139" customWidth="1"/>
    <col min="1027" max="1027" width="8.85546875" style="2139" customWidth="1"/>
    <col min="1028" max="1028" width="46.42578125" style="2139" customWidth="1"/>
    <col min="1029" max="1029" width="12.85546875" style="2139" customWidth="1"/>
    <col min="1030" max="1030" width="15.5703125" style="2139" customWidth="1"/>
    <col min="1031" max="1031" width="15.85546875" style="2139" customWidth="1"/>
    <col min="1032" max="1032" width="6.42578125" style="2139" customWidth="1"/>
    <col min="1033" max="1033" width="14.28515625" style="2139" bestFit="1" customWidth="1"/>
    <col min="1034" max="1034" width="9.140625" style="2139"/>
    <col min="1035" max="1035" width="12.7109375" style="2139" bestFit="1" customWidth="1"/>
    <col min="1036" max="1036" width="13.140625" style="2139" customWidth="1"/>
    <col min="1037" max="1280" width="9.140625" style="2139"/>
    <col min="1281" max="1281" width="4.7109375" style="2139" customWidth="1"/>
    <col min="1282" max="1282" width="6.7109375" style="2139" customWidth="1"/>
    <col min="1283" max="1283" width="8.85546875" style="2139" customWidth="1"/>
    <col min="1284" max="1284" width="46.42578125" style="2139" customWidth="1"/>
    <col min="1285" max="1285" width="12.85546875" style="2139" customWidth="1"/>
    <col min="1286" max="1286" width="15.5703125" style="2139" customWidth="1"/>
    <col min="1287" max="1287" width="15.85546875" style="2139" customWidth="1"/>
    <col min="1288" max="1288" width="6.42578125" style="2139" customWidth="1"/>
    <col min="1289" max="1289" width="14.28515625" style="2139" bestFit="1" customWidth="1"/>
    <col min="1290" max="1290" width="9.140625" style="2139"/>
    <col min="1291" max="1291" width="12.7109375" style="2139" bestFit="1" customWidth="1"/>
    <col min="1292" max="1292" width="13.140625" style="2139" customWidth="1"/>
    <col min="1293" max="1536" width="9.140625" style="2139"/>
    <col min="1537" max="1537" width="4.7109375" style="2139" customWidth="1"/>
    <col min="1538" max="1538" width="6.7109375" style="2139" customWidth="1"/>
    <col min="1539" max="1539" width="8.85546875" style="2139" customWidth="1"/>
    <col min="1540" max="1540" width="46.42578125" style="2139" customWidth="1"/>
    <col min="1541" max="1541" width="12.85546875" style="2139" customWidth="1"/>
    <col min="1542" max="1542" width="15.5703125" style="2139" customWidth="1"/>
    <col min="1543" max="1543" width="15.85546875" style="2139" customWidth="1"/>
    <col min="1544" max="1544" width="6.42578125" style="2139" customWidth="1"/>
    <col min="1545" max="1545" width="14.28515625" style="2139" bestFit="1" customWidth="1"/>
    <col min="1546" max="1546" width="9.140625" style="2139"/>
    <col min="1547" max="1547" width="12.7109375" style="2139" bestFit="1" customWidth="1"/>
    <col min="1548" max="1548" width="13.140625" style="2139" customWidth="1"/>
    <col min="1549" max="1792" width="9.140625" style="2139"/>
    <col min="1793" max="1793" width="4.7109375" style="2139" customWidth="1"/>
    <col min="1794" max="1794" width="6.7109375" style="2139" customWidth="1"/>
    <col min="1795" max="1795" width="8.85546875" style="2139" customWidth="1"/>
    <col min="1796" max="1796" width="46.42578125" style="2139" customWidth="1"/>
    <col min="1797" max="1797" width="12.85546875" style="2139" customWidth="1"/>
    <col min="1798" max="1798" width="15.5703125" style="2139" customWidth="1"/>
    <col min="1799" max="1799" width="15.85546875" style="2139" customWidth="1"/>
    <col min="1800" max="1800" width="6.42578125" style="2139" customWidth="1"/>
    <col min="1801" max="1801" width="14.28515625" style="2139" bestFit="1" customWidth="1"/>
    <col min="1802" max="1802" width="9.140625" style="2139"/>
    <col min="1803" max="1803" width="12.7109375" style="2139" bestFit="1" customWidth="1"/>
    <col min="1804" max="1804" width="13.140625" style="2139" customWidth="1"/>
    <col min="1805" max="2048" width="9.140625" style="2139"/>
    <col min="2049" max="2049" width="4.7109375" style="2139" customWidth="1"/>
    <col min="2050" max="2050" width="6.7109375" style="2139" customWidth="1"/>
    <col min="2051" max="2051" width="8.85546875" style="2139" customWidth="1"/>
    <col min="2052" max="2052" width="46.42578125" style="2139" customWidth="1"/>
    <col min="2053" max="2053" width="12.85546875" style="2139" customWidth="1"/>
    <col min="2054" max="2054" width="15.5703125" style="2139" customWidth="1"/>
    <col min="2055" max="2055" width="15.85546875" style="2139" customWidth="1"/>
    <col min="2056" max="2056" width="6.42578125" style="2139" customWidth="1"/>
    <col min="2057" max="2057" width="14.28515625" style="2139" bestFit="1" customWidth="1"/>
    <col min="2058" max="2058" width="9.140625" style="2139"/>
    <col min="2059" max="2059" width="12.7109375" style="2139" bestFit="1" customWidth="1"/>
    <col min="2060" max="2060" width="13.140625" style="2139" customWidth="1"/>
    <col min="2061" max="2304" width="9.140625" style="2139"/>
    <col min="2305" max="2305" width="4.7109375" style="2139" customWidth="1"/>
    <col min="2306" max="2306" width="6.7109375" style="2139" customWidth="1"/>
    <col min="2307" max="2307" width="8.85546875" style="2139" customWidth="1"/>
    <col min="2308" max="2308" width="46.42578125" style="2139" customWidth="1"/>
    <col min="2309" max="2309" width="12.85546875" style="2139" customWidth="1"/>
    <col min="2310" max="2310" width="15.5703125" style="2139" customWidth="1"/>
    <col min="2311" max="2311" width="15.85546875" style="2139" customWidth="1"/>
    <col min="2312" max="2312" width="6.42578125" style="2139" customWidth="1"/>
    <col min="2313" max="2313" width="14.28515625" style="2139" bestFit="1" customWidth="1"/>
    <col min="2314" max="2314" width="9.140625" style="2139"/>
    <col min="2315" max="2315" width="12.7109375" style="2139" bestFit="1" customWidth="1"/>
    <col min="2316" max="2316" width="13.140625" style="2139" customWidth="1"/>
    <col min="2317" max="2560" width="9.140625" style="2139"/>
    <col min="2561" max="2561" width="4.7109375" style="2139" customWidth="1"/>
    <col min="2562" max="2562" width="6.7109375" style="2139" customWidth="1"/>
    <col min="2563" max="2563" width="8.85546875" style="2139" customWidth="1"/>
    <col min="2564" max="2564" width="46.42578125" style="2139" customWidth="1"/>
    <col min="2565" max="2565" width="12.85546875" style="2139" customWidth="1"/>
    <col min="2566" max="2566" width="15.5703125" style="2139" customWidth="1"/>
    <col min="2567" max="2567" width="15.85546875" style="2139" customWidth="1"/>
    <col min="2568" max="2568" width="6.42578125" style="2139" customWidth="1"/>
    <col min="2569" max="2569" width="14.28515625" style="2139" bestFit="1" customWidth="1"/>
    <col min="2570" max="2570" width="9.140625" style="2139"/>
    <col min="2571" max="2571" width="12.7109375" style="2139" bestFit="1" customWidth="1"/>
    <col min="2572" max="2572" width="13.140625" style="2139" customWidth="1"/>
    <col min="2573" max="2816" width="9.140625" style="2139"/>
    <col min="2817" max="2817" width="4.7109375" style="2139" customWidth="1"/>
    <col min="2818" max="2818" width="6.7109375" style="2139" customWidth="1"/>
    <col min="2819" max="2819" width="8.85546875" style="2139" customWidth="1"/>
    <col min="2820" max="2820" width="46.42578125" style="2139" customWidth="1"/>
    <col min="2821" max="2821" width="12.85546875" style="2139" customWidth="1"/>
    <col min="2822" max="2822" width="15.5703125" style="2139" customWidth="1"/>
    <col min="2823" max="2823" width="15.85546875" style="2139" customWidth="1"/>
    <col min="2824" max="2824" width="6.42578125" style="2139" customWidth="1"/>
    <col min="2825" max="2825" width="14.28515625" style="2139" bestFit="1" customWidth="1"/>
    <col min="2826" max="2826" width="9.140625" style="2139"/>
    <col min="2827" max="2827" width="12.7109375" style="2139" bestFit="1" customWidth="1"/>
    <col min="2828" max="2828" width="13.140625" style="2139" customWidth="1"/>
    <col min="2829" max="3072" width="9.140625" style="2139"/>
    <col min="3073" max="3073" width="4.7109375" style="2139" customWidth="1"/>
    <col min="3074" max="3074" width="6.7109375" style="2139" customWidth="1"/>
    <col min="3075" max="3075" width="8.85546875" style="2139" customWidth="1"/>
    <col min="3076" max="3076" width="46.42578125" style="2139" customWidth="1"/>
    <col min="3077" max="3077" width="12.85546875" style="2139" customWidth="1"/>
    <col min="3078" max="3078" width="15.5703125" style="2139" customWidth="1"/>
    <col min="3079" max="3079" width="15.85546875" style="2139" customWidth="1"/>
    <col min="3080" max="3080" width="6.42578125" style="2139" customWidth="1"/>
    <col min="3081" max="3081" width="14.28515625" style="2139" bestFit="1" customWidth="1"/>
    <col min="3082" max="3082" width="9.140625" style="2139"/>
    <col min="3083" max="3083" width="12.7109375" style="2139" bestFit="1" customWidth="1"/>
    <col min="3084" max="3084" width="13.140625" style="2139" customWidth="1"/>
    <col min="3085" max="3328" width="9.140625" style="2139"/>
    <col min="3329" max="3329" width="4.7109375" style="2139" customWidth="1"/>
    <col min="3330" max="3330" width="6.7109375" style="2139" customWidth="1"/>
    <col min="3331" max="3331" width="8.85546875" style="2139" customWidth="1"/>
    <col min="3332" max="3332" width="46.42578125" style="2139" customWidth="1"/>
    <col min="3333" max="3333" width="12.85546875" style="2139" customWidth="1"/>
    <col min="3334" max="3334" width="15.5703125" style="2139" customWidth="1"/>
    <col min="3335" max="3335" width="15.85546875" style="2139" customWidth="1"/>
    <col min="3336" max="3336" width="6.42578125" style="2139" customWidth="1"/>
    <col min="3337" max="3337" width="14.28515625" style="2139" bestFit="1" customWidth="1"/>
    <col min="3338" max="3338" width="9.140625" style="2139"/>
    <col min="3339" max="3339" width="12.7109375" style="2139" bestFit="1" customWidth="1"/>
    <col min="3340" max="3340" width="13.140625" style="2139" customWidth="1"/>
    <col min="3341" max="3584" width="9.140625" style="2139"/>
    <col min="3585" max="3585" width="4.7109375" style="2139" customWidth="1"/>
    <col min="3586" max="3586" width="6.7109375" style="2139" customWidth="1"/>
    <col min="3587" max="3587" width="8.85546875" style="2139" customWidth="1"/>
    <col min="3588" max="3588" width="46.42578125" style="2139" customWidth="1"/>
    <col min="3589" max="3589" width="12.85546875" style="2139" customWidth="1"/>
    <col min="3590" max="3590" width="15.5703125" style="2139" customWidth="1"/>
    <col min="3591" max="3591" width="15.85546875" style="2139" customWidth="1"/>
    <col min="3592" max="3592" width="6.42578125" style="2139" customWidth="1"/>
    <col min="3593" max="3593" width="14.28515625" style="2139" bestFit="1" customWidth="1"/>
    <col min="3594" max="3594" width="9.140625" style="2139"/>
    <col min="3595" max="3595" width="12.7109375" style="2139" bestFit="1" customWidth="1"/>
    <col min="3596" max="3596" width="13.140625" style="2139" customWidth="1"/>
    <col min="3597" max="3840" width="9.140625" style="2139"/>
    <col min="3841" max="3841" width="4.7109375" style="2139" customWidth="1"/>
    <col min="3842" max="3842" width="6.7109375" style="2139" customWidth="1"/>
    <col min="3843" max="3843" width="8.85546875" style="2139" customWidth="1"/>
    <col min="3844" max="3844" width="46.42578125" style="2139" customWidth="1"/>
    <col min="3845" max="3845" width="12.85546875" style="2139" customWidth="1"/>
    <col min="3846" max="3846" width="15.5703125" style="2139" customWidth="1"/>
    <col min="3847" max="3847" width="15.85546875" style="2139" customWidth="1"/>
    <col min="3848" max="3848" width="6.42578125" style="2139" customWidth="1"/>
    <col min="3849" max="3849" width="14.28515625" style="2139" bestFit="1" customWidth="1"/>
    <col min="3850" max="3850" width="9.140625" style="2139"/>
    <col min="3851" max="3851" width="12.7109375" style="2139" bestFit="1" customWidth="1"/>
    <col min="3852" max="3852" width="13.140625" style="2139" customWidth="1"/>
    <col min="3853" max="4096" width="9.140625" style="2139"/>
    <col min="4097" max="4097" width="4.7109375" style="2139" customWidth="1"/>
    <col min="4098" max="4098" width="6.7109375" style="2139" customWidth="1"/>
    <col min="4099" max="4099" width="8.85546875" style="2139" customWidth="1"/>
    <col min="4100" max="4100" width="46.42578125" style="2139" customWidth="1"/>
    <col min="4101" max="4101" width="12.85546875" style="2139" customWidth="1"/>
    <col min="4102" max="4102" width="15.5703125" style="2139" customWidth="1"/>
    <col min="4103" max="4103" width="15.85546875" style="2139" customWidth="1"/>
    <col min="4104" max="4104" width="6.42578125" style="2139" customWidth="1"/>
    <col min="4105" max="4105" width="14.28515625" style="2139" bestFit="1" customWidth="1"/>
    <col min="4106" max="4106" width="9.140625" style="2139"/>
    <col min="4107" max="4107" width="12.7109375" style="2139" bestFit="1" customWidth="1"/>
    <col min="4108" max="4108" width="13.140625" style="2139" customWidth="1"/>
    <col min="4109" max="4352" width="9.140625" style="2139"/>
    <col min="4353" max="4353" width="4.7109375" style="2139" customWidth="1"/>
    <col min="4354" max="4354" width="6.7109375" style="2139" customWidth="1"/>
    <col min="4355" max="4355" width="8.85546875" style="2139" customWidth="1"/>
    <col min="4356" max="4356" width="46.42578125" style="2139" customWidth="1"/>
    <col min="4357" max="4357" width="12.85546875" style="2139" customWidth="1"/>
    <col min="4358" max="4358" width="15.5703125" style="2139" customWidth="1"/>
    <col min="4359" max="4359" width="15.85546875" style="2139" customWidth="1"/>
    <col min="4360" max="4360" width="6.42578125" style="2139" customWidth="1"/>
    <col min="4361" max="4361" width="14.28515625" style="2139" bestFit="1" customWidth="1"/>
    <col min="4362" max="4362" width="9.140625" style="2139"/>
    <col min="4363" max="4363" width="12.7109375" style="2139" bestFit="1" customWidth="1"/>
    <col min="4364" max="4364" width="13.140625" style="2139" customWidth="1"/>
    <col min="4365" max="4608" width="9.140625" style="2139"/>
    <col min="4609" max="4609" width="4.7109375" style="2139" customWidth="1"/>
    <col min="4610" max="4610" width="6.7109375" style="2139" customWidth="1"/>
    <col min="4611" max="4611" width="8.85546875" style="2139" customWidth="1"/>
    <col min="4612" max="4612" width="46.42578125" style="2139" customWidth="1"/>
    <col min="4613" max="4613" width="12.85546875" style="2139" customWidth="1"/>
    <col min="4614" max="4614" width="15.5703125" style="2139" customWidth="1"/>
    <col min="4615" max="4615" width="15.85546875" style="2139" customWidth="1"/>
    <col min="4616" max="4616" width="6.42578125" style="2139" customWidth="1"/>
    <col min="4617" max="4617" width="14.28515625" style="2139" bestFit="1" customWidth="1"/>
    <col min="4618" max="4618" width="9.140625" style="2139"/>
    <col min="4619" max="4619" width="12.7109375" style="2139" bestFit="1" customWidth="1"/>
    <col min="4620" max="4620" width="13.140625" style="2139" customWidth="1"/>
    <col min="4621" max="4864" width="9.140625" style="2139"/>
    <col min="4865" max="4865" width="4.7109375" style="2139" customWidth="1"/>
    <col min="4866" max="4866" width="6.7109375" style="2139" customWidth="1"/>
    <col min="4867" max="4867" width="8.85546875" style="2139" customWidth="1"/>
    <col min="4868" max="4868" width="46.42578125" style="2139" customWidth="1"/>
    <col min="4869" max="4869" width="12.85546875" style="2139" customWidth="1"/>
    <col min="4870" max="4870" width="15.5703125" style="2139" customWidth="1"/>
    <col min="4871" max="4871" width="15.85546875" style="2139" customWidth="1"/>
    <col min="4872" max="4872" width="6.42578125" style="2139" customWidth="1"/>
    <col min="4873" max="4873" width="14.28515625" style="2139" bestFit="1" customWidth="1"/>
    <col min="4874" max="4874" width="9.140625" style="2139"/>
    <col min="4875" max="4875" width="12.7109375" style="2139" bestFit="1" customWidth="1"/>
    <col min="4876" max="4876" width="13.140625" style="2139" customWidth="1"/>
    <col min="4877" max="5120" width="9.140625" style="2139"/>
    <col min="5121" max="5121" width="4.7109375" style="2139" customWidth="1"/>
    <col min="5122" max="5122" width="6.7109375" style="2139" customWidth="1"/>
    <col min="5123" max="5123" width="8.85546875" style="2139" customWidth="1"/>
    <col min="5124" max="5124" width="46.42578125" style="2139" customWidth="1"/>
    <col min="5125" max="5125" width="12.85546875" style="2139" customWidth="1"/>
    <col min="5126" max="5126" width="15.5703125" style="2139" customWidth="1"/>
    <col min="5127" max="5127" width="15.85546875" style="2139" customWidth="1"/>
    <col min="5128" max="5128" width="6.42578125" style="2139" customWidth="1"/>
    <col min="5129" max="5129" width="14.28515625" style="2139" bestFit="1" customWidth="1"/>
    <col min="5130" max="5130" width="9.140625" style="2139"/>
    <col min="5131" max="5131" width="12.7109375" style="2139" bestFit="1" customWidth="1"/>
    <col min="5132" max="5132" width="13.140625" style="2139" customWidth="1"/>
    <col min="5133" max="5376" width="9.140625" style="2139"/>
    <col min="5377" max="5377" width="4.7109375" style="2139" customWidth="1"/>
    <col min="5378" max="5378" width="6.7109375" style="2139" customWidth="1"/>
    <col min="5379" max="5379" width="8.85546875" style="2139" customWidth="1"/>
    <col min="5380" max="5380" width="46.42578125" style="2139" customWidth="1"/>
    <col min="5381" max="5381" width="12.85546875" style="2139" customWidth="1"/>
    <col min="5382" max="5382" width="15.5703125" style="2139" customWidth="1"/>
    <col min="5383" max="5383" width="15.85546875" style="2139" customWidth="1"/>
    <col min="5384" max="5384" width="6.42578125" style="2139" customWidth="1"/>
    <col min="5385" max="5385" width="14.28515625" style="2139" bestFit="1" customWidth="1"/>
    <col min="5386" max="5386" width="9.140625" style="2139"/>
    <col min="5387" max="5387" width="12.7109375" style="2139" bestFit="1" customWidth="1"/>
    <col min="5388" max="5388" width="13.140625" style="2139" customWidth="1"/>
    <col min="5389" max="5632" width="9.140625" style="2139"/>
    <col min="5633" max="5633" width="4.7109375" style="2139" customWidth="1"/>
    <col min="5634" max="5634" width="6.7109375" style="2139" customWidth="1"/>
    <col min="5635" max="5635" width="8.85546875" style="2139" customWidth="1"/>
    <col min="5636" max="5636" width="46.42578125" style="2139" customWidth="1"/>
    <col min="5637" max="5637" width="12.85546875" style="2139" customWidth="1"/>
    <col min="5638" max="5638" width="15.5703125" style="2139" customWidth="1"/>
    <col min="5639" max="5639" width="15.85546875" style="2139" customWidth="1"/>
    <col min="5640" max="5640" width="6.42578125" style="2139" customWidth="1"/>
    <col min="5641" max="5641" width="14.28515625" style="2139" bestFit="1" customWidth="1"/>
    <col min="5642" max="5642" width="9.140625" style="2139"/>
    <col min="5643" max="5643" width="12.7109375" style="2139" bestFit="1" customWidth="1"/>
    <col min="5644" max="5644" width="13.140625" style="2139" customWidth="1"/>
    <col min="5645" max="5888" width="9.140625" style="2139"/>
    <col min="5889" max="5889" width="4.7109375" style="2139" customWidth="1"/>
    <col min="5890" max="5890" width="6.7109375" style="2139" customWidth="1"/>
    <col min="5891" max="5891" width="8.85546875" style="2139" customWidth="1"/>
    <col min="5892" max="5892" width="46.42578125" style="2139" customWidth="1"/>
    <col min="5893" max="5893" width="12.85546875" style="2139" customWidth="1"/>
    <col min="5894" max="5894" width="15.5703125" style="2139" customWidth="1"/>
    <col min="5895" max="5895" width="15.85546875" style="2139" customWidth="1"/>
    <col min="5896" max="5896" width="6.42578125" style="2139" customWidth="1"/>
    <col min="5897" max="5897" width="14.28515625" style="2139" bestFit="1" customWidth="1"/>
    <col min="5898" max="5898" width="9.140625" style="2139"/>
    <col min="5899" max="5899" width="12.7109375" style="2139" bestFit="1" customWidth="1"/>
    <col min="5900" max="5900" width="13.140625" style="2139" customWidth="1"/>
    <col min="5901" max="6144" width="9.140625" style="2139"/>
    <col min="6145" max="6145" width="4.7109375" style="2139" customWidth="1"/>
    <col min="6146" max="6146" width="6.7109375" style="2139" customWidth="1"/>
    <col min="6147" max="6147" width="8.85546875" style="2139" customWidth="1"/>
    <col min="6148" max="6148" width="46.42578125" style="2139" customWidth="1"/>
    <col min="6149" max="6149" width="12.85546875" style="2139" customWidth="1"/>
    <col min="6150" max="6150" width="15.5703125" style="2139" customWidth="1"/>
    <col min="6151" max="6151" width="15.85546875" style="2139" customWidth="1"/>
    <col min="6152" max="6152" width="6.42578125" style="2139" customWidth="1"/>
    <col min="6153" max="6153" width="14.28515625" style="2139" bestFit="1" customWidth="1"/>
    <col min="6154" max="6154" width="9.140625" style="2139"/>
    <col min="6155" max="6155" width="12.7109375" style="2139" bestFit="1" customWidth="1"/>
    <col min="6156" max="6156" width="13.140625" style="2139" customWidth="1"/>
    <col min="6157" max="6400" width="9.140625" style="2139"/>
    <col min="6401" max="6401" width="4.7109375" style="2139" customWidth="1"/>
    <col min="6402" max="6402" width="6.7109375" style="2139" customWidth="1"/>
    <col min="6403" max="6403" width="8.85546875" style="2139" customWidth="1"/>
    <col min="6404" max="6404" width="46.42578125" style="2139" customWidth="1"/>
    <col min="6405" max="6405" width="12.85546875" style="2139" customWidth="1"/>
    <col min="6406" max="6406" width="15.5703125" style="2139" customWidth="1"/>
    <col min="6407" max="6407" width="15.85546875" style="2139" customWidth="1"/>
    <col min="6408" max="6408" width="6.42578125" style="2139" customWidth="1"/>
    <col min="6409" max="6409" width="14.28515625" style="2139" bestFit="1" customWidth="1"/>
    <col min="6410" max="6410" width="9.140625" style="2139"/>
    <col min="6411" max="6411" width="12.7109375" style="2139" bestFit="1" customWidth="1"/>
    <col min="6412" max="6412" width="13.140625" style="2139" customWidth="1"/>
    <col min="6413" max="6656" width="9.140625" style="2139"/>
    <col min="6657" max="6657" width="4.7109375" style="2139" customWidth="1"/>
    <col min="6658" max="6658" width="6.7109375" style="2139" customWidth="1"/>
    <col min="6659" max="6659" width="8.85546875" style="2139" customWidth="1"/>
    <col min="6660" max="6660" width="46.42578125" style="2139" customWidth="1"/>
    <col min="6661" max="6661" width="12.85546875" style="2139" customWidth="1"/>
    <col min="6662" max="6662" width="15.5703125" style="2139" customWidth="1"/>
    <col min="6663" max="6663" width="15.85546875" style="2139" customWidth="1"/>
    <col min="6664" max="6664" width="6.42578125" style="2139" customWidth="1"/>
    <col min="6665" max="6665" width="14.28515625" style="2139" bestFit="1" customWidth="1"/>
    <col min="6666" max="6666" width="9.140625" style="2139"/>
    <col min="6667" max="6667" width="12.7109375" style="2139" bestFit="1" customWidth="1"/>
    <col min="6668" max="6668" width="13.140625" style="2139" customWidth="1"/>
    <col min="6669" max="6912" width="9.140625" style="2139"/>
    <col min="6913" max="6913" width="4.7109375" style="2139" customWidth="1"/>
    <col min="6914" max="6914" width="6.7109375" style="2139" customWidth="1"/>
    <col min="6915" max="6915" width="8.85546875" style="2139" customWidth="1"/>
    <col min="6916" max="6916" width="46.42578125" style="2139" customWidth="1"/>
    <col min="6917" max="6917" width="12.85546875" style="2139" customWidth="1"/>
    <col min="6918" max="6918" width="15.5703125" style="2139" customWidth="1"/>
    <col min="6919" max="6919" width="15.85546875" style="2139" customWidth="1"/>
    <col min="6920" max="6920" width="6.42578125" style="2139" customWidth="1"/>
    <col min="6921" max="6921" width="14.28515625" style="2139" bestFit="1" customWidth="1"/>
    <col min="6922" max="6922" width="9.140625" style="2139"/>
    <col min="6923" max="6923" width="12.7109375" style="2139" bestFit="1" customWidth="1"/>
    <col min="6924" max="6924" width="13.140625" style="2139" customWidth="1"/>
    <col min="6925" max="7168" width="9.140625" style="2139"/>
    <col min="7169" max="7169" width="4.7109375" style="2139" customWidth="1"/>
    <col min="7170" max="7170" width="6.7109375" style="2139" customWidth="1"/>
    <col min="7171" max="7171" width="8.85546875" style="2139" customWidth="1"/>
    <col min="7172" max="7172" width="46.42578125" style="2139" customWidth="1"/>
    <col min="7173" max="7173" width="12.85546875" style="2139" customWidth="1"/>
    <col min="7174" max="7174" width="15.5703125" style="2139" customWidth="1"/>
    <col min="7175" max="7175" width="15.85546875" style="2139" customWidth="1"/>
    <col min="7176" max="7176" width="6.42578125" style="2139" customWidth="1"/>
    <col min="7177" max="7177" width="14.28515625" style="2139" bestFit="1" customWidth="1"/>
    <col min="7178" max="7178" width="9.140625" style="2139"/>
    <col min="7179" max="7179" width="12.7109375" style="2139" bestFit="1" customWidth="1"/>
    <col min="7180" max="7180" width="13.140625" style="2139" customWidth="1"/>
    <col min="7181" max="7424" width="9.140625" style="2139"/>
    <col min="7425" max="7425" width="4.7109375" style="2139" customWidth="1"/>
    <col min="7426" max="7426" width="6.7109375" style="2139" customWidth="1"/>
    <col min="7427" max="7427" width="8.85546875" style="2139" customWidth="1"/>
    <col min="7428" max="7428" width="46.42578125" style="2139" customWidth="1"/>
    <col min="7429" max="7429" width="12.85546875" style="2139" customWidth="1"/>
    <col min="7430" max="7430" width="15.5703125" style="2139" customWidth="1"/>
    <col min="7431" max="7431" width="15.85546875" style="2139" customWidth="1"/>
    <col min="7432" max="7432" width="6.42578125" style="2139" customWidth="1"/>
    <col min="7433" max="7433" width="14.28515625" style="2139" bestFit="1" customWidth="1"/>
    <col min="7434" max="7434" width="9.140625" style="2139"/>
    <col min="7435" max="7435" width="12.7109375" style="2139" bestFit="1" customWidth="1"/>
    <col min="7436" max="7436" width="13.140625" style="2139" customWidth="1"/>
    <col min="7437" max="7680" width="9.140625" style="2139"/>
    <col min="7681" max="7681" width="4.7109375" style="2139" customWidth="1"/>
    <col min="7682" max="7682" width="6.7109375" style="2139" customWidth="1"/>
    <col min="7683" max="7683" width="8.85546875" style="2139" customWidth="1"/>
    <col min="7684" max="7684" width="46.42578125" style="2139" customWidth="1"/>
    <col min="7685" max="7685" width="12.85546875" style="2139" customWidth="1"/>
    <col min="7686" max="7686" width="15.5703125" style="2139" customWidth="1"/>
    <col min="7687" max="7687" width="15.85546875" style="2139" customWidth="1"/>
    <col min="7688" max="7688" width="6.42578125" style="2139" customWidth="1"/>
    <col min="7689" max="7689" width="14.28515625" style="2139" bestFit="1" customWidth="1"/>
    <col min="7690" max="7690" width="9.140625" style="2139"/>
    <col min="7691" max="7691" width="12.7109375" style="2139" bestFit="1" customWidth="1"/>
    <col min="7692" max="7692" width="13.140625" style="2139" customWidth="1"/>
    <col min="7693" max="7936" width="9.140625" style="2139"/>
    <col min="7937" max="7937" width="4.7109375" style="2139" customWidth="1"/>
    <col min="7938" max="7938" width="6.7109375" style="2139" customWidth="1"/>
    <col min="7939" max="7939" width="8.85546875" style="2139" customWidth="1"/>
    <col min="7940" max="7940" width="46.42578125" style="2139" customWidth="1"/>
    <col min="7941" max="7941" width="12.85546875" style="2139" customWidth="1"/>
    <col min="7942" max="7942" width="15.5703125" style="2139" customWidth="1"/>
    <col min="7943" max="7943" width="15.85546875" style="2139" customWidth="1"/>
    <col min="7944" max="7944" width="6.42578125" style="2139" customWidth="1"/>
    <col min="7945" max="7945" width="14.28515625" style="2139" bestFit="1" customWidth="1"/>
    <col min="7946" max="7946" width="9.140625" style="2139"/>
    <col min="7947" max="7947" width="12.7109375" style="2139" bestFit="1" customWidth="1"/>
    <col min="7948" max="7948" width="13.140625" style="2139" customWidth="1"/>
    <col min="7949" max="8192" width="9.140625" style="2139"/>
    <col min="8193" max="8193" width="4.7109375" style="2139" customWidth="1"/>
    <col min="8194" max="8194" width="6.7109375" style="2139" customWidth="1"/>
    <col min="8195" max="8195" width="8.85546875" style="2139" customWidth="1"/>
    <col min="8196" max="8196" width="46.42578125" style="2139" customWidth="1"/>
    <col min="8197" max="8197" width="12.85546875" style="2139" customWidth="1"/>
    <col min="8198" max="8198" width="15.5703125" style="2139" customWidth="1"/>
    <col min="8199" max="8199" width="15.85546875" style="2139" customWidth="1"/>
    <col min="8200" max="8200" width="6.42578125" style="2139" customWidth="1"/>
    <col min="8201" max="8201" width="14.28515625" style="2139" bestFit="1" customWidth="1"/>
    <col min="8202" max="8202" width="9.140625" style="2139"/>
    <col min="8203" max="8203" width="12.7109375" style="2139" bestFit="1" customWidth="1"/>
    <col min="8204" max="8204" width="13.140625" style="2139" customWidth="1"/>
    <col min="8205" max="8448" width="9.140625" style="2139"/>
    <col min="8449" max="8449" width="4.7109375" style="2139" customWidth="1"/>
    <col min="8450" max="8450" width="6.7109375" style="2139" customWidth="1"/>
    <col min="8451" max="8451" width="8.85546875" style="2139" customWidth="1"/>
    <col min="8452" max="8452" width="46.42578125" style="2139" customWidth="1"/>
    <col min="8453" max="8453" width="12.85546875" style="2139" customWidth="1"/>
    <col min="8454" max="8454" width="15.5703125" style="2139" customWidth="1"/>
    <col min="8455" max="8455" width="15.85546875" style="2139" customWidth="1"/>
    <col min="8456" max="8456" width="6.42578125" style="2139" customWidth="1"/>
    <col min="8457" max="8457" width="14.28515625" style="2139" bestFit="1" customWidth="1"/>
    <col min="8458" max="8458" width="9.140625" style="2139"/>
    <col min="8459" max="8459" width="12.7109375" style="2139" bestFit="1" customWidth="1"/>
    <col min="8460" max="8460" width="13.140625" style="2139" customWidth="1"/>
    <col min="8461" max="8704" width="9.140625" style="2139"/>
    <col min="8705" max="8705" width="4.7109375" style="2139" customWidth="1"/>
    <col min="8706" max="8706" width="6.7109375" style="2139" customWidth="1"/>
    <col min="8707" max="8707" width="8.85546875" style="2139" customWidth="1"/>
    <col min="8708" max="8708" width="46.42578125" style="2139" customWidth="1"/>
    <col min="8709" max="8709" width="12.85546875" style="2139" customWidth="1"/>
    <col min="8710" max="8710" width="15.5703125" style="2139" customWidth="1"/>
    <col min="8711" max="8711" width="15.85546875" style="2139" customWidth="1"/>
    <col min="8712" max="8712" width="6.42578125" style="2139" customWidth="1"/>
    <col min="8713" max="8713" width="14.28515625" style="2139" bestFit="1" customWidth="1"/>
    <col min="8714" max="8714" width="9.140625" style="2139"/>
    <col min="8715" max="8715" width="12.7109375" style="2139" bestFit="1" customWidth="1"/>
    <col min="8716" max="8716" width="13.140625" style="2139" customWidth="1"/>
    <col min="8717" max="8960" width="9.140625" style="2139"/>
    <col min="8961" max="8961" width="4.7109375" style="2139" customWidth="1"/>
    <col min="8962" max="8962" width="6.7109375" style="2139" customWidth="1"/>
    <col min="8963" max="8963" width="8.85546875" style="2139" customWidth="1"/>
    <col min="8964" max="8964" width="46.42578125" style="2139" customWidth="1"/>
    <col min="8965" max="8965" width="12.85546875" style="2139" customWidth="1"/>
    <col min="8966" max="8966" width="15.5703125" style="2139" customWidth="1"/>
    <col min="8967" max="8967" width="15.85546875" style="2139" customWidth="1"/>
    <col min="8968" max="8968" width="6.42578125" style="2139" customWidth="1"/>
    <col min="8969" max="8969" width="14.28515625" style="2139" bestFit="1" customWidth="1"/>
    <col min="8970" max="8970" width="9.140625" style="2139"/>
    <col min="8971" max="8971" width="12.7109375" style="2139" bestFit="1" customWidth="1"/>
    <col min="8972" max="8972" width="13.140625" style="2139" customWidth="1"/>
    <col min="8973" max="9216" width="9.140625" style="2139"/>
    <col min="9217" max="9217" width="4.7109375" style="2139" customWidth="1"/>
    <col min="9218" max="9218" width="6.7109375" style="2139" customWidth="1"/>
    <col min="9219" max="9219" width="8.85546875" style="2139" customWidth="1"/>
    <col min="9220" max="9220" width="46.42578125" style="2139" customWidth="1"/>
    <col min="9221" max="9221" width="12.85546875" style="2139" customWidth="1"/>
    <col min="9222" max="9222" width="15.5703125" style="2139" customWidth="1"/>
    <col min="9223" max="9223" width="15.85546875" style="2139" customWidth="1"/>
    <col min="9224" max="9224" width="6.42578125" style="2139" customWidth="1"/>
    <col min="9225" max="9225" width="14.28515625" style="2139" bestFit="1" customWidth="1"/>
    <col min="9226" max="9226" width="9.140625" style="2139"/>
    <col min="9227" max="9227" width="12.7109375" style="2139" bestFit="1" customWidth="1"/>
    <col min="9228" max="9228" width="13.140625" style="2139" customWidth="1"/>
    <col min="9229" max="9472" width="9.140625" style="2139"/>
    <col min="9473" max="9473" width="4.7109375" style="2139" customWidth="1"/>
    <col min="9474" max="9474" width="6.7109375" style="2139" customWidth="1"/>
    <col min="9475" max="9475" width="8.85546875" style="2139" customWidth="1"/>
    <col min="9476" max="9476" width="46.42578125" style="2139" customWidth="1"/>
    <col min="9477" max="9477" width="12.85546875" style="2139" customWidth="1"/>
    <col min="9478" max="9478" width="15.5703125" style="2139" customWidth="1"/>
    <col min="9479" max="9479" width="15.85546875" style="2139" customWidth="1"/>
    <col min="9480" max="9480" width="6.42578125" style="2139" customWidth="1"/>
    <col min="9481" max="9481" width="14.28515625" style="2139" bestFit="1" customWidth="1"/>
    <col min="9482" max="9482" width="9.140625" style="2139"/>
    <col min="9483" max="9483" width="12.7109375" style="2139" bestFit="1" customWidth="1"/>
    <col min="9484" max="9484" width="13.140625" style="2139" customWidth="1"/>
    <col min="9485" max="9728" width="9.140625" style="2139"/>
    <col min="9729" max="9729" width="4.7109375" style="2139" customWidth="1"/>
    <col min="9730" max="9730" width="6.7109375" style="2139" customWidth="1"/>
    <col min="9731" max="9731" width="8.85546875" style="2139" customWidth="1"/>
    <col min="9732" max="9732" width="46.42578125" style="2139" customWidth="1"/>
    <col min="9733" max="9733" width="12.85546875" style="2139" customWidth="1"/>
    <col min="9734" max="9734" width="15.5703125" style="2139" customWidth="1"/>
    <col min="9735" max="9735" width="15.85546875" style="2139" customWidth="1"/>
    <col min="9736" max="9736" width="6.42578125" style="2139" customWidth="1"/>
    <col min="9737" max="9737" width="14.28515625" style="2139" bestFit="1" customWidth="1"/>
    <col min="9738" max="9738" width="9.140625" style="2139"/>
    <col min="9739" max="9739" width="12.7109375" style="2139" bestFit="1" customWidth="1"/>
    <col min="9740" max="9740" width="13.140625" style="2139" customWidth="1"/>
    <col min="9741" max="9984" width="9.140625" style="2139"/>
    <col min="9985" max="9985" width="4.7109375" style="2139" customWidth="1"/>
    <col min="9986" max="9986" width="6.7109375" style="2139" customWidth="1"/>
    <col min="9987" max="9987" width="8.85546875" style="2139" customWidth="1"/>
    <col min="9988" max="9988" width="46.42578125" style="2139" customWidth="1"/>
    <col min="9989" max="9989" width="12.85546875" style="2139" customWidth="1"/>
    <col min="9990" max="9990" width="15.5703125" style="2139" customWidth="1"/>
    <col min="9991" max="9991" width="15.85546875" style="2139" customWidth="1"/>
    <col min="9992" max="9992" width="6.42578125" style="2139" customWidth="1"/>
    <col min="9993" max="9993" width="14.28515625" style="2139" bestFit="1" customWidth="1"/>
    <col min="9994" max="9994" width="9.140625" style="2139"/>
    <col min="9995" max="9995" width="12.7109375" style="2139" bestFit="1" customWidth="1"/>
    <col min="9996" max="9996" width="13.140625" style="2139" customWidth="1"/>
    <col min="9997" max="10240" width="9.140625" style="2139"/>
    <col min="10241" max="10241" width="4.7109375" style="2139" customWidth="1"/>
    <col min="10242" max="10242" width="6.7109375" style="2139" customWidth="1"/>
    <col min="10243" max="10243" width="8.85546875" style="2139" customWidth="1"/>
    <col min="10244" max="10244" width="46.42578125" style="2139" customWidth="1"/>
    <col min="10245" max="10245" width="12.85546875" style="2139" customWidth="1"/>
    <col min="10246" max="10246" width="15.5703125" style="2139" customWidth="1"/>
    <col min="10247" max="10247" width="15.85546875" style="2139" customWidth="1"/>
    <col min="10248" max="10248" width="6.42578125" style="2139" customWidth="1"/>
    <col min="10249" max="10249" width="14.28515625" style="2139" bestFit="1" customWidth="1"/>
    <col min="10250" max="10250" width="9.140625" style="2139"/>
    <col min="10251" max="10251" width="12.7109375" style="2139" bestFit="1" customWidth="1"/>
    <col min="10252" max="10252" width="13.140625" style="2139" customWidth="1"/>
    <col min="10253" max="10496" width="9.140625" style="2139"/>
    <col min="10497" max="10497" width="4.7109375" style="2139" customWidth="1"/>
    <col min="10498" max="10498" width="6.7109375" style="2139" customWidth="1"/>
    <col min="10499" max="10499" width="8.85546875" style="2139" customWidth="1"/>
    <col min="10500" max="10500" width="46.42578125" style="2139" customWidth="1"/>
    <col min="10501" max="10501" width="12.85546875" style="2139" customWidth="1"/>
    <col min="10502" max="10502" width="15.5703125" style="2139" customWidth="1"/>
    <col min="10503" max="10503" width="15.85546875" style="2139" customWidth="1"/>
    <col min="10504" max="10504" width="6.42578125" style="2139" customWidth="1"/>
    <col min="10505" max="10505" width="14.28515625" style="2139" bestFit="1" customWidth="1"/>
    <col min="10506" max="10506" width="9.140625" style="2139"/>
    <col min="10507" max="10507" width="12.7109375" style="2139" bestFit="1" customWidth="1"/>
    <col min="10508" max="10508" width="13.140625" style="2139" customWidth="1"/>
    <col min="10509" max="10752" width="9.140625" style="2139"/>
    <col min="10753" max="10753" width="4.7109375" style="2139" customWidth="1"/>
    <col min="10754" max="10754" width="6.7109375" style="2139" customWidth="1"/>
    <col min="10755" max="10755" width="8.85546875" style="2139" customWidth="1"/>
    <col min="10756" max="10756" width="46.42578125" style="2139" customWidth="1"/>
    <col min="10757" max="10757" width="12.85546875" style="2139" customWidth="1"/>
    <col min="10758" max="10758" width="15.5703125" style="2139" customWidth="1"/>
    <col min="10759" max="10759" width="15.85546875" style="2139" customWidth="1"/>
    <col min="10760" max="10760" width="6.42578125" style="2139" customWidth="1"/>
    <col min="10761" max="10761" width="14.28515625" style="2139" bestFit="1" customWidth="1"/>
    <col min="10762" max="10762" width="9.140625" style="2139"/>
    <col min="10763" max="10763" width="12.7109375" style="2139" bestFit="1" customWidth="1"/>
    <col min="10764" max="10764" width="13.140625" style="2139" customWidth="1"/>
    <col min="10765" max="11008" width="9.140625" style="2139"/>
    <col min="11009" max="11009" width="4.7109375" style="2139" customWidth="1"/>
    <col min="11010" max="11010" width="6.7109375" style="2139" customWidth="1"/>
    <col min="11011" max="11011" width="8.85546875" style="2139" customWidth="1"/>
    <col min="11012" max="11012" width="46.42578125" style="2139" customWidth="1"/>
    <col min="11013" max="11013" width="12.85546875" style="2139" customWidth="1"/>
    <col min="11014" max="11014" width="15.5703125" style="2139" customWidth="1"/>
    <col min="11015" max="11015" width="15.85546875" style="2139" customWidth="1"/>
    <col min="11016" max="11016" width="6.42578125" style="2139" customWidth="1"/>
    <col min="11017" max="11017" width="14.28515625" style="2139" bestFit="1" customWidth="1"/>
    <col min="11018" max="11018" width="9.140625" style="2139"/>
    <col min="11019" max="11019" width="12.7109375" style="2139" bestFit="1" customWidth="1"/>
    <col min="11020" max="11020" width="13.140625" style="2139" customWidth="1"/>
    <col min="11021" max="11264" width="9.140625" style="2139"/>
    <col min="11265" max="11265" width="4.7109375" style="2139" customWidth="1"/>
    <col min="11266" max="11266" width="6.7109375" style="2139" customWidth="1"/>
    <col min="11267" max="11267" width="8.85546875" style="2139" customWidth="1"/>
    <col min="11268" max="11268" width="46.42578125" style="2139" customWidth="1"/>
    <col min="11269" max="11269" width="12.85546875" style="2139" customWidth="1"/>
    <col min="11270" max="11270" width="15.5703125" style="2139" customWidth="1"/>
    <col min="11271" max="11271" width="15.85546875" style="2139" customWidth="1"/>
    <col min="11272" max="11272" width="6.42578125" style="2139" customWidth="1"/>
    <col min="11273" max="11273" width="14.28515625" style="2139" bestFit="1" customWidth="1"/>
    <col min="11274" max="11274" width="9.140625" style="2139"/>
    <col min="11275" max="11275" width="12.7109375" style="2139" bestFit="1" customWidth="1"/>
    <col min="11276" max="11276" width="13.140625" style="2139" customWidth="1"/>
    <col min="11277" max="11520" width="9.140625" style="2139"/>
    <col min="11521" max="11521" width="4.7109375" style="2139" customWidth="1"/>
    <col min="11522" max="11522" width="6.7109375" style="2139" customWidth="1"/>
    <col min="11523" max="11523" width="8.85546875" style="2139" customWidth="1"/>
    <col min="11524" max="11524" width="46.42578125" style="2139" customWidth="1"/>
    <col min="11525" max="11525" width="12.85546875" style="2139" customWidth="1"/>
    <col min="11526" max="11526" width="15.5703125" style="2139" customWidth="1"/>
    <col min="11527" max="11527" width="15.85546875" style="2139" customWidth="1"/>
    <col min="11528" max="11528" width="6.42578125" style="2139" customWidth="1"/>
    <col min="11529" max="11529" width="14.28515625" style="2139" bestFit="1" customWidth="1"/>
    <col min="11530" max="11530" width="9.140625" style="2139"/>
    <col min="11531" max="11531" width="12.7109375" style="2139" bestFit="1" customWidth="1"/>
    <col min="11532" max="11532" width="13.140625" style="2139" customWidth="1"/>
    <col min="11533" max="11776" width="9.140625" style="2139"/>
    <col min="11777" max="11777" width="4.7109375" style="2139" customWidth="1"/>
    <col min="11778" max="11778" width="6.7109375" style="2139" customWidth="1"/>
    <col min="11779" max="11779" width="8.85546875" style="2139" customWidth="1"/>
    <col min="11780" max="11780" width="46.42578125" style="2139" customWidth="1"/>
    <col min="11781" max="11781" width="12.85546875" style="2139" customWidth="1"/>
    <col min="11782" max="11782" width="15.5703125" style="2139" customWidth="1"/>
    <col min="11783" max="11783" width="15.85546875" style="2139" customWidth="1"/>
    <col min="11784" max="11784" width="6.42578125" style="2139" customWidth="1"/>
    <col min="11785" max="11785" width="14.28515625" style="2139" bestFit="1" customWidth="1"/>
    <col min="11786" max="11786" width="9.140625" style="2139"/>
    <col min="11787" max="11787" width="12.7109375" style="2139" bestFit="1" customWidth="1"/>
    <col min="11788" max="11788" width="13.140625" style="2139" customWidth="1"/>
    <col min="11789" max="12032" width="9.140625" style="2139"/>
    <col min="12033" max="12033" width="4.7109375" style="2139" customWidth="1"/>
    <col min="12034" max="12034" width="6.7109375" style="2139" customWidth="1"/>
    <col min="12035" max="12035" width="8.85546875" style="2139" customWidth="1"/>
    <col min="12036" max="12036" width="46.42578125" style="2139" customWidth="1"/>
    <col min="12037" max="12037" width="12.85546875" style="2139" customWidth="1"/>
    <col min="12038" max="12038" width="15.5703125" style="2139" customWidth="1"/>
    <col min="12039" max="12039" width="15.85546875" style="2139" customWidth="1"/>
    <col min="12040" max="12040" width="6.42578125" style="2139" customWidth="1"/>
    <col min="12041" max="12041" width="14.28515625" style="2139" bestFit="1" customWidth="1"/>
    <col min="12042" max="12042" width="9.140625" style="2139"/>
    <col min="12043" max="12043" width="12.7109375" style="2139" bestFit="1" customWidth="1"/>
    <col min="12044" max="12044" width="13.140625" style="2139" customWidth="1"/>
    <col min="12045" max="12288" width="9.140625" style="2139"/>
    <col min="12289" max="12289" width="4.7109375" style="2139" customWidth="1"/>
    <col min="12290" max="12290" width="6.7109375" style="2139" customWidth="1"/>
    <col min="12291" max="12291" width="8.85546875" style="2139" customWidth="1"/>
    <col min="12292" max="12292" width="46.42578125" style="2139" customWidth="1"/>
    <col min="12293" max="12293" width="12.85546875" style="2139" customWidth="1"/>
    <col min="12294" max="12294" width="15.5703125" style="2139" customWidth="1"/>
    <col min="12295" max="12295" width="15.85546875" style="2139" customWidth="1"/>
    <col min="12296" max="12296" width="6.42578125" style="2139" customWidth="1"/>
    <col min="12297" max="12297" width="14.28515625" style="2139" bestFit="1" customWidth="1"/>
    <col min="12298" max="12298" width="9.140625" style="2139"/>
    <col min="12299" max="12299" width="12.7109375" style="2139" bestFit="1" customWidth="1"/>
    <col min="12300" max="12300" width="13.140625" style="2139" customWidth="1"/>
    <col min="12301" max="12544" width="9.140625" style="2139"/>
    <col min="12545" max="12545" width="4.7109375" style="2139" customWidth="1"/>
    <col min="12546" max="12546" width="6.7109375" style="2139" customWidth="1"/>
    <col min="12547" max="12547" width="8.85546875" style="2139" customWidth="1"/>
    <col min="12548" max="12548" width="46.42578125" style="2139" customWidth="1"/>
    <col min="12549" max="12549" width="12.85546875" style="2139" customWidth="1"/>
    <col min="12550" max="12550" width="15.5703125" style="2139" customWidth="1"/>
    <col min="12551" max="12551" width="15.85546875" style="2139" customWidth="1"/>
    <col min="12552" max="12552" width="6.42578125" style="2139" customWidth="1"/>
    <col min="12553" max="12553" width="14.28515625" style="2139" bestFit="1" customWidth="1"/>
    <col min="12554" max="12554" width="9.140625" style="2139"/>
    <col min="12555" max="12555" width="12.7109375" style="2139" bestFit="1" customWidth="1"/>
    <col min="12556" max="12556" width="13.140625" style="2139" customWidth="1"/>
    <col min="12557" max="12800" width="9.140625" style="2139"/>
    <col min="12801" max="12801" width="4.7109375" style="2139" customWidth="1"/>
    <col min="12802" max="12802" width="6.7109375" style="2139" customWidth="1"/>
    <col min="12803" max="12803" width="8.85546875" style="2139" customWidth="1"/>
    <col min="12804" max="12804" width="46.42578125" style="2139" customWidth="1"/>
    <col min="12805" max="12805" width="12.85546875" style="2139" customWidth="1"/>
    <col min="12806" max="12806" width="15.5703125" style="2139" customWidth="1"/>
    <col min="12807" max="12807" width="15.85546875" style="2139" customWidth="1"/>
    <col min="12808" max="12808" width="6.42578125" style="2139" customWidth="1"/>
    <col min="12809" max="12809" width="14.28515625" style="2139" bestFit="1" customWidth="1"/>
    <col min="12810" max="12810" width="9.140625" style="2139"/>
    <col min="12811" max="12811" width="12.7109375" style="2139" bestFit="1" customWidth="1"/>
    <col min="12812" max="12812" width="13.140625" style="2139" customWidth="1"/>
    <col min="12813" max="13056" width="9.140625" style="2139"/>
    <col min="13057" max="13057" width="4.7109375" style="2139" customWidth="1"/>
    <col min="13058" max="13058" width="6.7109375" style="2139" customWidth="1"/>
    <col min="13059" max="13059" width="8.85546875" style="2139" customWidth="1"/>
    <col min="13060" max="13060" width="46.42578125" style="2139" customWidth="1"/>
    <col min="13061" max="13061" width="12.85546875" style="2139" customWidth="1"/>
    <col min="13062" max="13062" width="15.5703125" style="2139" customWidth="1"/>
    <col min="13063" max="13063" width="15.85546875" style="2139" customWidth="1"/>
    <col min="13064" max="13064" width="6.42578125" style="2139" customWidth="1"/>
    <col min="13065" max="13065" width="14.28515625" style="2139" bestFit="1" customWidth="1"/>
    <col min="13066" max="13066" width="9.140625" style="2139"/>
    <col min="13067" max="13067" width="12.7109375" style="2139" bestFit="1" customWidth="1"/>
    <col min="13068" max="13068" width="13.140625" style="2139" customWidth="1"/>
    <col min="13069" max="13312" width="9.140625" style="2139"/>
    <col min="13313" max="13313" width="4.7109375" style="2139" customWidth="1"/>
    <col min="13314" max="13314" width="6.7109375" style="2139" customWidth="1"/>
    <col min="13315" max="13315" width="8.85546875" style="2139" customWidth="1"/>
    <col min="13316" max="13316" width="46.42578125" style="2139" customWidth="1"/>
    <col min="13317" max="13317" width="12.85546875" style="2139" customWidth="1"/>
    <col min="13318" max="13318" width="15.5703125" style="2139" customWidth="1"/>
    <col min="13319" max="13319" width="15.85546875" style="2139" customWidth="1"/>
    <col min="13320" max="13320" width="6.42578125" style="2139" customWidth="1"/>
    <col min="13321" max="13321" width="14.28515625" style="2139" bestFit="1" customWidth="1"/>
    <col min="13322" max="13322" width="9.140625" style="2139"/>
    <col min="13323" max="13323" width="12.7109375" style="2139" bestFit="1" customWidth="1"/>
    <col min="13324" max="13324" width="13.140625" style="2139" customWidth="1"/>
    <col min="13325" max="13568" width="9.140625" style="2139"/>
    <col min="13569" max="13569" width="4.7109375" style="2139" customWidth="1"/>
    <col min="13570" max="13570" width="6.7109375" style="2139" customWidth="1"/>
    <col min="13571" max="13571" width="8.85546875" style="2139" customWidth="1"/>
    <col min="13572" max="13572" width="46.42578125" style="2139" customWidth="1"/>
    <col min="13573" max="13573" width="12.85546875" style="2139" customWidth="1"/>
    <col min="13574" max="13574" width="15.5703125" style="2139" customWidth="1"/>
    <col min="13575" max="13575" width="15.85546875" style="2139" customWidth="1"/>
    <col min="13576" max="13576" width="6.42578125" style="2139" customWidth="1"/>
    <col min="13577" max="13577" width="14.28515625" style="2139" bestFit="1" customWidth="1"/>
    <col min="13578" max="13578" width="9.140625" style="2139"/>
    <col min="13579" max="13579" width="12.7109375" style="2139" bestFit="1" customWidth="1"/>
    <col min="13580" max="13580" width="13.140625" style="2139" customWidth="1"/>
    <col min="13581" max="13824" width="9.140625" style="2139"/>
    <col min="13825" max="13825" width="4.7109375" style="2139" customWidth="1"/>
    <col min="13826" max="13826" width="6.7109375" style="2139" customWidth="1"/>
    <col min="13827" max="13827" width="8.85546875" style="2139" customWidth="1"/>
    <col min="13828" max="13828" width="46.42578125" style="2139" customWidth="1"/>
    <col min="13829" max="13829" width="12.85546875" style="2139" customWidth="1"/>
    <col min="13830" max="13830" width="15.5703125" style="2139" customWidth="1"/>
    <col min="13831" max="13831" width="15.85546875" style="2139" customWidth="1"/>
    <col min="13832" max="13832" width="6.42578125" style="2139" customWidth="1"/>
    <col min="13833" max="13833" width="14.28515625" style="2139" bestFit="1" customWidth="1"/>
    <col min="13834" max="13834" width="9.140625" style="2139"/>
    <col min="13835" max="13835" width="12.7109375" style="2139" bestFit="1" customWidth="1"/>
    <col min="13836" max="13836" width="13.140625" style="2139" customWidth="1"/>
    <col min="13837" max="14080" width="9.140625" style="2139"/>
    <col min="14081" max="14081" width="4.7109375" style="2139" customWidth="1"/>
    <col min="14082" max="14082" width="6.7109375" style="2139" customWidth="1"/>
    <col min="14083" max="14083" width="8.85546875" style="2139" customWidth="1"/>
    <col min="14084" max="14084" width="46.42578125" style="2139" customWidth="1"/>
    <col min="14085" max="14085" width="12.85546875" style="2139" customWidth="1"/>
    <col min="14086" max="14086" width="15.5703125" style="2139" customWidth="1"/>
    <col min="14087" max="14087" width="15.85546875" style="2139" customWidth="1"/>
    <col min="14088" max="14088" width="6.42578125" style="2139" customWidth="1"/>
    <col min="14089" max="14089" width="14.28515625" style="2139" bestFit="1" customWidth="1"/>
    <col min="14090" max="14090" width="9.140625" style="2139"/>
    <col min="14091" max="14091" width="12.7109375" style="2139" bestFit="1" customWidth="1"/>
    <col min="14092" max="14092" width="13.140625" style="2139" customWidth="1"/>
    <col min="14093" max="14336" width="9.140625" style="2139"/>
    <col min="14337" max="14337" width="4.7109375" style="2139" customWidth="1"/>
    <col min="14338" max="14338" width="6.7109375" style="2139" customWidth="1"/>
    <col min="14339" max="14339" width="8.85546875" style="2139" customWidth="1"/>
    <col min="14340" max="14340" width="46.42578125" style="2139" customWidth="1"/>
    <col min="14341" max="14341" width="12.85546875" style="2139" customWidth="1"/>
    <col min="14342" max="14342" width="15.5703125" style="2139" customWidth="1"/>
    <col min="14343" max="14343" width="15.85546875" style="2139" customWidth="1"/>
    <col min="14344" max="14344" width="6.42578125" style="2139" customWidth="1"/>
    <col min="14345" max="14345" width="14.28515625" style="2139" bestFit="1" customWidth="1"/>
    <col min="14346" max="14346" width="9.140625" style="2139"/>
    <col min="14347" max="14347" width="12.7109375" style="2139" bestFit="1" customWidth="1"/>
    <col min="14348" max="14348" width="13.140625" style="2139" customWidth="1"/>
    <col min="14349" max="14592" width="9.140625" style="2139"/>
    <col min="14593" max="14593" width="4.7109375" style="2139" customWidth="1"/>
    <col min="14594" max="14594" width="6.7109375" style="2139" customWidth="1"/>
    <col min="14595" max="14595" width="8.85546875" style="2139" customWidth="1"/>
    <col min="14596" max="14596" width="46.42578125" style="2139" customWidth="1"/>
    <col min="14597" max="14597" width="12.85546875" style="2139" customWidth="1"/>
    <col min="14598" max="14598" width="15.5703125" style="2139" customWidth="1"/>
    <col min="14599" max="14599" width="15.85546875" style="2139" customWidth="1"/>
    <col min="14600" max="14600" width="6.42578125" style="2139" customWidth="1"/>
    <col min="14601" max="14601" width="14.28515625" style="2139" bestFit="1" customWidth="1"/>
    <col min="14602" max="14602" width="9.140625" style="2139"/>
    <col min="14603" max="14603" width="12.7109375" style="2139" bestFit="1" customWidth="1"/>
    <col min="14604" max="14604" width="13.140625" style="2139" customWidth="1"/>
    <col min="14605" max="14848" width="9.140625" style="2139"/>
    <col min="14849" max="14849" width="4.7109375" style="2139" customWidth="1"/>
    <col min="14850" max="14850" width="6.7109375" style="2139" customWidth="1"/>
    <col min="14851" max="14851" width="8.85546875" style="2139" customWidth="1"/>
    <col min="14852" max="14852" width="46.42578125" style="2139" customWidth="1"/>
    <col min="14853" max="14853" width="12.85546875" style="2139" customWidth="1"/>
    <col min="14854" max="14854" width="15.5703125" style="2139" customWidth="1"/>
    <col min="14855" max="14855" width="15.85546875" style="2139" customWidth="1"/>
    <col min="14856" max="14856" width="6.42578125" style="2139" customWidth="1"/>
    <col min="14857" max="14857" width="14.28515625" style="2139" bestFit="1" customWidth="1"/>
    <col min="14858" max="14858" width="9.140625" style="2139"/>
    <col min="14859" max="14859" width="12.7109375" style="2139" bestFit="1" customWidth="1"/>
    <col min="14860" max="14860" width="13.140625" style="2139" customWidth="1"/>
    <col min="14861" max="15104" width="9.140625" style="2139"/>
    <col min="15105" max="15105" width="4.7109375" style="2139" customWidth="1"/>
    <col min="15106" max="15106" width="6.7109375" style="2139" customWidth="1"/>
    <col min="15107" max="15107" width="8.85546875" style="2139" customWidth="1"/>
    <col min="15108" max="15108" width="46.42578125" style="2139" customWidth="1"/>
    <col min="15109" max="15109" width="12.85546875" style="2139" customWidth="1"/>
    <col min="15110" max="15110" width="15.5703125" style="2139" customWidth="1"/>
    <col min="15111" max="15111" width="15.85546875" style="2139" customWidth="1"/>
    <col min="15112" max="15112" width="6.42578125" style="2139" customWidth="1"/>
    <col min="15113" max="15113" width="14.28515625" style="2139" bestFit="1" customWidth="1"/>
    <col min="15114" max="15114" width="9.140625" style="2139"/>
    <col min="15115" max="15115" width="12.7109375" style="2139" bestFit="1" customWidth="1"/>
    <col min="15116" max="15116" width="13.140625" style="2139" customWidth="1"/>
    <col min="15117" max="15360" width="9.140625" style="2139"/>
    <col min="15361" max="15361" width="4.7109375" style="2139" customWidth="1"/>
    <col min="15362" max="15362" width="6.7109375" style="2139" customWidth="1"/>
    <col min="15363" max="15363" width="8.85546875" style="2139" customWidth="1"/>
    <col min="15364" max="15364" width="46.42578125" style="2139" customWidth="1"/>
    <col min="15365" max="15365" width="12.85546875" style="2139" customWidth="1"/>
    <col min="15366" max="15366" width="15.5703125" style="2139" customWidth="1"/>
    <col min="15367" max="15367" width="15.85546875" style="2139" customWidth="1"/>
    <col min="15368" max="15368" width="6.42578125" style="2139" customWidth="1"/>
    <col min="15369" max="15369" width="14.28515625" style="2139" bestFit="1" customWidth="1"/>
    <col min="15370" max="15370" width="9.140625" style="2139"/>
    <col min="15371" max="15371" width="12.7109375" style="2139" bestFit="1" customWidth="1"/>
    <col min="15372" max="15372" width="13.140625" style="2139" customWidth="1"/>
    <col min="15373" max="15616" width="9.140625" style="2139"/>
    <col min="15617" max="15617" width="4.7109375" style="2139" customWidth="1"/>
    <col min="15618" max="15618" width="6.7109375" style="2139" customWidth="1"/>
    <col min="15619" max="15619" width="8.85546875" style="2139" customWidth="1"/>
    <col min="15620" max="15620" width="46.42578125" style="2139" customWidth="1"/>
    <col min="15621" max="15621" width="12.85546875" style="2139" customWidth="1"/>
    <col min="15622" max="15622" width="15.5703125" style="2139" customWidth="1"/>
    <col min="15623" max="15623" width="15.85546875" style="2139" customWidth="1"/>
    <col min="15624" max="15624" width="6.42578125" style="2139" customWidth="1"/>
    <col min="15625" max="15625" width="14.28515625" style="2139" bestFit="1" customWidth="1"/>
    <col min="15626" max="15626" width="9.140625" style="2139"/>
    <col min="15627" max="15627" width="12.7109375" style="2139" bestFit="1" customWidth="1"/>
    <col min="15628" max="15628" width="13.140625" style="2139" customWidth="1"/>
    <col min="15629" max="15872" width="9.140625" style="2139"/>
    <col min="15873" max="15873" width="4.7109375" style="2139" customWidth="1"/>
    <col min="15874" max="15874" width="6.7109375" style="2139" customWidth="1"/>
    <col min="15875" max="15875" width="8.85546875" style="2139" customWidth="1"/>
    <col min="15876" max="15876" width="46.42578125" style="2139" customWidth="1"/>
    <col min="15877" max="15877" width="12.85546875" style="2139" customWidth="1"/>
    <col min="15878" max="15878" width="15.5703125" style="2139" customWidth="1"/>
    <col min="15879" max="15879" width="15.85546875" style="2139" customWidth="1"/>
    <col min="15880" max="15880" width="6.42578125" style="2139" customWidth="1"/>
    <col min="15881" max="15881" width="14.28515625" style="2139" bestFit="1" customWidth="1"/>
    <col min="15882" max="15882" width="9.140625" style="2139"/>
    <col min="15883" max="15883" width="12.7109375" style="2139" bestFit="1" customWidth="1"/>
    <col min="15884" max="15884" width="13.140625" style="2139" customWidth="1"/>
    <col min="15885" max="16128" width="9.140625" style="2139"/>
    <col min="16129" max="16129" width="4.7109375" style="2139" customWidth="1"/>
    <col min="16130" max="16130" width="6.7109375" style="2139" customWidth="1"/>
    <col min="16131" max="16131" width="8.85546875" style="2139" customWidth="1"/>
    <col min="16132" max="16132" width="46.42578125" style="2139" customWidth="1"/>
    <col min="16133" max="16133" width="12.85546875" style="2139" customWidth="1"/>
    <col min="16134" max="16134" width="15.5703125" style="2139" customWidth="1"/>
    <col min="16135" max="16135" width="15.85546875" style="2139" customWidth="1"/>
    <col min="16136" max="16136" width="6.42578125" style="2139" customWidth="1"/>
    <col min="16137" max="16137" width="14.28515625" style="2139" bestFit="1" customWidth="1"/>
    <col min="16138" max="16138" width="9.140625" style="2139"/>
    <col min="16139" max="16139" width="12.7109375" style="2139" bestFit="1" customWidth="1"/>
    <col min="16140" max="16140" width="13.140625" style="2139" customWidth="1"/>
    <col min="16141" max="16384" width="9.140625" style="2139"/>
  </cols>
  <sheetData>
    <row r="1" spans="1:8" ht="19.5" customHeight="1" thickBot="1" x14ac:dyDescent="0.3">
      <c r="A1" s="2133" t="s">
        <v>1691</v>
      </c>
      <c r="B1" s="2134"/>
      <c r="C1" s="2135"/>
      <c r="D1" s="2136"/>
      <c r="E1" s="2137"/>
      <c r="F1" s="2136"/>
      <c r="G1" s="2138"/>
      <c r="H1" s="2133"/>
    </row>
    <row r="2" spans="1:8" ht="18" x14ac:dyDescent="0.25">
      <c r="A2" s="2140"/>
      <c r="B2" s="2141"/>
      <c r="C2" s="2141"/>
      <c r="D2" s="2141"/>
      <c r="E2" s="2141"/>
      <c r="F2" s="2141"/>
      <c r="G2" s="2141"/>
      <c r="H2" s="2142" t="s">
        <v>1692</v>
      </c>
    </row>
    <row r="3" spans="1:8" ht="18" x14ac:dyDescent="0.25">
      <c r="A3" s="2143" t="s">
        <v>387</v>
      </c>
      <c r="B3" s="2141"/>
      <c r="C3" s="2144" t="s">
        <v>363</v>
      </c>
      <c r="D3" s="2141"/>
      <c r="E3" s="2141"/>
      <c r="F3" s="2141"/>
      <c r="G3" s="2141"/>
      <c r="H3" s="2142"/>
    </row>
    <row r="4" spans="1:8" ht="18" x14ac:dyDescent="0.25">
      <c r="A4" s="2140"/>
      <c r="B4" s="2141"/>
      <c r="C4" s="2144" t="s">
        <v>364</v>
      </c>
      <c r="D4" s="2141"/>
      <c r="E4" s="2141"/>
      <c r="F4" s="2141"/>
      <c r="G4" s="2141"/>
      <c r="H4" s="2142"/>
    </row>
    <row r="5" spans="1:8" ht="18" x14ac:dyDescent="0.25">
      <c r="A5" s="2145" t="s">
        <v>1489</v>
      </c>
      <c r="B5" s="2141"/>
      <c r="C5" s="2141"/>
      <c r="D5" s="2141"/>
      <c r="E5" s="2141"/>
      <c r="F5" s="2141"/>
      <c r="G5" s="2141"/>
      <c r="H5" s="2142"/>
    </row>
    <row r="6" spans="1:8" ht="18" x14ac:dyDescent="0.25">
      <c r="A6" s="2145"/>
      <c r="B6" s="2141"/>
      <c r="C6" s="2141"/>
      <c r="D6" s="2141"/>
      <c r="E6" s="2141"/>
      <c r="F6" s="2141"/>
      <c r="G6" s="2141"/>
      <c r="H6" s="2142"/>
    </row>
    <row r="7" spans="1:8" ht="18" x14ac:dyDescent="0.25">
      <c r="A7" s="2145"/>
      <c r="B7" s="2141"/>
      <c r="C7" s="2141"/>
      <c r="D7" s="2141"/>
      <c r="E7" s="2141"/>
      <c r="F7" s="2141"/>
      <c r="G7" s="2141"/>
      <c r="H7" s="2142"/>
    </row>
    <row r="8" spans="1:8" ht="15" x14ac:dyDescent="0.25">
      <c r="A8" s="2220" t="s">
        <v>1693</v>
      </c>
      <c r="B8" s="2141"/>
      <c r="C8" s="2141"/>
      <c r="D8" s="2141"/>
    </row>
    <row r="9" spans="1:8" ht="15.75" thickBot="1" x14ac:dyDescent="0.3">
      <c r="A9" s="2221" t="s">
        <v>1694</v>
      </c>
      <c r="B9" s="2222"/>
      <c r="C9" s="2222"/>
      <c r="H9" s="2148" t="s">
        <v>173</v>
      </c>
    </row>
    <row r="10" spans="1:8" s="2223" customFormat="1" ht="25.5" thickTop="1" thickBot="1" x14ac:dyDescent="0.25">
      <c r="A10" s="2149" t="s">
        <v>174</v>
      </c>
      <c r="B10" s="2150" t="s">
        <v>800</v>
      </c>
      <c r="C10" s="2150" t="s">
        <v>397</v>
      </c>
      <c r="D10" s="2151" t="s">
        <v>176</v>
      </c>
      <c r="E10" s="2152" t="s">
        <v>669</v>
      </c>
      <c r="F10" s="2152" t="s">
        <v>670</v>
      </c>
      <c r="G10" s="2153" t="s">
        <v>923</v>
      </c>
      <c r="H10" s="2154" t="s">
        <v>924</v>
      </c>
    </row>
    <row r="11" spans="1:8" s="2223" customFormat="1" ht="13.5" thickTop="1" thickBot="1" x14ac:dyDescent="0.25">
      <c r="A11" s="2155">
        <v>1</v>
      </c>
      <c r="B11" s="2156">
        <v>2</v>
      </c>
      <c r="C11" s="2156">
        <v>3</v>
      </c>
      <c r="D11" s="2156">
        <v>4</v>
      </c>
      <c r="E11" s="2157">
        <v>5</v>
      </c>
      <c r="F11" s="2157">
        <v>6</v>
      </c>
      <c r="G11" s="2158">
        <v>7</v>
      </c>
      <c r="H11" s="2159" t="s">
        <v>61</v>
      </c>
    </row>
    <row r="12" spans="1:8" s="2225" customFormat="1" ht="15.75" hidden="1" thickTop="1" x14ac:dyDescent="0.2">
      <c r="A12" s="2165">
        <v>3636</v>
      </c>
      <c r="B12" s="2166">
        <v>5011</v>
      </c>
      <c r="C12" s="2224">
        <v>38100880</v>
      </c>
      <c r="D12" s="2167" t="s">
        <v>219</v>
      </c>
      <c r="E12" s="2168"/>
      <c r="F12" s="2168"/>
      <c r="G12" s="2168"/>
      <c r="H12" s="2169" t="e">
        <f>G12/F12*100</f>
        <v>#DIV/0!</v>
      </c>
    </row>
    <row r="13" spans="1:8" s="2225" customFormat="1" ht="15.75" thickTop="1" x14ac:dyDescent="0.2">
      <c r="A13" s="2165">
        <v>3636</v>
      </c>
      <c r="B13" s="2166">
        <v>5011</v>
      </c>
      <c r="C13" s="2224">
        <v>32133007</v>
      </c>
      <c r="D13" s="2167" t="s">
        <v>219</v>
      </c>
      <c r="E13" s="2168">
        <v>0</v>
      </c>
      <c r="F13" s="2168">
        <v>3</v>
      </c>
      <c r="G13" s="2168">
        <v>0</v>
      </c>
      <c r="H13" s="2169">
        <v>0</v>
      </c>
    </row>
    <row r="14" spans="1:8" s="2225" customFormat="1" ht="15" x14ac:dyDescent="0.2">
      <c r="A14" s="2165">
        <v>3636</v>
      </c>
      <c r="B14" s="2166">
        <v>5011</v>
      </c>
      <c r="C14" s="2224">
        <v>32533007</v>
      </c>
      <c r="D14" s="2167" t="s">
        <v>219</v>
      </c>
      <c r="E14" s="2168">
        <v>0</v>
      </c>
      <c r="F14" s="2168">
        <v>17</v>
      </c>
      <c r="G14" s="2168">
        <v>0</v>
      </c>
      <c r="H14" s="2169">
        <f>G14/F14*100</f>
        <v>0</v>
      </c>
    </row>
    <row r="15" spans="1:8" s="2225" customFormat="1" ht="15" x14ac:dyDescent="0.2">
      <c r="A15" s="2165">
        <v>3299</v>
      </c>
      <c r="B15" s="2166">
        <v>5169</v>
      </c>
      <c r="C15" s="2224">
        <v>32133007</v>
      </c>
      <c r="D15" s="2167" t="s">
        <v>892</v>
      </c>
      <c r="E15" s="2168">
        <v>0</v>
      </c>
      <c r="F15" s="2168">
        <v>7</v>
      </c>
      <c r="G15" s="2168">
        <v>4</v>
      </c>
      <c r="H15" s="2169">
        <f>G15/F15*100</f>
        <v>57.142857142857139</v>
      </c>
    </row>
    <row r="16" spans="1:8" s="2225" customFormat="1" ht="15" hidden="1" x14ac:dyDescent="0.2">
      <c r="A16" s="2165">
        <v>3299</v>
      </c>
      <c r="B16" s="2166">
        <v>5021</v>
      </c>
      <c r="C16" s="2224">
        <v>38100882</v>
      </c>
      <c r="D16" s="2167" t="s">
        <v>409</v>
      </c>
      <c r="E16" s="2168"/>
      <c r="F16" s="2168"/>
      <c r="G16" s="2168"/>
      <c r="H16" s="2169">
        <v>0</v>
      </c>
    </row>
    <row r="17" spans="1:8" s="2225" customFormat="1" ht="15" x14ac:dyDescent="0.2">
      <c r="A17" s="2165">
        <v>3299</v>
      </c>
      <c r="B17" s="2166">
        <v>5169</v>
      </c>
      <c r="C17" s="2224">
        <v>32533007</v>
      </c>
      <c r="D17" s="2167" t="s">
        <v>892</v>
      </c>
      <c r="E17" s="2168">
        <v>0</v>
      </c>
      <c r="F17" s="2168">
        <v>40</v>
      </c>
      <c r="G17" s="2168">
        <v>21</v>
      </c>
      <c r="H17" s="2169">
        <f>G17/F17*100</f>
        <v>52.5</v>
      </c>
    </row>
    <row r="18" spans="1:8" s="2225" customFormat="1" ht="30" hidden="1" x14ac:dyDescent="0.2">
      <c r="A18" s="2165">
        <v>3636</v>
      </c>
      <c r="B18" s="2166">
        <v>5031</v>
      </c>
      <c r="C18" s="2224">
        <v>38100880</v>
      </c>
      <c r="D18" s="2167" t="s">
        <v>1362</v>
      </c>
      <c r="E18" s="2168"/>
      <c r="F18" s="2168"/>
      <c r="G18" s="2168"/>
      <c r="H18" s="2169" t="e">
        <f>G18/F18*100</f>
        <v>#DIV/0!</v>
      </c>
    </row>
    <row r="19" spans="1:8" s="2225" customFormat="1" ht="30" hidden="1" x14ac:dyDescent="0.2">
      <c r="A19" s="2165">
        <v>3636</v>
      </c>
      <c r="B19" s="2166">
        <v>5031</v>
      </c>
      <c r="C19" s="2224">
        <v>38100882</v>
      </c>
      <c r="D19" s="2167" t="s">
        <v>1362</v>
      </c>
      <c r="E19" s="2168"/>
      <c r="F19" s="2168"/>
      <c r="G19" s="2168"/>
      <c r="H19" s="2169">
        <v>0</v>
      </c>
    </row>
    <row r="20" spans="1:8" s="2225" customFormat="1" ht="30" hidden="1" x14ac:dyDescent="0.2">
      <c r="A20" s="2165">
        <v>3636</v>
      </c>
      <c r="B20" s="2166">
        <v>5031</v>
      </c>
      <c r="C20" s="2224">
        <v>38500881</v>
      </c>
      <c r="D20" s="2167" t="s">
        <v>1362</v>
      </c>
      <c r="E20" s="2168"/>
      <c r="F20" s="2168"/>
      <c r="G20" s="2168"/>
      <c r="H20" s="2169" t="e">
        <f>G20/F20*100</f>
        <v>#DIV/0!</v>
      </c>
    </row>
    <row r="21" spans="1:8" s="2225" customFormat="1" ht="30" hidden="1" x14ac:dyDescent="0.2">
      <c r="A21" s="2165">
        <v>3636</v>
      </c>
      <c r="B21" s="2166">
        <v>5032</v>
      </c>
      <c r="C21" s="2224">
        <v>38100880</v>
      </c>
      <c r="D21" s="2167" t="s">
        <v>1236</v>
      </c>
      <c r="E21" s="2168"/>
      <c r="F21" s="2168"/>
      <c r="G21" s="2168"/>
      <c r="H21" s="2169" t="e">
        <f>G21/F21*100</f>
        <v>#DIV/0!</v>
      </c>
    </row>
    <row r="22" spans="1:8" s="2225" customFormat="1" ht="30" hidden="1" x14ac:dyDescent="0.2">
      <c r="A22" s="2165">
        <v>3636</v>
      </c>
      <c r="B22" s="2166">
        <v>5032</v>
      </c>
      <c r="C22" s="2224">
        <v>38100882</v>
      </c>
      <c r="D22" s="2167" t="s">
        <v>1236</v>
      </c>
      <c r="E22" s="2168"/>
      <c r="F22" s="2168"/>
      <c r="G22" s="2168"/>
      <c r="H22" s="2169">
        <v>0</v>
      </c>
    </row>
    <row r="23" spans="1:8" s="2225" customFormat="1" ht="30" hidden="1" x14ac:dyDescent="0.2">
      <c r="A23" s="2165">
        <v>3636</v>
      </c>
      <c r="B23" s="2166">
        <v>5032</v>
      </c>
      <c r="C23" s="2224">
        <v>38500881</v>
      </c>
      <c r="D23" s="2167" t="s">
        <v>1236</v>
      </c>
      <c r="E23" s="2168"/>
      <c r="F23" s="2168"/>
      <c r="G23" s="2168"/>
      <c r="H23" s="2169" t="e">
        <f>G23/F23*100</f>
        <v>#DIV/0!</v>
      </c>
    </row>
    <row r="24" spans="1:8" s="2225" customFormat="1" ht="15" hidden="1" x14ac:dyDescent="0.2">
      <c r="A24" s="2165">
        <v>3636</v>
      </c>
      <c r="B24" s="2166">
        <v>5136</v>
      </c>
      <c r="C24" s="2224">
        <v>38100880</v>
      </c>
      <c r="D24" s="2167" t="s">
        <v>645</v>
      </c>
      <c r="E24" s="2168"/>
      <c r="F24" s="2168"/>
      <c r="G24" s="2168"/>
      <c r="H24" s="2169" t="e">
        <f>G24/F24*100</f>
        <v>#DIV/0!</v>
      </c>
    </row>
    <row r="25" spans="1:8" s="2225" customFormat="1" ht="15" hidden="1" x14ac:dyDescent="0.2">
      <c r="A25" s="2165">
        <v>3636</v>
      </c>
      <c r="B25" s="2166">
        <v>5136</v>
      </c>
      <c r="C25" s="2224">
        <v>38500881</v>
      </c>
      <c r="D25" s="2167" t="s">
        <v>645</v>
      </c>
      <c r="E25" s="2168"/>
      <c r="F25" s="2168"/>
      <c r="G25" s="2168"/>
      <c r="H25" s="2169" t="e">
        <f>G25/F25*100</f>
        <v>#DIV/0!</v>
      </c>
    </row>
    <row r="26" spans="1:8" s="2225" customFormat="1" ht="15" hidden="1" x14ac:dyDescent="0.2">
      <c r="A26" s="2165">
        <v>3636</v>
      </c>
      <c r="B26" s="2166">
        <v>5139</v>
      </c>
      <c r="C26" s="2224">
        <v>38100880</v>
      </c>
      <c r="D26" s="2167" t="s">
        <v>284</v>
      </c>
      <c r="E26" s="2168"/>
      <c r="F26" s="2168"/>
      <c r="G26" s="2168"/>
      <c r="H26" s="2169" t="e">
        <f>G26/F26*100</f>
        <v>#DIV/0!</v>
      </c>
    </row>
    <row r="27" spans="1:8" s="2225" customFormat="1" ht="15" hidden="1" x14ac:dyDescent="0.2">
      <c r="A27" s="2165">
        <v>3636</v>
      </c>
      <c r="B27" s="2166">
        <v>5139</v>
      </c>
      <c r="C27" s="2224">
        <v>38100882</v>
      </c>
      <c r="D27" s="2167" t="s">
        <v>284</v>
      </c>
      <c r="E27" s="2168"/>
      <c r="F27" s="2168"/>
      <c r="G27" s="2168"/>
      <c r="H27" s="2169">
        <v>0</v>
      </c>
    </row>
    <row r="28" spans="1:8" s="2225" customFormat="1" ht="15" hidden="1" x14ac:dyDescent="0.2">
      <c r="A28" s="2165">
        <v>3636</v>
      </c>
      <c r="B28" s="2166">
        <v>5139</v>
      </c>
      <c r="C28" s="2224">
        <v>38500881</v>
      </c>
      <c r="D28" s="2167" t="s">
        <v>284</v>
      </c>
      <c r="E28" s="2168"/>
      <c r="F28" s="2168"/>
      <c r="G28" s="2168"/>
      <c r="H28" s="2169" t="e">
        <f>G28/F28*100</f>
        <v>#DIV/0!</v>
      </c>
    </row>
    <row r="29" spans="1:8" s="2225" customFormat="1" ht="15" hidden="1" x14ac:dyDescent="0.2">
      <c r="A29" s="2165">
        <v>3636</v>
      </c>
      <c r="B29" s="2166">
        <v>5162</v>
      </c>
      <c r="C29" s="2224">
        <v>38100880</v>
      </c>
      <c r="D29" s="2167" t="s">
        <v>904</v>
      </c>
      <c r="E29" s="2168"/>
      <c r="F29" s="2168"/>
      <c r="G29" s="2168"/>
      <c r="H29" s="2169" t="e">
        <f>G29/F29*100</f>
        <v>#DIV/0!</v>
      </c>
    </row>
    <row r="30" spans="1:8" s="2225" customFormat="1" ht="15" hidden="1" x14ac:dyDescent="0.2">
      <c r="A30" s="2165">
        <v>3636</v>
      </c>
      <c r="B30" s="2166">
        <v>5162</v>
      </c>
      <c r="C30" s="2224">
        <v>38100882</v>
      </c>
      <c r="D30" s="2167" t="s">
        <v>904</v>
      </c>
      <c r="E30" s="2168"/>
      <c r="F30" s="2168"/>
      <c r="G30" s="2168"/>
      <c r="H30" s="2169">
        <v>0</v>
      </c>
    </row>
    <row r="31" spans="1:8" s="2227" customFormat="1" ht="15" hidden="1" x14ac:dyDescent="0.2">
      <c r="A31" s="2165">
        <v>3636</v>
      </c>
      <c r="B31" s="2226">
        <v>5162</v>
      </c>
      <c r="C31" s="2224">
        <v>38500881</v>
      </c>
      <c r="D31" s="2167" t="s">
        <v>904</v>
      </c>
      <c r="E31" s="2168"/>
      <c r="F31" s="2168"/>
      <c r="G31" s="2168"/>
      <c r="H31" s="2169" t="e">
        <f>G31/F31*100</f>
        <v>#DIV/0!</v>
      </c>
    </row>
    <row r="32" spans="1:8" s="2227" customFormat="1" ht="15" hidden="1" x14ac:dyDescent="0.2">
      <c r="A32" s="2165">
        <v>3636</v>
      </c>
      <c r="B32" s="2226">
        <v>5163</v>
      </c>
      <c r="C32" s="2224">
        <v>38100880</v>
      </c>
      <c r="D32" s="2167" t="s">
        <v>934</v>
      </c>
      <c r="E32" s="2168">
        <v>0</v>
      </c>
      <c r="F32" s="2168">
        <v>0</v>
      </c>
      <c r="G32" s="2168">
        <v>0</v>
      </c>
      <c r="H32" s="2169">
        <v>0</v>
      </c>
    </row>
    <row r="33" spans="1:8" ht="17.25" hidden="1" customHeight="1" x14ac:dyDescent="0.2">
      <c r="A33" s="2165">
        <v>3636</v>
      </c>
      <c r="B33" s="2226">
        <v>5163</v>
      </c>
      <c r="C33" s="2224">
        <v>38100882</v>
      </c>
      <c r="D33" s="2167" t="s">
        <v>934</v>
      </c>
      <c r="E33" s="2168"/>
      <c r="F33" s="2168"/>
      <c r="G33" s="2168"/>
      <c r="H33" s="2169">
        <v>0</v>
      </c>
    </row>
    <row r="34" spans="1:8" ht="17.25" hidden="1" customHeight="1" x14ac:dyDescent="0.2">
      <c r="A34" s="2165">
        <v>3636</v>
      </c>
      <c r="B34" s="2226">
        <v>5163</v>
      </c>
      <c r="C34" s="2224">
        <v>38500881</v>
      </c>
      <c r="D34" s="2167" t="s">
        <v>934</v>
      </c>
      <c r="E34" s="2168">
        <v>0</v>
      </c>
      <c r="F34" s="2168">
        <v>0</v>
      </c>
      <c r="G34" s="2168">
        <v>0</v>
      </c>
      <c r="H34" s="2169" t="e">
        <f>G34/F34*100</f>
        <v>#DIV/0!</v>
      </c>
    </row>
    <row r="35" spans="1:8" ht="17.25" hidden="1" customHeight="1" x14ac:dyDescent="0.2">
      <c r="A35" s="2165">
        <v>3636</v>
      </c>
      <c r="B35" s="2226">
        <v>5164</v>
      </c>
      <c r="C35" s="2224">
        <v>38100880</v>
      </c>
      <c r="D35" s="2167" t="s">
        <v>182</v>
      </c>
      <c r="E35" s="2168">
        <v>0</v>
      </c>
      <c r="F35" s="2168">
        <v>0</v>
      </c>
      <c r="G35" s="2168">
        <v>0</v>
      </c>
      <c r="H35" s="2169" t="e">
        <f>G35/F35*100</f>
        <v>#DIV/0!</v>
      </c>
    </row>
    <row r="36" spans="1:8" ht="17.25" hidden="1" customHeight="1" x14ac:dyDescent="0.2">
      <c r="A36" s="2165">
        <v>3636</v>
      </c>
      <c r="B36" s="2226">
        <v>5164</v>
      </c>
      <c r="C36" s="2224">
        <v>38100882</v>
      </c>
      <c r="D36" s="2167" t="s">
        <v>182</v>
      </c>
      <c r="E36" s="2168"/>
      <c r="F36" s="2168"/>
      <c r="G36" s="2168"/>
      <c r="H36" s="2169">
        <v>0</v>
      </c>
    </row>
    <row r="37" spans="1:8" ht="17.25" hidden="1" customHeight="1" x14ac:dyDescent="0.2">
      <c r="A37" s="2165">
        <v>3636</v>
      </c>
      <c r="B37" s="2226">
        <v>5164</v>
      </c>
      <c r="C37" s="2224">
        <v>38500881</v>
      </c>
      <c r="D37" s="2167" t="s">
        <v>182</v>
      </c>
      <c r="E37" s="2168">
        <v>0</v>
      </c>
      <c r="F37" s="2168">
        <v>0</v>
      </c>
      <c r="G37" s="2168">
        <v>0</v>
      </c>
      <c r="H37" s="2169" t="e">
        <f>G37/F37*100</f>
        <v>#DIV/0!</v>
      </c>
    </row>
    <row r="38" spans="1:8" ht="17.25" hidden="1" customHeight="1" x14ac:dyDescent="0.2">
      <c r="A38" s="2165">
        <v>3636</v>
      </c>
      <c r="B38" s="2226">
        <v>5166</v>
      </c>
      <c r="C38" s="2224">
        <v>38100880</v>
      </c>
      <c r="D38" s="2167" t="s">
        <v>646</v>
      </c>
      <c r="E38" s="2168">
        <v>0</v>
      </c>
      <c r="F38" s="2168">
        <v>0</v>
      </c>
      <c r="G38" s="2168">
        <v>0</v>
      </c>
      <c r="H38" s="2169" t="e">
        <f>G38/F38*100</f>
        <v>#DIV/0!</v>
      </c>
    </row>
    <row r="39" spans="1:8" ht="17.25" hidden="1" customHeight="1" x14ac:dyDescent="0.2">
      <c r="A39" s="2165">
        <v>3636</v>
      </c>
      <c r="B39" s="2226">
        <v>5166</v>
      </c>
      <c r="C39" s="2224">
        <v>38100882</v>
      </c>
      <c r="D39" s="2167" t="s">
        <v>646</v>
      </c>
      <c r="E39" s="2168"/>
      <c r="F39" s="2168"/>
      <c r="G39" s="2168"/>
      <c r="H39" s="2169">
        <v>0</v>
      </c>
    </row>
    <row r="40" spans="1:8" ht="17.25" hidden="1" customHeight="1" x14ac:dyDescent="0.2">
      <c r="A40" s="2165">
        <v>3636</v>
      </c>
      <c r="B40" s="2226">
        <v>5166</v>
      </c>
      <c r="C40" s="2224">
        <v>38500881</v>
      </c>
      <c r="D40" s="2167" t="s">
        <v>646</v>
      </c>
      <c r="E40" s="2168">
        <v>0</v>
      </c>
      <c r="F40" s="2168">
        <v>0</v>
      </c>
      <c r="G40" s="2168">
        <v>0</v>
      </c>
      <c r="H40" s="2169" t="e">
        <f>G40/F40*100</f>
        <v>#DIV/0!</v>
      </c>
    </row>
    <row r="41" spans="1:8" ht="17.25" hidden="1" customHeight="1" x14ac:dyDescent="0.2">
      <c r="A41" s="2165">
        <v>3636</v>
      </c>
      <c r="B41" s="2226">
        <v>5167</v>
      </c>
      <c r="C41" s="2224">
        <v>38100880</v>
      </c>
      <c r="D41" s="2167" t="s">
        <v>315</v>
      </c>
      <c r="E41" s="2168"/>
      <c r="F41" s="2168"/>
      <c r="G41" s="2168"/>
      <c r="H41" s="2169" t="e">
        <f>G41/F41*100</f>
        <v>#DIV/0!</v>
      </c>
    </row>
    <row r="42" spans="1:8" ht="17.25" hidden="1" customHeight="1" x14ac:dyDescent="0.2">
      <c r="A42" s="2165">
        <v>3636</v>
      </c>
      <c r="B42" s="2226">
        <v>5167</v>
      </c>
      <c r="C42" s="2224">
        <v>38100882</v>
      </c>
      <c r="D42" s="2167" t="s">
        <v>315</v>
      </c>
      <c r="E42" s="2168"/>
      <c r="F42" s="2168"/>
      <c r="G42" s="2168"/>
      <c r="H42" s="2169">
        <v>0</v>
      </c>
    </row>
    <row r="43" spans="1:8" ht="17.25" hidden="1" customHeight="1" x14ac:dyDescent="0.2">
      <c r="A43" s="2165">
        <v>3636</v>
      </c>
      <c r="B43" s="2226">
        <v>5167</v>
      </c>
      <c r="C43" s="2224">
        <v>38500881</v>
      </c>
      <c r="D43" s="2167" t="s">
        <v>315</v>
      </c>
      <c r="E43" s="2168"/>
      <c r="F43" s="2168"/>
      <c r="G43" s="2168"/>
      <c r="H43" s="2169" t="e">
        <f>G43/F43*100</f>
        <v>#DIV/0!</v>
      </c>
    </row>
    <row r="44" spans="1:8" ht="17.25" hidden="1" customHeight="1" x14ac:dyDescent="0.2">
      <c r="A44" s="2165">
        <v>3636</v>
      </c>
      <c r="B44" s="2226">
        <v>5169</v>
      </c>
      <c r="C44" s="2224">
        <v>38100880</v>
      </c>
      <c r="D44" s="2167" t="s">
        <v>892</v>
      </c>
      <c r="E44" s="2168">
        <v>0</v>
      </c>
      <c r="F44" s="2168">
        <v>0</v>
      </c>
      <c r="G44" s="2168">
        <v>0</v>
      </c>
      <c r="H44" s="2169" t="e">
        <f>G44/F44*100</f>
        <v>#DIV/0!</v>
      </c>
    </row>
    <row r="45" spans="1:8" ht="17.25" hidden="1" customHeight="1" x14ac:dyDescent="0.2">
      <c r="A45" s="2165">
        <v>3636</v>
      </c>
      <c r="B45" s="2226">
        <v>5169</v>
      </c>
      <c r="C45" s="2224">
        <v>38100882</v>
      </c>
      <c r="D45" s="2167" t="s">
        <v>892</v>
      </c>
      <c r="E45" s="2168"/>
      <c r="F45" s="2168"/>
      <c r="G45" s="2168"/>
      <c r="H45" s="2169">
        <v>0</v>
      </c>
    </row>
    <row r="46" spans="1:8" ht="17.25" hidden="1" customHeight="1" x14ac:dyDescent="0.2">
      <c r="A46" s="2165">
        <v>3636</v>
      </c>
      <c r="B46" s="2226">
        <v>5169</v>
      </c>
      <c r="C46" s="2224">
        <v>38500881</v>
      </c>
      <c r="D46" s="2167" t="s">
        <v>892</v>
      </c>
      <c r="E46" s="2168">
        <v>0</v>
      </c>
      <c r="F46" s="2168">
        <v>0</v>
      </c>
      <c r="G46" s="2168">
        <v>0</v>
      </c>
      <c r="H46" s="2169" t="e">
        <f>G46/F46*100</f>
        <v>#DIV/0!</v>
      </c>
    </row>
    <row r="47" spans="1:8" ht="17.25" hidden="1" customHeight="1" x14ac:dyDescent="0.2">
      <c r="A47" s="2165">
        <v>3636</v>
      </c>
      <c r="B47" s="2226">
        <v>5173</v>
      </c>
      <c r="C47" s="2224">
        <v>38100880</v>
      </c>
      <c r="D47" s="2167" t="s">
        <v>1211</v>
      </c>
      <c r="E47" s="2168">
        <v>0</v>
      </c>
      <c r="F47" s="2168">
        <v>0</v>
      </c>
      <c r="G47" s="2168">
        <v>0</v>
      </c>
      <c r="H47" s="2169" t="e">
        <f>G47/F47*100</f>
        <v>#DIV/0!</v>
      </c>
    </row>
    <row r="48" spans="1:8" ht="17.25" hidden="1" customHeight="1" x14ac:dyDescent="0.2">
      <c r="A48" s="2165">
        <v>3636</v>
      </c>
      <c r="B48" s="2226">
        <v>5173</v>
      </c>
      <c r="C48" s="2224">
        <v>38100882</v>
      </c>
      <c r="D48" s="2167" t="s">
        <v>1211</v>
      </c>
      <c r="E48" s="2168"/>
      <c r="F48" s="2168"/>
      <c r="G48" s="2168"/>
      <c r="H48" s="2169">
        <v>0</v>
      </c>
    </row>
    <row r="49" spans="1:12" ht="17.25" hidden="1" customHeight="1" x14ac:dyDescent="0.2">
      <c r="A49" s="2165">
        <v>3636</v>
      </c>
      <c r="B49" s="2226">
        <v>5173</v>
      </c>
      <c r="C49" s="2224">
        <v>38500881</v>
      </c>
      <c r="D49" s="2167" t="s">
        <v>1211</v>
      </c>
      <c r="E49" s="2168">
        <v>0</v>
      </c>
      <c r="F49" s="2168">
        <v>0</v>
      </c>
      <c r="G49" s="2168">
        <v>0</v>
      </c>
      <c r="H49" s="2169" t="e">
        <f>G49/F49*100</f>
        <v>#DIV/0!</v>
      </c>
    </row>
    <row r="50" spans="1:12" ht="17.25" hidden="1" customHeight="1" x14ac:dyDescent="0.2">
      <c r="A50" s="2165">
        <v>3636</v>
      </c>
      <c r="B50" s="2226">
        <v>5175</v>
      </c>
      <c r="C50" s="2224">
        <v>38100880</v>
      </c>
      <c r="D50" s="2167" t="s">
        <v>707</v>
      </c>
      <c r="E50" s="2168">
        <v>0</v>
      </c>
      <c r="F50" s="2168">
        <v>0</v>
      </c>
      <c r="G50" s="2168">
        <v>0</v>
      </c>
      <c r="H50" s="2169" t="e">
        <f>G50/F50*100</f>
        <v>#DIV/0!</v>
      </c>
    </row>
    <row r="51" spans="1:12" ht="15" x14ac:dyDescent="0.2">
      <c r="A51" s="2165">
        <v>3636</v>
      </c>
      <c r="B51" s="2226">
        <v>5175</v>
      </c>
      <c r="C51" s="2224">
        <v>32133007</v>
      </c>
      <c r="D51" s="2167" t="s">
        <v>707</v>
      </c>
      <c r="E51" s="2168"/>
      <c r="F51" s="2168">
        <v>5</v>
      </c>
      <c r="G51" s="2168">
        <v>0</v>
      </c>
      <c r="H51" s="2169">
        <v>0</v>
      </c>
    </row>
    <row r="52" spans="1:12" ht="15.75" thickBot="1" x14ac:dyDescent="0.25">
      <c r="A52" s="2165">
        <v>3636</v>
      </c>
      <c r="B52" s="2226">
        <v>5175</v>
      </c>
      <c r="C52" s="2224">
        <v>32533007</v>
      </c>
      <c r="D52" s="2167" t="s">
        <v>707</v>
      </c>
      <c r="E52" s="2168">
        <v>0</v>
      </c>
      <c r="F52" s="2168">
        <v>28</v>
      </c>
      <c r="G52" s="2168">
        <v>0</v>
      </c>
      <c r="H52" s="2169">
        <f>G52/F52*100</f>
        <v>0</v>
      </c>
    </row>
    <row r="53" spans="1:12" ht="15.75" hidden="1" thickBot="1" x14ac:dyDescent="0.25">
      <c r="A53" s="2165">
        <v>3636</v>
      </c>
      <c r="B53" s="2166">
        <v>5176</v>
      </c>
      <c r="C53" s="2224">
        <v>38100880</v>
      </c>
      <c r="D53" s="2167" t="s">
        <v>1309</v>
      </c>
      <c r="E53" s="2168"/>
      <c r="F53" s="2168"/>
      <c r="G53" s="2168"/>
      <c r="H53" s="2169" t="e">
        <f>G53/F53*100</f>
        <v>#DIV/0!</v>
      </c>
    </row>
    <row r="54" spans="1:12" ht="15.75" hidden="1" thickBot="1" x14ac:dyDescent="0.25">
      <c r="A54" s="2165">
        <v>3636</v>
      </c>
      <c r="B54" s="2166">
        <v>5176</v>
      </c>
      <c r="C54" s="2224">
        <v>38100881</v>
      </c>
      <c r="D54" s="2167" t="s">
        <v>1309</v>
      </c>
      <c r="E54" s="2168"/>
      <c r="F54" s="2168"/>
      <c r="G54" s="2168"/>
      <c r="H54" s="2169" t="e">
        <f>G54/F54*100</f>
        <v>#DIV/0!</v>
      </c>
    </row>
    <row r="55" spans="1:12" ht="15.75" hidden="1" thickBot="1" x14ac:dyDescent="0.25">
      <c r="A55" s="2165">
        <v>3636</v>
      </c>
      <c r="B55" s="2166">
        <v>6111</v>
      </c>
      <c r="C55" s="2224">
        <v>38100880</v>
      </c>
      <c r="D55" s="2167" t="s">
        <v>939</v>
      </c>
      <c r="E55" s="2168"/>
      <c r="F55" s="2168"/>
      <c r="G55" s="2168"/>
      <c r="H55" s="2169" t="e">
        <f>G55/F55*100</f>
        <v>#DIV/0!</v>
      </c>
    </row>
    <row r="56" spans="1:12" ht="15.75" hidden="1" thickBot="1" x14ac:dyDescent="0.25">
      <c r="A56" s="2165">
        <v>3636</v>
      </c>
      <c r="B56" s="2166">
        <v>6111</v>
      </c>
      <c r="C56" s="2224">
        <v>38100882</v>
      </c>
      <c r="D56" s="2167" t="s">
        <v>939</v>
      </c>
      <c r="E56" s="2168"/>
      <c r="F56" s="2168"/>
      <c r="G56" s="2168"/>
      <c r="H56" s="2169">
        <v>0</v>
      </c>
    </row>
    <row r="57" spans="1:12" s="2227" customFormat="1" ht="15.75" hidden="1" thickBot="1" x14ac:dyDescent="0.25">
      <c r="A57" s="2165">
        <v>3636</v>
      </c>
      <c r="B57" s="2166">
        <v>6111</v>
      </c>
      <c r="C57" s="2224">
        <v>38500881</v>
      </c>
      <c r="D57" s="2167" t="s">
        <v>939</v>
      </c>
      <c r="E57" s="2168"/>
      <c r="F57" s="2168"/>
      <c r="G57" s="2168"/>
      <c r="H57" s="2169" t="e">
        <f>G57/F57*100</f>
        <v>#DIV/0!</v>
      </c>
    </row>
    <row r="58" spans="1:12" s="2227" customFormat="1" ht="15.75" hidden="1" thickBot="1" x14ac:dyDescent="0.25">
      <c r="A58" s="2165">
        <v>6409</v>
      </c>
      <c r="B58" s="2166">
        <v>5909</v>
      </c>
      <c r="C58" s="2224">
        <v>0</v>
      </c>
      <c r="D58" s="2167"/>
      <c r="E58" s="2168"/>
      <c r="F58" s="2168"/>
      <c r="G58" s="2168"/>
      <c r="H58" s="2169"/>
    </row>
    <row r="59" spans="1:12" s="2227" customFormat="1" ht="15.75" hidden="1" thickBot="1" x14ac:dyDescent="0.25">
      <c r="A59" s="2165">
        <v>6330</v>
      </c>
      <c r="B59" s="2166">
        <v>5345</v>
      </c>
      <c r="C59" s="2224">
        <v>0</v>
      </c>
      <c r="D59" s="2167" t="s">
        <v>806</v>
      </c>
      <c r="E59" s="2168"/>
      <c r="F59" s="2168"/>
      <c r="G59" s="2168"/>
      <c r="H59" s="2171">
        <v>0</v>
      </c>
    </row>
    <row r="60" spans="1:12" s="2229" customFormat="1" ht="16.5" thickTop="1" thickBot="1" x14ac:dyDescent="0.3">
      <c r="A60" s="2766" t="s">
        <v>802</v>
      </c>
      <c r="B60" s="2767"/>
      <c r="C60" s="2767"/>
      <c r="D60" s="2767"/>
      <c r="E60" s="2172">
        <f>SUM(E12:E59)</f>
        <v>0</v>
      </c>
      <c r="F60" s="2172">
        <f>SUM(F12:F59)</f>
        <v>100</v>
      </c>
      <c r="G60" s="2172">
        <f>SUM(G12:G59)</f>
        <v>25</v>
      </c>
      <c r="H60" s="2173">
        <f>G60/F60*100</f>
        <v>25</v>
      </c>
      <c r="I60" s="2228"/>
    </row>
    <row r="61" spans="1:12" ht="13.5" thickTop="1" x14ac:dyDescent="0.2">
      <c r="I61" s="2147"/>
    </row>
    <row r="62" spans="1:12" x14ac:dyDescent="0.2">
      <c r="I62" s="2147"/>
    </row>
    <row r="64" spans="1:12" ht="16.5" x14ac:dyDescent="0.25">
      <c r="A64" s="2193" t="s">
        <v>487</v>
      </c>
      <c r="B64" s="2194"/>
      <c r="C64" s="2195"/>
      <c r="D64" s="2196"/>
      <c r="E64" s="2197">
        <f>SUM(E65:E67)</f>
        <v>0</v>
      </c>
      <c r="F64" s="2197">
        <f>F65+F66+F67+F68</f>
        <v>100</v>
      </c>
      <c r="G64" s="2197">
        <f>G65+G66+G67+G68</f>
        <v>25</v>
      </c>
      <c r="H64" s="2198">
        <f>G64/F64*100</f>
        <v>25</v>
      </c>
      <c r="J64" s="2199">
        <f>J65+J66+J67</f>
        <v>0</v>
      </c>
      <c r="K64" s="2199">
        <f>K65+K66+K67</f>
        <v>100028.15</v>
      </c>
      <c r="L64" s="2199">
        <f>L65+L66+L67</f>
        <v>25168</v>
      </c>
    </row>
    <row r="65" spans="1:12" ht="15" x14ac:dyDescent="0.2">
      <c r="A65" s="2200" t="s">
        <v>277</v>
      </c>
      <c r="B65" s="2201"/>
      <c r="C65" s="2202"/>
      <c r="D65" s="2203"/>
      <c r="E65" s="2204">
        <f>E12+E13+E14+E15+E16+E17+E18+E19+E20+E21+E22+E23+E24+E25+E26+E27+E28+E29+E30+E31+E32+E33+E34+E35+E36+E37+E38+E39+E40+E41+E42+E43+E44+E45+E46+E47+E48+E49+E50+E51+E52+E53+E54</f>
        <v>0</v>
      </c>
      <c r="F65" s="2204">
        <f>F12+F13+F14+F15+F16+F17+F18+F19+F20+F21+F22+F23+F24+F25+F26+F27+F28+F29+F30+F31+F32+F33+F34+F35+F36+F37+F38+F39+F40+F41+F42+F43+F44+F45+F46+F47+F48+F49+F50+F51+F52+F53+F54</f>
        <v>100</v>
      </c>
      <c r="G65" s="2204">
        <f>G12+G13+G14+G15+G16+G17+G18+G19+G20+G21+G22+G23+G24+G25+G26+G27+G28+G29+G30+G31+G32+G33+G34+G35+G36+G37+G38+G39+G40+G41+G42+G43+G44+G45+G46+G47+G48+G49+G50+G51+G52+G53+G54</f>
        <v>25</v>
      </c>
      <c r="H65" s="2205">
        <f>G65/F65*100</f>
        <v>25</v>
      </c>
      <c r="J65" s="2206">
        <v>0</v>
      </c>
      <c r="K65" s="2206">
        <v>100028.15</v>
      </c>
      <c r="L65" s="2206">
        <v>25168</v>
      </c>
    </row>
    <row r="66" spans="1:12" ht="15" x14ac:dyDescent="0.2">
      <c r="A66" s="2200" t="s">
        <v>278</v>
      </c>
      <c r="B66" s="2207"/>
      <c r="C66" s="2202"/>
      <c r="D66" s="2208"/>
      <c r="E66" s="2204">
        <f>E55+E56+E57</f>
        <v>0</v>
      </c>
      <c r="F66" s="2204">
        <f>F55+F56+F57</f>
        <v>0</v>
      </c>
      <c r="G66" s="2204">
        <f>G55+G56+G57</f>
        <v>0</v>
      </c>
      <c r="H66" s="2205">
        <v>0</v>
      </c>
      <c r="J66" s="2206">
        <v>0</v>
      </c>
      <c r="K66" s="2206">
        <v>0</v>
      </c>
      <c r="L66" s="2206">
        <v>0</v>
      </c>
    </row>
    <row r="67" spans="1:12" ht="15" x14ac:dyDescent="0.2">
      <c r="A67" s="2200" t="s">
        <v>488</v>
      </c>
      <c r="B67" s="2207"/>
      <c r="C67" s="2202"/>
      <c r="D67" s="2208"/>
      <c r="E67" s="2204">
        <v>0</v>
      </c>
      <c r="F67" s="2204">
        <v>0</v>
      </c>
      <c r="G67" s="2204">
        <v>0</v>
      </c>
      <c r="H67" s="2205">
        <v>0</v>
      </c>
      <c r="J67" s="2206">
        <v>0</v>
      </c>
      <c r="K67" s="2206">
        <v>0</v>
      </c>
      <c r="L67" s="2206">
        <v>0</v>
      </c>
    </row>
    <row r="68" spans="1:12" ht="15" x14ac:dyDescent="0.2">
      <c r="A68" s="2200"/>
      <c r="B68" s="2207"/>
      <c r="C68" s="2202"/>
      <c r="D68" s="2208"/>
      <c r="E68" s="2204"/>
      <c r="F68" s="2204"/>
      <c r="G68" s="2204"/>
      <c r="H68" s="2209"/>
    </row>
    <row r="69" spans="1:12" ht="46.5" customHeight="1" thickBot="1" x14ac:dyDescent="0.4">
      <c r="A69" s="2763" t="s">
        <v>1693</v>
      </c>
      <c r="B69" s="2764"/>
      <c r="C69" s="2764"/>
      <c r="D69" s="2764"/>
      <c r="E69" s="2210">
        <f>SUM(E64)</f>
        <v>0</v>
      </c>
      <c r="F69" s="2210">
        <f>SUM(F64)</f>
        <v>100</v>
      </c>
      <c r="G69" s="2210">
        <f>SUM(G64)</f>
        <v>25</v>
      </c>
      <c r="H69" s="2211">
        <f>(G69/F69)*100</f>
        <v>25</v>
      </c>
    </row>
    <row r="70" spans="1:12" ht="13.5" thickTop="1" x14ac:dyDescent="0.2"/>
    <row r="189" spans="1:5" ht="13.5" thickBot="1" x14ac:dyDescent="0.25">
      <c r="A189" s="2230"/>
      <c r="B189" s="2230"/>
      <c r="C189" s="2230"/>
      <c r="D189" s="2231"/>
      <c r="E189" s="2232"/>
    </row>
    <row r="190" spans="1:5" ht="13.5" thickTop="1" x14ac:dyDescent="0.2">
      <c r="A190" s="2233"/>
      <c r="B190" s="2233"/>
      <c r="C190" s="2233"/>
      <c r="D190" s="2234"/>
      <c r="E190" s="2235"/>
    </row>
    <row r="191" spans="1:5" x14ac:dyDescent="0.2">
      <c r="D191" s="2139" t="e">
        <f>#REF!+#REF!</f>
        <v>#REF!</v>
      </c>
    </row>
  </sheetData>
  <mergeCells count="2">
    <mergeCell ref="A60:D60"/>
    <mergeCell ref="A69:D69"/>
  </mergeCells>
  <pageMargins left="0.70866141732283472" right="0.70866141732283472" top="0.78740157480314965" bottom="0.78740157480314965" header="0.31496062992125984" footer="0.31496062992125984"/>
  <pageSetup paperSize="9" scale="74" firstPageNumber="166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colBreaks count="1" manualBreakCount="1">
    <brk id="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81"/>
  <sheetViews>
    <sheetView view="pageBreakPreview" zoomScaleNormal="100" zoomScaleSheetLayoutView="100" workbookViewId="0">
      <selection activeCell="K36" sqref="K36"/>
    </sheetView>
  </sheetViews>
  <sheetFormatPr defaultRowHeight="12.75" x14ac:dyDescent="0.2"/>
  <cols>
    <col min="1" max="1" width="4.7109375" style="2146" customWidth="1"/>
    <col min="2" max="2" width="6.7109375" style="2146" customWidth="1"/>
    <col min="3" max="3" width="8.85546875" style="2146" customWidth="1"/>
    <col min="4" max="4" width="46.42578125" style="2139" customWidth="1"/>
    <col min="5" max="5" width="12.85546875" style="2147" customWidth="1"/>
    <col min="6" max="6" width="15.5703125" style="2147" customWidth="1"/>
    <col min="7" max="7" width="15.85546875" style="2147" customWidth="1"/>
    <col min="8" max="8" width="8.28515625" style="2139" customWidth="1"/>
    <col min="9" max="9" width="14.28515625" style="2139" bestFit="1" customWidth="1"/>
    <col min="10" max="10" width="9.140625" style="2139"/>
    <col min="11" max="11" width="12.7109375" style="2139" bestFit="1" customWidth="1"/>
    <col min="12" max="12" width="13.140625" style="2139" customWidth="1"/>
    <col min="13" max="256" width="9.140625" style="2139"/>
    <col min="257" max="257" width="4.7109375" style="2139" customWidth="1"/>
    <col min="258" max="258" width="6.7109375" style="2139" customWidth="1"/>
    <col min="259" max="259" width="8.85546875" style="2139" customWidth="1"/>
    <col min="260" max="260" width="46.42578125" style="2139" customWidth="1"/>
    <col min="261" max="261" width="12.85546875" style="2139" customWidth="1"/>
    <col min="262" max="262" width="15.5703125" style="2139" customWidth="1"/>
    <col min="263" max="263" width="15.85546875" style="2139" customWidth="1"/>
    <col min="264" max="264" width="6.42578125" style="2139" customWidth="1"/>
    <col min="265" max="265" width="14.28515625" style="2139" bestFit="1" customWidth="1"/>
    <col min="266" max="266" width="9.140625" style="2139"/>
    <col min="267" max="267" width="12.7109375" style="2139" bestFit="1" customWidth="1"/>
    <col min="268" max="268" width="13.140625" style="2139" customWidth="1"/>
    <col min="269" max="512" width="9.140625" style="2139"/>
    <col min="513" max="513" width="4.7109375" style="2139" customWidth="1"/>
    <col min="514" max="514" width="6.7109375" style="2139" customWidth="1"/>
    <col min="515" max="515" width="8.85546875" style="2139" customWidth="1"/>
    <col min="516" max="516" width="46.42578125" style="2139" customWidth="1"/>
    <col min="517" max="517" width="12.85546875" style="2139" customWidth="1"/>
    <col min="518" max="518" width="15.5703125" style="2139" customWidth="1"/>
    <col min="519" max="519" width="15.85546875" style="2139" customWidth="1"/>
    <col min="520" max="520" width="6.42578125" style="2139" customWidth="1"/>
    <col min="521" max="521" width="14.28515625" style="2139" bestFit="1" customWidth="1"/>
    <col min="522" max="522" width="9.140625" style="2139"/>
    <col min="523" max="523" width="12.7109375" style="2139" bestFit="1" customWidth="1"/>
    <col min="524" max="524" width="13.140625" style="2139" customWidth="1"/>
    <col min="525" max="768" width="9.140625" style="2139"/>
    <col min="769" max="769" width="4.7109375" style="2139" customWidth="1"/>
    <col min="770" max="770" width="6.7109375" style="2139" customWidth="1"/>
    <col min="771" max="771" width="8.85546875" style="2139" customWidth="1"/>
    <col min="772" max="772" width="46.42578125" style="2139" customWidth="1"/>
    <col min="773" max="773" width="12.85546875" style="2139" customWidth="1"/>
    <col min="774" max="774" width="15.5703125" style="2139" customWidth="1"/>
    <col min="775" max="775" width="15.85546875" style="2139" customWidth="1"/>
    <col min="776" max="776" width="6.42578125" style="2139" customWidth="1"/>
    <col min="777" max="777" width="14.28515625" style="2139" bestFit="1" customWidth="1"/>
    <col min="778" max="778" width="9.140625" style="2139"/>
    <col min="779" max="779" width="12.7109375" style="2139" bestFit="1" customWidth="1"/>
    <col min="780" max="780" width="13.140625" style="2139" customWidth="1"/>
    <col min="781" max="1024" width="9.140625" style="2139"/>
    <col min="1025" max="1025" width="4.7109375" style="2139" customWidth="1"/>
    <col min="1026" max="1026" width="6.7109375" style="2139" customWidth="1"/>
    <col min="1027" max="1027" width="8.85546875" style="2139" customWidth="1"/>
    <col min="1028" max="1028" width="46.42578125" style="2139" customWidth="1"/>
    <col min="1029" max="1029" width="12.85546875" style="2139" customWidth="1"/>
    <col min="1030" max="1030" width="15.5703125" style="2139" customWidth="1"/>
    <col min="1031" max="1031" width="15.85546875" style="2139" customWidth="1"/>
    <col min="1032" max="1032" width="6.42578125" style="2139" customWidth="1"/>
    <col min="1033" max="1033" width="14.28515625" style="2139" bestFit="1" customWidth="1"/>
    <col min="1034" max="1034" width="9.140625" style="2139"/>
    <col min="1035" max="1035" width="12.7109375" style="2139" bestFit="1" customWidth="1"/>
    <col min="1036" max="1036" width="13.140625" style="2139" customWidth="1"/>
    <col min="1037" max="1280" width="9.140625" style="2139"/>
    <col min="1281" max="1281" width="4.7109375" style="2139" customWidth="1"/>
    <col min="1282" max="1282" width="6.7109375" style="2139" customWidth="1"/>
    <col min="1283" max="1283" width="8.85546875" style="2139" customWidth="1"/>
    <col min="1284" max="1284" width="46.42578125" style="2139" customWidth="1"/>
    <col min="1285" max="1285" width="12.85546875" style="2139" customWidth="1"/>
    <col min="1286" max="1286" width="15.5703125" style="2139" customWidth="1"/>
    <col min="1287" max="1287" width="15.85546875" style="2139" customWidth="1"/>
    <col min="1288" max="1288" width="6.42578125" style="2139" customWidth="1"/>
    <col min="1289" max="1289" width="14.28515625" style="2139" bestFit="1" customWidth="1"/>
    <col min="1290" max="1290" width="9.140625" style="2139"/>
    <col min="1291" max="1291" width="12.7109375" style="2139" bestFit="1" customWidth="1"/>
    <col min="1292" max="1292" width="13.140625" style="2139" customWidth="1"/>
    <col min="1293" max="1536" width="9.140625" style="2139"/>
    <col min="1537" max="1537" width="4.7109375" style="2139" customWidth="1"/>
    <col min="1538" max="1538" width="6.7109375" style="2139" customWidth="1"/>
    <col min="1539" max="1539" width="8.85546875" style="2139" customWidth="1"/>
    <col min="1540" max="1540" width="46.42578125" style="2139" customWidth="1"/>
    <col min="1541" max="1541" width="12.85546875" style="2139" customWidth="1"/>
    <col min="1542" max="1542" width="15.5703125" style="2139" customWidth="1"/>
    <col min="1543" max="1543" width="15.85546875" style="2139" customWidth="1"/>
    <col min="1544" max="1544" width="6.42578125" style="2139" customWidth="1"/>
    <col min="1545" max="1545" width="14.28515625" style="2139" bestFit="1" customWidth="1"/>
    <col min="1546" max="1546" width="9.140625" style="2139"/>
    <col min="1547" max="1547" width="12.7109375" style="2139" bestFit="1" customWidth="1"/>
    <col min="1548" max="1548" width="13.140625" style="2139" customWidth="1"/>
    <col min="1549" max="1792" width="9.140625" style="2139"/>
    <col min="1793" max="1793" width="4.7109375" style="2139" customWidth="1"/>
    <col min="1794" max="1794" width="6.7109375" style="2139" customWidth="1"/>
    <col min="1795" max="1795" width="8.85546875" style="2139" customWidth="1"/>
    <col min="1796" max="1796" width="46.42578125" style="2139" customWidth="1"/>
    <col min="1797" max="1797" width="12.85546875" style="2139" customWidth="1"/>
    <col min="1798" max="1798" width="15.5703125" style="2139" customWidth="1"/>
    <col min="1799" max="1799" width="15.85546875" style="2139" customWidth="1"/>
    <col min="1800" max="1800" width="6.42578125" style="2139" customWidth="1"/>
    <col min="1801" max="1801" width="14.28515625" style="2139" bestFit="1" customWidth="1"/>
    <col min="1802" max="1802" width="9.140625" style="2139"/>
    <col min="1803" max="1803" width="12.7109375" style="2139" bestFit="1" customWidth="1"/>
    <col min="1804" max="1804" width="13.140625" style="2139" customWidth="1"/>
    <col min="1805" max="2048" width="9.140625" style="2139"/>
    <col min="2049" max="2049" width="4.7109375" style="2139" customWidth="1"/>
    <col min="2050" max="2050" width="6.7109375" style="2139" customWidth="1"/>
    <col min="2051" max="2051" width="8.85546875" style="2139" customWidth="1"/>
    <col min="2052" max="2052" width="46.42578125" style="2139" customWidth="1"/>
    <col min="2053" max="2053" width="12.85546875" style="2139" customWidth="1"/>
    <col min="2054" max="2054" width="15.5703125" style="2139" customWidth="1"/>
    <col min="2055" max="2055" width="15.85546875" style="2139" customWidth="1"/>
    <col min="2056" max="2056" width="6.42578125" style="2139" customWidth="1"/>
    <col min="2057" max="2057" width="14.28515625" style="2139" bestFit="1" customWidth="1"/>
    <col min="2058" max="2058" width="9.140625" style="2139"/>
    <col min="2059" max="2059" width="12.7109375" style="2139" bestFit="1" customWidth="1"/>
    <col min="2060" max="2060" width="13.140625" style="2139" customWidth="1"/>
    <col min="2061" max="2304" width="9.140625" style="2139"/>
    <col min="2305" max="2305" width="4.7109375" style="2139" customWidth="1"/>
    <col min="2306" max="2306" width="6.7109375" style="2139" customWidth="1"/>
    <col min="2307" max="2307" width="8.85546875" style="2139" customWidth="1"/>
    <col min="2308" max="2308" width="46.42578125" style="2139" customWidth="1"/>
    <col min="2309" max="2309" width="12.85546875" style="2139" customWidth="1"/>
    <col min="2310" max="2310" width="15.5703125" style="2139" customWidth="1"/>
    <col min="2311" max="2311" width="15.85546875" style="2139" customWidth="1"/>
    <col min="2312" max="2312" width="6.42578125" style="2139" customWidth="1"/>
    <col min="2313" max="2313" width="14.28515625" style="2139" bestFit="1" customWidth="1"/>
    <col min="2314" max="2314" width="9.140625" style="2139"/>
    <col min="2315" max="2315" width="12.7109375" style="2139" bestFit="1" customWidth="1"/>
    <col min="2316" max="2316" width="13.140625" style="2139" customWidth="1"/>
    <col min="2317" max="2560" width="9.140625" style="2139"/>
    <col min="2561" max="2561" width="4.7109375" style="2139" customWidth="1"/>
    <col min="2562" max="2562" width="6.7109375" style="2139" customWidth="1"/>
    <col min="2563" max="2563" width="8.85546875" style="2139" customWidth="1"/>
    <col min="2564" max="2564" width="46.42578125" style="2139" customWidth="1"/>
    <col min="2565" max="2565" width="12.85546875" style="2139" customWidth="1"/>
    <col min="2566" max="2566" width="15.5703125" style="2139" customWidth="1"/>
    <col min="2567" max="2567" width="15.85546875" style="2139" customWidth="1"/>
    <col min="2568" max="2568" width="6.42578125" style="2139" customWidth="1"/>
    <col min="2569" max="2569" width="14.28515625" style="2139" bestFit="1" customWidth="1"/>
    <col min="2570" max="2570" width="9.140625" style="2139"/>
    <col min="2571" max="2571" width="12.7109375" style="2139" bestFit="1" customWidth="1"/>
    <col min="2572" max="2572" width="13.140625" style="2139" customWidth="1"/>
    <col min="2573" max="2816" width="9.140625" style="2139"/>
    <col min="2817" max="2817" width="4.7109375" style="2139" customWidth="1"/>
    <col min="2818" max="2818" width="6.7109375" style="2139" customWidth="1"/>
    <col min="2819" max="2819" width="8.85546875" style="2139" customWidth="1"/>
    <col min="2820" max="2820" width="46.42578125" style="2139" customWidth="1"/>
    <col min="2821" max="2821" width="12.85546875" style="2139" customWidth="1"/>
    <col min="2822" max="2822" width="15.5703125" style="2139" customWidth="1"/>
    <col min="2823" max="2823" width="15.85546875" style="2139" customWidth="1"/>
    <col min="2824" max="2824" width="6.42578125" style="2139" customWidth="1"/>
    <col min="2825" max="2825" width="14.28515625" style="2139" bestFit="1" customWidth="1"/>
    <col min="2826" max="2826" width="9.140625" style="2139"/>
    <col min="2827" max="2827" width="12.7109375" style="2139" bestFit="1" customWidth="1"/>
    <col min="2828" max="2828" width="13.140625" style="2139" customWidth="1"/>
    <col min="2829" max="3072" width="9.140625" style="2139"/>
    <col min="3073" max="3073" width="4.7109375" style="2139" customWidth="1"/>
    <col min="3074" max="3074" width="6.7109375" style="2139" customWidth="1"/>
    <col min="3075" max="3075" width="8.85546875" style="2139" customWidth="1"/>
    <col min="3076" max="3076" width="46.42578125" style="2139" customWidth="1"/>
    <col min="3077" max="3077" width="12.85546875" style="2139" customWidth="1"/>
    <col min="3078" max="3078" width="15.5703125" style="2139" customWidth="1"/>
    <col min="3079" max="3079" width="15.85546875" style="2139" customWidth="1"/>
    <col min="3080" max="3080" width="6.42578125" style="2139" customWidth="1"/>
    <col min="3081" max="3081" width="14.28515625" style="2139" bestFit="1" customWidth="1"/>
    <col min="3082" max="3082" width="9.140625" style="2139"/>
    <col min="3083" max="3083" width="12.7109375" style="2139" bestFit="1" customWidth="1"/>
    <col min="3084" max="3084" width="13.140625" style="2139" customWidth="1"/>
    <col min="3085" max="3328" width="9.140625" style="2139"/>
    <col min="3329" max="3329" width="4.7109375" style="2139" customWidth="1"/>
    <col min="3330" max="3330" width="6.7109375" style="2139" customWidth="1"/>
    <col min="3331" max="3331" width="8.85546875" style="2139" customWidth="1"/>
    <col min="3332" max="3332" width="46.42578125" style="2139" customWidth="1"/>
    <col min="3333" max="3333" width="12.85546875" style="2139" customWidth="1"/>
    <col min="3334" max="3334" width="15.5703125" style="2139" customWidth="1"/>
    <col min="3335" max="3335" width="15.85546875" style="2139" customWidth="1"/>
    <col min="3336" max="3336" width="6.42578125" style="2139" customWidth="1"/>
    <col min="3337" max="3337" width="14.28515625" style="2139" bestFit="1" customWidth="1"/>
    <col min="3338" max="3338" width="9.140625" style="2139"/>
    <col min="3339" max="3339" width="12.7109375" style="2139" bestFit="1" customWidth="1"/>
    <col min="3340" max="3340" width="13.140625" style="2139" customWidth="1"/>
    <col min="3341" max="3584" width="9.140625" style="2139"/>
    <col min="3585" max="3585" width="4.7109375" style="2139" customWidth="1"/>
    <col min="3586" max="3586" width="6.7109375" style="2139" customWidth="1"/>
    <col min="3587" max="3587" width="8.85546875" style="2139" customWidth="1"/>
    <col min="3588" max="3588" width="46.42578125" style="2139" customWidth="1"/>
    <col min="3589" max="3589" width="12.85546875" style="2139" customWidth="1"/>
    <col min="3590" max="3590" width="15.5703125" style="2139" customWidth="1"/>
    <col min="3591" max="3591" width="15.85546875" style="2139" customWidth="1"/>
    <col min="3592" max="3592" width="6.42578125" style="2139" customWidth="1"/>
    <col min="3593" max="3593" width="14.28515625" style="2139" bestFit="1" customWidth="1"/>
    <col min="3594" max="3594" width="9.140625" style="2139"/>
    <col min="3595" max="3595" width="12.7109375" style="2139" bestFit="1" customWidth="1"/>
    <col min="3596" max="3596" width="13.140625" style="2139" customWidth="1"/>
    <col min="3597" max="3840" width="9.140625" style="2139"/>
    <col min="3841" max="3841" width="4.7109375" style="2139" customWidth="1"/>
    <col min="3842" max="3842" width="6.7109375" style="2139" customWidth="1"/>
    <col min="3843" max="3843" width="8.85546875" style="2139" customWidth="1"/>
    <col min="3844" max="3844" width="46.42578125" style="2139" customWidth="1"/>
    <col min="3845" max="3845" width="12.85546875" style="2139" customWidth="1"/>
    <col min="3846" max="3846" width="15.5703125" style="2139" customWidth="1"/>
    <col min="3847" max="3847" width="15.85546875" style="2139" customWidth="1"/>
    <col min="3848" max="3848" width="6.42578125" style="2139" customWidth="1"/>
    <col min="3849" max="3849" width="14.28515625" style="2139" bestFit="1" customWidth="1"/>
    <col min="3850" max="3850" width="9.140625" style="2139"/>
    <col min="3851" max="3851" width="12.7109375" style="2139" bestFit="1" customWidth="1"/>
    <col min="3852" max="3852" width="13.140625" style="2139" customWidth="1"/>
    <col min="3853" max="4096" width="9.140625" style="2139"/>
    <col min="4097" max="4097" width="4.7109375" style="2139" customWidth="1"/>
    <col min="4098" max="4098" width="6.7109375" style="2139" customWidth="1"/>
    <col min="4099" max="4099" width="8.85546875" style="2139" customWidth="1"/>
    <col min="4100" max="4100" width="46.42578125" style="2139" customWidth="1"/>
    <col min="4101" max="4101" width="12.85546875" style="2139" customWidth="1"/>
    <col min="4102" max="4102" width="15.5703125" style="2139" customWidth="1"/>
    <col min="4103" max="4103" width="15.85546875" style="2139" customWidth="1"/>
    <col min="4104" max="4104" width="6.42578125" style="2139" customWidth="1"/>
    <col min="4105" max="4105" width="14.28515625" style="2139" bestFit="1" customWidth="1"/>
    <col min="4106" max="4106" width="9.140625" style="2139"/>
    <col min="4107" max="4107" width="12.7109375" style="2139" bestFit="1" customWidth="1"/>
    <col min="4108" max="4108" width="13.140625" style="2139" customWidth="1"/>
    <col min="4109" max="4352" width="9.140625" style="2139"/>
    <col min="4353" max="4353" width="4.7109375" style="2139" customWidth="1"/>
    <col min="4354" max="4354" width="6.7109375" style="2139" customWidth="1"/>
    <col min="4355" max="4355" width="8.85546875" style="2139" customWidth="1"/>
    <col min="4356" max="4356" width="46.42578125" style="2139" customWidth="1"/>
    <col min="4357" max="4357" width="12.85546875" style="2139" customWidth="1"/>
    <col min="4358" max="4358" width="15.5703125" style="2139" customWidth="1"/>
    <col min="4359" max="4359" width="15.85546875" style="2139" customWidth="1"/>
    <col min="4360" max="4360" width="6.42578125" style="2139" customWidth="1"/>
    <col min="4361" max="4361" width="14.28515625" style="2139" bestFit="1" customWidth="1"/>
    <col min="4362" max="4362" width="9.140625" style="2139"/>
    <col min="4363" max="4363" width="12.7109375" style="2139" bestFit="1" customWidth="1"/>
    <col min="4364" max="4364" width="13.140625" style="2139" customWidth="1"/>
    <col min="4365" max="4608" width="9.140625" style="2139"/>
    <col min="4609" max="4609" width="4.7109375" style="2139" customWidth="1"/>
    <col min="4610" max="4610" width="6.7109375" style="2139" customWidth="1"/>
    <col min="4611" max="4611" width="8.85546875" style="2139" customWidth="1"/>
    <col min="4612" max="4612" width="46.42578125" style="2139" customWidth="1"/>
    <col min="4613" max="4613" width="12.85546875" style="2139" customWidth="1"/>
    <col min="4614" max="4614" width="15.5703125" style="2139" customWidth="1"/>
    <col min="4615" max="4615" width="15.85546875" style="2139" customWidth="1"/>
    <col min="4616" max="4616" width="6.42578125" style="2139" customWidth="1"/>
    <col min="4617" max="4617" width="14.28515625" style="2139" bestFit="1" customWidth="1"/>
    <col min="4618" max="4618" width="9.140625" style="2139"/>
    <col min="4619" max="4619" width="12.7109375" style="2139" bestFit="1" customWidth="1"/>
    <col min="4620" max="4620" width="13.140625" style="2139" customWidth="1"/>
    <col min="4621" max="4864" width="9.140625" style="2139"/>
    <col min="4865" max="4865" width="4.7109375" style="2139" customWidth="1"/>
    <col min="4866" max="4866" width="6.7109375" style="2139" customWidth="1"/>
    <col min="4867" max="4867" width="8.85546875" style="2139" customWidth="1"/>
    <col min="4868" max="4868" width="46.42578125" style="2139" customWidth="1"/>
    <col min="4869" max="4869" width="12.85546875" style="2139" customWidth="1"/>
    <col min="4870" max="4870" width="15.5703125" style="2139" customWidth="1"/>
    <col min="4871" max="4871" width="15.85546875" style="2139" customWidth="1"/>
    <col min="4872" max="4872" width="6.42578125" style="2139" customWidth="1"/>
    <col min="4873" max="4873" width="14.28515625" style="2139" bestFit="1" customWidth="1"/>
    <col min="4874" max="4874" width="9.140625" style="2139"/>
    <col min="4875" max="4875" width="12.7109375" style="2139" bestFit="1" customWidth="1"/>
    <col min="4876" max="4876" width="13.140625" style="2139" customWidth="1"/>
    <col min="4877" max="5120" width="9.140625" style="2139"/>
    <col min="5121" max="5121" width="4.7109375" style="2139" customWidth="1"/>
    <col min="5122" max="5122" width="6.7109375" style="2139" customWidth="1"/>
    <col min="5123" max="5123" width="8.85546875" style="2139" customWidth="1"/>
    <col min="5124" max="5124" width="46.42578125" style="2139" customWidth="1"/>
    <col min="5125" max="5125" width="12.85546875" style="2139" customWidth="1"/>
    <col min="5126" max="5126" width="15.5703125" style="2139" customWidth="1"/>
    <col min="5127" max="5127" width="15.85546875" style="2139" customWidth="1"/>
    <col min="5128" max="5128" width="6.42578125" style="2139" customWidth="1"/>
    <col min="5129" max="5129" width="14.28515625" style="2139" bestFit="1" customWidth="1"/>
    <col min="5130" max="5130" width="9.140625" style="2139"/>
    <col min="5131" max="5131" width="12.7109375" style="2139" bestFit="1" customWidth="1"/>
    <col min="5132" max="5132" width="13.140625" style="2139" customWidth="1"/>
    <col min="5133" max="5376" width="9.140625" style="2139"/>
    <col min="5377" max="5377" width="4.7109375" style="2139" customWidth="1"/>
    <col min="5378" max="5378" width="6.7109375" style="2139" customWidth="1"/>
    <col min="5379" max="5379" width="8.85546875" style="2139" customWidth="1"/>
    <col min="5380" max="5380" width="46.42578125" style="2139" customWidth="1"/>
    <col min="5381" max="5381" width="12.85546875" style="2139" customWidth="1"/>
    <col min="5382" max="5382" width="15.5703125" style="2139" customWidth="1"/>
    <col min="5383" max="5383" width="15.85546875" style="2139" customWidth="1"/>
    <col min="5384" max="5384" width="6.42578125" style="2139" customWidth="1"/>
    <col min="5385" max="5385" width="14.28515625" style="2139" bestFit="1" customWidth="1"/>
    <col min="5386" max="5386" width="9.140625" style="2139"/>
    <col min="5387" max="5387" width="12.7109375" style="2139" bestFit="1" customWidth="1"/>
    <col min="5388" max="5388" width="13.140625" style="2139" customWidth="1"/>
    <col min="5389" max="5632" width="9.140625" style="2139"/>
    <col min="5633" max="5633" width="4.7109375" style="2139" customWidth="1"/>
    <col min="5634" max="5634" width="6.7109375" style="2139" customWidth="1"/>
    <col min="5635" max="5635" width="8.85546875" style="2139" customWidth="1"/>
    <col min="5636" max="5636" width="46.42578125" style="2139" customWidth="1"/>
    <col min="5637" max="5637" width="12.85546875" style="2139" customWidth="1"/>
    <col min="5638" max="5638" width="15.5703125" style="2139" customWidth="1"/>
    <col min="5639" max="5639" width="15.85546875" style="2139" customWidth="1"/>
    <col min="5640" max="5640" width="6.42578125" style="2139" customWidth="1"/>
    <col min="5641" max="5641" width="14.28515625" style="2139" bestFit="1" customWidth="1"/>
    <col min="5642" max="5642" width="9.140625" style="2139"/>
    <col min="5643" max="5643" width="12.7109375" style="2139" bestFit="1" customWidth="1"/>
    <col min="5644" max="5644" width="13.140625" style="2139" customWidth="1"/>
    <col min="5645" max="5888" width="9.140625" style="2139"/>
    <col min="5889" max="5889" width="4.7109375" style="2139" customWidth="1"/>
    <col min="5890" max="5890" width="6.7109375" style="2139" customWidth="1"/>
    <col min="5891" max="5891" width="8.85546875" style="2139" customWidth="1"/>
    <col min="5892" max="5892" width="46.42578125" style="2139" customWidth="1"/>
    <col min="5893" max="5893" width="12.85546875" style="2139" customWidth="1"/>
    <col min="5894" max="5894" width="15.5703125" style="2139" customWidth="1"/>
    <col min="5895" max="5895" width="15.85546875" style="2139" customWidth="1"/>
    <col min="5896" max="5896" width="6.42578125" style="2139" customWidth="1"/>
    <col min="5897" max="5897" width="14.28515625" style="2139" bestFit="1" customWidth="1"/>
    <col min="5898" max="5898" width="9.140625" style="2139"/>
    <col min="5899" max="5899" width="12.7109375" style="2139" bestFit="1" customWidth="1"/>
    <col min="5900" max="5900" width="13.140625" style="2139" customWidth="1"/>
    <col min="5901" max="6144" width="9.140625" style="2139"/>
    <col min="6145" max="6145" width="4.7109375" style="2139" customWidth="1"/>
    <col min="6146" max="6146" width="6.7109375" style="2139" customWidth="1"/>
    <col min="6147" max="6147" width="8.85546875" style="2139" customWidth="1"/>
    <col min="6148" max="6148" width="46.42578125" style="2139" customWidth="1"/>
    <col min="6149" max="6149" width="12.85546875" style="2139" customWidth="1"/>
    <col min="6150" max="6150" width="15.5703125" style="2139" customWidth="1"/>
    <col min="6151" max="6151" width="15.85546875" style="2139" customWidth="1"/>
    <col min="6152" max="6152" width="6.42578125" style="2139" customWidth="1"/>
    <col min="6153" max="6153" width="14.28515625" style="2139" bestFit="1" customWidth="1"/>
    <col min="6154" max="6154" width="9.140625" style="2139"/>
    <col min="6155" max="6155" width="12.7109375" style="2139" bestFit="1" customWidth="1"/>
    <col min="6156" max="6156" width="13.140625" style="2139" customWidth="1"/>
    <col min="6157" max="6400" width="9.140625" style="2139"/>
    <col min="6401" max="6401" width="4.7109375" style="2139" customWidth="1"/>
    <col min="6402" max="6402" width="6.7109375" style="2139" customWidth="1"/>
    <col min="6403" max="6403" width="8.85546875" style="2139" customWidth="1"/>
    <col min="6404" max="6404" width="46.42578125" style="2139" customWidth="1"/>
    <col min="6405" max="6405" width="12.85546875" style="2139" customWidth="1"/>
    <col min="6406" max="6406" width="15.5703125" style="2139" customWidth="1"/>
    <col min="6407" max="6407" width="15.85546875" style="2139" customWidth="1"/>
    <col min="6408" max="6408" width="6.42578125" style="2139" customWidth="1"/>
    <col min="6409" max="6409" width="14.28515625" style="2139" bestFit="1" customWidth="1"/>
    <col min="6410" max="6410" width="9.140625" style="2139"/>
    <col min="6411" max="6411" width="12.7109375" style="2139" bestFit="1" customWidth="1"/>
    <col min="6412" max="6412" width="13.140625" style="2139" customWidth="1"/>
    <col min="6413" max="6656" width="9.140625" style="2139"/>
    <col min="6657" max="6657" width="4.7109375" style="2139" customWidth="1"/>
    <col min="6658" max="6658" width="6.7109375" style="2139" customWidth="1"/>
    <col min="6659" max="6659" width="8.85546875" style="2139" customWidth="1"/>
    <col min="6660" max="6660" width="46.42578125" style="2139" customWidth="1"/>
    <col min="6661" max="6661" width="12.85546875" style="2139" customWidth="1"/>
    <col min="6662" max="6662" width="15.5703125" style="2139" customWidth="1"/>
    <col min="6663" max="6663" width="15.85546875" style="2139" customWidth="1"/>
    <col min="6664" max="6664" width="6.42578125" style="2139" customWidth="1"/>
    <col min="6665" max="6665" width="14.28515625" style="2139" bestFit="1" customWidth="1"/>
    <col min="6666" max="6666" width="9.140625" style="2139"/>
    <col min="6667" max="6667" width="12.7109375" style="2139" bestFit="1" customWidth="1"/>
    <col min="6668" max="6668" width="13.140625" style="2139" customWidth="1"/>
    <col min="6669" max="6912" width="9.140625" style="2139"/>
    <col min="6913" max="6913" width="4.7109375" style="2139" customWidth="1"/>
    <col min="6914" max="6914" width="6.7109375" style="2139" customWidth="1"/>
    <col min="6915" max="6915" width="8.85546875" style="2139" customWidth="1"/>
    <col min="6916" max="6916" width="46.42578125" style="2139" customWidth="1"/>
    <col min="6917" max="6917" width="12.85546875" style="2139" customWidth="1"/>
    <col min="6918" max="6918" width="15.5703125" style="2139" customWidth="1"/>
    <col min="6919" max="6919" width="15.85546875" style="2139" customWidth="1"/>
    <col min="6920" max="6920" width="6.42578125" style="2139" customWidth="1"/>
    <col min="6921" max="6921" width="14.28515625" style="2139" bestFit="1" customWidth="1"/>
    <col min="6922" max="6922" width="9.140625" style="2139"/>
    <col min="6923" max="6923" width="12.7109375" style="2139" bestFit="1" customWidth="1"/>
    <col min="6924" max="6924" width="13.140625" style="2139" customWidth="1"/>
    <col min="6925" max="7168" width="9.140625" style="2139"/>
    <col min="7169" max="7169" width="4.7109375" style="2139" customWidth="1"/>
    <col min="7170" max="7170" width="6.7109375" style="2139" customWidth="1"/>
    <col min="7171" max="7171" width="8.85546875" style="2139" customWidth="1"/>
    <col min="7172" max="7172" width="46.42578125" style="2139" customWidth="1"/>
    <col min="7173" max="7173" width="12.85546875" style="2139" customWidth="1"/>
    <col min="7174" max="7174" width="15.5703125" style="2139" customWidth="1"/>
    <col min="7175" max="7175" width="15.85546875" style="2139" customWidth="1"/>
    <col min="7176" max="7176" width="6.42578125" style="2139" customWidth="1"/>
    <col min="7177" max="7177" width="14.28515625" style="2139" bestFit="1" customWidth="1"/>
    <col min="7178" max="7178" width="9.140625" style="2139"/>
    <col min="7179" max="7179" width="12.7109375" style="2139" bestFit="1" customWidth="1"/>
    <col min="7180" max="7180" width="13.140625" style="2139" customWidth="1"/>
    <col min="7181" max="7424" width="9.140625" style="2139"/>
    <col min="7425" max="7425" width="4.7109375" style="2139" customWidth="1"/>
    <col min="7426" max="7426" width="6.7109375" style="2139" customWidth="1"/>
    <col min="7427" max="7427" width="8.85546875" style="2139" customWidth="1"/>
    <col min="7428" max="7428" width="46.42578125" style="2139" customWidth="1"/>
    <col min="7429" max="7429" width="12.85546875" style="2139" customWidth="1"/>
    <col min="7430" max="7430" width="15.5703125" style="2139" customWidth="1"/>
    <col min="7431" max="7431" width="15.85546875" style="2139" customWidth="1"/>
    <col min="7432" max="7432" width="6.42578125" style="2139" customWidth="1"/>
    <col min="7433" max="7433" width="14.28515625" style="2139" bestFit="1" customWidth="1"/>
    <col min="7434" max="7434" width="9.140625" style="2139"/>
    <col min="7435" max="7435" width="12.7109375" style="2139" bestFit="1" customWidth="1"/>
    <col min="7436" max="7436" width="13.140625" style="2139" customWidth="1"/>
    <col min="7437" max="7680" width="9.140625" style="2139"/>
    <col min="7681" max="7681" width="4.7109375" style="2139" customWidth="1"/>
    <col min="7682" max="7682" width="6.7109375" style="2139" customWidth="1"/>
    <col min="7683" max="7683" width="8.85546875" style="2139" customWidth="1"/>
    <col min="7684" max="7684" width="46.42578125" style="2139" customWidth="1"/>
    <col min="7685" max="7685" width="12.85546875" style="2139" customWidth="1"/>
    <col min="7686" max="7686" width="15.5703125" style="2139" customWidth="1"/>
    <col min="7687" max="7687" width="15.85546875" style="2139" customWidth="1"/>
    <col min="7688" max="7688" width="6.42578125" style="2139" customWidth="1"/>
    <col min="7689" max="7689" width="14.28515625" style="2139" bestFit="1" customWidth="1"/>
    <col min="7690" max="7690" width="9.140625" style="2139"/>
    <col min="7691" max="7691" width="12.7109375" style="2139" bestFit="1" customWidth="1"/>
    <col min="7692" max="7692" width="13.140625" style="2139" customWidth="1"/>
    <col min="7693" max="7936" width="9.140625" style="2139"/>
    <col min="7937" max="7937" width="4.7109375" style="2139" customWidth="1"/>
    <col min="7938" max="7938" width="6.7109375" style="2139" customWidth="1"/>
    <col min="7939" max="7939" width="8.85546875" style="2139" customWidth="1"/>
    <col min="7940" max="7940" width="46.42578125" style="2139" customWidth="1"/>
    <col min="7941" max="7941" width="12.85546875" style="2139" customWidth="1"/>
    <col min="7942" max="7942" width="15.5703125" style="2139" customWidth="1"/>
    <col min="7943" max="7943" width="15.85546875" style="2139" customWidth="1"/>
    <col min="7944" max="7944" width="6.42578125" style="2139" customWidth="1"/>
    <col min="7945" max="7945" width="14.28515625" style="2139" bestFit="1" customWidth="1"/>
    <col min="7946" max="7946" width="9.140625" style="2139"/>
    <col min="7947" max="7947" width="12.7109375" style="2139" bestFit="1" customWidth="1"/>
    <col min="7948" max="7948" width="13.140625" style="2139" customWidth="1"/>
    <col min="7949" max="8192" width="9.140625" style="2139"/>
    <col min="8193" max="8193" width="4.7109375" style="2139" customWidth="1"/>
    <col min="8194" max="8194" width="6.7109375" style="2139" customWidth="1"/>
    <col min="8195" max="8195" width="8.85546875" style="2139" customWidth="1"/>
    <col min="8196" max="8196" width="46.42578125" style="2139" customWidth="1"/>
    <col min="8197" max="8197" width="12.85546875" style="2139" customWidth="1"/>
    <col min="8198" max="8198" width="15.5703125" style="2139" customWidth="1"/>
    <col min="8199" max="8199" width="15.85546875" style="2139" customWidth="1"/>
    <col min="8200" max="8200" width="6.42578125" style="2139" customWidth="1"/>
    <col min="8201" max="8201" width="14.28515625" style="2139" bestFit="1" customWidth="1"/>
    <col min="8202" max="8202" width="9.140625" style="2139"/>
    <col min="8203" max="8203" width="12.7109375" style="2139" bestFit="1" customWidth="1"/>
    <col min="8204" max="8204" width="13.140625" style="2139" customWidth="1"/>
    <col min="8205" max="8448" width="9.140625" style="2139"/>
    <col min="8449" max="8449" width="4.7109375" style="2139" customWidth="1"/>
    <col min="8450" max="8450" width="6.7109375" style="2139" customWidth="1"/>
    <col min="8451" max="8451" width="8.85546875" style="2139" customWidth="1"/>
    <col min="8452" max="8452" width="46.42578125" style="2139" customWidth="1"/>
    <col min="8453" max="8453" width="12.85546875" style="2139" customWidth="1"/>
    <col min="8454" max="8454" width="15.5703125" style="2139" customWidth="1"/>
    <col min="8455" max="8455" width="15.85546875" style="2139" customWidth="1"/>
    <col min="8456" max="8456" width="6.42578125" style="2139" customWidth="1"/>
    <col min="8457" max="8457" width="14.28515625" style="2139" bestFit="1" customWidth="1"/>
    <col min="8458" max="8458" width="9.140625" style="2139"/>
    <col min="8459" max="8459" width="12.7109375" style="2139" bestFit="1" customWidth="1"/>
    <col min="8460" max="8460" width="13.140625" style="2139" customWidth="1"/>
    <col min="8461" max="8704" width="9.140625" style="2139"/>
    <col min="8705" max="8705" width="4.7109375" style="2139" customWidth="1"/>
    <col min="8706" max="8706" width="6.7109375" style="2139" customWidth="1"/>
    <col min="8707" max="8707" width="8.85546875" style="2139" customWidth="1"/>
    <col min="8708" max="8708" width="46.42578125" style="2139" customWidth="1"/>
    <col min="8709" max="8709" width="12.85546875" style="2139" customWidth="1"/>
    <col min="8710" max="8710" width="15.5703125" style="2139" customWidth="1"/>
    <col min="8711" max="8711" width="15.85546875" style="2139" customWidth="1"/>
    <col min="8712" max="8712" width="6.42578125" style="2139" customWidth="1"/>
    <col min="8713" max="8713" width="14.28515625" style="2139" bestFit="1" customWidth="1"/>
    <col min="8714" max="8714" width="9.140625" style="2139"/>
    <col min="8715" max="8715" width="12.7109375" style="2139" bestFit="1" customWidth="1"/>
    <col min="8716" max="8716" width="13.140625" style="2139" customWidth="1"/>
    <col min="8717" max="8960" width="9.140625" style="2139"/>
    <col min="8961" max="8961" width="4.7109375" style="2139" customWidth="1"/>
    <col min="8962" max="8962" width="6.7109375" style="2139" customWidth="1"/>
    <col min="8963" max="8963" width="8.85546875" style="2139" customWidth="1"/>
    <col min="8964" max="8964" width="46.42578125" style="2139" customWidth="1"/>
    <col min="8965" max="8965" width="12.85546875" style="2139" customWidth="1"/>
    <col min="8966" max="8966" width="15.5703125" style="2139" customWidth="1"/>
    <col min="8967" max="8967" width="15.85546875" style="2139" customWidth="1"/>
    <col min="8968" max="8968" width="6.42578125" style="2139" customWidth="1"/>
    <col min="8969" max="8969" width="14.28515625" style="2139" bestFit="1" customWidth="1"/>
    <col min="8970" max="8970" width="9.140625" style="2139"/>
    <col min="8971" max="8971" width="12.7109375" style="2139" bestFit="1" customWidth="1"/>
    <col min="8972" max="8972" width="13.140625" style="2139" customWidth="1"/>
    <col min="8973" max="9216" width="9.140625" style="2139"/>
    <col min="9217" max="9217" width="4.7109375" style="2139" customWidth="1"/>
    <col min="9218" max="9218" width="6.7109375" style="2139" customWidth="1"/>
    <col min="9219" max="9219" width="8.85546875" style="2139" customWidth="1"/>
    <col min="9220" max="9220" width="46.42578125" style="2139" customWidth="1"/>
    <col min="9221" max="9221" width="12.85546875" style="2139" customWidth="1"/>
    <col min="9222" max="9222" width="15.5703125" style="2139" customWidth="1"/>
    <col min="9223" max="9223" width="15.85546875" style="2139" customWidth="1"/>
    <col min="9224" max="9224" width="6.42578125" style="2139" customWidth="1"/>
    <col min="9225" max="9225" width="14.28515625" style="2139" bestFit="1" customWidth="1"/>
    <col min="9226" max="9226" width="9.140625" style="2139"/>
    <col min="9227" max="9227" width="12.7109375" style="2139" bestFit="1" customWidth="1"/>
    <col min="9228" max="9228" width="13.140625" style="2139" customWidth="1"/>
    <col min="9229" max="9472" width="9.140625" style="2139"/>
    <col min="9473" max="9473" width="4.7109375" style="2139" customWidth="1"/>
    <col min="9474" max="9474" width="6.7109375" style="2139" customWidth="1"/>
    <col min="9475" max="9475" width="8.85546875" style="2139" customWidth="1"/>
    <col min="9476" max="9476" width="46.42578125" style="2139" customWidth="1"/>
    <col min="9477" max="9477" width="12.85546875" style="2139" customWidth="1"/>
    <col min="9478" max="9478" width="15.5703125" style="2139" customWidth="1"/>
    <col min="9479" max="9479" width="15.85546875" style="2139" customWidth="1"/>
    <col min="9480" max="9480" width="6.42578125" style="2139" customWidth="1"/>
    <col min="9481" max="9481" width="14.28515625" style="2139" bestFit="1" customWidth="1"/>
    <col min="9482" max="9482" width="9.140625" style="2139"/>
    <col min="9483" max="9483" width="12.7109375" style="2139" bestFit="1" customWidth="1"/>
    <col min="9484" max="9484" width="13.140625" style="2139" customWidth="1"/>
    <col min="9485" max="9728" width="9.140625" style="2139"/>
    <col min="9729" max="9729" width="4.7109375" style="2139" customWidth="1"/>
    <col min="9730" max="9730" width="6.7109375" style="2139" customWidth="1"/>
    <col min="9731" max="9731" width="8.85546875" style="2139" customWidth="1"/>
    <col min="9732" max="9732" width="46.42578125" style="2139" customWidth="1"/>
    <col min="9733" max="9733" width="12.85546875" style="2139" customWidth="1"/>
    <col min="9734" max="9734" width="15.5703125" style="2139" customWidth="1"/>
    <col min="9735" max="9735" width="15.85546875" style="2139" customWidth="1"/>
    <col min="9736" max="9736" width="6.42578125" style="2139" customWidth="1"/>
    <col min="9737" max="9737" width="14.28515625" style="2139" bestFit="1" customWidth="1"/>
    <col min="9738" max="9738" width="9.140625" style="2139"/>
    <col min="9739" max="9739" width="12.7109375" style="2139" bestFit="1" customWidth="1"/>
    <col min="9740" max="9740" width="13.140625" style="2139" customWidth="1"/>
    <col min="9741" max="9984" width="9.140625" style="2139"/>
    <col min="9985" max="9985" width="4.7109375" style="2139" customWidth="1"/>
    <col min="9986" max="9986" width="6.7109375" style="2139" customWidth="1"/>
    <col min="9987" max="9987" width="8.85546875" style="2139" customWidth="1"/>
    <col min="9988" max="9988" width="46.42578125" style="2139" customWidth="1"/>
    <col min="9989" max="9989" width="12.85546875" style="2139" customWidth="1"/>
    <col min="9990" max="9990" width="15.5703125" style="2139" customWidth="1"/>
    <col min="9991" max="9991" width="15.85546875" style="2139" customWidth="1"/>
    <col min="9992" max="9992" width="6.42578125" style="2139" customWidth="1"/>
    <col min="9993" max="9993" width="14.28515625" style="2139" bestFit="1" customWidth="1"/>
    <col min="9994" max="9994" width="9.140625" style="2139"/>
    <col min="9995" max="9995" width="12.7109375" style="2139" bestFit="1" customWidth="1"/>
    <col min="9996" max="9996" width="13.140625" style="2139" customWidth="1"/>
    <col min="9997" max="10240" width="9.140625" style="2139"/>
    <col min="10241" max="10241" width="4.7109375" style="2139" customWidth="1"/>
    <col min="10242" max="10242" width="6.7109375" style="2139" customWidth="1"/>
    <col min="10243" max="10243" width="8.85546875" style="2139" customWidth="1"/>
    <col min="10244" max="10244" width="46.42578125" style="2139" customWidth="1"/>
    <col min="10245" max="10245" width="12.85546875" style="2139" customWidth="1"/>
    <col min="10246" max="10246" width="15.5703125" style="2139" customWidth="1"/>
    <col min="10247" max="10247" width="15.85546875" style="2139" customWidth="1"/>
    <col min="10248" max="10248" width="6.42578125" style="2139" customWidth="1"/>
    <col min="10249" max="10249" width="14.28515625" style="2139" bestFit="1" customWidth="1"/>
    <col min="10250" max="10250" width="9.140625" style="2139"/>
    <col min="10251" max="10251" width="12.7109375" style="2139" bestFit="1" customWidth="1"/>
    <col min="10252" max="10252" width="13.140625" style="2139" customWidth="1"/>
    <col min="10253" max="10496" width="9.140625" style="2139"/>
    <col min="10497" max="10497" width="4.7109375" style="2139" customWidth="1"/>
    <col min="10498" max="10498" width="6.7109375" style="2139" customWidth="1"/>
    <col min="10499" max="10499" width="8.85546875" style="2139" customWidth="1"/>
    <col min="10500" max="10500" width="46.42578125" style="2139" customWidth="1"/>
    <col min="10501" max="10501" width="12.85546875" style="2139" customWidth="1"/>
    <col min="10502" max="10502" width="15.5703125" style="2139" customWidth="1"/>
    <col min="10503" max="10503" width="15.85546875" style="2139" customWidth="1"/>
    <col min="10504" max="10504" width="6.42578125" style="2139" customWidth="1"/>
    <col min="10505" max="10505" width="14.28515625" style="2139" bestFit="1" customWidth="1"/>
    <col min="10506" max="10506" width="9.140625" style="2139"/>
    <col min="10507" max="10507" width="12.7109375" style="2139" bestFit="1" customWidth="1"/>
    <col min="10508" max="10508" width="13.140625" style="2139" customWidth="1"/>
    <col min="10509" max="10752" width="9.140625" style="2139"/>
    <col min="10753" max="10753" width="4.7109375" style="2139" customWidth="1"/>
    <col min="10754" max="10754" width="6.7109375" style="2139" customWidth="1"/>
    <col min="10755" max="10755" width="8.85546875" style="2139" customWidth="1"/>
    <col min="10756" max="10756" width="46.42578125" style="2139" customWidth="1"/>
    <col min="10757" max="10757" width="12.85546875" style="2139" customWidth="1"/>
    <col min="10758" max="10758" width="15.5703125" style="2139" customWidth="1"/>
    <col min="10759" max="10759" width="15.85546875" style="2139" customWidth="1"/>
    <col min="10760" max="10760" width="6.42578125" style="2139" customWidth="1"/>
    <col min="10761" max="10761" width="14.28515625" style="2139" bestFit="1" customWidth="1"/>
    <col min="10762" max="10762" width="9.140625" style="2139"/>
    <col min="10763" max="10763" width="12.7109375" style="2139" bestFit="1" customWidth="1"/>
    <col min="10764" max="10764" width="13.140625" style="2139" customWidth="1"/>
    <col min="10765" max="11008" width="9.140625" style="2139"/>
    <col min="11009" max="11009" width="4.7109375" style="2139" customWidth="1"/>
    <col min="11010" max="11010" width="6.7109375" style="2139" customWidth="1"/>
    <col min="11011" max="11011" width="8.85546875" style="2139" customWidth="1"/>
    <col min="11012" max="11012" width="46.42578125" style="2139" customWidth="1"/>
    <col min="11013" max="11013" width="12.85546875" style="2139" customWidth="1"/>
    <col min="11014" max="11014" width="15.5703125" style="2139" customWidth="1"/>
    <col min="11015" max="11015" width="15.85546875" style="2139" customWidth="1"/>
    <col min="11016" max="11016" width="6.42578125" style="2139" customWidth="1"/>
    <col min="11017" max="11017" width="14.28515625" style="2139" bestFit="1" customWidth="1"/>
    <col min="11018" max="11018" width="9.140625" style="2139"/>
    <col min="11019" max="11019" width="12.7109375" style="2139" bestFit="1" customWidth="1"/>
    <col min="11020" max="11020" width="13.140625" style="2139" customWidth="1"/>
    <col min="11021" max="11264" width="9.140625" style="2139"/>
    <col min="11265" max="11265" width="4.7109375" style="2139" customWidth="1"/>
    <col min="11266" max="11266" width="6.7109375" style="2139" customWidth="1"/>
    <col min="11267" max="11267" width="8.85546875" style="2139" customWidth="1"/>
    <col min="11268" max="11268" width="46.42578125" style="2139" customWidth="1"/>
    <col min="11269" max="11269" width="12.85546875" style="2139" customWidth="1"/>
    <col min="11270" max="11270" width="15.5703125" style="2139" customWidth="1"/>
    <col min="11271" max="11271" width="15.85546875" style="2139" customWidth="1"/>
    <col min="11272" max="11272" width="6.42578125" style="2139" customWidth="1"/>
    <col min="11273" max="11273" width="14.28515625" style="2139" bestFit="1" customWidth="1"/>
    <col min="11274" max="11274" width="9.140625" style="2139"/>
    <col min="11275" max="11275" width="12.7109375" style="2139" bestFit="1" customWidth="1"/>
    <col min="11276" max="11276" width="13.140625" style="2139" customWidth="1"/>
    <col min="11277" max="11520" width="9.140625" style="2139"/>
    <col min="11521" max="11521" width="4.7109375" style="2139" customWidth="1"/>
    <col min="11522" max="11522" width="6.7109375" style="2139" customWidth="1"/>
    <col min="11523" max="11523" width="8.85546875" style="2139" customWidth="1"/>
    <col min="11524" max="11524" width="46.42578125" style="2139" customWidth="1"/>
    <col min="11525" max="11525" width="12.85546875" style="2139" customWidth="1"/>
    <col min="11526" max="11526" width="15.5703125" style="2139" customWidth="1"/>
    <col min="11527" max="11527" width="15.85546875" style="2139" customWidth="1"/>
    <col min="11528" max="11528" width="6.42578125" style="2139" customWidth="1"/>
    <col min="11529" max="11529" width="14.28515625" style="2139" bestFit="1" customWidth="1"/>
    <col min="11530" max="11530" width="9.140625" style="2139"/>
    <col min="11531" max="11531" width="12.7109375" style="2139" bestFit="1" customWidth="1"/>
    <col min="11532" max="11532" width="13.140625" style="2139" customWidth="1"/>
    <col min="11533" max="11776" width="9.140625" style="2139"/>
    <col min="11777" max="11777" width="4.7109375" style="2139" customWidth="1"/>
    <col min="11778" max="11778" width="6.7109375" style="2139" customWidth="1"/>
    <col min="11779" max="11779" width="8.85546875" style="2139" customWidth="1"/>
    <col min="11780" max="11780" width="46.42578125" style="2139" customWidth="1"/>
    <col min="11781" max="11781" width="12.85546875" style="2139" customWidth="1"/>
    <col min="11782" max="11782" width="15.5703125" style="2139" customWidth="1"/>
    <col min="11783" max="11783" width="15.85546875" style="2139" customWidth="1"/>
    <col min="11784" max="11784" width="6.42578125" style="2139" customWidth="1"/>
    <col min="11785" max="11785" width="14.28515625" style="2139" bestFit="1" customWidth="1"/>
    <col min="11786" max="11786" width="9.140625" style="2139"/>
    <col min="11787" max="11787" width="12.7109375" style="2139" bestFit="1" customWidth="1"/>
    <col min="11788" max="11788" width="13.140625" style="2139" customWidth="1"/>
    <col min="11789" max="12032" width="9.140625" style="2139"/>
    <col min="12033" max="12033" width="4.7109375" style="2139" customWidth="1"/>
    <col min="12034" max="12034" width="6.7109375" style="2139" customWidth="1"/>
    <col min="12035" max="12035" width="8.85546875" style="2139" customWidth="1"/>
    <col min="12036" max="12036" width="46.42578125" style="2139" customWidth="1"/>
    <col min="12037" max="12037" width="12.85546875" style="2139" customWidth="1"/>
    <col min="12038" max="12038" width="15.5703125" style="2139" customWidth="1"/>
    <col min="12039" max="12039" width="15.85546875" style="2139" customWidth="1"/>
    <col min="12040" max="12040" width="6.42578125" style="2139" customWidth="1"/>
    <col min="12041" max="12041" width="14.28515625" style="2139" bestFit="1" customWidth="1"/>
    <col min="12042" max="12042" width="9.140625" style="2139"/>
    <col min="12043" max="12043" width="12.7109375" style="2139" bestFit="1" customWidth="1"/>
    <col min="12044" max="12044" width="13.140625" style="2139" customWidth="1"/>
    <col min="12045" max="12288" width="9.140625" style="2139"/>
    <col min="12289" max="12289" width="4.7109375" style="2139" customWidth="1"/>
    <col min="12290" max="12290" width="6.7109375" style="2139" customWidth="1"/>
    <col min="12291" max="12291" width="8.85546875" style="2139" customWidth="1"/>
    <col min="12292" max="12292" width="46.42578125" style="2139" customWidth="1"/>
    <col min="12293" max="12293" width="12.85546875" style="2139" customWidth="1"/>
    <col min="12294" max="12294" width="15.5703125" style="2139" customWidth="1"/>
    <col min="12295" max="12295" width="15.85546875" style="2139" customWidth="1"/>
    <col min="12296" max="12296" width="6.42578125" style="2139" customWidth="1"/>
    <col min="12297" max="12297" width="14.28515625" style="2139" bestFit="1" customWidth="1"/>
    <col min="12298" max="12298" width="9.140625" style="2139"/>
    <col min="12299" max="12299" width="12.7109375" style="2139" bestFit="1" customWidth="1"/>
    <col min="12300" max="12300" width="13.140625" style="2139" customWidth="1"/>
    <col min="12301" max="12544" width="9.140625" style="2139"/>
    <col min="12545" max="12545" width="4.7109375" style="2139" customWidth="1"/>
    <col min="12546" max="12546" width="6.7109375" style="2139" customWidth="1"/>
    <col min="12547" max="12547" width="8.85546875" style="2139" customWidth="1"/>
    <col min="12548" max="12548" width="46.42578125" style="2139" customWidth="1"/>
    <col min="12549" max="12549" width="12.85546875" style="2139" customWidth="1"/>
    <col min="12550" max="12550" width="15.5703125" style="2139" customWidth="1"/>
    <col min="12551" max="12551" width="15.85546875" style="2139" customWidth="1"/>
    <col min="12552" max="12552" width="6.42578125" style="2139" customWidth="1"/>
    <col min="12553" max="12553" width="14.28515625" style="2139" bestFit="1" customWidth="1"/>
    <col min="12554" max="12554" width="9.140625" style="2139"/>
    <col min="12555" max="12555" width="12.7109375" style="2139" bestFit="1" customWidth="1"/>
    <col min="12556" max="12556" width="13.140625" style="2139" customWidth="1"/>
    <col min="12557" max="12800" width="9.140625" style="2139"/>
    <col min="12801" max="12801" width="4.7109375" style="2139" customWidth="1"/>
    <col min="12802" max="12802" width="6.7109375" style="2139" customWidth="1"/>
    <col min="12803" max="12803" width="8.85546875" style="2139" customWidth="1"/>
    <col min="12804" max="12804" width="46.42578125" style="2139" customWidth="1"/>
    <col min="12805" max="12805" width="12.85546875" style="2139" customWidth="1"/>
    <col min="12806" max="12806" width="15.5703125" style="2139" customWidth="1"/>
    <col min="12807" max="12807" width="15.85546875" style="2139" customWidth="1"/>
    <col min="12808" max="12808" width="6.42578125" style="2139" customWidth="1"/>
    <col min="12809" max="12809" width="14.28515625" style="2139" bestFit="1" customWidth="1"/>
    <col min="12810" max="12810" width="9.140625" style="2139"/>
    <col min="12811" max="12811" width="12.7109375" style="2139" bestFit="1" customWidth="1"/>
    <col min="12812" max="12812" width="13.140625" style="2139" customWidth="1"/>
    <col min="12813" max="13056" width="9.140625" style="2139"/>
    <col min="13057" max="13057" width="4.7109375" style="2139" customWidth="1"/>
    <col min="13058" max="13058" width="6.7109375" style="2139" customWidth="1"/>
    <col min="13059" max="13059" width="8.85546875" style="2139" customWidth="1"/>
    <col min="13060" max="13060" width="46.42578125" style="2139" customWidth="1"/>
    <col min="13061" max="13061" width="12.85546875" style="2139" customWidth="1"/>
    <col min="13062" max="13062" width="15.5703125" style="2139" customWidth="1"/>
    <col min="13063" max="13063" width="15.85546875" style="2139" customWidth="1"/>
    <col min="13064" max="13064" width="6.42578125" style="2139" customWidth="1"/>
    <col min="13065" max="13065" width="14.28515625" style="2139" bestFit="1" customWidth="1"/>
    <col min="13066" max="13066" width="9.140625" style="2139"/>
    <col min="13067" max="13067" width="12.7109375" style="2139" bestFit="1" customWidth="1"/>
    <col min="13068" max="13068" width="13.140625" style="2139" customWidth="1"/>
    <col min="13069" max="13312" width="9.140625" style="2139"/>
    <col min="13313" max="13313" width="4.7109375" style="2139" customWidth="1"/>
    <col min="13314" max="13314" width="6.7109375" style="2139" customWidth="1"/>
    <col min="13315" max="13315" width="8.85546875" style="2139" customWidth="1"/>
    <col min="13316" max="13316" width="46.42578125" style="2139" customWidth="1"/>
    <col min="13317" max="13317" width="12.85546875" style="2139" customWidth="1"/>
    <col min="13318" max="13318" width="15.5703125" style="2139" customWidth="1"/>
    <col min="13319" max="13319" width="15.85546875" style="2139" customWidth="1"/>
    <col min="13320" max="13320" width="6.42578125" style="2139" customWidth="1"/>
    <col min="13321" max="13321" width="14.28515625" style="2139" bestFit="1" customWidth="1"/>
    <col min="13322" max="13322" width="9.140625" style="2139"/>
    <col min="13323" max="13323" width="12.7109375" style="2139" bestFit="1" customWidth="1"/>
    <col min="13324" max="13324" width="13.140625" style="2139" customWidth="1"/>
    <col min="13325" max="13568" width="9.140625" style="2139"/>
    <col min="13569" max="13569" width="4.7109375" style="2139" customWidth="1"/>
    <col min="13570" max="13570" width="6.7109375" style="2139" customWidth="1"/>
    <col min="13571" max="13571" width="8.85546875" style="2139" customWidth="1"/>
    <col min="13572" max="13572" width="46.42578125" style="2139" customWidth="1"/>
    <col min="13573" max="13573" width="12.85546875" style="2139" customWidth="1"/>
    <col min="13574" max="13574" width="15.5703125" style="2139" customWidth="1"/>
    <col min="13575" max="13575" width="15.85546875" style="2139" customWidth="1"/>
    <col min="13576" max="13576" width="6.42578125" style="2139" customWidth="1"/>
    <col min="13577" max="13577" width="14.28515625" style="2139" bestFit="1" customWidth="1"/>
    <col min="13578" max="13578" width="9.140625" style="2139"/>
    <col min="13579" max="13579" width="12.7109375" style="2139" bestFit="1" customWidth="1"/>
    <col min="13580" max="13580" width="13.140625" style="2139" customWidth="1"/>
    <col min="13581" max="13824" width="9.140625" style="2139"/>
    <col min="13825" max="13825" width="4.7109375" style="2139" customWidth="1"/>
    <col min="13826" max="13826" width="6.7109375" style="2139" customWidth="1"/>
    <col min="13827" max="13827" width="8.85546875" style="2139" customWidth="1"/>
    <col min="13828" max="13828" width="46.42578125" style="2139" customWidth="1"/>
    <col min="13829" max="13829" width="12.85546875" style="2139" customWidth="1"/>
    <col min="13830" max="13830" width="15.5703125" style="2139" customWidth="1"/>
    <col min="13831" max="13831" width="15.85546875" style="2139" customWidth="1"/>
    <col min="13832" max="13832" width="6.42578125" style="2139" customWidth="1"/>
    <col min="13833" max="13833" width="14.28515625" style="2139" bestFit="1" customWidth="1"/>
    <col min="13834" max="13834" width="9.140625" style="2139"/>
    <col min="13835" max="13835" width="12.7109375" style="2139" bestFit="1" customWidth="1"/>
    <col min="13836" max="13836" width="13.140625" style="2139" customWidth="1"/>
    <col min="13837" max="14080" width="9.140625" style="2139"/>
    <col min="14081" max="14081" width="4.7109375" style="2139" customWidth="1"/>
    <col min="14082" max="14082" width="6.7109375" style="2139" customWidth="1"/>
    <col min="14083" max="14083" width="8.85546875" style="2139" customWidth="1"/>
    <col min="14084" max="14084" width="46.42578125" style="2139" customWidth="1"/>
    <col min="14085" max="14085" width="12.85546875" style="2139" customWidth="1"/>
    <col min="14086" max="14086" width="15.5703125" style="2139" customWidth="1"/>
    <col min="14087" max="14087" width="15.85546875" style="2139" customWidth="1"/>
    <col min="14088" max="14088" width="6.42578125" style="2139" customWidth="1"/>
    <col min="14089" max="14089" width="14.28515625" style="2139" bestFit="1" customWidth="1"/>
    <col min="14090" max="14090" width="9.140625" style="2139"/>
    <col min="14091" max="14091" width="12.7109375" style="2139" bestFit="1" customWidth="1"/>
    <col min="14092" max="14092" width="13.140625" style="2139" customWidth="1"/>
    <col min="14093" max="14336" width="9.140625" style="2139"/>
    <col min="14337" max="14337" width="4.7109375" style="2139" customWidth="1"/>
    <col min="14338" max="14338" width="6.7109375" style="2139" customWidth="1"/>
    <col min="14339" max="14339" width="8.85546875" style="2139" customWidth="1"/>
    <col min="14340" max="14340" width="46.42578125" style="2139" customWidth="1"/>
    <col min="14341" max="14341" width="12.85546875" style="2139" customWidth="1"/>
    <col min="14342" max="14342" width="15.5703125" style="2139" customWidth="1"/>
    <col min="14343" max="14343" width="15.85546875" style="2139" customWidth="1"/>
    <col min="14344" max="14344" width="6.42578125" style="2139" customWidth="1"/>
    <col min="14345" max="14345" width="14.28515625" style="2139" bestFit="1" customWidth="1"/>
    <col min="14346" max="14346" width="9.140625" style="2139"/>
    <col min="14347" max="14347" width="12.7109375" style="2139" bestFit="1" customWidth="1"/>
    <col min="14348" max="14348" width="13.140625" style="2139" customWidth="1"/>
    <col min="14349" max="14592" width="9.140625" style="2139"/>
    <col min="14593" max="14593" width="4.7109375" style="2139" customWidth="1"/>
    <col min="14594" max="14594" width="6.7109375" style="2139" customWidth="1"/>
    <col min="14595" max="14595" width="8.85546875" style="2139" customWidth="1"/>
    <col min="14596" max="14596" width="46.42578125" style="2139" customWidth="1"/>
    <col min="14597" max="14597" width="12.85546875" style="2139" customWidth="1"/>
    <col min="14598" max="14598" width="15.5703125" style="2139" customWidth="1"/>
    <col min="14599" max="14599" width="15.85546875" style="2139" customWidth="1"/>
    <col min="14600" max="14600" width="6.42578125" style="2139" customWidth="1"/>
    <col min="14601" max="14601" width="14.28515625" style="2139" bestFit="1" customWidth="1"/>
    <col min="14602" max="14602" width="9.140625" style="2139"/>
    <col min="14603" max="14603" width="12.7109375" style="2139" bestFit="1" customWidth="1"/>
    <col min="14604" max="14604" width="13.140625" style="2139" customWidth="1"/>
    <col min="14605" max="14848" width="9.140625" style="2139"/>
    <col min="14849" max="14849" width="4.7109375" style="2139" customWidth="1"/>
    <col min="14850" max="14850" width="6.7109375" style="2139" customWidth="1"/>
    <col min="14851" max="14851" width="8.85546875" style="2139" customWidth="1"/>
    <col min="14852" max="14852" width="46.42578125" style="2139" customWidth="1"/>
    <col min="14853" max="14853" width="12.85546875" style="2139" customWidth="1"/>
    <col min="14854" max="14854" width="15.5703125" style="2139" customWidth="1"/>
    <col min="14855" max="14855" width="15.85546875" style="2139" customWidth="1"/>
    <col min="14856" max="14856" width="6.42578125" style="2139" customWidth="1"/>
    <col min="14857" max="14857" width="14.28515625" style="2139" bestFit="1" customWidth="1"/>
    <col min="14858" max="14858" width="9.140625" style="2139"/>
    <col min="14859" max="14859" width="12.7109375" style="2139" bestFit="1" customWidth="1"/>
    <col min="14860" max="14860" width="13.140625" style="2139" customWidth="1"/>
    <col min="14861" max="15104" width="9.140625" style="2139"/>
    <col min="15105" max="15105" width="4.7109375" style="2139" customWidth="1"/>
    <col min="15106" max="15106" width="6.7109375" style="2139" customWidth="1"/>
    <col min="15107" max="15107" width="8.85546875" style="2139" customWidth="1"/>
    <col min="15108" max="15108" width="46.42578125" style="2139" customWidth="1"/>
    <col min="15109" max="15109" width="12.85546875" style="2139" customWidth="1"/>
    <col min="15110" max="15110" width="15.5703125" style="2139" customWidth="1"/>
    <col min="15111" max="15111" width="15.85546875" style="2139" customWidth="1"/>
    <col min="15112" max="15112" width="6.42578125" style="2139" customWidth="1"/>
    <col min="15113" max="15113" width="14.28515625" style="2139" bestFit="1" customWidth="1"/>
    <col min="15114" max="15114" width="9.140625" style="2139"/>
    <col min="15115" max="15115" width="12.7109375" style="2139" bestFit="1" customWidth="1"/>
    <col min="15116" max="15116" width="13.140625" style="2139" customWidth="1"/>
    <col min="15117" max="15360" width="9.140625" style="2139"/>
    <col min="15361" max="15361" width="4.7109375" style="2139" customWidth="1"/>
    <col min="15362" max="15362" width="6.7109375" style="2139" customWidth="1"/>
    <col min="15363" max="15363" width="8.85546875" style="2139" customWidth="1"/>
    <col min="15364" max="15364" width="46.42578125" style="2139" customWidth="1"/>
    <col min="15365" max="15365" width="12.85546875" style="2139" customWidth="1"/>
    <col min="15366" max="15366" width="15.5703125" style="2139" customWidth="1"/>
    <col min="15367" max="15367" width="15.85546875" style="2139" customWidth="1"/>
    <col min="15368" max="15368" width="6.42578125" style="2139" customWidth="1"/>
    <col min="15369" max="15369" width="14.28515625" style="2139" bestFit="1" customWidth="1"/>
    <col min="15370" max="15370" width="9.140625" style="2139"/>
    <col min="15371" max="15371" width="12.7109375" style="2139" bestFit="1" customWidth="1"/>
    <col min="15372" max="15372" width="13.140625" style="2139" customWidth="1"/>
    <col min="15373" max="15616" width="9.140625" style="2139"/>
    <col min="15617" max="15617" width="4.7109375" style="2139" customWidth="1"/>
    <col min="15618" max="15618" width="6.7109375" style="2139" customWidth="1"/>
    <col min="15619" max="15619" width="8.85546875" style="2139" customWidth="1"/>
    <col min="15620" max="15620" width="46.42578125" style="2139" customWidth="1"/>
    <col min="15621" max="15621" width="12.85546875" style="2139" customWidth="1"/>
    <col min="15622" max="15622" width="15.5703125" style="2139" customWidth="1"/>
    <col min="15623" max="15623" width="15.85546875" style="2139" customWidth="1"/>
    <col min="15624" max="15624" width="6.42578125" style="2139" customWidth="1"/>
    <col min="15625" max="15625" width="14.28515625" style="2139" bestFit="1" customWidth="1"/>
    <col min="15626" max="15626" width="9.140625" style="2139"/>
    <col min="15627" max="15627" width="12.7109375" style="2139" bestFit="1" customWidth="1"/>
    <col min="15628" max="15628" width="13.140625" style="2139" customWidth="1"/>
    <col min="15629" max="15872" width="9.140625" style="2139"/>
    <col min="15873" max="15873" width="4.7109375" style="2139" customWidth="1"/>
    <col min="15874" max="15874" width="6.7109375" style="2139" customWidth="1"/>
    <col min="15875" max="15875" width="8.85546875" style="2139" customWidth="1"/>
    <col min="15876" max="15876" width="46.42578125" style="2139" customWidth="1"/>
    <col min="15877" max="15877" width="12.85546875" style="2139" customWidth="1"/>
    <col min="15878" max="15878" width="15.5703125" style="2139" customWidth="1"/>
    <col min="15879" max="15879" width="15.85546875" style="2139" customWidth="1"/>
    <col min="15880" max="15880" width="6.42578125" style="2139" customWidth="1"/>
    <col min="15881" max="15881" width="14.28515625" style="2139" bestFit="1" customWidth="1"/>
    <col min="15882" max="15882" width="9.140625" style="2139"/>
    <col min="15883" max="15883" width="12.7109375" style="2139" bestFit="1" customWidth="1"/>
    <col min="15884" max="15884" width="13.140625" style="2139" customWidth="1"/>
    <col min="15885" max="16128" width="9.140625" style="2139"/>
    <col min="16129" max="16129" width="4.7109375" style="2139" customWidth="1"/>
    <col min="16130" max="16130" width="6.7109375" style="2139" customWidth="1"/>
    <col min="16131" max="16131" width="8.85546875" style="2139" customWidth="1"/>
    <col min="16132" max="16132" width="46.42578125" style="2139" customWidth="1"/>
    <col min="16133" max="16133" width="12.85546875" style="2139" customWidth="1"/>
    <col min="16134" max="16134" width="15.5703125" style="2139" customWidth="1"/>
    <col min="16135" max="16135" width="15.85546875" style="2139" customWidth="1"/>
    <col min="16136" max="16136" width="6.42578125" style="2139" customWidth="1"/>
    <col min="16137" max="16137" width="14.28515625" style="2139" bestFit="1" customWidth="1"/>
    <col min="16138" max="16138" width="9.140625" style="2139"/>
    <col min="16139" max="16139" width="12.7109375" style="2139" bestFit="1" customWidth="1"/>
    <col min="16140" max="16140" width="13.140625" style="2139" customWidth="1"/>
    <col min="16141" max="16384" width="9.140625" style="2139"/>
  </cols>
  <sheetData>
    <row r="1" spans="1:8" ht="19.5" customHeight="1" thickBot="1" x14ac:dyDescent="0.3">
      <c r="A1" s="2133" t="s">
        <v>1695</v>
      </c>
      <c r="B1" s="2134"/>
      <c r="C1" s="2135"/>
      <c r="D1" s="2136"/>
      <c r="E1" s="2137"/>
      <c r="F1" s="2136"/>
      <c r="G1" s="2138"/>
      <c r="H1" s="2133"/>
    </row>
    <row r="2" spans="1:8" ht="18" x14ac:dyDescent="0.25">
      <c r="A2" s="2140"/>
      <c r="B2" s="2141"/>
      <c r="C2" s="2141"/>
      <c r="D2" s="2141"/>
      <c r="E2" s="2141"/>
      <c r="F2" s="2141"/>
      <c r="G2" s="2141"/>
      <c r="H2" s="2142" t="s">
        <v>1696</v>
      </c>
    </row>
    <row r="3" spans="1:8" ht="18" x14ac:dyDescent="0.25">
      <c r="A3" s="2143" t="s">
        <v>387</v>
      </c>
      <c r="B3" s="2141"/>
      <c r="C3" s="2144" t="s">
        <v>363</v>
      </c>
      <c r="D3" s="2141"/>
      <c r="E3" s="2141"/>
      <c r="F3" s="2141"/>
      <c r="G3" s="2141"/>
      <c r="H3" s="2142"/>
    </row>
    <row r="4" spans="1:8" ht="18" x14ac:dyDescent="0.25">
      <c r="A4" s="2140"/>
      <c r="B4" s="2141"/>
      <c r="C4" s="2144" t="s">
        <v>364</v>
      </c>
      <c r="D4" s="2141"/>
      <c r="E4" s="2141"/>
      <c r="F4" s="2141"/>
      <c r="G4" s="2141"/>
      <c r="H4" s="2142"/>
    </row>
    <row r="5" spans="1:8" ht="18" x14ac:dyDescent="0.25">
      <c r="A5" s="2145" t="s">
        <v>1697</v>
      </c>
      <c r="B5" s="2141"/>
      <c r="C5" s="2141"/>
      <c r="D5" s="2141"/>
      <c r="E5" s="2141"/>
      <c r="F5" s="2141"/>
      <c r="G5" s="2141"/>
      <c r="H5" s="2142"/>
    </row>
    <row r="6" spans="1:8" ht="18" x14ac:dyDescent="0.25">
      <c r="A6" s="2145"/>
      <c r="B6" s="2141"/>
      <c r="C6" s="2141"/>
      <c r="D6" s="2141"/>
      <c r="E6" s="2141"/>
      <c r="F6" s="2141"/>
      <c r="G6" s="2141"/>
      <c r="H6" s="2142"/>
    </row>
    <row r="7" spans="1:8" ht="18" x14ac:dyDescent="0.25">
      <c r="A7" s="2145"/>
      <c r="B7" s="2141"/>
      <c r="C7" s="2141"/>
      <c r="D7" s="2141"/>
      <c r="E7" s="2141"/>
      <c r="F7" s="2141"/>
      <c r="G7" s="2141"/>
      <c r="H7" s="2142"/>
    </row>
    <row r="8" spans="1:8" ht="15" x14ac:dyDescent="0.25">
      <c r="A8" s="2220" t="s">
        <v>1698</v>
      </c>
      <c r="B8" s="2141"/>
      <c r="C8" s="2141"/>
      <c r="D8" s="2141"/>
    </row>
    <row r="9" spans="1:8" ht="15.75" thickBot="1" x14ac:dyDescent="0.3">
      <c r="A9" s="2221" t="s">
        <v>1694</v>
      </c>
      <c r="B9" s="2222"/>
      <c r="C9" s="2222"/>
      <c r="H9" s="2148" t="s">
        <v>173</v>
      </c>
    </row>
    <row r="10" spans="1:8" s="2223" customFormat="1" ht="25.5" thickTop="1" thickBot="1" x14ac:dyDescent="0.25">
      <c r="A10" s="2149" t="s">
        <v>174</v>
      </c>
      <c r="B10" s="2150" t="s">
        <v>800</v>
      </c>
      <c r="C10" s="2150" t="s">
        <v>397</v>
      </c>
      <c r="D10" s="2151" t="s">
        <v>176</v>
      </c>
      <c r="E10" s="2152" t="s">
        <v>669</v>
      </c>
      <c r="F10" s="2152" t="s">
        <v>670</v>
      </c>
      <c r="G10" s="2153" t="s">
        <v>923</v>
      </c>
      <c r="H10" s="2154" t="s">
        <v>924</v>
      </c>
    </row>
    <row r="11" spans="1:8" s="2223" customFormat="1" ht="13.5" thickTop="1" thickBot="1" x14ac:dyDescent="0.25">
      <c r="A11" s="2155">
        <v>1</v>
      </c>
      <c r="B11" s="2156">
        <v>2</v>
      </c>
      <c r="C11" s="2156">
        <v>3</v>
      </c>
      <c r="D11" s="2156">
        <v>4</v>
      </c>
      <c r="E11" s="2157">
        <v>5</v>
      </c>
      <c r="F11" s="2157">
        <v>6</v>
      </c>
      <c r="G11" s="2158">
        <v>7</v>
      </c>
      <c r="H11" s="2159" t="s">
        <v>61</v>
      </c>
    </row>
    <row r="12" spans="1:8" s="2225" customFormat="1" ht="15.75" hidden="1" thickTop="1" x14ac:dyDescent="0.2">
      <c r="A12" s="2165">
        <v>3299</v>
      </c>
      <c r="B12" s="2166">
        <v>5137</v>
      </c>
      <c r="C12" s="2224">
        <v>32133007</v>
      </c>
      <c r="D12" s="2167" t="s">
        <v>167</v>
      </c>
      <c r="E12" s="2168">
        <v>0</v>
      </c>
      <c r="F12" s="2168">
        <v>0</v>
      </c>
      <c r="G12" s="2168">
        <v>0</v>
      </c>
      <c r="H12" s="2169" t="e">
        <f>G12/F12*100</f>
        <v>#DIV/0!</v>
      </c>
    </row>
    <row r="13" spans="1:8" s="2225" customFormat="1" ht="15.75" hidden="1" thickTop="1" x14ac:dyDescent="0.2">
      <c r="A13" s="2165">
        <v>3299</v>
      </c>
      <c r="B13" s="2166">
        <v>5137</v>
      </c>
      <c r="C13" s="2224">
        <v>32533007</v>
      </c>
      <c r="D13" s="2167" t="s">
        <v>645</v>
      </c>
      <c r="E13" s="2168">
        <v>0</v>
      </c>
      <c r="F13" s="2168">
        <v>0</v>
      </c>
      <c r="G13" s="2168">
        <v>0</v>
      </c>
      <c r="H13" s="2169" t="e">
        <f>G13/F13*100</f>
        <v>#DIV/0!</v>
      </c>
    </row>
    <row r="14" spans="1:8" s="2225" customFormat="1" ht="15.75" hidden="1" thickTop="1" x14ac:dyDescent="0.2">
      <c r="A14" s="2165">
        <v>3299</v>
      </c>
      <c r="B14" s="2166">
        <v>5139</v>
      </c>
      <c r="C14" s="2224">
        <v>38100880</v>
      </c>
      <c r="D14" s="2167" t="s">
        <v>284</v>
      </c>
      <c r="E14" s="2168"/>
      <c r="F14" s="2168"/>
      <c r="G14" s="2168"/>
      <c r="H14" s="2169" t="e">
        <f>G14/F14*100</f>
        <v>#DIV/0!</v>
      </c>
    </row>
    <row r="15" spans="1:8" s="2225" customFormat="1" ht="15.75" hidden="1" thickTop="1" x14ac:dyDescent="0.2">
      <c r="A15" s="2165">
        <v>3299</v>
      </c>
      <c r="B15" s="2166">
        <v>5139</v>
      </c>
      <c r="C15" s="2224">
        <v>38100882</v>
      </c>
      <c r="D15" s="2167" t="s">
        <v>284</v>
      </c>
      <c r="E15" s="2168"/>
      <c r="F15" s="2168"/>
      <c r="G15" s="2168"/>
      <c r="H15" s="2169">
        <v>0</v>
      </c>
    </row>
    <row r="16" spans="1:8" s="2225" customFormat="1" ht="15.75" hidden="1" thickTop="1" x14ac:dyDescent="0.2">
      <c r="A16" s="2165">
        <v>3299</v>
      </c>
      <c r="B16" s="2166">
        <v>5139</v>
      </c>
      <c r="C16" s="2224">
        <v>38500881</v>
      </c>
      <c r="D16" s="2167" t="s">
        <v>284</v>
      </c>
      <c r="E16" s="2168"/>
      <c r="F16" s="2168"/>
      <c r="G16" s="2168"/>
      <c r="H16" s="2169" t="e">
        <f>G16/F16*100</f>
        <v>#DIV/0!</v>
      </c>
    </row>
    <row r="17" spans="1:8" s="2225" customFormat="1" ht="15.75" hidden="1" thickTop="1" x14ac:dyDescent="0.2">
      <c r="A17" s="2165">
        <v>3299</v>
      </c>
      <c r="B17" s="2166">
        <v>5162</v>
      </c>
      <c r="C17" s="2224">
        <v>38100880</v>
      </c>
      <c r="D17" s="2167" t="s">
        <v>904</v>
      </c>
      <c r="E17" s="2168"/>
      <c r="F17" s="2168"/>
      <c r="G17" s="2168"/>
      <c r="H17" s="2169" t="e">
        <f>G17/F17*100</f>
        <v>#DIV/0!</v>
      </c>
    </row>
    <row r="18" spans="1:8" s="2225" customFormat="1" ht="15.75" hidden="1" thickTop="1" x14ac:dyDescent="0.2">
      <c r="A18" s="2165">
        <v>3299</v>
      </c>
      <c r="B18" s="2166">
        <v>5162</v>
      </c>
      <c r="C18" s="2224">
        <v>38100882</v>
      </c>
      <c r="D18" s="2167" t="s">
        <v>904</v>
      </c>
      <c r="E18" s="2168"/>
      <c r="F18" s="2168"/>
      <c r="G18" s="2168"/>
      <c r="H18" s="2169">
        <v>0</v>
      </c>
    </row>
    <row r="19" spans="1:8" s="2227" customFormat="1" ht="15.75" hidden="1" thickTop="1" x14ac:dyDescent="0.2">
      <c r="A19" s="2165">
        <v>3299</v>
      </c>
      <c r="B19" s="2226">
        <v>5162</v>
      </c>
      <c r="C19" s="2224">
        <v>38500881</v>
      </c>
      <c r="D19" s="2167" t="s">
        <v>904</v>
      </c>
      <c r="E19" s="2168"/>
      <c r="F19" s="2168"/>
      <c r="G19" s="2168"/>
      <c r="H19" s="2169" t="e">
        <f>G19/F19*100</f>
        <v>#DIV/0!</v>
      </c>
    </row>
    <row r="20" spans="1:8" s="2227" customFormat="1" ht="15.75" hidden="1" thickTop="1" x14ac:dyDescent="0.2">
      <c r="A20" s="2165">
        <v>3299</v>
      </c>
      <c r="B20" s="2226">
        <v>5163</v>
      </c>
      <c r="C20" s="2224">
        <v>38100880</v>
      </c>
      <c r="D20" s="2167" t="s">
        <v>934</v>
      </c>
      <c r="E20" s="2168">
        <v>0</v>
      </c>
      <c r="F20" s="2168">
        <v>0</v>
      </c>
      <c r="G20" s="2168">
        <v>0</v>
      </c>
      <c r="H20" s="2169">
        <v>0</v>
      </c>
    </row>
    <row r="21" spans="1:8" ht="15.75" hidden="1" thickTop="1" x14ac:dyDescent="0.2">
      <c r="A21" s="2165">
        <v>3299</v>
      </c>
      <c r="B21" s="2226">
        <v>5163</v>
      </c>
      <c r="C21" s="2224">
        <v>38100882</v>
      </c>
      <c r="D21" s="2167" t="s">
        <v>934</v>
      </c>
      <c r="E21" s="2168"/>
      <c r="F21" s="2168"/>
      <c r="G21" s="2168"/>
      <c r="H21" s="2169">
        <v>0</v>
      </c>
    </row>
    <row r="22" spans="1:8" ht="15.75" hidden="1" thickTop="1" x14ac:dyDescent="0.2">
      <c r="A22" s="2165">
        <v>3299</v>
      </c>
      <c r="B22" s="2226">
        <v>5163</v>
      </c>
      <c r="C22" s="2224">
        <v>38500881</v>
      </c>
      <c r="D22" s="2167" t="s">
        <v>934</v>
      </c>
      <c r="E22" s="2168">
        <v>0</v>
      </c>
      <c r="F22" s="2168">
        <v>0</v>
      </c>
      <c r="G22" s="2168">
        <v>0</v>
      </c>
      <c r="H22" s="2169" t="e">
        <f>G22/F22*100</f>
        <v>#DIV/0!</v>
      </c>
    </row>
    <row r="23" spans="1:8" ht="15.75" thickTop="1" x14ac:dyDescent="0.2">
      <c r="A23" s="2165">
        <v>3299</v>
      </c>
      <c r="B23" s="2226">
        <v>5164</v>
      </c>
      <c r="C23" s="2224">
        <v>32133007</v>
      </c>
      <c r="D23" s="2167" t="s">
        <v>182</v>
      </c>
      <c r="E23" s="2168">
        <v>0</v>
      </c>
      <c r="F23" s="2168">
        <v>3</v>
      </c>
      <c r="G23" s="2168">
        <v>0</v>
      </c>
      <c r="H23" s="2169">
        <f>G23/F23*100</f>
        <v>0</v>
      </c>
    </row>
    <row r="24" spans="1:8" ht="15" x14ac:dyDescent="0.2">
      <c r="A24" s="2165">
        <v>3299</v>
      </c>
      <c r="B24" s="2226">
        <v>5164</v>
      </c>
      <c r="C24" s="2224">
        <v>32533007</v>
      </c>
      <c r="D24" s="2167" t="s">
        <v>182</v>
      </c>
      <c r="E24" s="2168">
        <v>0</v>
      </c>
      <c r="F24" s="2168">
        <v>16</v>
      </c>
      <c r="G24" s="2168">
        <v>0</v>
      </c>
      <c r="H24" s="2169">
        <f t="shared" ref="H24:H37" si="0">G24/F24*100</f>
        <v>0</v>
      </c>
    </row>
    <row r="25" spans="1:8" ht="15" hidden="1" x14ac:dyDescent="0.2">
      <c r="A25" s="2165">
        <v>3299</v>
      </c>
      <c r="B25" s="2226">
        <v>5164</v>
      </c>
      <c r="C25" s="2224">
        <v>38500881</v>
      </c>
      <c r="D25" s="2167" t="s">
        <v>182</v>
      </c>
      <c r="E25" s="2168">
        <v>0</v>
      </c>
      <c r="F25" s="2168">
        <v>0</v>
      </c>
      <c r="G25" s="2168">
        <v>0</v>
      </c>
      <c r="H25" s="2169" t="e">
        <f t="shared" si="0"/>
        <v>#DIV/0!</v>
      </c>
    </row>
    <row r="26" spans="1:8" ht="15" hidden="1" x14ac:dyDescent="0.2">
      <c r="A26" s="2165">
        <v>3299</v>
      </c>
      <c r="B26" s="2226">
        <v>5166</v>
      </c>
      <c r="C26" s="2224">
        <v>38100880</v>
      </c>
      <c r="D26" s="2167" t="s">
        <v>646</v>
      </c>
      <c r="E26" s="2168">
        <v>0</v>
      </c>
      <c r="F26" s="2168">
        <v>0</v>
      </c>
      <c r="G26" s="2168">
        <v>0</v>
      </c>
      <c r="H26" s="2169" t="e">
        <f t="shared" si="0"/>
        <v>#DIV/0!</v>
      </c>
    </row>
    <row r="27" spans="1:8" ht="15" hidden="1" x14ac:dyDescent="0.2">
      <c r="A27" s="2165">
        <v>3299</v>
      </c>
      <c r="B27" s="2226">
        <v>5166</v>
      </c>
      <c r="C27" s="2224">
        <v>38100882</v>
      </c>
      <c r="D27" s="2167" t="s">
        <v>646</v>
      </c>
      <c r="E27" s="2168"/>
      <c r="F27" s="2168"/>
      <c r="G27" s="2168"/>
      <c r="H27" s="2169" t="e">
        <f t="shared" si="0"/>
        <v>#DIV/0!</v>
      </c>
    </row>
    <row r="28" spans="1:8" ht="15" hidden="1" x14ac:dyDescent="0.2">
      <c r="A28" s="2165">
        <v>3299</v>
      </c>
      <c r="B28" s="2226">
        <v>5166</v>
      </c>
      <c r="C28" s="2224">
        <v>38500881</v>
      </c>
      <c r="D28" s="2167" t="s">
        <v>646</v>
      </c>
      <c r="E28" s="2168">
        <v>0</v>
      </c>
      <c r="F28" s="2168">
        <v>0</v>
      </c>
      <c r="G28" s="2168">
        <v>0</v>
      </c>
      <c r="H28" s="2169" t="e">
        <f t="shared" si="0"/>
        <v>#DIV/0!</v>
      </c>
    </row>
    <row r="29" spans="1:8" ht="15" hidden="1" x14ac:dyDescent="0.2">
      <c r="A29" s="2165">
        <v>3299</v>
      </c>
      <c r="B29" s="2226">
        <v>5167</v>
      </c>
      <c r="C29" s="2224">
        <v>38100880</v>
      </c>
      <c r="D29" s="2167" t="s">
        <v>315</v>
      </c>
      <c r="E29" s="2168"/>
      <c r="F29" s="2168"/>
      <c r="G29" s="2168"/>
      <c r="H29" s="2169" t="e">
        <f t="shared" si="0"/>
        <v>#DIV/0!</v>
      </c>
    </row>
    <row r="30" spans="1:8" ht="15" hidden="1" x14ac:dyDescent="0.2">
      <c r="A30" s="2165">
        <v>3299</v>
      </c>
      <c r="B30" s="2226">
        <v>5167</v>
      </c>
      <c r="C30" s="2224">
        <v>38100882</v>
      </c>
      <c r="D30" s="2167" t="s">
        <v>315</v>
      </c>
      <c r="E30" s="2168"/>
      <c r="F30" s="2168"/>
      <c r="G30" s="2168"/>
      <c r="H30" s="2169" t="e">
        <f t="shared" si="0"/>
        <v>#DIV/0!</v>
      </c>
    </row>
    <row r="31" spans="1:8" ht="15" hidden="1" x14ac:dyDescent="0.2">
      <c r="A31" s="2165">
        <v>3299</v>
      </c>
      <c r="B31" s="2226">
        <v>5167</v>
      </c>
      <c r="C31" s="2224">
        <v>38500881</v>
      </c>
      <c r="D31" s="2167" t="s">
        <v>315</v>
      </c>
      <c r="E31" s="2168"/>
      <c r="F31" s="2168"/>
      <c r="G31" s="2168"/>
      <c r="H31" s="2169" t="e">
        <f t="shared" si="0"/>
        <v>#DIV/0!</v>
      </c>
    </row>
    <row r="32" spans="1:8" ht="15" hidden="1" x14ac:dyDescent="0.2">
      <c r="A32" s="2165">
        <v>3299</v>
      </c>
      <c r="B32" s="2226">
        <v>5169</v>
      </c>
      <c r="C32" s="2224">
        <v>38100880</v>
      </c>
      <c r="D32" s="2167" t="s">
        <v>892</v>
      </c>
      <c r="E32" s="2168">
        <v>0</v>
      </c>
      <c r="F32" s="2168">
        <v>0</v>
      </c>
      <c r="G32" s="2168">
        <v>0</v>
      </c>
      <c r="H32" s="2169" t="e">
        <f t="shared" si="0"/>
        <v>#DIV/0!</v>
      </c>
    </row>
    <row r="33" spans="1:9" ht="15" hidden="1" x14ac:dyDescent="0.2">
      <c r="A33" s="2165">
        <v>3299</v>
      </c>
      <c r="B33" s="2226">
        <v>5169</v>
      </c>
      <c r="C33" s="2224">
        <v>38100882</v>
      </c>
      <c r="D33" s="2167" t="s">
        <v>892</v>
      </c>
      <c r="E33" s="2168"/>
      <c r="F33" s="2168"/>
      <c r="G33" s="2168"/>
      <c r="H33" s="2169" t="e">
        <f t="shared" si="0"/>
        <v>#DIV/0!</v>
      </c>
    </row>
    <row r="34" spans="1:9" ht="15" hidden="1" x14ac:dyDescent="0.2">
      <c r="A34" s="2165">
        <v>3299</v>
      </c>
      <c r="B34" s="2226">
        <v>5169</v>
      </c>
      <c r="C34" s="2224">
        <v>38500881</v>
      </c>
      <c r="D34" s="2167" t="s">
        <v>892</v>
      </c>
      <c r="E34" s="2168">
        <v>0</v>
      </c>
      <c r="F34" s="2168">
        <v>0</v>
      </c>
      <c r="G34" s="2168">
        <v>0</v>
      </c>
      <c r="H34" s="2169" t="e">
        <f t="shared" si="0"/>
        <v>#DIV/0!</v>
      </c>
    </row>
    <row r="35" spans="1:9" ht="15" hidden="1" x14ac:dyDescent="0.2">
      <c r="A35" s="2165">
        <v>3299</v>
      </c>
      <c r="B35" s="2226">
        <v>5173</v>
      </c>
      <c r="C35" s="2224">
        <v>38100880</v>
      </c>
      <c r="D35" s="2167" t="s">
        <v>1211</v>
      </c>
      <c r="E35" s="2168">
        <v>0</v>
      </c>
      <c r="F35" s="2168">
        <v>0</v>
      </c>
      <c r="G35" s="2168">
        <v>0</v>
      </c>
      <c r="H35" s="2169" t="e">
        <f t="shared" si="0"/>
        <v>#DIV/0!</v>
      </c>
    </row>
    <row r="36" spans="1:9" ht="15" hidden="1" x14ac:dyDescent="0.2">
      <c r="A36" s="2165">
        <v>3299</v>
      </c>
      <c r="B36" s="2226">
        <v>5173</v>
      </c>
      <c r="C36" s="2224">
        <v>38100882</v>
      </c>
      <c r="D36" s="2167" t="s">
        <v>1211</v>
      </c>
      <c r="E36" s="2168"/>
      <c r="F36" s="2168"/>
      <c r="G36" s="2168"/>
      <c r="H36" s="2169" t="e">
        <f t="shared" si="0"/>
        <v>#DIV/0!</v>
      </c>
    </row>
    <row r="37" spans="1:9" ht="15" hidden="1" x14ac:dyDescent="0.2">
      <c r="A37" s="2165">
        <v>3299</v>
      </c>
      <c r="B37" s="2226">
        <v>5173</v>
      </c>
      <c r="C37" s="2224">
        <v>38500881</v>
      </c>
      <c r="D37" s="2167" t="s">
        <v>1211</v>
      </c>
      <c r="E37" s="2168">
        <v>0</v>
      </c>
      <c r="F37" s="2168">
        <v>0</v>
      </c>
      <c r="G37" s="2168">
        <v>0</v>
      </c>
      <c r="H37" s="2169" t="e">
        <f t="shared" si="0"/>
        <v>#DIV/0!</v>
      </c>
    </row>
    <row r="38" spans="1:9" ht="15" x14ac:dyDescent="0.2">
      <c r="A38" s="2165">
        <v>3299</v>
      </c>
      <c r="B38" s="2226">
        <v>5175</v>
      </c>
      <c r="C38" s="2224">
        <v>32133007</v>
      </c>
      <c r="D38" s="2167" t="s">
        <v>707</v>
      </c>
      <c r="E38" s="2168">
        <v>0</v>
      </c>
      <c r="F38" s="2168">
        <v>11</v>
      </c>
      <c r="G38" s="2168">
        <v>3</v>
      </c>
      <c r="H38" s="2169">
        <f>G38/F38*100</f>
        <v>27.27272727272727</v>
      </c>
    </row>
    <row r="39" spans="1:9" ht="15" hidden="1" x14ac:dyDescent="0.2">
      <c r="A39" s="2165">
        <v>3299</v>
      </c>
      <c r="B39" s="2226">
        <v>5175</v>
      </c>
      <c r="C39" s="2224">
        <v>38100882</v>
      </c>
      <c r="D39" s="2167" t="s">
        <v>707</v>
      </c>
      <c r="E39" s="2168"/>
      <c r="F39" s="2168"/>
      <c r="G39" s="2168"/>
      <c r="H39" s="2169">
        <v>0</v>
      </c>
    </row>
    <row r="40" spans="1:9" ht="15" x14ac:dyDescent="0.2">
      <c r="A40" s="2165">
        <v>3299</v>
      </c>
      <c r="B40" s="2226">
        <v>5175</v>
      </c>
      <c r="C40" s="2224">
        <v>32533007</v>
      </c>
      <c r="D40" s="2167" t="s">
        <v>707</v>
      </c>
      <c r="E40" s="2168">
        <v>0</v>
      </c>
      <c r="F40" s="2168">
        <v>61</v>
      </c>
      <c r="G40" s="2168">
        <v>18</v>
      </c>
      <c r="H40" s="2169">
        <f>G40/F40*100</f>
        <v>29.508196721311474</v>
      </c>
    </row>
    <row r="41" spans="1:9" ht="15" hidden="1" x14ac:dyDescent="0.2">
      <c r="A41" s="2165">
        <v>3299</v>
      </c>
      <c r="B41" s="2166">
        <v>5176</v>
      </c>
      <c r="C41" s="2224">
        <v>38100880</v>
      </c>
      <c r="D41" s="2167" t="s">
        <v>1309</v>
      </c>
      <c r="E41" s="2168"/>
      <c r="F41" s="2168"/>
      <c r="G41" s="2168"/>
      <c r="H41" s="2169" t="e">
        <f>G41/F41*100</f>
        <v>#DIV/0!</v>
      </c>
    </row>
    <row r="42" spans="1:9" ht="15" hidden="1" x14ac:dyDescent="0.2">
      <c r="A42" s="2165">
        <v>3299</v>
      </c>
      <c r="B42" s="2166">
        <v>5176</v>
      </c>
      <c r="C42" s="2224">
        <v>38100881</v>
      </c>
      <c r="D42" s="2167" t="s">
        <v>1309</v>
      </c>
      <c r="E42" s="2168"/>
      <c r="F42" s="2168"/>
      <c r="G42" s="2168"/>
      <c r="H42" s="2169" t="e">
        <f>G42/F42*100</f>
        <v>#DIV/0!</v>
      </c>
    </row>
    <row r="43" spans="1:9" ht="15" hidden="1" x14ac:dyDescent="0.2">
      <c r="A43" s="2165">
        <v>3299</v>
      </c>
      <c r="B43" s="2166">
        <v>6111</v>
      </c>
      <c r="C43" s="2224">
        <v>38100880</v>
      </c>
      <c r="D43" s="2167" t="s">
        <v>939</v>
      </c>
      <c r="E43" s="2168"/>
      <c r="F43" s="2168"/>
      <c r="G43" s="2168"/>
      <c r="H43" s="2169" t="e">
        <f>G43/F43*100</f>
        <v>#DIV/0!</v>
      </c>
    </row>
    <row r="44" spans="1:9" ht="15" hidden="1" x14ac:dyDescent="0.2">
      <c r="A44" s="2165">
        <v>3299</v>
      </c>
      <c r="B44" s="2166">
        <v>6111</v>
      </c>
      <c r="C44" s="2224">
        <v>38100882</v>
      </c>
      <c r="D44" s="2167" t="s">
        <v>939</v>
      </c>
      <c r="E44" s="2168"/>
      <c r="F44" s="2168"/>
      <c r="G44" s="2168"/>
      <c r="H44" s="2169">
        <v>0</v>
      </c>
    </row>
    <row r="45" spans="1:9" s="2227" customFormat="1" ht="15" hidden="1" x14ac:dyDescent="0.2">
      <c r="A45" s="2165">
        <v>3299</v>
      </c>
      <c r="B45" s="2166">
        <v>6111</v>
      </c>
      <c r="C45" s="2224">
        <v>38500881</v>
      </c>
      <c r="D45" s="2167" t="s">
        <v>939</v>
      </c>
      <c r="E45" s="2168"/>
      <c r="F45" s="2168"/>
      <c r="G45" s="2168"/>
      <c r="H45" s="2169" t="e">
        <f>G45/F45*100</f>
        <v>#DIV/0!</v>
      </c>
    </row>
    <row r="46" spans="1:9" s="2227" customFormat="1" ht="15" hidden="1" x14ac:dyDescent="0.2">
      <c r="A46" s="2165">
        <v>6409</v>
      </c>
      <c r="B46" s="2166">
        <v>5909</v>
      </c>
      <c r="C46" s="2224">
        <v>0</v>
      </c>
      <c r="D46" s="2167"/>
      <c r="E46" s="2168"/>
      <c r="F46" s="2168"/>
      <c r="G46" s="2168"/>
      <c r="H46" s="2169"/>
    </row>
    <row r="47" spans="1:9" s="2227" customFormat="1" ht="15.75" thickBot="1" x14ac:dyDescent="0.25">
      <c r="A47" s="2165">
        <v>6330</v>
      </c>
      <c r="B47" s="2166">
        <v>5345</v>
      </c>
      <c r="C47" s="2224">
        <v>0</v>
      </c>
      <c r="D47" s="2167" t="s">
        <v>806</v>
      </c>
      <c r="E47" s="2168">
        <v>0</v>
      </c>
      <c r="F47" s="2168">
        <v>0</v>
      </c>
      <c r="G47" s="2168">
        <v>41</v>
      </c>
      <c r="H47" s="2171">
        <v>0</v>
      </c>
    </row>
    <row r="48" spans="1:9" s="2229" customFormat="1" ht="16.5" thickTop="1" thickBot="1" x14ac:dyDescent="0.3">
      <c r="A48" s="2766" t="s">
        <v>802</v>
      </c>
      <c r="B48" s="2767"/>
      <c r="C48" s="2767"/>
      <c r="D48" s="2767"/>
      <c r="E48" s="2172">
        <f>SUM(E12:E47)</f>
        <v>0</v>
      </c>
      <c r="F48" s="2172">
        <f>SUM(F12:F47)</f>
        <v>91</v>
      </c>
      <c r="G48" s="2172">
        <f>SUM(G12:G47)</f>
        <v>62</v>
      </c>
      <c r="H48" s="2173">
        <f>G48/F48*100</f>
        <v>68.131868131868131</v>
      </c>
      <c r="I48" s="2228"/>
    </row>
    <row r="49" spans="1:12" ht="13.5" thickTop="1" x14ac:dyDescent="0.2">
      <c r="I49" s="2147"/>
    </row>
    <row r="50" spans="1:12" x14ac:dyDescent="0.2">
      <c r="I50" s="2147"/>
    </row>
    <row r="51" spans="1:12" x14ac:dyDescent="0.2">
      <c r="I51" s="2147"/>
    </row>
    <row r="52" spans="1:12" x14ac:dyDescent="0.2">
      <c r="I52" s="2147"/>
    </row>
    <row r="54" spans="1:12" ht="16.5" x14ac:dyDescent="0.25">
      <c r="A54" s="2193" t="s">
        <v>487</v>
      </c>
      <c r="B54" s="2194"/>
      <c r="C54" s="2195"/>
      <c r="D54" s="2196"/>
      <c r="E54" s="2197">
        <f>SUM(E55:E57)</f>
        <v>0</v>
      </c>
      <c r="F54" s="2197">
        <f>F55+F56+F57+F58</f>
        <v>91</v>
      </c>
      <c r="G54" s="2197">
        <f>G55+G56+G57+G58</f>
        <v>62</v>
      </c>
      <c r="H54" s="2198">
        <f>G54/F54*100</f>
        <v>68.131868131868131</v>
      </c>
      <c r="J54" s="2199">
        <f>J55+J56+J57</f>
        <v>0</v>
      </c>
      <c r="K54" s="2199">
        <f>K55+K56+K57</f>
        <v>90950.51</v>
      </c>
      <c r="L54" s="2199">
        <f>L55+L56+L57</f>
        <v>62186.16</v>
      </c>
    </row>
    <row r="55" spans="1:12" ht="15" x14ac:dyDescent="0.2">
      <c r="A55" s="2200" t="s">
        <v>277</v>
      </c>
      <c r="B55" s="2201"/>
      <c r="C55" s="2202"/>
      <c r="D55" s="2203"/>
      <c r="E55" s="2204">
        <f>E12+E13+E23+E24+E25+E38+E40</f>
        <v>0</v>
      </c>
      <c r="F55" s="2204">
        <f>F12+F13+F23+F24+F25+F38+F40</f>
        <v>91</v>
      </c>
      <c r="G55" s="2204">
        <f>G12+G13+G23+G24+G25+G38+G40</f>
        <v>21</v>
      </c>
      <c r="H55" s="2205">
        <f>G55/F55*100</f>
        <v>23.076923076923077</v>
      </c>
      <c r="J55" s="2206">
        <v>0</v>
      </c>
      <c r="K55" s="2206">
        <v>90950.51</v>
      </c>
      <c r="L55" s="2206">
        <v>20695</v>
      </c>
    </row>
    <row r="56" spans="1:12" ht="15" x14ac:dyDescent="0.2">
      <c r="A56" s="2200" t="s">
        <v>278</v>
      </c>
      <c r="B56" s="2207"/>
      <c r="C56" s="2202"/>
      <c r="D56" s="2208"/>
      <c r="E56" s="2204">
        <v>0</v>
      </c>
      <c r="F56" s="2204">
        <v>0</v>
      </c>
      <c r="G56" s="2204">
        <v>0</v>
      </c>
      <c r="H56" s="2205">
        <v>0</v>
      </c>
      <c r="J56" s="2206">
        <v>0</v>
      </c>
      <c r="K56" s="2206">
        <v>0</v>
      </c>
      <c r="L56" s="2206">
        <v>0</v>
      </c>
    </row>
    <row r="57" spans="1:12" ht="15" x14ac:dyDescent="0.2">
      <c r="A57" s="2200" t="s">
        <v>488</v>
      </c>
      <c r="B57" s="2207"/>
      <c r="C57" s="2202"/>
      <c r="D57" s="2208"/>
      <c r="E57" s="2204">
        <f>E47</f>
        <v>0</v>
      </c>
      <c r="F57" s="2204">
        <f>F47</f>
        <v>0</v>
      </c>
      <c r="G57" s="2204">
        <f>G47</f>
        <v>41</v>
      </c>
      <c r="H57" s="2205">
        <v>0</v>
      </c>
      <c r="J57" s="2206">
        <v>0</v>
      </c>
      <c r="K57" s="2206">
        <v>0</v>
      </c>
      <c r="L57" s="2206">
        <v>41491.160000000003</v>
      </c>
    </row>
    <row r="58" spans="1:12" ht="15" x14ac:dyDescent="0.2">
      <c r="A58" s="2200"/>
      <c r="B58" s="2207"/>
      <c r="C58" s="2202"/>
      <c r="D58" s="2208"/>
      <c r="E58" s="2204"/>
      <c r="F58" s="2204"/>
      <c r="G58" s="2204"/>
      <c r="H58" s="2209"/>
    </row>
    <row r="59" spans="1:12" ht="46.5" customHeight="1" thickBot="1" x14ac:dyDescent="0.4">
      <c r="A59" s="2763" t="s">
        <v>1698</v>
      </c>
      <c r="B59" s="2764"/>
      <c r="C59" s="2764"/>
      <c r="D59" s="2764"/>
      <c r="E59" s="2210">
        <f>SUM(E54)</f>
        <v>0</v>
      </c>
      <c r="F59" s="2210">
        <f>SUM(F54)</f>
        <v>91</v>
      </c>
      <c r="G59" s="2210">
        <f>SUM(G54)</f>
        <v>62</v>
      </c>
      <c r="H59" s="2211">
        <f>(G59/F59)*100</f>
        <v>68.131868131868131</v>
      </c>
    </row>
    <row r="60" spans="1:12" ht="13.5" thickTop="1" x14ac:dyDescent="0.2"/>
    <row r="179" spans="1:5" ht="13.5" thickBot="1" x14ac:dyDescent="0.25">
      <c r="A179" s="2230"/>
      <c r="B179" s="2230"/>
      <c r="C179" s="2230"/>
      <c r="D179" s="2231"/>
      <c r="E179" s="2232"/>
    </row>
    <row r="180" spans="1:5" ht="13.5" thickTop="1" x14ac:dyDescent="0.2">
      <c r="A180" s="2233"/>
      <c r="B180" s="2233"/>
      <c r="C180" s="2233"/>
      <c r="D180" s="2234"/>
      <c r="E180" s="2235"/>
    </row>
    <row r="181" spans="1:5" x14ac:dyDescent="0.2">
      <c r="D181" s="2139" t="e">
        <f>#REF!+#REF!</f>
        <v>#REF!</v>
      </c>
    </row>
  </sheetData>
  <mergeCells count="2">
    <mergeCell ref="A48:D48"/>
    <mergeCell ref="A59:D59"/>
  </mergeCells>
  <pageMargins left="0.70866141732283472" right="0.70866141732283472" top="0.78740157480314965" bottom="0.78740157480314965" header="0.31496062992125984" footer="0.31496062992125984"/>
  <pageSetup paperSize="9" scale="70" firstPageNumber="167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colBreaks count="1" manualBreakCount="1">
    <brk id="9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79"/>
  <sheetViews>
    <sheetView view="pageBreakPreview" zoomScaleNormal="100" zoomScaleSheetLayoutView="100" workbookViewId="0">
      <selection activeCell="D99" sqref="D99"/>
    </sheetView>
  </sheetViews>
  <sheetFormatPr defaultRowHeight="12.75" x14ac:dyDescent="0.2"/>
  <cols>
    <col min="1" max="1" width="5.5703125" style="2139" customWidth="1"/>
    <col min="2" max="2" width="6.7109375" style="2139" customWidth="1"/>
    <col min="3" max="3" width="8.85546875" style="2139" customWidth="1"/>
    <col min="4" max="4" width="47.85546875" style="2139" customWidth="1"/>
    <col min="5" max="5" width="12.85546875" style="2139" customWidth="1"/>
    <col min="6" max="6" width="15.5703125" style="2139" customWidth="1"/>
    <col min="7" max="7" width="15.85546875" style="2139" customWidth="1"/>
    <col min="8" max="8" width="8.7109375" style="2139" customWidth="1"/>
    <col min="9" max="9" width="9.140625" style="2139"/>
    <col min="10" max="11" width="16" style="2139" bestFit="1" customWidth="1"/>
    <col min="12" max="12" width="14.7109375" style="2139" bestFit="1" customWidth="1"/>
    <col min="13" max="256" width="9.140625" style="2139"/>
    <col min="257" max="257" width="5.5703125" style="2139" customWidth="1"/>
    <col min="258" max="258" width="6.7109375" style="2139" customWidth="1"/>
    <col min="259" max="259" width="8.85546875" style="2139" customWidth="1"/>
    <col min="260" max="260" width="47.85546875" style="2139" customWidth="1"/>
    <col min="261" max="261" width="12.85546875" style="2139" customWidth="1"/>
    <col min="262" max="262" width="15.5703125" style="2139" customWidth="1"/>
    <col min="263" max="263" width="15.85546875" style="2139" customWidth="1"/>
    <col min="264" max="264" width="6.42578125" style="2139" customWidth="1"/>
    <col min="265" max="266" width="9.140625" style="2139"/>
    <col min="267" max="268" width="14.7109375" style="2139" bestFit="1" customWidth="1"/>
    <col min="269" max="512" width="9.140625" style="2139"/>
    <col min="513" max="513" width="5.5703125" style="2139" customWidth="1"/>
    <col min="514" max="514" width="6.7109375" style="2139" customWidth="1"/>
    <col min="515" max="515" width="8.85546875" style="2139" customWidth="1"/>
    <col min="516" max="516" width="47.85546875" style="2139" customWidth="1"/>
    <col min="517" max="517" width="12.85546875" style="2139" customWidth="1"/>
    <col min="518" max="518" width="15.5703125" style="2139" customWidth="1"/>
    <col min="519" max="519" width="15.85546875" style="2139" customWidth="1"/>
    <col min="520" max="520" width="6.42578125" style="2139" customWidth="1"/>
    <col min="521" max="522" width="9.140625" style="2139"/>
    <col min="523" max="524" width="14.7109375" style="2139" bestFit="1" customWidth="1"/>
    <col min="525" max="768" width="9.140625" style="2139"/>
    <col min="769" max="769" width="5.5703125" style="2139" customWidth="1"/>
    <col min="770" max="770" width="6.7109375" style="2139" customWidth="1"/>
    <col min="771" max="771" width="8.85546875" style="2139" customWidth="1"/>
    <col min="772" max="772" width="47.85546875" style="2139" customWidth="1"/>
    <col min="773" max="773" width="12.85546875" style="2139" customWidth="1"/>
    <col min="774" max="774" width="15.5703125" style="2139" customWidth="1"/>
    <col min="775" max="775" width="15.85546875" style="2139" customWidth="1"/>
    <col min="776" max="776" width="6.42578125" style="2139" customWidth="1"/>
    <col min="777" max="778" width="9.140625" style="2139"/>
    <col min="779" max="780" width="14.7109375" style="2139" bestFit="1" customWidth="1"/>
    <col min="781" max="1024" width="9.140625" style="2139"/>
    <col min="1025" max="1025" width="5.5703125" style="2139" customWidth="1"/>
    <col min="1026" max="1026" width="6.7109375" style="2139" customWidth="1"/>
    <col min="1027" max="1027" width="8.85546875" style="2139" customWidth="1"/>
    <col min="1028" max="1028" width="47.85546875" style="2139" customWidth="1"/>
    <col min="1029" max="1029" width="12.85546875" style="2139" customWidth="1"/>
    <col min="1030" max="1030" width="15.5703125" style="2139" customWidth="1"/>
    <col min="1031" max="1031" width="15.85546875" style="2139" customWidth="1"/>
    <col min="1032" max="1032" width="6.42578125" style="2139" customWidth="1"/>
    <col min="1033" max="1034" width="9.140625" style="2139"/>
    <col min="1035" max="1036" width="14.7109375" style="2139" bestFit="1" customWidth="1"/>
    <col min="1037" max="1280" width="9.140625" style="2139"/>
    <col min="1281" max="1281" width="5.5703125" style="2139" customWidth="1"/>
    <col min="1282" max="1282" width="6.7109375" style="2139" customWidth="1"/>
    <col min="1283" max="1283" width="8.85546875" style="2139" customWidth="1"/>
    <col min="1284" max="1284" width="47.85546875" style="2139" customWidth="1"/>
    <col min="1285" max="1285" width="12.85546875" style="2139" customWidth="1"/>
    <col min="1286" max="1286" width="15.5703125" style="2139" customWidth="1"/>
    <col min="1287" max="1287" width="15.85546875" style="2139" customWidth="1"/>
    <col min="1288" max="1288" width="6.42578125" style="2139" customWidth="1"/>
    <col min="1289" max="1290" width="9.140625" style="2139"/>
    <col min="1291" max="1292" width="14.7109375" style="2139" bestFit="1" customWidth="1"/>
    <col min="1293" max="1536" width="9.140625" style="2139"/>
    <col min="1537" max="1537" width="5.5703125" style="2139" customWidth="1"/>
    <col min="1538" max="1538" width="6.7109375" style="2139" customWidth="1"/>
    <col min="1539" max="1539" width="8.85546875" style="2139" customWidth="1"/>
    <col min="1540" max="1540" width="47.85546875" style="2139" customWidth="1"/>
    <col min="1541" max="1541" width="12.85546875" style="2139" customWidth="1"/>
    <col min="1542" max="1542" width="15.5703125" style="2139" customWidth="1"/>
    <col min="1543" max="1543" width="15.85546875" style="2139" customWidth="1"/>
    <col min="1544" max="1544" width="6.42578125" style="2139" customWidth="1"/>
    <col min="1545" max="1546" width="9.140625" style="2139"/>
    <col min="1547" max="1548" width="14.7109375" style="2139" bestFit="1" customWidth="1"/>
    <col min="1549" max="1792" width="9.140625" style="2139"/>
    <col min="1793" max="1793" width="5.5703125" style="2139" customWidth="1"/>
    <col min="1794" max="1794" width="6.7109375" style="2139" customWidth="1"/>
    <col min="1795" max="1795" width="8.85546875" style="2139" customWidth="1"/>
    <col min="1796" max="1796" width="47.85546875" style="2139" customWidth="1"/>
    <col min="1797" max="1797" width="12.85546875" style="2139" customWidth="1"/>
    <col min="1798" max="1798" width="15.5703125" style="2139" customWidth="1"/>
    <col min="1799" max="1799" width="15.85546875" style="2139" customWidth="1"/>
    <col min="1800" max="1800" width="6.42578125" style="2139" customWidth="1"/>
    <col min="1801" max="1802" width="9.140625" style="2139"/>
    <col min="1803" max="1804" width="14.7109375" style="2139" bestFit="1" customWidth="1"/>
    <col min="1805" max="2048" width="9.140625" style="2139"/>
    <col min="2049" max="2049" width="5.5703125" style="2139" customWidth="1"/>
    <col min="2050" max="2050" width="6.7109375" style="2139" customWidth="1"/>
    <col min="2051" max="2051" width="8.85546875" style="2139" customWidth="1"/>
    <col min="2052" max="2052" width="47.85546875" style="2139" customWidth="1"/>
    <col min="2053" max="2053" width="12.85546875" style="2139" customWidth="1"/>
    <col min="2054" max="2054" width="15.5703125" style="2139" customWidth="1"/>
    <col min="2055" max="2055" width="15.85546875" style="2139" customWidth="1"/>
    <col min="2056" max="2056" width="6.42578125" style="2139" customWidth="1"/>
    <col min="2057" max="2058" width="9.140625" style="2139"/>
    <col min="2059" max="2060" width="14.7109375" style="2139" bestFit="1" customWidth="1"/>
    <col min="2061" max="2304" width="9.140625" style="2139"/>
    <col min="2305" max="2305" width="5.5703125" style="2139" customWidth="1"/>
    <col min="2306" max="2306" width="6.7109375" style="2139" customWidth="1"/>
    <col min="2307" max="2307" width="8.85546875" style="2139" customWidth="1"/>
    <col min="2308" max="2308" width="47.85546875" style="2139" customWidth="1"/>
    <col min="2309" max="2309" width="12.85546875" style="2139" customWidth="1"/>
    <col min="2310" max="2310" width="15.5703125" style="2139" customWidth="1"/>
    <col min="2311" max="2311" width="15.85546875" style="2139" customWidth="1"/>
    <col min="2312" max="2312" width="6.42578125" style="2139" customWidth="1"/>
    <col min="2313" max="2314" width="9.140625" style="2139"/>
    <col min="2315" max="2316" width="14.7109375" style="2139" bestFit="1" customWidth="1"/>
    <col min="2317" max="2560" width="9.140625" style="2139"/>
    <col min="2561" max="2561" width="5.5703125" style="2139" customWidth="1"/>
    <col min="2562" max="2562" width="6.7109375" style="2139" customWidth="1"/>
    <col min="2563" max="2563" width="8.85546875" style="2139" customWidth="1"/>
    <col min="2564" max="2564" width="47.85546875" style="2139" customWidth="1"/>
    <col min="2565" max="2565" width="12.85546875" style="2139" customWidth="1"/>
    <col min="2566" max="2566" width="15.5703125" style="2139" customWidth="1"/>
    <col min="2567" max="2567" width="15.85546875" style="2139" customWidth="1"/>
    <col min="2568" max="2568" width="6.42578125" style="2139" customWidth="1"/>
    <col min="2569" max="2570" width="9.140625" style="2139"/>
    <col min="2571" max="2572" width="14.7109375" style="2139" bestFit="1" customWidth="1"/>
    <col min="2573" max="2816" width="9.140625" style="2139"/>
    <col min="2817" max="2817" width="5.5703125" style="2139" customWidth="1"/>
    <col min="2818" max="2818" width="6.7109375" style="2139" customWidth="1"/>
    <col min="2819" max="2819" width="8.85546875" style="2139" customWidth="1"/>
    <col min="2820" max="2820" width="47.85546875" style="2139" customWidth="1"/>
    <col min="2821" max="2821" width="12.85546875" style="2139" customWidth="1"/>
    <col min="2822" max="2822" width="15.5703125" style="2139" customWidth="1"/>
    <col min="2823" max="2823" width="15.85546875" style="2139" customWidth="1"/>
    <col min="2824" max="2824" width="6.42578125" style="2139" customWidth="1"/>
    <col min="2825" max="2826" width="9.140625" style="2139"/>
    <col min="2827" max="2828" width="14.7109375" style="2139" bestFit="1" customWidth="1"/>
    <col min="2829" max="3072" width="9.140625" style="2139"/>
    <col min="3073" max="3073" width="5.5703125" style="2139" customWidth="1"/>
    <col min="3074" max="3074" width="6.7109375" style="2139" customWidth="1"/>
    <col min="3075" max="3075" width="8.85546875" style="2139" customWidth="1"/>
    <col min="3076" max="3076" width="47.85546875" style="2139" customWidth="1"/>
    <col min="3077" max="3077" width="12.85546875" style="2139" customWidth="1"/>
    <col min="3078" max="3078" width="15.5703125" style="2139" customWidth="1"/>
    <col min="3079" max="3079" width="15.85546875" style="2139" customWidth="1"/>
    <col min="3080" max="3080" width="6.42578125" style="2139" customWidth="1"/>
    <col min="3081" max="3082" width="9.140625" style="2139"/>
    <col min="3083" max="3084" width="14.7109375" style="2139" bestFit="1" customWidth="1"/>
    <col min="3085" max="3328" width="9.140625" style="2139"/>
    <col min="3329" max="3329" width="5.5703125" style="2139" customWidth="1"/>
    <col min="3330" max="3330" width="6.7109375" style="2139" customWidth="1"/>
    <col min="3331" max="3331" width="8.85546875" style="2139" customWidth="1"/>
    <col min="3332" max="3332" width="47.85546875" style="2139" customWidth="1"/>
    <col min="3333" max="3333" width="12.85546875" style="2139" customWidth="1"/>
    <col min="3334" max="3334" width="15.5703125" style="2139" customWidth="1"/>
    <col min="3335" max="3335" width="15.85546875" style="2139" customWidth="1"/>
    <col min="3336" max="3336" width="6.42578125" style="2139" customWidth="1"/>
    <col min="3337" max="3338" width="9.140625" style="2139"/>
    <col min="3339" max="3340" width="14.7109375" style="2139" bestFit="1" customWidth="1"/>
    <col min="3341" max="3584" width="9.140625" style="2139"/>
    <col min="3585" max="3585" width="5.5703125" style="2139" customWidth="1"/>
    <col min="3586" max="3586" width="6.7109375" style="2139" customWidth="1"/>
    <col min="3587" max="3587" width="8.85546875" style="2139" customWidth="1"/>
    <col min="3588" max="3588" width="47.85546875" style="2139" customWidth="1"/>
    <col min="3589" max="3589" width="12.85546875" style="2139" customWidth="1"/>
    <col min="3590" max="3590" width="15.5703125" style="2139" customWidth="1"/>
    <col min="3591" max="3591" width="15.85546875" style="2139" customWidth="1"/>
    <col min="3592" max="3592" width="6.42578125" style="2139" customWidth="1"/>
    <col min="3593" max="3594" width="9.140625" style="2139"/>
    <col min="3595" max="3596" width="14.7109375" style="2139" bestFit="1" customWidth="1"/>
    <col min="3597" max="3840" width="9.140625" style="2139"/>
    <col min="3841" max="3841" width="5.5703125" style="2139" customWidth="1"/>
    <col min="3842" max="3842" width="6.7109375" style="2139" customWidth="1"/>
    <col min="3843" max="3843" width="8.85546875" style="2139" customWidth="1"/>
    <col min="3844" max="3844" width="47.85546875" style="2139" customWidth="1"/>
    <col min="3845" max="3845" width="12.85546875" style="2139" customWidth="1"/>
    <col min="3846" max="3846" width="15.5703125" style="2139" customWidth="1"/>
    <col min="3847" max="3847" width="15.85546875" style="2139" customWidth="1"/>
    <col min="3848" max="3848" width="6.42578125" style="2139" customWidth="1"/>
    <col min="3849" max="3850" width="9.140625" style="2139"/>
    <col min="3851" max="3852" width="14.7109375" style="2139" bestFit="1" customWidth="1"/>
    <col min="3853" max="4096" width="9.140625" style="2139"/>
    <col min="4097" max="4097" width="5.5703125" style="2139" customWidth="1"/>
    <col min="4098" max="4098" width="6.7109375" style="2139" customWidth="1"/>
    <col min="4099" max="4099" width="8.85546875" style="2139" customWidth="1"/>
    <col min="4100" max="4100" width="47.85546875" style="2139" customWidth="1"/>
    <col min="4101" max="4101" width="12.85546875" style="2139" customWidth="1"/>
    <col min="4102" max="4102" width="15.5703125" style="2139" customWidth="1"/>
    <col min="4103" max="4103" width="15.85546875" style="2139" customWidth="1"/>
    <col min="4104" max="4104" width="6.42578125" style="2139" customWidth="1"/>
    <col min="4105" max="4106" width="9.140625" style="2139"/>
    <col min="4107" max="4108" width="14.7109375" style="2139" bestFit="1" customWidth="1"/>
    <col min="4109" max="4352" width="9.140625" style="2139"/>
    <col min="4353" max="4353" width="5.5703125" style="2139" customWidth="1"/>
    <col min="4354" max="4354" width="6.7109375" style="2139" customWidth="1"/>
    <col min="4355" max="4355" width="8.85546875" style="2139" customWidth="1"/>
    <col min="4356" max="4356" width="47.85546875" style="2139" customWidth="1"/>
    <col min="4357" max="4357" width="12.85546875" style="2139" customWidth="1"/>
    <col min="4358" max="4358" width="15.5703125" style="2139" customWidth="1"/>
    <col min="4359" max="4359" width="15.85546875" style="2139" customWidth="1"/>
    <col min="4360" max="4360" width="6.42578125" style="2139" customWidth="1"/>
    <col min="4361" max="4362" width="9.140625" style="2139"/>
    <col min="4363" max="4364" width="14.7109375" style="2139" bestFit="1" customWidth="1"/>
    <col min="4365" max="4608" width="9.140625" style="2139"/>
    <col min="4609" max="4609" width="5.5703125" style="2139" customWidth="1"/>
    <col min="4610" max="4610" width="6.7109375" style="2139" customWidth="1"/>
    <col min="4611" max="4611" width="8.85546875" style="2139" customWidth="1"/>
    <col min="4612" max="4612" width="47.85546875" style="2139" customWidth="1"/>
    <col min="4613" max="4613" width="12.85546875" style="2139" customWidth="1"/>
    <col min="4614" max="4614" width="15.5703125" style="2139" customWidth="1"/>
    <col min="4615" max="4615" width="15.85546875" style="2139" customWidth="1"/>
    <col min="4616" max="4616" width="6.42578125" style="2139" customWidth="1"/>
    <col min="4617" max="4618" width="9.140625" style="2139"/>
    <col min="4619" max="4620" width="14.7109375" style="2139" bestFit="1" customWidth="1"/>
    <col min="4621" max="4864" width="9.140625" style="2139"/>
    <col min="4865" max="4865" width="5.5703125" style="2139" customWidth="1"/>
    <col min="4866" max="4866" width="6.7109375" style="2139" customWidth="1"/>
    <col min="4867" max="4867" width="8.85546875" style="2139" customWidth="1"/>
    <col min="4868" max="4868" width="47.85546875" style="2139" customWidth="1"/>
    <col min="4869" max="4869" width="12.85546875" style="2139" customWidth="1"/>
    <col min="4870" max="4870" width="15.5703125" style="2139" customWidth="1"/>
    <col min="4871" max="4871" width="15.85546875" style="2139" customWidth="1"/>
    <col min="4872" max="4872" width="6.42578125" style="2139" customWidth="1"/>
    <col min="4873" max="4874" width="9.140625" style="2139"/>
    <col min="4875" max="4876" width="14.7109375" style="2139" bestFit="1" customWidth="1"/>
    <col min="4877" max="5120" width="9.140625" style="2139"/>
    <col min="5121" max="5121" width="5.5703125" style="2139" customWidth="1"/>
    <col min="5122" max="5122" width="6.7109375" style="2139" customWidth="1"/>
    <col min="5123" max="5123" width="8.85546875" style="2139" customWidth="1"/>
    <col min="5124" max="5124" width="47.85546875" style="2139" customWidth="1"/>
    <col min="5125" max="5125" width="12.85546875" style="2139" customWidth="1"/>
    <col min="5126" max="5126" width="15.5703125" style="2139" customWidth="1"/>
    <col min="5127" max="5127" width="15.85546875" style="2139" customWidth="1"/>
    <col min="5128" max="5128" width="6.42578125" style="2139" customWidth="1"/>
    <col min="5129" max="5130" width="9.140625" style="2139"/>
    <col min="5131" max="5132" width="14.7109375" style="2139" bestFit="1" customWidth="1"/>
    <col min="5133" max="5376" width="9.140625" style="2139"/>
    <col min="5377" max="5377" width="5.5703125" style="2139" customWidth="1"/>
    <col min="5378" max="5378" width="6.7109375" style="2139" customWidth="1"/>
    <col min="5379" max="5379" width="8.85546875" style="2139" customWidth="1"/>
    <col min="5380" max="5380" width="47.85546875" style="2139" customWidth="1"/>
    <col min="5381" max="5381" width="12.85546875" style="2139" customWidth="1"/>
    <col min="5382" max="5382" width="15.5703125" style="2139" customWidth="1"/>
    <col min="5383" max="5383" width="15.85546875" style="2139" customWidth="1"/>
    <col min="5384" max="5384" width="6.42578125" style="2139" customWidth="1"/>
    <col min="5385" max="5386" width="9.140625" style="2139"/>
    <col min="5387" max="5388" width="14.7109375" style="2139" bestFit="1" customWidth="1"/>
    <col min="5389" max="5632" width="9.140625" style="2139"/>
    <col min="5633" max="5633" width="5.5703125" style="2139" customWidth="1"/>
    <col min="5634" max="5634" width="6.7109375" style="2139" customWidth="1"/>
    <col min="5635" max="5635" width="8.85546875" style="2139" customWidth="1"/>
    <col min="5636" max="5636" width="47.85546875" style="2139" customWidth="1"/>
    <col min="5637" max="5637" width="12.85546875" style="2139" customWidth="1"/>
    <col min="5638" max="5638" width="15.5703125" style="2139" customWidth="1"/>
    <col min="5639" max="5639" width="15.85546875" style="2139" customWidth="1"/>
    <col min="5640" max="5640" width="6.42578125" style="2139" customWidth="1"/>
    <col min="5641" max="5642" width="9.140625" style="2139"/>
    <col min="5643" max="5644" width="14.7109375" style="2139" bestFit="1" customWidth="1"/>
    <col min="5645" max="5888" width="9.140625" style="2139"/>
    <col min="5889" max="5889" width="5.5703125" style="2139" customWidth="1"/>
    <col min="5890" max="5890" width="6.7109375" style="2139" customWidth="1"/>
    <col min="5891" max="5891" width="8.85546875" style="2139" customWidth="1"/>
    <col min="5892" max="5892" width="47.85546875" style="2139" customWidth="1"/>
    <col min="5893" max="5893" width="12.85546875" style="2139" customWidth="1"/>
    <col min="5894" max="5894" width="15.5703125" style="2139" customWidth="1"/>
    <col min="5895" max="5895" width="15.85546875" style="2139" customWidth="1"/>
    <col min="5896" max="5896" width="6.42578125" style="2139" customWidth="1"/>
    <col min="5897" max="5898" width="9.140625" style="2139"/>
    <col min="5899" max="5900" width="14.7109375" style="2139" bestFit="1" customWidth="1"/>
    <col min="5901" max="6144" width="9.140625" style="2139"/>
    <col min="6145" max="6145" width="5.5703125" style="2139" customWidth="1"/>
    <col min="6146" max="6146" width="6.7109375" style="2139" customWidth="1"/>
    <col min="6147" max="6147" width="8.85546875" style="2139" customWidth="1"/>
    <col min="6148" max="6148" width="47.85546875" style="2139" customWidth="1"/>
    <col min="6149" max="6149" width="12.85546875" style="2139" customWidth="1"/>
    <col min="6150" max="6150" width="15.5703125" style="2139" customWidth="1"/>
    <col min="6151" max="6151" width="15.85546875" style="2139" customWidth="1"/>
    <col min="6152" max="6152" width="6.42578125" style="2139" customWidth="1"/>
    <col min="6153" max="6154" width="9.140625" style="2139"/>
    <col min="6155" max="6156" width="14.7109375" style="2139" bestFit="1" customWidth="1"/>
    <col min="6157" max="6400" width="9.140625" style="2139"/>
    <col min="6401" max="6401" width="5.5703125" style="2139" customWidth="1"/>
    <col min="6402" max="6402" width="6.7109375" style="2139" customWidth="1"/>
    <col min="6403" max="6403" width="8.85546875" style="2139" customWidth="1"/>
    <col min="6404" max="6404" width="47.85546875" style="2139" customWidth="1"/>
    <col min="6405" max="6405" width="12.85546875" style="2139" customWidth="1"/>
    <col min="6406" max="6406" width="15.5703125" style="2139" customWidth="1"/>
    <col min="6407" max="6407" width="15.85546875" style="2139" customWidth="1"/>
    <col min="6408" max="6408" width="6.42578125" style="2139" customWidth="1"/>
    <col min="6409" max="6410" width="9.140625" style="2139"/>
    <col min="6411" max="6412" width="14.7109375" style="2139" bestFit="1" customWidth="1"/>
    <col min="6413" max="6656" width="9.140625" style="2139"/>
    <col min="6657" max="6657" width="5.5703125" style="2139" customWidth="1"/>
    <col min="6658" max="6658" width="6.7109375" style="2139" customWidth="1"/>
    <col min="6659" max="6659" width="8.85546875" style="2139" customWidth="1"/>
    <col min="6660" max="6660" width="47.85546875" style="2139" customWidth="1"/>
    <col min="6661" max="6661" width="12.85546875" style="2139" customWidth="1"/>
    <col min="6662" max="6662" width="15.5703125" style="2139" customWidth="1"/>
    <col min="6663" max="6663" width="15.85546875" style="2139" customWidth="1"/>
    <col min="6664" max="6664" width="6.42578125" style="2139" customWidth="1"/>
    <col min="6665" max="6666" width="9.140625" style="2139"/>
    <col min="6667" max="6668" width="14.7109375" style="2139" bestFit="1" customWidth="1"/>
    <col min="6669" max="6912" width="9.140625" style="2139"/>
    <col min="6913" max="6913" width="5.5703125" style="2139" customWidth="1"/>
    <col min="6914" max="6914" width="6.7109375" style="2139" customWidth="1"/>
    <col min="6915" max="6915" width="8.85546875" style="2139" customWidth="1"/>
    <col min="6916" max="6916" width="47.85546875" style="2139" customWidth="1"/>
    <col min="6917" max="6917" width="12.85546875" style="2139" customWidth="1"/>
    <col min="6918" max="6918" width="15.5703125" style="2139" customWidth="1"/>
    <col min="6919" max="6919" width="15.85546875" style="2139" customWidth="1"/>
    <col min="6920" max="6920" width="6.42578125" style="2139" customWidth="1"/>
    <col min="6921" max="6922" width="9.140625" style="2139"/>
    <col min="6923" max="6924" width="14.7109375" style="2139" bestFit="1" customWidth="1"/>
    <col min="6925" max="7168" width="9.140625" style="2139"/>
    <col min="7169" max="7169" width="5.5703125" style="2139" customWidth="1"/>
    <col min="7170" max="7170" width="6.7109375" style="2139" customWidth="1"/>
    <col min="7171" max="7171" width="8.85546875" style="2139" customWidth="1"/>
    <col min="7172" max="7172" width="47.85546875" style="2139" customWidth="1"/>
    <col min="7173" max="7173" width="12.85546875" style="2139" customWidth="1"/>
    <col min="7174" max="7174" width="15.5703125" style="2139" customWidth="1"/>
    <col min="7175" max="7175" width="15.85546875" style="2139" customWidth="1"/>
    <col min="7176" max="7176" width="6.42578125" style="2139" customWidth="1"/>
    <col min="7177" max="7178" width="9.140625" style="2139"/>
    <col min="7179" max="7180" width="14.7109375" style="2139" bestFit="1" customWidth="1"/>
    <col min="7181" max="7424" width="9.140625" style="2139"/>
    <col min="7425" max="7425" width="5.5703125" style="2139" customWidth="1"/>
    <col min="7426" max="7426" width="6.7109375" style="2139" customWidth="1"/>
    <col min="7427" max="7427" width="8.85546875" style="2139" customWidth="1"/>
    <col min="7428" max="7428" width="47.85546875" style="2139" customWidth="1"/>
    <col min="7429" max="7429" width="12.85546875" style="2139" customWidth="1"/>
    <col min="7430" max="7430" width="15.5703125" style="2139" customWidth="1"/>
    <col min="7431" max="7431" width="15.85546875" style="2139" customWidth="1"/>
    <col min="7432" max="7432" width="6.42578125" style="2139" customWidth="1"/>
    <col min="7433" max="7434" width="9.140625" style="2139"/>
    <col min="7435" max="7436" width="14.7109375" style="2139" bestFit="1" customWidth="1"/>
    <col min="7437" max="7680" width="9.140625" style="2139"/>
    <col min="7681" max="7681" width="5.5703125" style="2139" customWidth="1"/>
    <col min="7682" max="7682" width="6.7109375" style="2139" customWidth="1"/>
    <col min="7683" max="7683" width="8.85546875" style="2139" customWidth="1"/>
    <col min="7684" max="7684" width="47.85546875" style="2139" customWidth="1"/>
    <col min="7685" max="7685" width="12.85546875" style="2139" customWidth="1"/>
    <col min="7686" max="7686" width="15.5703125" style="2139" customWidth="1"/>
    <col min="7687" max="7687" width="15.85546875" style="2139" customWidth="1"/>
    <col min="7688" max="7688" width="6.42578125" style="2139" customWidth="1"/>
    <col min="7689" max="7690" width="9.140625" style="2139"/>
    <col min="7691" max="7692" width="14.7109375" style="2139" bestFit="1" customWidth="1"/>
    <col min="7693" max="7936" width="9.140625" style="2139"/>
    <col min="7937" max="7937" width="5.5703125" style="2139" customWidth="1"/>
    <col min="7938" max="7938" width="6.7109375" style="2139" customWidth="1"/>
    <col min="7939" max="7939" width="8.85546875" style="2139" customWidth="1"/>
    <col min="7940" max="7940" width="47.85546875" style="2139" customWidth="1"/>
    <col min="7941" max="7941" width="12.85546875" style="2139" customWidth="1"/>
    <col min="7942" max="7942" width="15.5703125" style="2139" customWidth="1"/>
    <col min="7943" max="7943" width="15.85546875" style="2139" customWidth="1"/>
    <col min="7944" max="7944" width="6.42578125" style="2139" customWidth="1"/>
    <col min="7945" max="7946" width="9.140625" style="2139"/>
    <col min="7947" max="7948" width="14.7109375" style="2139" bestFit="1" customWidth="1"/>
    <col min="7949" max="8192" width="9.140625" style="2139"/>
    <col min="8193" max="8193" width="5.5703125" style="2139" customWidth="1"/>
    <col min="8194" max="8194" width="6.7109375" style="2139" customWidth="1"/>
    <col min="8195" max="8195" width="8.85546875" style="2139" customWidth="1"/>
    <col min="8196" max="8196" width="47.85546875" style="2139" customWidth="1"/>
    <col min="8197" max="8197" width="12.85546875" style="2139" customWidth="1"/>
    <col min="8198" max="8198" width="15.5703125" style="2139" customWidth="1"/>
    <col min="8199" max="8199" width="15.85546875" style="2139" customWidth="1"/>
    <col min="8200" max="8200" width="6.42578125" style="2139" customWidth="1"/>
    <col min="8201" max="8202" width="9.140625" style="2139"/>
    <col min="8203" max="8204" width="14.7109375" style="2139" bestFit="1" customWidth="1"/>
    <col min="8205" max="8448" width="9.140625" style="2139"/>
    <col min="8449" max="8449" width="5.5703125" style="2139" customWidth="1"/>
    <col min="8450" max="8450" width="6.7109375" style="2139" customWidth="1"/>
    <col min="8451" max="8451" width="8.85546875" style="2139" customWidth="1"/>
    <col min="8452" max="8452" width="47.85546875" style="2139" customWidth="1"/>
    <col min="8453" max="8453" width="12.85546875" style="2139" customWidth="1"/>
    <col min="8454" max="8454" width="15.5703125" style="2139" customWidth="1"/>
    <col min="8455" max="8455" width="15.85546875" style="2139" customWidth="1"/>
    <col min="8456" max="8456" width="6.42578125" style="2139" customWidth="1"/>
    <col min="8457" max="8458" width="9.140625" style="2139"/>
    <col min="8459" max="8460" width="14.7109375" style="2139" bestFit="1" customWidth="1"/>
    <col min="8461" max="8704" width="9.140625" style="2139"/>
    <col min="8705" max="8705" width="5.5703125" style="2139" customWidth="1"/>
    <col min="8706" max="8706" width="6.7109375" style="2139" customWidth="1"/>
    <col min="8707" max="8707" width="8.85546875" style="2139" customWidth="1"/>
    <col min="8708" max="8708" width="47.85546875" style="2139" customWidth="1"/>
    <col min="8709" max="8709" width="12.85546875" style="2139" customWidth="1"/>
    <col min="8710" max="8710" width="15.5703125" style="2139" customWidth="1"/>
    <col min="8711" max="8711" width="15.85546875" style="2139" customWidth="1"/>
    <col min="8712" max="8712" width="6.42578125" style="2139" customWidth="1"/>
    <col min="8713" max="8714" width="9.140625" style="2139"/>
    <col min="8715" max="8716" width="14.7109375" style="2139" bestFit="1" customWidth="1"/>
    <col min="8717" max="8960" width="9.140625" style="2139"/>
    <col min="8961" max="8961" width="5.5703125" style="2139" customWidth="1"/>
    <col min="8962" max="8962" width="6.7109375" style="2139" customWidth="1"/>
    <col min="8963" max="8963" width="8.85546875" style="2139" customWidth="1"/>
    <col min="8964" max="8964" width="47.85546875" style="2139" customWidth="1"/>
    <col min="8965" max="8965" width="12.85546875" style="2139" customWidth="1"/>
    <col min="8966" max="8966" width="15.5703125" style="2139" customWidth="1"/>
    <col min="8967" max="8967" width="15.85546875" style="2139" customWidth="1"/>
    <col min="8968" max="8968" width="6.42578125" style="2139" customWidth="1"/>
    <col min="8969" max="8970" width="9.140625" style="2139"/>
    <col min="8971" max="8972" width="14.7109375" style="2139" bestFit="1" customWidth="1"/>
    <col min="8973" max="9216" width="9.140625" style="2139"/>
    <col min="9217" max="9217" width="5.5703125" style="2139" customWidth="1"/>
    <col min="9218" max="9218" width="6.7109375" style="2139" customWidth="1"/>
    <col min="9219" max="9219" width="8.85546875" style="2139" customWidth="1"/>
    <col min="9220" max="9220" width="47.85546875" style="2139" customWidth="1"/>
    <col min="9221" max="9221" width="12.85546875" style="2139" customWidth="1"/>
    <col min="9222" max="9222" width="15.5703125" style="2139" customWidth="1"/>
    <col min="9223" max="9223" width="15.85546875" style="2139" customWidth="1"/>
    <col min="9224" max="9224" width="6.42578125" style="2139" customWidth="1"/>
    <col min="9225" max="9226" width="9.140625" style="2139"/>
    <col min="9227" max="9228" width="14.7109375" style="2139" bestFit="1" customWidth="1"/>
    <col min="9229" max="9472" width="9.140625" style="2139"/>
    <col min="9473" max="9473" width="5.5703125" style="2139" customWidth="1"/>
    <col min="9474" max="9474" width="6.7109375" style="2139" customWidth="1"/>
    <col min="9475" max="9475" width="8.85546875" style="2139" customWidth="1"/>
    <col min="9476" max="9476" width="47.85546875" style="2139" customWidth="1"/>
    <col min="9477" max="9477" width="12.85546875" style="2139" customWidth="1"/>
    <col min="9478" max="9478" width="15.5703125" style="2139" customWidth="1"/>
    <col min="9479" max="9479" width="15.85546875" style="2139" customWidth="1"/>
    <col min="9480" max="9480" width="6.42578125" style="2139" customWidth="1"/>
    <col min="9481" max="9482" width="9.140625" style="2139"/>
    <col min="9483" max="9484" width="14.7109375" style="2139" bestFit="1" customWidth="1"/>
    <col min="9485" max="9728" width="9.140625" style="2139"/>
    <col min="9729" max="9729" width="5.5703125" style="2139" customWidth="1"/>
    <col min="9730" max="9730" width="6.7109375" style="2139" customWidth="1"/>
    <col min="9731" max="9731" width="8.85546875" style="2139" customWidth="1"/>
    <col min="9732" max="9732" width="47.85546875" style="2139" customWidth="1"/>
    <col min="9733" max="9733" width="12.85546875" style="2139" customWidth="1"/>
    <col min="9734" max="9734" width="15.5703125" style="2139" customWidth="1"/>
    <col min="9735" max="9735" width="15.85546875" style="2139" customWidth="1"/>
    <col min="9736" max="9736" width="6.42578125" style="2139" customWidth="1"/>
    <col min="9737" max="9738" width="9.140625" style="2139"/>
    <col min="9739" max="9740" width="14.7109375" style="2139" bestFit="1" customWidth="1"/>
    <col min="9741" max="9984" width="9.140625" style="2139"/>
    <col min="9985" max="9985" width="5.5703125" style="2139" customWidth="1"/>
    <col min="9986" max="9986" width="6.7109375" style="2139" customWidth="1"/>
    <col min="9987" max="9987" width="8.85546875" style="2139" customWidth="1"/>
    <col min="9988" max="9988" width="47.85546875" style="2139" customWidth="1"/>
    <col min="9989" max="9989" width="12.85546875" style="2139" customWidth="1"/>
    <col min="9990" max="9990" width="15.5703125" style="2139" customWidth="1"/>
    <col min="9991" max="9991" width="15.85546875" style="2139" customWidth="1"/>
    <col min="9992" max="9992" width="6.42578125" style="2139" customWidth="1"/>
    <col min="9993" max="9994" width="9.140625" style="2139"/>
    <col min="9995" max="9996" width="14.7109375" style="2139" bestFit="1" customWidth="1"/>
    <col min="9997" max="10240" width="9.140625" style="2139"/>
    <col min="10241" max="10241" width="5.5703125" style="2139" customWidth="1"/>
    <col min="10242" max="10242" width="6.7109375" style="2139" customWidth="1"/>
    <col min="10243" max="10243" width="8.85546875" style="2139" customWidth="1"/>
    <col min="10244" max="10244" width="47.85546875" style="2139" customWidth="1"/>
    <col min="10245" max="10245" width="12.85546875" style="2139" customWidth="1"/>
    <col min="10246" max="10246" width="15.5703125" style="2139" customWidth="1"/>
    <col min="10247" max="10247" width="15.85546875" style="2139" customWidth="1"/>
    <col min="10248" max="10248" width="6.42578125" style="2139" customWidth="1"/>
    <col min="10249" max="10250" width="9.140625" style="2139"/>
    <col min="10251" max="10252" width="14.7109375" style="2139" bestFit="1" customWidth="1"/>
    <col min="10253" max="10496" width="9.140625" style="2139"/>
    <col min="10497" max="10497" width="5.5703125" style="2139" customWidth="1"/>
    <col min="10498" max="10498" width="6.7109375" style="2139" customWidth="1"/>
    <col min="10499" max="10499" width="8.85546875" style="2139" customWidth="1"/>
    <col min="10500" max="10500" width="47.85546875" style="2139" customWidth="1"/>
    <col min="10501" max="10501" width="12.85546875" style="2139" customWidth="1"/>
    <col min="10502" max="10502" width="15.5703125" style="2139" customWidth="1"/>
    <col min="10503" max="10503" width="15.85546875" style="2139" customWidth="1"/>
    <col min="10504" max="10504" width="6.42578125" style="2139" customWidth="1"/>
    <col min="10505" max="10506" width="9.140625" style="2139"/>
    <col min="10507" max="10508" width="14.7109375" style="2139" bestFit="1" customWidth="1"/>
    <col min="10509" max="10752" width="9.140625" style="2139"/>
    <col min="10753" max="10753" width="5.5703125" style="2139" customWidth="1"/>
    <col min="10754" max="10754" width="6.7109375" style="2139" customWidth="1"/>
    <col min="10755" max="10755" width="8.85546875" style="2139" customWidth="1"/>
    <col min="10756" max="10756" width="47.85546875" style="2139" customWidth="1"/>
    <col min="10757" max="10757" width="12.85546875" style="2139" customWidth="1"/>
    <col min="10758" max="10758" width="15.5703125" style="2139" customWidth="1"/>
    <col min="10759" max="10759" width="15.85546875" style="2139" customWidth="1"/>
    <col min="10760" max="10760" width="6.42578125" style="2139" customWidth="1"/>
    <col min="10761" max="10762" width="9.140625" style="2139"/>
    <col min="10763" max="10764" width="14.7109375" style="2139" bestFit="1" customWidth="1"/>
    <col min="10765" max="11008" width="9.140625" style="2139"/>
    <col min="11009" max="11009" width="5.5703125" style="2139" customWidth="1"/>
    <col min="11010" max="11010" width="6.7109375" style="2139" customWidth="1"/>
    <col min="11011" max="11011" width="8.85546875" style="2139" customWidth="1"/>
    <col min="11012" max="11012" width="47.85546875" style="2139" customWidth="1"/>
    <col min="11013" max="11013" width="12.85546875" style="2139" customWidth="1"/>
    <col min="11014" max="11014" width="15.5703125" style="2139" customWidth="1"/>
    <col min="11015" max="11015" width="15.85546875" style="2139" customWidth="1"/>
    <col min="11016" max="11016" width="6.42578125" style="2139" customWidth="1"/>
    <col min="11017" max="11018" width="9.140625" style="2139"/>
    <col min="11019" max="11020" width="14.7109375" style="2139" bestFit="1" customWidth="1"/>
    <col min="11021" max="11264" width="9.140625" style="2139"/>
    <col min="11265" max="11265" width="5.5703125" style="2139" customWidth="1"/>
    <col min="11266" max="11266" width="6.7109375" style="2139" customWidth="1"/>
    <col min="11267" max="11267" width="8.85546875" style="2139" customWidth="1"/>
    <col min="11268" max="11268" width="47.85546875" style="2139" customWidth="1"/>
    <col min="11269" max="11269" width="12.85546875" style="2139" customWidth="1"/>
    <col min="11270" max="11270" width="15.5703125" style="2139" customWidth="1"/>
    <col min="11271" max="11271" width="15.85546875" style="2139" customWidth="1"/>
    <col min="11272" max="11272" width="6.42578125" style="2139" customWidth="1"/>
    <col min="11273" max="11274" width="9.140625" style="2139"/>
    <col min="11275" max="11276" width="14.7109375" style="2139" bestFit="1" customWidth="1"/>
    <col min="11277" max="11520" width="9.140625" style="2139"/>
    <col min="11521" max="11521" width="5.5703125" style="2139" customWidth="1"/>
    <col min="11522" max="11522" width="6.7109375" style="2139" customWidth="1"/>
    <col min="11523" max="11523" width="8.85546875" style="2139" customWidth="1"/>
    <col min="11524" max="11524" width="47.85546875" style="2139" customWidth="1"/>
    <col min="11525" max="11525" width="12.85546875" style="2139" customWidth="1"/>
    <col min="11526" max="11526" width="15.5703125" style="2139" customWidth="1"/>
    <col min="11527" max="11527" width="15.85546875" style="2139" customWidth="1"/>
    <col min="11528" max="11528" width="6.42578125" style="2139" customWidth="1"/>
    <col min="11529" max="11530" width="9.140625" style="2139"/>
    <col min="11531" max="11532" width="14.7109375" style="2139" bestFit="1" customWidth="1"/>
    <col min="11533" max="11776" width="9.140625" style="2139"/>
    <col min="11777" max="11777" width="5.5703125" style="2139" customWidth="1"/>
    <col min="11778" max="11778" width="6.7109375" style="2139" customWidth="1"/>
    <col min="11779" max="11779" width="8.85546875" style="2139" customWidth="1"/>
    <col min="11780" max="11780" width="47.85546875" style="2139" customWidth="1"/>
    <col min="11781" max="11781" width="12.85546875" style="2139" customWidth="1"/>
    <col min="11782" max="11782" width="15.5703125" style="2139" customWidth="1"/>
    <col min="11783" max="11783" width="15.85546875" style="2139" customWidth="1"/>
    <col min="11784" max="11784" width="6.42578125" style="2139" customWidth="1"/>
    <col min="11785" max="11786" width="9.140625" style="2139"/>
    <col min="11787" max="11788" width="14.7109375" style="2139" bestFit="1" customWidth="1"/>
    <col min="11789" max="12032" width="9.140625" style="2139"/>
    <col min="12033" max="12033" width="5.5703125" style="2139" customWidth="1"/>
    <col min="12034" max="12034" width="6.7109375" style="2139" customWidth="1"/>
    <col min="12035" max="12035" width="8.85546875" style="2139" customWidth="1"/>
    <col min="12036" max="12036" width="47.85546875" style="2139" customWidth="1"/>
    <col min="12037" max="12037" width="12.85546875" style="2139" customWidth="1"/>
    <col min="12038" max="12038" width="15.5703125" style="2139" customWidth="1"/>
    <col min="12039" max="12039" width="15.85546875" style="2139" customWidth="1"/>
    <col min="12040" max="12040" width="6.42578125" style="2139" customWidth="1"/>
    <col min="12041" max="12042" width="9.140625" style="2139"/>
    <col min="12043" max="12044" width="14.7109375" style="2139" bestFit="1" customWidth="1"/>
    <col min="12045" max="12288" width="9.140625" style="2139"/>
    <col min="12289" max="12289" width="5.5703125" style="2139" customWidth="1"/>
    <col min="12290" max="12290" width="6.7109375" style="2139" customWidth="1"/>
    <col min="12291" max="12291" width="8.85546875" style="2139" customWidth="1"/>
    <col min="12292" max="12292" width="47.85546875" style="2139" customWidth="1"/>
    <col min="12293" max="12293" width="12.85546875" style="2139" customWidth="1"/>
    <col min="12294" max="12294" width="15.5703125" style="2139" customWidth="1"/>
    <col min="12295" max="12295" width="15.85546875" style="2139" customWidth="1"/>
    <col min="12296" max="12296" width="6.42578125" style="2139" customWidth="1"/>
    <col min="12297" max="12298" width="9.140625" style="2139"/>
    <col min="12299" max="12300" width="14.7109375" style="2139" bestFit="1" customWidth="1"/>
    <col min="12301" max="12544" width="9.140625" style="2139"/>
    <col min="12545" max="12545" width="5.5703125" style="2139" customWidth="1"/>
    <col min="12546" max="12546" width="6.7109375" style="2139" customWidth="1"/>
    <col min="12547" max="12547" width="8.85546875" style="2139" customWidth="1"/>
    <col min="12548" max="12548" width="47.85546875" style="2139" customWidth="1"/>
    <col min="12549" max="12549" width="12.85546875" style="2139" customWidth="1"/>
    <col min="12550" max="12550" width="15.5703125" style="2139" customWidth="1"/>
    <col min="12551" max="12551" width="15.85546875" style="2139" customWidth="1"/>
    <col min="12552" max="12552" width="6.42578125" style="2139" customWidth="1"/>
    <col min="12553" max="12554" width="9.140625" style="2139"/>
    <col min="12555" max="12556" width="14.7109375" style="2139" bestFit="1" customWidth="1"/>
    <col min="12557" max="12800" width="9.140625" style="2139"/>
    <col min="12801" max="12801" width="5.5703125" style="2139" customWidth="1"/>
    <col min="12802" max="12802" width="6.7109375" style="2139" customWidth="1"/>
    <col min="12803" max="12803" width="8.85546875" style="2139" customWidth="1"/>
    <col min="12804" max="12804" width="47.85546875" style="2139" customWidth="1"/>
    <col min="12805" max="12805" width="12.85546875" style="2139" customWidth="1"/>
    <col min="12806" max="12806" width="15.5703125" style="2139" customWidth="1"/>
    <col min="12807" max="12807" width="15.85546875" style="2139" customWidth="1"/>
    <col min="12808" max="12808" width="6.42578125" style="2139" customWidth="1"/>
    <col min="12809" max="12810" width="9.140625" style="2139"/>
    <col min="12811" max="12812" width="14.7109375" style="2139" bestFit="1" customWidth="1"/>
    <col min="12813" max="13056" width="9.140625" style="2139"/>
    <col min="13057" max="13057" width="5.5703125" style="2139" customWidth="1"/>
    <col min="13058" max="13058" width="6.7109375" style="2139" customWidth="1"/>
    <col min="13059" max="13059" width="8.85546875" style="2139" customWidth="1"/>
    <col min="13060" max="13060" width="47.85546875" style="2139" customWidth="1"/>
    <col min="13061" max="13061" width="12.85546875" style="2139" customWidth="1"/>
    <col min="13062" max="13062" width="15.5703125" style="2139" customWidth="1"/>
    <col min="13063" max="13063" width="15.85546875" style="2139" customWidth="1"/>
    <col min="13064" max="13064" width="6.42578125" style="2139" customWidth="1"/>
    <col min="13065" max="13066" width="9.140625" style="2139"/>
    <col min="13067" max="13068" width="14.7109375" style="2139" bestFit="1" customWidth="1"/>
    <col min="13069" max="13312" width="9.140625" style="2139"/>
    <col min="13313" max="13313" width="5.5703125" style="2139" customWidth="1"/>
    <col min="13314" max="13314" width="6.7109375" style="2139" customWidth="1"/>
    <col min="13315" max="13315" width="8.85546875" style="2139" customWidth="1"/>
    <col min="13316" max="13316" width="47.85546875" style="2139" customWidth="1"/>
    <col min="13317" max="13317" width="12.85546875" style="2139" customWidth="1"/>
    <col min="13318" max="13318" width="15.5703125" style="2139" customWidth="1"/>
    <col min="13319" max="13319" width="15.85546875" style="2139" customWidth="1"/>
    <col min="13320" max="13320" width="6.42578125" style="2139" customWidth="1"/>
    <col min="13321" max="13322" width="9.140625" style="2139"/>
    <col min="13323" max="13324" width="14.7109375" style="2139" bestFit="1" customWidth="1"/>
    <col min="13325" max="13568" width="9.140625" style="2139"/>
    <col min="13569" max="13569" width="5.5703125" style="2139" customWidth="1"/>
    <col min="13570" max="13570" width="6.7109375" style="2139" customWidth="1"/>
    <col min="13571" max="13571" width="8.85546875" style="2139" customWidth="1"/>
    <col min="13572" max="13572" width="47.85546875" style="2139" customWidth="1"/>
    <col min="13573" max="13573" width="12.85546875" style="2139" customWidth="1"/>
    <col min="13574" max="13574" width="15.5703125" style="2139" customWidth="1"/>
    <col min="13575" max="13575" width="15.85546875" style="2139" customWidth="1"/>
    <col min="13576" max="13576" width="6.42578125" style="2139" customWidth="1"/>
    <col min="13577" max="13578" width="9.140625" style="2139"/>
    <col min="13579" max="13580" width="14.7109375" style="2139" bestFit="1" customWidth="1"/>
    <col min="13581" max="13824" width="9.140625" style="2139"/>
    <col min="13825" max="13825" width="5.5703125" style="2139" customWidth="1"/>
    <col min="13826" max="13826" width="6.7109375" style="2139" customWidth="1"/>
    <col min="13827" max="13827" width="8.85546875" style="2139" customWidth="1"/>
    <col min="13828" max="13828" width="47.85546875" style="2139" customWidth="1"/>
    <col min="13829" max="13829" width="12.85546875" style="2139" customWidth="1"/>
    <col min="13830" max="13830" width="15.5703125" style="2139" customWidth="1"/>
    <col min="13831" max="13831" width="15.85546875" style="2139" customWidth="1"/>
    <col min="13832" max="13832" width="6.42578125" style="2139" customWidth="1"/>
    <col min="13833" max="13834" width="9.140625" style="2139"/>
    <col min="13835" max="13836" width="14.7109375" style="2139" bestFit="1" customWidth="1"/>
    <col min="13837" max="14080" width="9.140625" style="2139"/>
    <col min="14081" max="14081" width="5.5703125" style="2139" customWidth="1"/>
    <col min="14082" max="14082" width="6.7109375" style="2139" customWidth="1"/>
    <col min="14083" max="14083" width="8.85546875" style="2139" customWidth="1"/>
    <col min="14084" max="14084" width="47.85546875" style="2139" customWidth="1"/>
    <col min="14085" max="14085" width="12.85546875" style="2139" customWidth="1"/>
    <col min="14086" max="14086" width="15.5703125" style="2139" customWidth="1"/>
    <col min="14087" max="14087" width="15.85546875" style="2139" customWidth="1"/>
    <col min="14088" max="14088" width="6.42578125" style="2139" customWidth="1"/>
    <col min="14089" max="14090" width="9.140625" style="2139"/>
    <col min="14091" max="14092" width="14.7109375" style="2139" bestFit="1" customWidth="1"/>
    <col min="14093" max="14336" width="9.140625" style="2139"/>
    <col min="14337" max="14337" width="5.5703125" style="2139" customWidth="1"/>
    <col min="14338" max="14338" width="6.7109375" style="2139" customWidth="1"/>
    <col min="14339" max="14339" width="8.85546875" style="2139" customWidth="1"/>
    <col min="14340" max="14340" width="47.85546875" style="2139" customWidth="1"/>
    <col min="14341" max="14341" width="12.85546875" style="2139" customWidth="1"/>
    <col min="14342" max="14342" width="15.5703125" style="2139" customWidth="1"/>
    <col min="14343" max="14343" width="15.85546875" style="2139" customWidth="1"/>
    <col min="14344" max="14344" width="6.42578125" style="2139" customWidth="1"/>
    <col min="14345" max="14346" width="9.140625" style="2139"/>
    <col min="14347" max="14348" width="14.7109375" style="2139" bestFit="1" customWidth="1"/>
    <col min="14349" max="14592" width="9.140625" style="2139"/>
    <col min="14593" max="14593" width="5.5703125" style="2139" customWidth="1"/>
    <col min="14594" max="14594" width="6.7109375" style="2139" customWidth="1"/>
    <col min="14595" max="14595" width="8.85546875" style="2139" customWidth="1"/>
    <col min="14596" max="14596" width="47.85546875" style="2139" customWidth="1"/>
    <col min="14597" max="14597" width="12.85546875" style="2139" customWidth="1"/>
    <col min="14598" max="14598" width="15.5703125" style="2139" customWidth="1"/>
    <col min="14599" max="14599" width="15.85546875" style="2139" customWidth="1"/>
    <col min="14600" max="14600" width="6.42578125" style="2139" customWidth="1"/>
    <col min="14601" max="14602" width="9.140625" style="2139"/>
    <col min="14603" max="14604" width="14.7109375" style="2139" bestFit="1" customWidth="1"/>
    <col min="14605" max="14848" width="9.140625" style="2139"/>
    <col min="14849" max="14849" width="5.5703125" style="2139" customWidth="1"/>
    <col min="14850" max="14850" width="6.7109375" style="2139" customWidth="1"/>
    <col min="14851" max="14851" width="8.85546875" style="2139" customWidth="1"/>
    <col min="14852" max="14852" width="47.85546875" style="2139" customWidth="1"/>
    <col min="14853" max="14853" width="12.85546875" style="2139" customWidth="1"/>
    <col min="14854" max="14854" width="15.5703125" style="2139" customWidth="1"/>
    <col min="14855" max="14855" width="15.85546875" style="2139" customWidth="1"/>
    <col min="14856" max="14856" width="6.42578125" style="2139" customWidth="1"/>
    <col min="14857" max="14858" width="9.140625" style="2139"/>
    <col min="14859" max="14860" width="14.7109375" style="2139" bestFit="1" customWidth="1"/>
    <col min="14861" max="15104" width="9.140625" style="2139"/>
    <col min="15105" max="15105" width="5.5703125" style="2139" customWidth="1"/>
    <col min="15106" max="15106" width="6.7109375" style="2139" customWidth="1"/>
    <col min="15107" max="15107" width="8.85546875" style="2139" customWidth="1"/>
    <col min="15108" max="15108" width="47.85546875" style="2139" customWidth="1"/>
    <col min="15109" max="15109" width="12.85546875" style="2139" customWidth="1"/>
    <col min="15110" max="15110" width="15.5703125" style="2139" customWidth="1"/>
    <col min="15111" max="15111" width="15.85546875" style="2139" customWidth="1"/>
    <col min="15112" max="15112" width="6.42578125" style="2139" customWidth="1"/>
    <col min="15113" max="15114" width="9.140625" style="2139"/>
    <col min="15115" max="15116" width="14.7109375" style="2139" bestFit="1" customWidth="1"/>
    <col min="15117" max="15360" width="9.140625" style="2139"/>
    <col min="15361" max="15361" width="5.5703125" style="2139" customWidth="1"/>
    <col min="15362" max="15362" width="6.7109375" style="2139" customWidth="1"/>
    <col min="15363" max="15363" width="8.85546875" style="2139" customWidth="1"/>
    <col min="15364" max="15364" width="47.85546875" style="2139" customWidth="1"/>
    <col min="15365" max="15365" width="12.85546875" style="2139" customWidth="1"/>
    <col min="15366" max="15366" width="15.5703125" style="2139" customWidth="1"/>
    <col min="15367" max="15367" width="15.85546875" style="2139" customWidth="1"/>
    <col min="15368" max="15368" width="6.42578125" style="2139" customWidth="1"/>
    <col min="15369" max="15370" width="9.140625" style="2139"/>
    <col min="15371" max="15372" width="14.7109375" style="2139" bestFit="1" customWidth="1"/>
    <col min="15373" max="15616" width="9.140625" style="2139"/>
    <col min="15617" max="15617" width="5.5703125" style="2139" customWidth="1"/>
    <col min="15618" max="15618" width="6.7109375" style="2139" customWidth="1"/>
    <col min="15619" max="15619" width="8.85546875" style="2139" customWidth="1"/>
    <col min="15620" max="15620" width="47.85546875" style="2139" customWidth="1"/>
    <col min="15621" max="15621" width="12.85546875" style="2139" customWidth="1"/>
    <col min="15622" max="15622" width="15.5703125" style="2139" customWidth="1"/>
    <col min="15623" max="15623" width="15.85546875" style="2139" customWidth="1"/>
    <col min="15624" max="15624" width="6.42578125" style="2139" customWidth="1"/>
    <col min="15625" max="15626" width="9.140625" style="2139"/>
    <col min="15627" max="15628" width="14.7109375" style="2139" bestFit="1" customWidth="1"/>
    <col min="15629" max="15872" width="9.140625" style="2139"/>
    <col min="15873" max="15873" width="5.5703125" style="2139" customWidth="1"/>
    <col min="15874" max="15874" width="6.7109375" style="2139" customWidth="1"/>
    <col min="15875" max="15875" width="8.85546875" style="2139" customWidth="1"/>
    <col min="15876" max="15876" width="47.85546875" style="2139" customWidth="1"/>
    <col min="15877" max="15877" width="12.85546875" style="2139" customWidth="1"/>
    <col min="15878" max="15878" width="15.5703125" style="2139" customWidth="1"/>
    <col min="15879" max="15879" width="15.85546875" style="2139" customWidth="1"/>
    <col min="15880" max="15880" width="6.42578125" style="2139" customWidth="1"/>
    <col min="15881" max="15882" width="9.140625" style="2139"/>
    <col min="15883" max="15884" width="14.7109375" style="2139" bestFit="1" customWidth="1"/>
    <col min="15885" max="16128" width="9.140625" style="2139"/>
    <col min="16129" max="16129" width="5.5703125" style="2139" customWidth="1"/>
    <col min="16130" max="16130" width="6.7109375" style="2139" customWidth="1"/>
    <col min="16131" max="16131" width="8.85546875" style="2139" customWidth="1"/>
    <col min="16132" max="16132" width="47.85546875" style="2139" customWidth="1"/>
    <col min="16133" max="16133" width="12.85546875" style="2139" customWidth="1"/>
    <col min="16134" max="16134" width="15.5703125" style="2139" customWidth="1"/>
    <col min="16135" max="16135" width="15.85546875" style="2139" customWidth="1"/>
    <col min="16136" max="16136" width="6.42578125" style="2139" customWidth="1"/>
    <col min="16137" max="16138" width="9.140625" style="2139"/>
    <col min="16139" max="16140" width="14.7109375" style="2139" bestFit="1" customWidth="1"/>
    <col min="16141" max="16384" width="9.140625" style="2139"/>
  </cols>
  <sheetData>
    <row r="1" spans="1:8" ht="18.75" thickBot="1" x14ac:dyDescent="0.3">
      <c r="A1" s="2133" t="s">
        <v>1699</v>
      </c>
      <c r="B1" s="2134"/>
      <c r="C1" s="2135"/>
      <c r="D1" s="2136"/>
      <c r="E1" s="2137"/>
      <c r="F1" s="2136"/>
      <c r="G1" s="2138"/>
      <c r="H1" s="2133"/>
    </row>
    <row r="2" spans="1:8" ht="18" x14ac:dyDescent="0.25">
      <c r="A2" s="2140"/>
      <c r="B2" s="2141"/>
      <c r="C2" s="2141"/>
      <c r="D2" s="2141"/>
      <c r="E2" s="2141"/>
      <c r="F2" s="2141"/>
      <c r="G2" s="2141"/>
      <c r="H2" s="2142" t="s">
        <v>1700</v>
      </c>
    </row>
    <row r="3" spans="1:8" ht="18" x14ac:dyDescent="0.25">
      <c r="A3" s="2143" t="s">
        <v>387</v>
      </c>
      <c r="B3" s="2141"/>
      <c r="C3" s="1935" t="s">
        <v>227</v>
      </c>
      <c r="D3" s="2141"/>
      <c r="E3" s="2141"/>
      <c r="F3" s="2141"/>
      <c r="G3" s="2141"/>
      <c r="H3" s="2142"/>
    </row>
    <row r="4" spans="1:8" ht="18" x14ac:dyDescent="0.25">
      <c r="A4" s="2140"/>
      <c r="B4" s="2141"/>
      <c r="C4" s="2358" t="s">
        <v>1782</v>
      </c>
      <c r="D4" s="2141"/>
      <c r="E4" s="2141"/>
      <c r="F4" s="2141"/>
      <c r="G4" s="2141"/>
      <c r="H4" s="2142"/>
    </row>
    <row r="5" spans="1:8" ht="18" x14ac:dyDescent="0.25">
      <c r="A5" s="2145" t="s">
        <v>1701</v>
      </c>
      <c r="B5" s="2141"/>
      <c r="C5" s="2141"/>
      <c r="D5" s="2141"/>
      <c r="E5" s="2141"/>
      <c r="F5" s="2141"/>
      <c r="G5" s="2141"/>
      <c r="H5" s="2142"/>
    </row>
    <row r="6" spans="1:8" x14ac:dyDescent="0.2">
      <c r="A6" s="2146"/>
      <c r="B6" s="2146"/>
      <c r="C6" s="2146"/>
      <c r="E6" s="2147"/>
      <c r="F6" s="2147"/>
      <c r="G6" s="2147"/>
    </row>
    <row r="7" spans="1:8" x14ac:dyDescent="0.2">
      <c r="A7" s="2146"/>
      <c r="B7" s="2146"/>
      <c r="C7" s="2146"/>
      <c r="E7" s="2147"/>
      <c r="F7" s="2147"/>
      <c r="G7" s="2147"/>
    </row>
    <row r="8" spans="1:8" ht="13.5" x14ac:dyDescent="0.25">
      <c r="A8" s="2744" t="s">
        <v>1702</v>
      </c>
      <c r="B8" s="2745"/>
      <c r="C8" s="2745"/>
      <c r="D8" s="2745"/>
      <c r="E8" s="2745"/>
      <c r="F8" s="2745"/>
      <c r="G8" s="2745"/>
      <c r="H8" s="2745"/>
    </row>
    <row r="9" spans="1:8" ht="15.75" thickBot="1" x14ac:dyDescent="0.3">
      <c r="A9" s="2132" t="s">
        <v>1703</v>
      </c>
      <c r="B9" s="2146"/>
      <c r="C9" s="2146"/>
      <c r="E9" s="2147"/>
      <c r="F9" s="2147"/>
      <c r="G9" s="2147"/>
      <c r="H9" s="2148" t="s">
        <v>173</v>
      </c>
    </row>
    <row r="10" spans="1:8" s="2223" customFormat="1" ht="25.5" thickTop="1" thickBot="1" x14ac:dyDescent="0.25">
      <c r="A10" s="2149" t="s">
        <v>174</v>
      </c>
      <c r="B10" s="2150" t="s">
        <v>800</v>
      </c>
      <c r="C10" s="2150" t="s">
        <v>397</v>
      </c>
      <c r="D10" s="2151" t="s">
        <v>176</v>
      </c>
      <c r="E10" s="2152" t="s">
        <v>669</v>
      </c>
      <c r="F10" s="2152" t="s">
        <v>670</v>
      </c>
      <c r="G10" s="2153" t="s">
        <v>923</v>
      </c>
      <c r="H10" s="2154" t="s">
        <v>924</v>
      </c>
    </row>
    <row r="11" spans="1:8" s="2223" customFormat="1" ht="13.5" thickTop="1" thickBot="1" x14ac:dyDescent="0.25">
      <c r="A11" s="2155">
        <v>1</v>
      </c>
      <c r="B11" s="2156">
        <v>2</v>
      </c>
      <c r="C11" s="2156">
        <v>3</v>
      </c>
      <c r="D11" s="2156">
        <v>4</v>
      </c>
      <c r="E11" s="2157">
        <v>5</v>
      </c>
      <c r="F11" s="2157">
        <v>6</v>
      </c>
      <c r="G11" s="2158">
        <v>7</v>
      </c>
      <c r="H11" s="2159" t="s">
        <v>61</v>
      </c>
    </row>
    <row r="12" spans="1:8" ht="15.75" hidden="1" thickTop="1" x14ac:dyDescent="0.2">
      <c r="A12" s="2165">
        <v>3636</v>
      </c>
      <c r="B12" s="2166">
        <v>5164</v>
      </c>
      <c r="C12" s="2170">
        <v>0</v>
      </c>
      <c r="D12" s="2167" t="s">
        <v>182</v>
      </c>
      <c r="E12" s="2163">
        <v>0</v>
      </c>
      <c r="F12" s="2163">
        <v>0</v>
      </c>
      <c r="G12" s="2163">
        <v>0</v>
      </c>
      <c r="H12" s="2164" t="e">
        <f>G12/F12*100</f>
        <v>#DIV/0!</v>
      </c>
    </row>
    <row r="13" spans="1:8" ht="15.75" thickTop="1" x14ac:dyDescent="0.2">
      <c r="A13" s="2165">
        <v>6223</v>
      </c>
      <c r="B13" s="2166">
        <v>5169</v>
      </c>
      <c r="C13" s="2170">
        <v>0</v>
      </c>
      <c r="D13" s="2167" t="s">
        <v>892</v>
      </c>
      <c r="E13" s="2168">
        <v>0</v>
      </c>
      <c r="F13" s="2168">
        <v>18</v>
      </c>
      <c r="G13" s="2168">
        <v>9</v>
      </c>
      <c r="H13" s="2169">
        <f>G13/F13*100</f>
        <v>50</v>
      </c>
    </row>
    <row r="14" spans="1:8" ht="15" x14ac:dyDescent="0.2">
      <c r="A14" s="2165">
        <v>6223</v>
      </c>
      <c r="B14" s="2166">
        <v>5175</v>
      </c>
      <c r="C14" s="2170">
        <v>0</v>
      </c>
      <c r="D14" s="2167" t="s">
        <v>707</v>
      </c>
      <c r="E14" s="2168">
        <v>0</v>
      </c>
      <c r="F14" s="2168">
        <v>20</v>
      </c>
      <c r="G14" s="2168">
        <v>19</v>
      </c>
      <c r="H14" s="2169">
        <v>0</v>
      </c>
    </row>
    <row r="15" spans="1:8" ht="15.75" hidden="1" thickBot="1" x14ac:dyDescent="0.25">
      <c r="A15" s="2165">
        <v>3636</v>
      </c>
      <c r="B15" s="2166">
        <v>5169</v>
      </c>
      <c r="C15" s="2170"/>
      <c r="D15" s="2167" t="s">
        <v>806</v>
      </c>
      <c r="E15" s="2168">
        <v>0</v>
      </c>
      <c r="F15" s="2168">
        <v>0</v>
      </c>
      <c r="G15" s="2168">
        <v>0</v>
      </c>
      <c r="H15" s="2171">
        <v>0</v>
      </c>
    </row>
    <row r="16" spans="1:8" ht="15.75" hidden="1" thickBot="1" x14ac:dyDescent="0.25">
      <c r="A16" s="2165"/>
      <c r="B16" s="2166"/>
      <c r="C16" s="2170"/>
      <c r="D16" s="2167"/>
      <c r="E16" s="2168"/>
      <c r="F16" s="2168"/>
      <c r="G16" s="2168"/>
      <c r="H16" s="2171"/>
    </row>
    <row r="17" spans="1:9" ht="15.75" thickBot="1" x14ac:dyDescent="0.25">
      <c r="A17" s="2165">
        <v>6330</v>
      </c>
      <c r="B17" s="2166">
        <v>5345</v>
      </c>
      <c r="C17" s="2170">
        <v>0</v>
      </c>
      <c r="D17" s="2167" t="s">
        <v>806</v>
      </c>
      <c r="E17" s="2168">
        <v>0</v>
      </c>
      <c r="F17" s="2168">
        <v>0</v>
      </c>
      <c r="G17" s="2168">
        <v>721</v>
      </c>
      <c r="H17" s="2171">
        <v>0</v>
      </c>
    </row>
    <row r="18" spans="1:9" s="2229" customFormat="1" ht="16.5" thickTop="1" thickBot="1" x14ac:dyDescent="0.3">
      <c r="A18" s="2766" t="s">
        <v>802</v>
      </c>
      <c r="B18" s="2767"/>
      <c r="C18" s="2767"/>
      <c r="D18" s="2767"/>
      <c r="E18" s="2172">
        <f>SUM(E12:E17)</f>
        <v>0</v>
      </c>
      <c r="F18" s="2172">
        <f>SUM(F12:F17)</f>
        <v>38</v>
      </c>
      <c r="G18" s="2172">
        <f>SUM(G12:G17)</f>
        <v>749</v>
      </c>
      <c r="H18" s="2173">
        <f>G18/F18*100</f>
        <v>1971.0526315789473</v>
      </c>
      <c r="I18" s="2228"/>
    </row>
    <row r="19" spans="1:9" s="2229" customFormat="1" ht="15.75" thickTop="1" x14ac:dyDescent="0.25">
      <c r="A19" s="2212"/>
      <c r="B19" s="2212"/>
      <c r="C19" s="2212"/>
      <c r="D19" s="2212"/>
      <c r="E19" s="2213"/>
      <c r="F19" s="2213"/>
      <c r="G19" s="2213"/>
      <c r="H19" s="2214"/>
      <c r="I19" s="2228"/>
    </row>
    <row r="20" spans="1:9" x14ac:dyDescent="0.2">
      <c r="A20" s="2146"/>
      <c r="B20" s="2146"/>
      <c r="C20" s="2146"/>
      <c r="E20" s="2147"/>
      <c r="F20" s="2147"/>
      <c r="G20" s="2147"/>
    </row>
    <row r="21" spans="1:9" ht="27" customHeight="1" x14ac:dyDescent="0.25">
      <c r="A21" s="2744" t="s">
        <v>1917</v>
      </c>
      <c r="B21" s="2745"/>
      <c r="C21" s="2745"/>
      <c r="D21" s="2745"/>
      <c r="E21" s="2745"/>
      <c r="F21" s="2745"/>
      <c r="G21" s="2745"/>
      <c r="H21" s="2745"/>
    </row>
    <row r="22" spans="1:9" ht="15.75" thickBot="1" x14ac:dyDescent="0.3">
      <c r="A22" s="2132" t="s">
        <v>1918</v>
      </c>
      <c r="B22" s="2146"/>
      <c r="C22" s="2146"/>
      <c r="E22" s="2147"/>
      <c r="F22" s="2147"/>
      <c r="G22" s="2147"/>
      <c r="H22" s="2148" t="s">
        <v>173</v>
      </c>
    </row>
    <row r="23" spans="1:9" ht="25.5" thickTop="1" thickBot="1" x14ac:dyDescent="0.25">
      <c r="A23" s="1943" t="s">
        <v>174</v>
      </c>
      <c r="B23" s="1944" t="s">
        <v>800</v>
      </c>
      <c r="C23" s="1944" t="s">
        <v>397</v>
      </c>
      <c r="D23" s="1945" t="s">
        <v>176</v>
      </c>
      <c r="E23" s="1976" t="s">
        <v>669</v>
      </c>
      <c r="F23" s="1976" t="s">
        <v>670</v>
      </c>
      <c r="G23" s="1977" t="s">
        <v>923</v>
      </c>
      <c r="H23" s="1978" t="s">
        <v>924</v>
      </c>
    </row>
    <row r="24" spans="1:9" ht="14.25" thickTop="1" thickBot="1" x14ac:dyDescent="0.25">
      <c r="A24" s="1740">
        <v>1</v>
      </c>
      <c r="B24" s="1739">
        <v>2</v>
      </c>
      <c r="C24" s="1739">
        <v>3</v>
      </c>
      <c r="D24" s="1739">
        <v>4</v>
      </c>
      <c r="E24" s="1738">
        <v>5</v>
      </c>
      <c r="F24" s="1738">
        <v>6</v>
      </c>
      <c r="G24" s="2028">
        <v>7</v>
      </c>
      <c r="H24" s="2054" t="s">
        <v>61</v>
      </c>
    </row>
    <row r="25" spans="1:9" ht="15.75" hidden="1" thickTop="1" x14ac:dyDescent="0.2">
      <c r="A25" s="2160">
        <v>3636</v>
      </c>
      <c r="B25" s="2161">
        <v>5011</v>
      </c>
      <c r="C25" s="2170">
        <v>0</v>
      </c>
      <c r="D25" s="2162" t="s">
        <v>219</v>
      </c>
      <c r="E25" s="2163">
        <v>0</v>
      </c>
      <c r="F25" s="2163">
        <v>0</v>
      </c>
      <c r="G25" s="2163">
        <v>0</v>
      </c>
      <c r="H25" s="2164" t="e">
        <f t="shared" ref="H25:H32" si="0">G25/F25*100</f>
        <v>#DIV/0!</v>
      </c>
    </row>
    <row r="26" spans="1:9" ht="15.75" hidden="1" thickTop="1" x14ac:dyDescent="0.2">
      <c r="A26" s="2165">
        <v>3636</v>
      </c>
      <c r="B26" s="2166">
        <v>5011</v>
      </c>
      <c r="C26" s="2166">
        <v>38500881</v>
      </c>
      <c r="D26" s="2167" t="s">
        <v>219</v>
      </c>
      <c r="E26" s="2168">
        <v>0</v>
      </c>
      <c r="F26" s="2168">
        <v>0</v>
      </c>
      <c r="G26" s="2168">
        <v>0</v>
      </c>
      <c r="H26" s="2169" t="e">
        <f t="shared" si="0"/>
        <v>#DIV/0!</v>
      </c>
    </row>
    <row r="27" spans="1:9" ht="15.75" thickTop="1" x14ac:dyDescent="0.2">
      <c r="A27" s="2165">
        <v>6223</v>
      </c>
      <c r="B27" s="2166">
        <v>5021</v>
      </c>
      <c r="C27" s="2170">
        <v>0</v>
      </c>
      <c r="D27" s="2167" t="s">
        <v>409</v>
      </c>
      <c r="E27" s="2168">
        <v>29</v>
      </c>
      <c r="F27" s="2168">
        <v>0</v>
      </c>
      <c r="G27" s="2168">
        <v>0</v>
      </c>
      <c r="H27" s="2169">
        <v>0</v>
      </c>
    </row>
    <row r="28" spans="1:9" ht="15" hidden="1" x14ac:dyDescent="0.2">
      <c r="A28" s="2165">
        <v>3636</v>
      </c>
      <c r="B28" s="2166">
        <v>5021</v>
      </c>
      <c r="C28" s="2166">
        <v>38500881</v>
      </c>
      <c r="D28" s="2167" t="s">
        <v>409</v>
      </c>
      <c r="E28" s="2168">
        <v>0</v>
      </c>
      <c r="F28" s="2168">
        <v>0</v>
      </c>
      <c r="G28" s="2168">
        <v>0</v>
      </c>
      <c r="H28" s="2169" t="e">
        <f t="shared" si="0"/>
        <v>#DIV/0!</v>
      </c>
    </row>
    <row r="29" spans="1:9" ht="30" hidden="1" x14ac:dyDescent="0.2">
      <c r="A29" s="2165">
        <v>3636</v>
      </c>
      <c r="B29" s="2166">
        <v>5031</v>
      </c>
      <c r="C29" s="2166">
        <v>38100880</v>
      </c>
      <c r="D29" s="2167" t="s">
        <v>1362</v>
      </c>
      <c r="E29" s="2168">
        <v>0</v>
      </c>
      <c r="F29" s="2168">
        <v>0</v>
      </c>
      <c r="G29" s="2168">
        <v>0</v>
      </c>
      <c r="H29" s="2169" t="e">
        <f t="shared" si="0"/>
        <v>#DIV/0!</v>
      </c>
    </row>
    <row r="30" spans="1:9" ht="30" hidden="1" x14ac:dyDescent="0.2">
      <c r="A30" s="2165">
        <v>3636</v>
      </c>
      <c r="B30" s="2166">
        <v>5031</v>
      </c>
      <c r="C30" s="2166">
        <v>38500881</v>
      </c>
      <c r="D30" s="2167" t="s">
        <v>1362</v>
      </c>
      <c r="E30" s="2168">
        <v>0</v>
      </c>
      <c r="F30" s="2168">
        <v>0</v>
      </c>
      <c r="G30" s="2168">
        <v>0</v>
      </c>
      <c r="H30" s="2169" t="e">
        <f t="shared" si="0"/>
        <v>#DIV/0!</v>
      </c>
    </row>
    <row r="31" spans="1:9" ht="30" hidden="1" x14ac:dyDescent="0.2">
      <c r="A31" s="2165">
        <v>3636</v>
      </c>
      <c r="B31" s="2166">
        <v>5032</v>
      </c>
      <c r="C31" s="2166">
        <v>38100880</v>
      </c>
      <c r="D31" s="2167" t="s">
        <v>1236</v>
      </c>
      <c r="E31" s="2168">
        <v>0</v>
      </c>
      <c r="F31" s="2168">
        <v>0</v>
      </c>
      <c r="G31" s="2168">
        <v>0</v>
      </c>
      <c r="H31" s="2169" t="e">
        <f t="shared" si="0"/>
        <v>#DIV/0!</v>
      </c>
    </row>
    <row r="32" spans="1:9" ht="30" hidden="1" x14ac:dyDescent="0.2">
      <c r="A32" s="2165">
        <v>3636</v>
      </c>
      <c r="B32" s="2166">
        <v>5032</v>
      </c>
      <c r="C32" s="2166">
        <v>38500881</v>
      </c>
      <c r="D32" s="2167" t="s">
        <v>1236</v>
      </c>
      <c r="E32" s="2168">
        <v>0</v>
      </c>
      <c r="F32" s="2168">
        <v>0</v>
      </c>
      <c r="G32" s="2168">
        <v>0</v>
      </c>
      <c r="H32" s="2169" t="e">
        <f t="shared" si="0"/>
        <v>#DIV/0!</v>
      </c>
    </row>
    <row r="33" spans="1:8" ht="15" hidden="1" x14ac:dyDescent="0.2">
      <c r="A33" s="2165">
        <v>3636</v>
      </c>
      <c r="B33" s="2166">
        <v>5139</v>
      </c>
      <c r="C33" s="2166">
        <v>38100880</v>
      </c>
      <c r="D33" s="2167" t="s">
        <v>284</v>
      </c>
      <c r="E33" s="2168">
        <v>0</v>
      </c>
      <c r="F33" s="2168">
        <v>0</v>
      </c>
      <c r="G33" s="2168">
        <v>0</v>
      </c>
      <c r="H33" s="2169">
        <v>0</v>
      </c>
    </row>
    <row r="34" spans="1:8" ht="15" hidden="1" x14ac:dyDescent="0.2">
      <c r="A34" s="2165">
        <v>3636</v>
      </c>
      <c r="B34" s="2166">
        <v>5139</v>
      </c>
      <c r="C34" s="2166">
        <v>38500881</v>
      </c>
      <c r="D34" s="2167" t="s">
        <v>284</v>
      </c>
      <c r="E34" s="2168">
        <v>0</v>
      </c>
      <c r="F34" s="2168">
        <v>0</v>
      </c>
      <c r="G34" s="2168">
        <v>0</v>
      </c>
      <c r="H34" s="2169" t="e">
        <f t="shared" ref="H34:H54" si="1">G34/F34*100</f>
        <v>#DIV/0!</v>
      </c>
    </row>
    <row r="35" spans="1:8" ht="15" hidden="1" x14ac:dyDescent="0.2">
      <c r="A35" s="2165">
        <v>3636</v>
      </c>
      <c r="B35" s="2166">
        <v>5162</v>
      </c>
      <c r="C35" s="2166">
        <v>38100880</v>
      </c>
      <c r="D35" s="2167" t="s">
        <v>904</v>
      </c>
      <c r="E35" s="2168">
        <v>0</v>
      </c>
      <c r="F35" s="2168">
        <v>0</v>
      </c>
      <c r="G35" s="2168">
        <v>0</v>
      </c>
      <c r="H35" s="2169" t="e">
        <f t="shared" si="1"/>
        <v>#DIV/0!</v>
      </c>
    </row>
    <row r="36" spans="1:8" ht="15" hidden="1" x14ac:dyDescent="0.2">
      <c r="A36" s="2165">
        <v>3636</v>
      </c>
      <c r="B36" s="2166">
        <v>5162</v>
      </c>
      <c r="C36" s="2166">
        <v>38500881</v>
      </c>
      <c r="D36" s="2167" t="s">
        <v>904</v>
      </c>
      <c r="E36" s="2168">
        <v>0</v>
      </c>
      <c r="F36" s="2168">
        <v>0</v>
      </c>
      <c r="G36" s="2168">
        <v>0</v>
      </c>
      <c r="H36" s="2169" t="e">
        <f t="shared" si="1"/>
        <v>#DIV/0!</v>
      </c>
    </row>
    <row r="37" spans="1:8" ht="15" hidden="1" x14ac:dyDescent="0.2">
      <c r="A37" s="2165">
        <v>3636</v>
      </c>
      <c r="B37" s="2166">
        <v>5164</v>
      </c>
      <c r="C37" s="2166">
        <v>38100880</v>
      </c>
      <c r="D37" s="2167" t="s">
        <v>182</v>
      </c>
      <c r="E37" s="2168">
        <v>0</v>
      </c>
      <c r="F37" s="2168">
        <v>0</v>
      </c>
      <c r="G37" s="2168">
        <v>0</v>
      </c>
      <c r="H37" s="2169" t="e">
        <f t="shared" si="1"/>
        <v>#DIV/0!</v>
      </c>
    </row>
    <row r="38" spans="1:8" ht="15" hidden="1" x14ac:dyDescent="0.2">
      <c r="A38" s="2165">
        <v>3636</v>
      </c>
      <c r="B38" s="2166">
        <v>5164</v>
      </c>
      <c r="C38" s="2166">
        <v>38500881</v>
      </c>
      <c r="D38" s="2167" t="s">
        <v>182</v>
      </c>
      <c r="E38" s="2168">
        <v>0</v>
      </c>
      <c r="F38" s="2168">
        <v>0</v>
      </c>
      <c r="G38" s="2168">
        <v>0</v>
      </c>
      <c r="H38" s="2169" t="e">
        <f t="shared" si="1"/>
        <v>#DIV/0!</v>
      </c>
    </row>
    <row r="39" spans="1:8" ht="15" x14ac:dyDescent="0.2">
      <c r="A39" s="2165">
        <v>6223</v>
      </c>
      <c r="B39" s="2166">
        <v>5166</v>
      </c>
      <c r="C39" s="2170">
        <v>0</v>
      </c>
      <c r="D39" s="2167" t="s">
        <v>646</v>
      </c>
      <c r="E39" s="2168">
        <v>75</v>
      </c>
      <c r="F39" s="2168">
        <v>0</v>
      </c>
      <c r="G39" s="2168">
        <v>0</v>
      </c>
      <c r="H39" s="2169">
        <v>0</v>
      </c>
    </row>
    <row r="40" spans="1:8" ht="15" x14ac:dyDescent="0.2">
      <c r="A40" s="2165">
        <v>6223</v>
      </c>
      <c r="B40" s="2166">
        <v>5166</v>
      </c>
      <c r="C40" s="2166">
        <v>41100880</v>
      </c>
      <c r="D40" s="2167" t="s">
        <v>646</v>
      </c>
      <c r="E40" s="2168">
        <v>0</v>
      </c>
      <c r="F40" s="2168">
        <v>4</v>
      </c>
      <c r="G40" s="2168">
        <v>0</v>
      </c>
      <c r="H40" s="2169">
        <f t="shared" si="1"/>
        <v>0</v>
      </c>
    </row>
    <row r="41" spans="1:8" ht="15" x14ac:dyDescent="0.2">
      <c r="A41" s="2165">
        <v>6223</v>
      </c>
      <c r="B41" s="2166">
        <v>5166</v>
      </c>
      <c r="C41" s="2166">
        <v>41100882</v>
      </c>
      <c r="D41" s="2167" t="s">
        <v>646</v>
      </c>
      <c r="E41" s="2168">
        <v>0</v>
      </c>
      <c r="F41" s="2168">
        <v>2</v>
      </c>
      <c r="G41" s="2168">
        <v>0</v>
      </c>
      <c r="H41" s="2169">
        <f t="shared" si="1"/>
        <v>0</v>
      </c>
    </row>
    <row r="42" spans="1:8" ht="15" x14ac:dyDescent="0.2">
      <c r="A42" s="2165">
        <v>6223</v>
      </c>
      <c r="B42" s="2166">
        <v>5166</v>
      </c>
      <c r="C42" s="2166">
        <v>41500881</v>
      </c>
      <c r="D42" s="2167" t="s">
        <v>646</v>
      </c>
      <c r="E42" s="2168">
        <v>0</v>
      </c>
      <c r="F42" s="2168">
        <v>32</v>
      </c>
      <c r="G42" s="2168">
        <v>0</v>
      </c>
      <c r="H42" s="2169">
        <f t="shared" si="1"/>
        <v>0</v>
      </c>
    </row>
    <row r="43" spans="1:8" ht="15" hidden="1" x14ac:dyDescent="0.2">
      <c r="A43" s="2165">
        <v>3636</v>
      </c>
      <c r="B43" s="2166">
        <v>5167</v>
      </c>
      <c r="C43" s="2166">
        <v>38100880</v>
      </c>
      <c r="D43" s="2167" t="s">
        <v>937</v>
      </c>
      <c r="E43" s="2168">
        <v>0</v>
      </c>
      <c r="F43" s="2168"/>
      <c r="G43" s="2168"/>
      <c r="H43" s="2169" t="e">
        <f t="shared" si="1"/>
        <v>#DIV/0!</v>
      </c>
    </row>
    <row r="44" spans="1:8" ht="15" hidden="1" x14ac:dyDescent="0.2">
      <c r="A44" s="2165">
        <v>3636</v>
      </c>
      <c r="B44" s="2166">
        <v>5167</v>
      </c>
      <c r="C44" s="2166">
        <v>38500881</v>
      </c>
      <c r="D44" s="2167" t="s">
        <v>937</v>
      </c>
      <c r="E44" s="2168">
        <v>0</v>
      </c>
      <c r="F44" s="2168"/>
      <c r="G44" s="2168"/>
      <c r="H44" s="2169" t="e">
        <f t="shared" si="1"/>
        <v>#DIV/0!</v>
      </c>
    </row>
    <row r="45" spans="1:8" ht="15" hidden="1" x14ac:dyDescent="0.2">
      <c r="A45" s="2165">
        <v>3636</v>
      </c>
      <c r="B45" s="2166">
        <v>5169</v>
      </c>
      <c r="C45" s="2166">
        <v>38100880</v>
      </c>
      <c r="D45" s="2167" t="s">
        <v>892</v>
      </c>
      <c r="E45" s="2168">
        <v>0</v>
      </c>
      <c r="F45" s="2168"/>
      <c r="G45" s="2168"/>
      <c r="H45" s="2169" t="e">
        <f t="shared" si="1"/>
        <v>#DIV/0!</v>
      </c>
    </row>
    <row r="46" spans="1:8" ht="15" hidden="1" x14ac:dyDescent="0.2">
      <c r="A46" s="2165">
        <v>3636</v>
      </c>
      <c r="B46" s="2166">
        <v>5169</v>
      </c>
      <c r="C46" s="2166">
        <v>38500881</v>
      </c>
      <c r="D46" s="2167" t="s">
        <v>892</v>
      </c>
      <c r="E46" s="2168">
        <v>0</v>
      </c>
      <c r="F46" s="2168"/>
      <c r="G46" s="2168"/>
      <c r="H46" s="2169" t="e">
        <f t="shared" si="1"/>
        <v>#DIV/0!</v>
      </c>
    </row>
    <row r="47" spans="1:8" ht="15.75" thickBot="1" x14ac:dyDescent="0.25">
      <c r="A47" s="2165">
        <v>6223</v>
      </c>
      <c r="B47" s="2166">
        <v>5173</v>
      </c>
      <c r="C47" s="2170">
        <v>0</v>
      </c>
      <c r="D47" s="2167" t="s">
        <v>1211</v>
      </c>
      <c r="E47" s="2168">
        <v>21</v>
      </c>
      <c r="F47" s="2168">
        <v>0</v>
      </c>
      <c r="G47" s="2168">
        <v>0</v>
      </c>
      <c r="H47" s="2169">
        <v>0</v>
      </c>
    </row>
    <row r="48" spans="1:8" ht="15.75" hidden="1" thickBot="1" x14ac:dyDescent="0.25">
      <c r="A48" s="2165">
        <v>3636</v>
      </c>
      <c r="B48" s="2166">
        <v>5173</v>
      </c>
      <c r="C48" s="2166">
        <v>38500881</v>
      </c>
      <c r="D48" s="2167" t="s">
        <v>1211</v>
      </c>
      <c r="E48" s="2168">
        <v>0</v>
      </c>
      <c r="F48" s="2168"/>
      <c r="G48" s="2168"/>
      <c r="H48" s="2169" t="e">
        <f t="shared" si="1"/>
        <v>#DIV/0!</v>
      </c>
    </row>
    <row r="49" spans="1:8" ht="15.75" hidden="1" thickBot="1" x14ac:dyDescent="0.25">
      <c r="A49" s="2165">
        <v>3636</v>
      </c>
      <c r="B49" s="2166">
        <v>5175</v>
      </c>
      <c r="C49" s="2166">
        <v>38100880</v>
      </c>
      <c r="D49" s="2167" t="s">
        <v>707</v>
      </c>
      <c r="E49" s="2168">
        <v>0</v>
      </c>
      <c r="F49" s="2168"/>
      <c r="G49" s="2168"/>
      <c r="H49" s="2169" t="e">
        <f t="shared" si="1"/>
        <v>#DIV/0!</v>
      </c>
    </row>
    <row r="50" spans="1:8" ht="15.75" hidden="1" thickBot="1" x14ac:dyDescent="0.25">
      <c r="A50" s="2165">
        <v>3636</v>
      </c>
      <c r="B50" s="2166">
        <v>5175</v>
      </c>
      <c r="C50" s="2166">
        <v>38500881</v>
      </c>
      <c r="D50" s="2167" t="s">
        <v>707</v>
      </c>
      <c r="E50" s="2168">
        <v>0</v>
      </c>
      <c r="F50" s="2168"/>
      <c r="G50" s="2168"/>
      <c r="H50" s="2169" t="e">
        <f t="shared" si="1"/>
        <v>#DIV/0!</v>
      </c>
    </row>
    <row r="51" spans="1:8" ht="15.75" hidden="1" thickBot="1" x14ac:dyDescent="0.25">
      <c r="A51" s="2165">
        <v>3636</v>
      </c>
      <c r="B51" s="2166">
        <v>5176</v>
      </c>
      <c r="C51" s="2166">
        <v>38100880</v>
      </c>
      <c r="D51" s="2167" t="s">
        <v>1309</v>
      </c>
      <c r="E51" s="2168">
        <v>0</v>
      </c>
      <c r="F51" s="2168"/>
      <c r="G51" s="2168"/>
      <c r="H51" s="2169" t="e">
        <f t="shared" si="1"/>
        <v>#DIV/0!</v>
      </c>
    </row>
    <row r="52" spans="1:8" ht="15.75" hidden="1" thickBot="1" x14ac:dyDescent="0.25">
      <c r="A52" s="2165">
        <v>3636</v>
      </c>
      <c r="B52" s="2166">
        <v>5176</v>
      </c>
      <c r="C52" s="2166">
        <v>38500881</v>
      </c>
      <c r="D52" s="2167" t="s">
        <v>1309</v>
      </c>
      <c r="E52" s="2168">
        <v>0</v>
      </c>
      <c r="F52" s="2168"/>
      <c r="G52" s="2168"/>
      <c r="H52" s="2169" t="e">
        <f t="shared" si="1"/>
        <v>#DIV/0!</v>
      </c>
    </row>
    <row r="53" spans="1:8" ht="15.75" hidden="1" thickBot="1" x14ac:dyDescent="0.25">
      <c r="A53" s="2165">
        <v>3636</v>
      </c>
      <c r="B53" s="2166">
        <v>6901</v>
      </c>
      <c r="C53" s="2166">
        <v>38100880</v>
      </c>
      <c r="D53" s="2167" t="s">
        <v>449</v>
      </c>
      <c r="E53" s="2168">
        <v>0</v>
      </c>
      <c r="F53" s="2168">
        <v>0</v>
      </c>
      <c r="G53" s="2168">
        <v>0</v>
      </c>
      <c r="H53" s="2169" t="e">
        <f t="shared" si="1"/>
        <v>#DIV/0!</v>
      </c>
    </row>
    <row r="54" spans="1:8" ht="15.75" hidden="1" thickBot="1" x14ac:dyDescent="0.25">
      <c r="A54" s="2165">
        <v>3636</v>
      </c>
      <c r="B54" s="2166">
        <v>5363</v>
      </c>
      <c r="C54" s="2166">
        <v>38500881</v>
      </c>
      <c r="D54" s="2167" t="s">
        <v>585</v>
      </c>
      <c r="E54" s="2168">
        <v>0</v>
      </c>
      <c r="F54" s="2168">
        <v>0</v>
      </c>
      <c r="G54" s="2168">
        <v>0</v>
      </c>
      <c r="H54" s="2171" t="e">
        <f t="shared" si="1"/>
        <v>#DIV/0!</v>
      </c>
    </row>
    <row r="55" spans="1:8" ht="16.5" thickTop="1" thickBot="1" x14ac:dyDescent="0.3">
      <c r="A55" s="2750" t="s">
        <v>802</v>
      </c>
      <c r="B55" s="2751"/>
      <c r="C55" s="2751"/>
      <c r="D55" s="2751"/>
      <c r="E55" s="1957">
        <f>SUM(E25:E54)</f>
        <v>125</v>
      </c>
      <c r="F55" s="1957">
        <f>SUM(F25:F54)</f>
        <v>38</v>
      </c>
      <c r="G55" s="1957">
        <f>SUM(G25:G54)</f>
        <v>0</v>
      </c>
      <c r="H55" s="1962">
        <v>0</v>
      </c>
    </row>
    <row r="56" spans="1:8" ht="13.5" thickTop="1" x14ac:dyDescent="0.2"/>
    <row r="57" spans="1:8" ht="27" customHeight="1" x14ac:dyDescent="0.25">
      <c r="A57" s="2744" t="s">
        <v>1919</v>
      </c>
      <c r="B57" s="2745"/>
      <c r="C57" s="2745"/>
      <c r="D57" s="2745"/>
      <c r="E57" s="2745"/>
      <c r="F57" s="2745"/>
      <c r="G57" s="2745"/>
      <c r="H57" s="2745"/>
    </row>
    <row r="58" spans="1:8" ht="15.75" thickBot="1" x14ac:dyDescent="0.3">
      <c r="A58" s="2132" t="s">
        <v>1920</v>
      </c>
      <c r="B58" s="2146"/>
      <c r="C58" s="2146"/>
      <c r="E58" s="2147"/>
      <c r="F58" s="2147"/>
      <c r="G58" s="2147"/>
      <c r="H58" s="2148" t="s">
        <v>173</v>
      </c>
    </row>
    <row r="59" spans="1:8" ht="25.5" thickTop="1" thickBot="1" x14ac:dyDescent="0.25">
      <c r="A59" s="1943" t="s">
        <v>174</v>
      </c>
      <c r="B59" s="1944" t="s">
        <v>800</v>
      </c>
      <c r="C59" s="1944" t="s">
        <v>397</v>
      </c>
      <c r="D59" s="1945" t="s">
        <v>176</v>
      </c>
      <c r="E59" s="1976" t="s">
        <v>669</v>
      </c>
      <c r="F59" s="1976" t="s">
        <v>670</v>
      </c>
      <c r="G59" s="1977" t="s">
        <v>923</v>
      </c>
      <c r="H59" s="1978" t="s">
        <v>924</v>
      </c>
    </row>
    <row r="60" spans="1:8" ht="14.25" thickTop="1" thickBot="1" x14ac:dyDescent="0.25">
      <c r="A60" s="1740">
        <v>1</v>
      </c>
      <c r="B60" s="1739">
        <v>2</v>
      </c>
      <c r="C60" s="1739">
        <v>3</v>
      </c>
      <c r="D60" s="1739">
        <v>4</v>
      </c>
      <c r="E60" s="1738">
        <v>5</v>
      </c>
      <c r="F60" s="1738">
        <v>6</v>
      </c>
      <c r="G60" s="2028">
        <v>7</v>
      </c>
      <c r="H60" s="2054" t="s">
        <v>61</v>
      </c>
    </row>
    <row r="61" spans="1:8" ht="15.75" hidden="1" thickTop="1" x14ac:dyDescent="0.2">
      <c r="A61" s="2160">
        <v>3636</v>
      </c>
      <c r="B61" s="2161">
        <v>5011</v>
      </c>
      <c r="C61" s="2170">
        <v>0</v>
      </c>
      <c r="D61" s="2162" t="s">
        <v>219</v>
      </c>
      <c r="E61" s="2163">
        <v>0</v>
      </c>
      <c r="F61" s="2163">
        <v>0</v>
      </c>
      <c r="G61" s="2163">
        <v>0</v>
      </c>
      <c r="H61" s="2164" t="e">
        <f>G61/F61*100</f>
        <v>#DIV/0!</v>
      </c>
    </row>
    <row r="62" spans="1:8" ht="15.75" hidden="1" thickTop="1" x14ac:dyDescent="0.2">
      <c r="A62" s="2165">
        <v>3636</v>
      </c>
      <c r="B62" s="2166">
        <v>5011</v>
      </c>
      <c r="C62" s="2166">
        <v>38500881</v>
      </c>
      <c r="D62" s="2167" t="s">
        <v>219</v>
      </c>
      <c r="E62" s="2168">
        <v>0</v>
      </c>
      <c r="F62" s="2168">
        <v>0</v>
      </c>
      <c r="G62" s="2168">
        <v>0</v>
      </c>
      <c r="H62" s="2169" t="e">
        <f>G62/F62*100</f>
        <v>#DIV/0!</v>
      </c>
    </row>
    <row r="63" spans="1:8" ht="15.75" thickTop="1" x14ac:dyDescent="0.2">
      <c r="A63" s="2165">
        <v>6223</v>
      </c>
      <c r="B63" s="2166">
        <v>5021</v>
      </c>
      <c r="C63" s="2170">
        <v>0</v>
      </c>
      <c r="D63" s="2167" t="s">
        <v>409</v>
      </c>
      <c r="E63" s="2168">
        <v>455</v>
      </c>
      <c r="F63" s="2168">
        <v>0</v>
      </c>
      <c r="G63" s="2168">
        <v>0</v>
      </c>
      <c r="H63" s="2169">
        <v>0</v>
      </c>
    </row>
    <row r="64" spans="1:8" ht="15" hidden="1" x14ac:dyDescent="0.2">
      <c r="A64" s="2165">
        <v>3636</v>
      </c>
      <c r="B64" s="2166">
        <v>5021</v>
      </c>
      <c r="C64" s="2166">
        <v>38500881</v>
      </c>
      <c r="D64" s="2167" t="s">
        <v>409</v>
      </c>
      <c r="E64" s="2168">
        <v>0</v>
      </c>
      <c r="F64" s="2168">
        <v>0</v>
      </c>
      <c r="G64" s="2168">
        <v>0</v>
      </c>
      <c r="H64" s="2169" t="e">
        <f>G64/F64*100</f>
        <v>#DIV/0!</v>
      </c>
    </row>
    <row r="65" spans="1:8" ht="30" hidden="1" x14ac:dyDescent="0.2">
      <c r="A65" s="2165">
        <v>3636</v>
      </c>
      <c r="B65" s="2166">
        <v>5031</v>
      </c>
      <c r="C65" s="2166">
        <v>38100880</v>
      </c>
      <c r="D65" s="2167" t="s">
        <v>1362</v>
      </c>
      <c r="E65" s="2168">
        <v>0</v>
      </c>
      <c r="F65" s="2168">
        <v>0</v>
      </c>
      <c r="G65" s="2168">
        <v>0</v>
      </c>
      <c r="H65" s="2169" t="e">
        <f>G65/F65*100</f>
        <v>#DIV/0!</v>
      </c>
    </row>
    <row r="66" spans="1:8" ht="30" hidden="1" x14ac:dyDescent="0.2">
      <c r="A66" s="2165">
        <v>3636</v>
      </c>
      <c r="B66" s="2166">
        <v>5031</v>
      </c>
      <c r="C66" s="2166">
        <v>38500881</v>
      </c>
      <c r="D66" s="2167" t="s">
        <v>1362</v>
      </c>
      <c r="E66" s="2168">
        <v>0</v>
      </c>
      <c r="F66" s="2168">
        <v>0</v>
      </c>
      <c r="G66" s="2168">
        <v>0</v>
      </c>
      <c r="H66" s="2169" t="e">
        <f>G66/F66*100</f>
        <v>#DIV/0!</v>
      </c>
    </row>
    <row r="67" spans="1:8" ht="30" hidden="1" x14ac:dyDescent="0.2">
      <c r="A67" s="2165">
        <v>3636</v>
      </c>
      <c r="B67" s="2166">
        <v>5032</v>
      </c>
      <c r="C67" s="2166">
        <v>38100880</v>
      </c>
      <c r="D67" s="2167" t="s">
        <v>1236</v>
      </c>
      <c r="E67" s="2168">
        <v>0</v>
      </c>
      <c r="F67" s="2168">
        <v>0</v>
      </c>
      <c r="G67" s="2168">
        <v>0</v>
      </c>
      <c r="H67" s="2169" t="e">
        <f>G67/F67*100</f>
        <v>#DIV/0!</v>
      </c>
    </row>
    <row r="68" spans="1:8" ht="30" hidden="1" x14ac:dyDescent="0.2">
      <c r="A68" s="2165">
        <v>3636</v>
      </c>
      <c r="B68" s="2166">
        <v>5032</v>
      </c>
      <c r="C68" s="2166">
        <v>38500881</v>
      </c>
      <c r="D68" s="2167" t="s">
        <v>1236</v>
      </c>
      <c r="E68" s="2168">
        <v>0</v>
      </c>
      <c r="F68" s="2168">
        <v>0</v>
      </c>
      <c r="G68" s="2168">
        <v>0</v>
      </c>
      <c r="H68" s="2169" t="e">
        <f>G68/F68*100</f>
        <v>#DIV/0!</v>
      </c>
    </row>
    <row r="69" spans="1:8" ht="15" hidden="1" x14ac:dyDescent="0.2">
      <c r="A69" s="2165">
        <v>3636</v>
      </c>
      <c r="B69" s="2166">
        <v>5139</v>
      </c>
      <c r="C69" s="2166">
        <v>38100880</v>
      </c>
      <c r="D69" s="2167" t="s">
        <v>284</v>
      </c>
      <c r="E69" s="2168">
        <v>0</v>
      </c>
      <c r="F69" s="2168">
        <v>0</v>
      </c>
      <c r="G69" s="2168">
        <v>0</v>
      </c>
      <c r="H69" s="2169">
        <v>0</v>
      </c>
    </row>
    <row r="70" spans="1:8" ht="15" hidden="1" x14ac:dyDescent="0.2">
      <c r="A70" s="2165">
        <v>3636</v>
      </c>
      <c r="B70" s="2166">
        <v>5139</v>
      </c>
      <c r="C70" s="2166">
        <v>38500881</v>
      </c>
      <c r="D70" s="2167" t="s">
        <v>284</v>
      </c>
      <c r="E70" s="2168">
        <v>0</v>
      </c>
      <c r="F70" s="2168">
        <v>0</v>
      </c>
      <c r="G70" s="2168">
        <v>0</v>
      </c>
      <c r="H70" s="2169" t="e">
        <f>G70/F70*100</f>
        <v>#DIV/0!</v>
      </c>
    </row>
    <row r="71" spans="1:8" ht="15" hidden="1" x14ac:dyDescent="0.2">
      <c r="A71" s="2165">
        <v>3636</v>
      </c>
      <c r="B71" s="2166">
        <v>5162</v>
      </c>
      <c r="C71" s="2166">
        <v>38100880</v>
      </c>
      <c r="D71" s="2167" t="s">
        <v>904</v>
      </c>
      <c r="E71" s="2168">
        <v>0</v>
      </c>
      <c r="F71" s="2168">
        <v>0</v>
      </c>
      <c r="G71" s="2168">
        <v>0</v>
      </c>
      <c r="H71" s="2169" t="e">
        <f>G71/F71*100</f>
        <v>#DIV/0!</v>
      </c>
    </row>
    <row r="72" spans="1:8" ht="15" hidden="1" x14ac:dyDescent="0.2">
      <c r="A72" s="2165">
        <v>3636</v>
      </c>
      <c r="B72" s="2166">
        <v>5162</v>
      </c>
      <c r="C72" s="2166">
        <v>38500881</v>
      </c>
      <c r="D72" s="2167" t="s">
        <v>904</v>
      </c>
      <c r="E72" s="2168">
        <v>0</v>
      </c>
      <c r="F72" s="2168">
        <v>0</v>
      </c>
      <c r="G72" s="2168">
        <v>0</v>
      </c>
      <c r="H72" s="2169" t="e">
        <f>G72/F72*100</f>
        <v>#DIV/0!</v>
      </c>
    </row>
    <row r="73" spans="1:8" ht="15" x14ac:dyDescent="0.2">
      <c r="A73" s="2165">
        <v>6223</v>
      </c>
      <c r="B73" s="2166">
        <v>5164</v>
      </c>
      <c r="C73" s="2166">
        <v>42100880</v>
      </c>
      <c r="D73" s="2167" t="s">
        <v>182</v>
      </c>
      <c r="E73" s="2168">
        <v>0</v>
      </c>
      <c r="F73" s="2168">
        <v>6</v>
      </c>
      <c r="G73" s="2168">
        <v>5</v>
      </c>
      <c r="H73" s="2169">
        <f>G73/F73*100</f>
        <v>83.333333333333343</v>
      </c>
    </row>
    <row r="74" spans="1:8" ht="15" x14ac:dyDescent="0.2">
      <c r="A74" s="2165">
        <v>6223</v>
      </c>
      <c r="B74" s="2166">
        <v>5164</v>
      </c>
      <c r="C74" s="2166">
        <v>42500881</v>
      </c>
      <c r="D74" s="2167" t="s">
        <v>182</v>
      </c>
      <c r="E74" s="2168">
        <v>0</v>
      </c>
      <c r="F74" s="2168">
        <v>34</v>
      </c>
      <c r="G74" s="2168">
        <v>31</v>
      </c>
      <c r="H74" s="2169">
        <f>G74/F74*100</f>
        <v>91.17647058823529</v>
      </c>
    </row>
    <row r="75" spans="1:8" ht="15" hidden="1" x14ac:dyDescent="0.2">
      <c r="A75" s="2165">
        <v>6223</v>
      </c>
      <c r="B75" s="2166">
        <v>5166</v>
      </c>
      <c r="C75" s="2170">
        <v>0</v>
      </c>
      <c r="D75" s="2167" t="s">
        <v>646</v>
      </c>
      <c r="E75" s="2168">
        <v>0</v>
      </c>
      <c r="F75" s="2168">
        <v>0</v>
      </c>
      <c r="G75" s="2168">
        <v>0</v>
      </c>
      <c r="H75" s="2169">
        <v>0</v>
      </c>
    </row>
    <row r="76" spans="1:8" ht="15" hidden="1" x14ac:dyDescent="0.2">
      <c r="A76" s="2165">
        <v>6223</v>
      </c>
      <c r="B76" s="2166">
        <v>5166</v>
      </c>
      <c r="C76" s="2166">
        <v>41100880</v>
      </c>
      <c r="D76" s="2167" t="s">
        <v>646</v>
      </c>
      <c r="E76" s="2168">
        <v>0</v>
      </c>
      <c r="F76" s="2168">
        <v>0</v>
      </c>
      <c r="G76" s="2168">
        <v>0</v>
      </c>
      <c r="H76" s="2169" t="e">
        <f t="shared" ref="H76:H82" si="2">G76/F76*100</f>
        <v>#DIV/0!</v>
      </c>
    </row>
    <row r="77" spans="1:8" ht="15" hidden="1" x14ac:dyDescent="0.2">
      <c r="A77" s="2165">
        <v>6223</v>
      </c>
      <c r="B77" s="2166">
        <v>5166</v>
      </c>
      <c r="C77" s="2166">
        <v>41100882</v>
      </c>
      <c r="D77" s="2167" t="s">
        <v>646</v>
      </c>
      <c r="E77" s="2168">
        <v>0</v>
      </c>
      <c r="F77" s="2168">
        <v>0</v>
      </c>
      <c r="G77" s="2168">
        <v>0</v>
      </c>
      <c r="H77" s="2169" t="e">
        <f t="shared" si="2"/>
        <v>#DIV/0!</v>
      </c>
    </row>
    <row r="78" spans="1:8" ht="15" hidden="1" x14ac:dyDescent="0.2">
      <c r="A78" s="2165">
        <v>6223</v>
      </c>
      <c r="B78" s="2166">
        <v>5166</v>
      </c>
      <c r="C78" s="2166">
        <v>41500881</v>
      </c>
      <c r="D78" s="2167" t="s">
        <v>646</v>
      </c>
      <c r="E78" s="2168">
        <v>0</v>
      </c>
      <c r="F78" s="2168">
        <v>0</v>
      </c>
      <c r="G78" s="2168">
        <v>0</v>
      </c>
      <c r="H78" s="2169" t="e">
        <f t="shared" si="2"/>
        <v>#DIV/0!</v>
      </c>
    </row>
    <row r="79" spans="1:8" ht="15" hidden="1" x14ac:dyDescent="0.2">
      <c r="A79" s="2165">
        <v>6223</v>
      </c>
      <c r="B79" s="2166">
        <v>5167</v>
      </c>
      <c r="C79" s="2166">
        <v>38100880</v>
      </c>
      <c r="D79" s="2167" t="s">
        <v>937</v>
      </c>
      <c r="E79" s="2168">
        <v>0</v>
      </c>
      <c r="F79" s="2168"/>
      <c r="G79" s="2168"/>
      <c r="H79" s="2169" t="e">
        <f t="shared" si="2"/>
        <v>#DIV/0!</v>
      </c>
    </row>
    <row r="80" spans="1:8" ht="15" hidden="1" x14ac:dyDescent="0.2">
      <c r="A80" s="2165">
        <v>6223</v>
      </c>
      <c r="B80" s="2166">
        <v>5167</v>
      </c>
      <c r="C80" s="2166">
        <v>38500881</v>
      </c>
      <c r="D80" s="2167" t="s">
        <v>937</v>
      </c>
      <c r="E80" s="2168">
        <v>0</v>
      </c>
      <c r="F80" s="2168"/>
      <c r="G80" s="2168"/>
      <c r="H80" s="2169" t="e">
        <f t="shared" si="2"/>
        <v>#DIV/0!</v>
      </c>
    </row>
    <row r="81" spans="1:11" ht="15" x14ac:dyDescent="0.2">
      <c r="A81" s="2165">
        <v>6223</v>
      </c>
      <c r="B81" s="2166">
        <v>5169</v>
      </c>
      <c r="C81" s="2166">
        <v>42100880</v>
      </c>
      <c r="D81" s="2167" t="s">
        <v>892</v>
      </c>
      <c r="E81" s="2168">
        <v>48</v>
      </c>
      <c r="F81" s="2168">
        <v>37</v>
      </c>
      <c r="G81" s="2168">
        <v>19</v>
      </c>
      <c r="H81" s="2169">
        <f t="shared" si="2"/>
        <v>51.351351351351347</v>
      </c>
    </row>
    <row r="82" spans="1:11" ht="15" x14ac:dyDescent="0.2">
      <c r="A82" s="2165">
        <v>6223</v>
      </c>
      <c r="B82" s="2166">
        <v>5169</v>
      </c>
      <c r="C82" s="2166">
        <v>42500881</v>
      </c>
      <c r="D82" s="2167" t="s">
        <v>892</v>
      </c>
      <c r="E82" s="2168">
        <v>272</v>
      </c>
      <c r="F82" s="2168">
        <v>212</v>
      </c>
      <c r="G82" s="2168">
        <v>109</v>
      </c>
      <c r="H82" s="2169">
        <f t="shared" si="2"/>
        <v>51.415094339622648</v>
      </c>
    </row>
    <row r="83" spans="1:11" ht="15" x14ac:dyDescent="0.2">
      <c r="A83" s="2165">
        <v>6223</v>
      </c>
      <c r="B83" s="2166">
        <v>5173</v>
      </c>
      <c r="C83" s="2170">
        <v>0</v>
      </c>
      <c r="D83" s="2167" t="s">
        <v>1211</v>
      </c>
      <c r="E83" s="2168">
        <v>160</v>
      </c>
      <c r="F83" s="2168">
        <v>0</v>
      </c>
      <c r="G83" s="2168">
        <v>0</v>
      </c>
      <c r="H83" s="2169">
        <v>0</v>
      </c>
    </row>
    <row r="84" spans="1:11" ht="15" hidden="1" x14ac:dyDescent="0.2">
      <c r="A84" s="2165">
        <v>6223</v>
      </c>
      <c r="B84" s="2166">
        <v>5173</v>
      </c>
      <c r="C84" s="2166">
        <v>38500881</v>
      </c>
      <c r="D84" s="2167" t="s">
        <v>1211</v>
      </c>
      <c r="E84" s="2168">
        <v>0</v>
      </c>
      <c r="F84" s="2168"/>
      <c r="G84" s="2168"/>
      <c r="H84" s="2169" t="e">
        <f t="shared" ref="H84:H90" si="3">G84/F84*100</f>
        <v>#DIV/0!</v>
      </c>
    </row>
    <row r="85" spans="1:11" ht="15" x14ac:dyDescent="0.2">
      <c r="A85" s="2165">
        <v>6223</v>
      </c>
      <c r="B85" s="2166">
        <v>5175</v>
      </c>
      <c r="C85" s="2166">
        <v>42100880</v>
      </c>
      <c r="D85" s="2167" t="s">
        <v>707</v>
      </c>
      <c r="E85" s="2168">
        <v>0</v>
      </c>
      <c r="F85" s="2168">
        <v>5</v>
      </c>
      <c r="G85" s="2168">
        <v>4</v>
      </c>
      <c r="H85" s="2169">
        <f t="shared" si="3"/>
        <v>80</v>
      </c>
    </row>
    <row r="86" spans="1:11" ht="15.75" thickBot="1" x14ac:dyDescent="0.25">
      <c r="A86" s="2165">
        <v>6223</v>
      </c>
      <c r="B86" s="2166">
        <v>5175</v>
      </c>
      <c r="C86" s="2166">
        <v>42500881</v>
      </c>
      <c r="D86" s="2167" t="s">
        <v>707</v>
      </c>
      <c r="E86" s="2168">
        <v>0</v>
      </c>
      <c r="F86" s="2168">
        <v>25</v>
      </c>
      <c r="G86" s="2168">
        <v>21</v>
      </c>
      <c r="H86" s="2169">
        <f t="shared" si="3"/>
        <v>84</v>
      </c>
    </row>
    <row r="87" spans="1:11" ht="15.75" hidden="1" thickBot="1" x14ac:dyDescent="0.25">
      <c r="A87" s="2165">
        <v>3636</v>
      </c>
      <c r="B87" s="2166">
        <v>5176</v>
      </c>
      <c r="C87" s="2166">
        <v>38100880</v>
      </c>
      <c r="D87" s="2167" t="s">
        <v>1309</v>
      </c>
      <c r="E87" s="2168">
        <v>0</v>
      </c>
      <c r="F87" s="2168"/>
      <c r="G87" s="2168"/>
      <c r="H87" s="2169" t="e">
        <f t="shared" si="3"/>
        <v>#DIV/0!</v>
      </c>
    </row>
    <row r="88" spans="1:11" ht="15.75" hidden="1" thickBot="1" x14ac:dyDescent="0.25">
      <c r="A88" s="2165">
        <v>3636</v>
      </c>
      <c r="B88" s="2166">
        <v>5176</v>
      </c>
      <c r="C88" s="2166">
        <v>38500881</v>
      </c>
      <c r="D88" s="2167" t="s">
        <v>1309</v>
      </c>
      <c r="E88" s="2168">
        <v>0</v>
      </c>
      <c r="F88" s="2168"/>
      <c r="G88" s="2168"/>
      <c r="H88" s="2169" t="e">
        <f t="shared" si="3"/>
        <v>#DIV/0!</v>
      </c>
    </row>
    <row r="89" spans="1:11" ht="15.75" hidden="1" thickBot="1" x14ac:dyDescent="0.25">
      <c r="A89" s="2165">
        <v>3636</v>
      </c>
      <c r="B89" s="2166">
        <v>6901</v>
      </c>
      <c r="C89" s="2166">
        <v>38100880</v>
      </c>
      <c r="D89" s="2167" t="s">
        <v>449</v>
      </c>
      <c r="E89" s="2168">
        <v>0</v>
      </c>
      <c r="F89" s="2168">
        <v>0</v>
      </c>
      <c r="G89" s="2168">
        <v>0</v>
      </c>
      <c r="H89" s="2169" t="e">
        <f t="shared" si="3"/>
        <v>#DIV/0!</v>
      </c>
    </row>
    <row r="90" spans="1:11" ht="15.75" hidden="1" thickBot="1" x14ac:dyDescent="0.25">
      <c r="A90" s="2165">
        <v>3636</v>
      </c>
      <c r="B90" s="2166">
        <v>5363</v>
      </c>
      <c r="C90" s="2166">
        <v>38500881</v>
      </c>
      <c r="D90" s="2167" t="s">
        <v>585</v>
      </c>
      <c r="E90" s="2168">
        <v>0</v>
      </c>
      <c r="F90" s="2168">
        <v>0</v>
      </c>
      <c r="G90" s="2168">
        <v>0</v>
      </c>
      <c r="H90" s="2171" t="e">
        <f t="shared" si="3"/>
        <v>#DIV/0!</v>
      </c>
    </row>
    <row r="91" spans="1:11" ht="16.5" thickTop="1" thickBot="1" x14ac:dyDescent="0.3">
      <c r="A91" s="2750" t="s">
        <v>802</v>
      </c>
      <c r="B91" s="2751"/>
      <c r="C91" s="2751"/>
      <c r="D91" s="2751"/>
      <c r="E91" s="1957">
        <f>SUM(E61:E90)</f>
        <v>935</v>
      </c>
      <c r="F91" s="1957">
        <f>SUM(F61:F90)</f>
        <v>319</v>
      </c>
      <c r="G91" s="1957">
        <f>SUM(G61:G90)</f>
        <v>189</v>
      </c>
      <c r="H91" s="1962">
        <v>0</v>
      </c>
    </row>
    <row r="92" spans="1:11" ht="13.5" thickTop="1" x14ac:dyDescent="0.2">
      <c r="K92" s="2234"/>
    </row>
    <row r="93" spans="1:11" ht="27" customHeight="1" x14ac:dyDescent="0.25">
      <c r="A93" s="2744" t="s">
        <v>1921</v>
      </c>
      <c r="B93" s="2745"/>
      <c r="C93" s="2745"/>
      <c r="D93" s="2745"/>
      <c r="E93" s="2745"/>
      <c r="F93" s="2745"/>
      <c r="G93" s="2745"/>
      <c r="H93" s="2745"/>
      <c r="K93" s="2234"/>
    </row>
    <row r="94" spans="1:11" ht="15.75" thickBot="1" x14ac:dyDescent="0.3">
      <c r="A94" s="2132" t="s">
        <v>1922</v>
      </c>
      <c r="B94" s="2146"/>
      <c r="C94" s="2146"/>
      <c r="E94" s="2147"/>
      <c r="F94" s="2147"/>
      <c r="G94" s="2147"/>
      <c r="H94" s="2148" t="s">
        <v>173</v>
      </c>
    </row>
    <row r="95" spans="1:11" ht="25.5" thickTop="1" thickBot="1" x14ac:dyDescent="0.25">
      <c r="A95" s="1943" t="s">
        <v>174</v>
      </c>
      <c r="B95" s="1944" t="s">
        <v>800</v>
      </c>
      <c r="C95" s="1944" t="s">
        <v>397</v>
      </c>
      <c r="D95" s="1945" t="s">
        <v>176</v>
      </c>
      <c r="E95" s="1976" t="s">
        <v>669</v>
      </c>
      <c r="F95" s="1976" t="s">
        <v>670</v>
      </c>
      <c r="G95" s="1977" t="s">
        <v>923</v>
      </c>
      <c r="H95" s="1978" t="s">
        <v>924</v>
      </c>
    </row>
    <row r="96" spans="1:11" ht="14.25" thickTop="1" thickBot="1" x14ac:dyDescent="0.25">
      <c r="A96" s="1740">
        <v>1</v>
      </c>
      <c r="B96" s="1739">
        <v>2</v>
      </c>
      <c r="C96" s="1739">
        <v>3</v>
      </c>
      <c r="D96" s="1739">
        <v>4</v>
      </c>
      <c r="E96" s="1738">
        <v>5</v>
      </c>
      <c r="F96" s="1738">
        <v>6</v>
      </c>
      <c r="G96" s="2028">
        <v>7</v>
      </c>
      <c r="H96" s="2054" t="s">
        <v>61</v>
      </c>
    </row>
    <row r="97" spans="1:8" ht="15.75" thickTop="1" x14ac:dyDescent="0.2">
      <c r="A97" s="2160">
        <v>3636</v>
      </c>
      <c r="B97" s="2161">
        <v>5011</v>
      </c>
      <c r="C97" s="2161">
        <v>38100880</v>
      </c>
      <c r="D97" s="2162" t="s">
        <v>219</v>
      </c>
      <c r="E97" s="2163">
        <v>594</v>
      </c>
      <c r="F97" s="2163">
        <v>407</v>
      </c>
      <c r="G97" s="2163">
        <v>406</v>
      </c>
      <c r="H97" s="2164">
        <f t="shared" ref="H97:H104" si="4">G97/F97*100</f>
        <v>99.754299754299751</v>
      </c>
    </row>
    <row r="98" spans="1:8" ht="15" x14ac:dyDescent="0.2">
      <c r="A98" s="2165">
        <v>3636</v>
      </c>
      <c r="B98" s="2166">
        <v>5011</v>
      </c>
      <c r="C98" s="2166">
        <v>38500881</v>
      </c>
      <c r="D98" s="2167" t="s">
        <v>219</v>
      </c>
      <c r="E98" s="2168">
        <v>1606</v>
      </c>
      <c r="F98" s="2168">
        <v>1100</v>
      </c>
      <c r="G98" s="2168">
        <v>1097</v>
      </c>
      <c r="H98" s="2169">
        <f t="shared" si="4"/>
        <v>99.727272727272734</v>
      </c>
    </row>
    <row r="99" spans="1:8" ht="15" x14ac:dyDescent="0.2">
      <c r="A99" s="2165">
        <v>3636</v>
      </c>
      <c r="B99" s="2166">
        <v>5021</v>
      </c>
      <c r="C99" s="2166">
        <v>38100880</v>
      </c>
      <c r="D99" s="2167" t="s">
        <v>409</v>
      </c>
      <c r="E99" s="2168">
        <v>0</v>
      </c>
      <c r="F99" s="2168">
        <v>25</v>
      </c>
      <c r="G99" s="2168">
        <v>20</v>
      </c>
      <c r="H99" s="2169">
        <f t="shared" si="4"/>
        <v>80</v>
      </c>
    </row>
    <row r="100" spans="1:8" ht="15" x14ac:dyDescent="0.2">
      <c r="A100" s="2165">
        <v>3636</v>
      </c>
      <c r="B100" s="2166">
        <v>5021</v>
      </c>
      <c r="C100" s="2166">
        <v>38500881</v>
      </c>
      <c r="D100" s="2167" t="s">
        <v>409</v>
      </c>
      <c r="E100" s="2168">
        <v>0</v>
      </c>
      <c r="F100" s="2168">
        <v>68</v>
      </c>
      <c r="G100" s="2168">
        <v>55</v>
      </c>
      <c r="H100" s="2169">
        <f t="shared" si="4"/>
        <v>80.882352941176478</v>
      </c>
    </row>
    <row r="101" spans="1:8" ht="30" x14ac:dyDescent="0.2">
      <c r="A101" s="2165">
        <v>3636</v>
      </c>
      <c r="B101" s="2166">
        <v>5031</v>
      </c>
      <c r="C101" s="2166">
        <v>38100880</v>
      </c>
      <c r="D101" s="2215" t="s">
        <v>1362</v>
      </c>
      <c r="E101" s="2168">
        <v>146</v>
      </c>
      <c r="F101" s="2168">
        <v>105</v>
      </c>
      <c r="G101" s="2168">
        <v>105</v>
      </c>
      <c r="H101" s="2169">
        <f t="shared" si="4"/>
        <v>100</v>
      </c>
    </row>
    <row r="102" spans="1:8" ht="30" x14ac:dyDescent="0.2">
      <c r="A102" s="2165">
        <v>3636</v>
      </c>
      <c r="B102" s="2166">
        <v>5031</v>
      </c>
      <c r="C102" s="2166">
        <v>38500881</v>
      </c>
      <c r="D102" s="2215" t="s">
        <v>1362</v>
      </c>
      <c r="E102" s="2168">
        <v>394</v>
      </c>
      <c r="F102" s="2168">
        <v>285</v>
      </c>
      <c r="G102" s="2168">
        <v>284</v>
      </c>
      <c r="H102" s="2169">
        <f t="shared" si="4"/>
        <v>99.649122807017548</v>
      </c>
    </row>
    <row r="103" spans="1:8" ht="30" x14ac:dyDescent="0.2">
      <c r="A103" s="2165">
        <v>3636</v>
      </c>
      <c r="B103" s="2166">
        <v>5032</v>
      </c>
      <c r="C103" s="2166">
        <v>38100880</v>
      </c>
      <c r="D103" s="2167" t="s">
        <v>1236</v>
      </c>
      <c r="E103" s="2168">
        <v>53</v>
      </c>
      <c r="F103" s="2168">
        <v>39</v>
      </c>
      <c r="G103" s="2168">
        <v>38</v>
      </c>
      <c r="H103" s="2169">
        <f t="shared" si="4"/>
        <v>97.435897435897431</v>
      </c>
    </row>
    <row r="104" spans="1:8" ht="30" x14ac:dyDescent="0.2">
      <c r="A104" s="2165">
        <v>3636</v>
      </c>
      <c r="B104" s="2166">
        <v>5032</v>
      </c>
      <c r="C104" s="2166">
        <v>38500881</v>
      </c>
      <c r="D104" s="2167" t="s">
        <v>1236</v>
      </c>
      <c r="E104" s="2168">
        <v>142</v>
      </c>
      <c r="F104" s="2168">
        <v>106</v>
      </c>
      <c r="G104" s="2168">
        <v>102</v>
      </c>
      <c r="H104" s="2169">
        <f t="shared" si="4"/>
        <v>96.226415094339629</v>
      </c>
    </row>
    <row r="105" spans="1:8" ht="15" hidden="1" x14ac:dyDescent="0.2">
      <c r="A105" s="2165">
        <v>3636</v>
      </c>
      <c r="B105" s="2166">
        <v>5137</v>
      </c>
      <c r="C105" s="2170">
        <v>32133019</v>
      </c>
      <c r="D105" s="2167" t="s">
        <v>167</v>
      </c>
      <c r="E105" s="2168">
        <v>0</v>
      </c>
      <c r="F105" s="2168">
        <v>0</v>
      </c>
      <c r="G105" s="2168">
        <v>0</v>
      </c>
      <c r="H105" s="2169">
        <v>0</v>
      </c>
    </row>
    <row r="106" spans="1:8" ht="15" hidden="1" x14ac:dyDescent="0.2">
      <c r="A106" s="2165">
        <v>3636</v>
      </c>
      <c r="B106" s="2166">
        <v>5137</v>
      </c>
      <c r="C106" s="2170">
        <v>32533019</v>
      </c>
      <c r="D106" s="2167" t="s">
        <v>167</v>
      </c>
      <c r="E106" s="2168">
        <v>0</v>
      </c>
      <c r="F106" s="2168">
        <v>0</v>
      </c>
      <c r="G106" s="2168">
        <v>0</v>
      </c>
      <c r="H106" s="2169" t="e">
        <f t="shared" ref="H106:H128" si="5">G106/F106*100</f>
        <v>#DIV/0!</v>
      </c>
    </row>
    <row r="107" spans="1:8" ht="15" x14ac:dyDescent="0.2">
      <c r="A107" s="2165">
        <v>3636</v>
      </c>
      <c r="B107" s="2166">
        <v>5139</v>
      </c>
      <c r="C107" s="2166">
        <v>38100880</v>
      </c>
      <c r="D107" s="2167" t="s">
        <v>284</v>
      </c>
      <c r="E107" s="2168">
        <v>16</v>
      </c>
      <c r="F107" s="2168">
        <v>16</v>
      </c>
      <c r="G107" s="2168">
        <v>8</v>
      </c>
      <c r="H107" s="2169">
        <f t="shared" si="5"/>
        <v>50</v>
      </c>
    </row>
    <row r="108" spans="1:8" ht="15" x14ac:dyDescent="0.2">
      <c r="A108" s="2165">
        <v>3636</v>
      </c>
      <c r="B108" s="2166">
        <v>5139</v>
      </c>
      <c r="C108" s="2166">
        <v>38500881</v>
      </c>
      <c r="D108" s="2167" t="s">
        <v>284</v>
      </c>
      <c r="E108" s="2168">
        <v>44</v>
      </c>
      <c r="F108" s="2168">
        <v>44</v>
      </c>
      <c r="G108" s="2168">
        <v>22</v>
      </c>
      <c r="H108" s="2169">
        <f t="shared" si="5"/>
        <v>50</v>
      </c>
    </row>
    <row r="109" spans="1:8" ht="15" x14ac:dyDescent="0.2">
      <c r="A109" s="2165">
        <v>3636</v>
      </c>
      <c r="B109" s="2166">
        <v>5162</v>
      </c>
      <c r="C109" s="2166">
        <v>38100880</v>
      </c>
      <c r="D109" s="2167" t="s">
        <v>904</v>
      </c>
      <c r="E109" s="2168">
        <v>1</v>
      </c>
      <c r="F109" s="2168">
        <v>1</v>
      </c>
      <c r="G109" s="2168">
        <v>0</v>
      </c>
      <c r="H109" s="2169">
        <f t="shared" si="5"/>
        <v>0</v>
      </c>
    </row>
    <row r="110" spans="1:8" ht="15" x14ac:dyDescent="0.2">
      <c r="A110" s="2165">
        <v>3636</v>
      </c>
      <c r="B110" s="2166">
        <v>5162</v>
      </c>
      <c r="C110" s="2166">
        <v>38500881</v>
      </c>
      <c r="D110" s="2167" t="s">
        <v>904</v>
      </c>
      <c r="E110" s="2168">
        <v>2</v>
      </c>
      <c r="F110" s="2168">
        <v>2</v>
      </c>
      <c r="G110" s="2168">
        <v>1</v>
      </c>
      <c r="H110" s="2169">
        <f t="shared" si="5"/>
        <v>50</v>
      </c>
    </row>
    <row r="111" spans="1:8" ht="15" x14ac:dyDescent="0.2">
      <c r="A111" s="2165">
        <v>3636</v>
      </c>
      <c r="B111" s="2166">
        <v>5164</v>
      </c>
      <c r="C111" s="2166">
        <v>38100880</v>
      </c>
      <c r="D111" s="2167" t="s">
        <v>182</v>
      </c>
      <c r="E111" s="2168">
        <v>14</v>
      </c>
      <c r="F111" s="2168">
        <v>14</v>
      </c>
      <c r="G111" s="2168">
        <v>2</v>
      </c>
      <c r="H111" s="2169">
        <f t="shared" si="5"/>
        <v>14.285714285714285</v>
      </c>
    </row>
    <row r="112" spans="1:8" ht="15.75" thickBot="1" x14ac:dyDescent="0.25">
      <c r="A112" s="2408">
        <v>3636</v>
      </c>
      <c r="B112" s="2183">
        <v>5164</v>
      </c>
      <c r="C112" s="2183">
        <v>38500881</v>
      </c>
      <c r="D112" s="2185" t="s">
        <v>182</v>
      </c>
      <c r="E112" s="2218">
        <v>36</v>
      </c>
      <c r="F112" s="2218">
        <v>36</v>
      </c>
      <c r="G112" s="2218">
        <v>5</v>
      </c>
      <c r="H112" s="2171">
        <f t="shared" si="5"/>
        <v>13.888888888888889</v>
      </c>
    </row>
    <row r="113" spans="1:8" ht="15.75" thickTop="1" x14ac:dyDescent="0.2">
      <c r="A113" s="2165">
        <v>3636</v>
      </c>
      <c r="B113" s="2166">
        <v>5166</v>
      </c>
      <c r="C113" s="2166">
        <v>38100880</v>
      </c>
      <c r="D113" s="2167" t="s">
        <v>646</v>
      </c>
      <c r="E113" s="2168">
        <v>675</v>
      </c>
      <c r="F113" s="2168">
        <v>54</v>
      </c>
      <c r="G113" s="2168">
        <v>8</v>
      </c>
      <c r="H113" s="2169">
        <f t="shared" si="5"/>
        <v>14.814814814814813</v>
      </c>
    </row>
    <row r="114" spans="1:8" ht="15" x14ac:dyDescent="0.2">
      <c r="A114" s="2165">
        <v>3636</v>
      </c>
      <c r="B114" s="2166">
        <v>5166</v>
      </c>
      <c r="C114" s="2166">
        <v>38500881</v>
      </c>
      <c r="D114" s="2167" t="s">
        <v>646</v>
      </c>
      <c r="E114" s="2168">
        <v>1825</v>
      </c>
      <c r="F114" s="2168">
        <v>146</v>
      </c>
      <c r="G114" s="2168">
        <v>21</v>
      </c>
      <c r="H114" s="2169">
        <f t="shared" si="5"/>
        <v>14.383561643835616</v>
      </c>
    </row>
    <row r="115" spans="1:8" ht="15" x14ac:dyDescent="0.2">
      <c r="A115" s="2165">
        <v>3636</v>
      </c>
      <c r="B115" s="2166">
        <v>5167</v>
      </c>
      <c r="C115" s="2166">
        <v>38100880</v>
      </c>
      <c r="D115" s="2167" t="s">
        <v>937</v>
      </c>
      <c r="E115" s="2168">
        <v>27</v>
      </c>
      <c r="F115" s="2168">
        <v>27</v>
      </c>
      <c r="G115" s="2168">
        <v>5</v>
      </c>
      <c r="H115" s="2169">
        <f t="shared" si="5"/>
        <v>18.518518518518519</v>
      </c>
    </row>
    <row r="116" spans="1:8" ht="15" x14ac:dyDescent="0.2">
      <c r="A116" s="2165">
        <v>3636</v>
      </c>
      <c r="B116" s="2166">
        <v>5167</v>
      </c>
      <c r="C116" s="2166">
        <v>38500881</v>
      </c>
      <c r="D116" s="2167" t="s">
        <v>937</v>
      </c>
      <c r="E116" s="2168">
        <v>73</v>
      </c>
      <c r="F116" s="2168">
        <v>73</v>
      </c>
      <c r="G116" s="2168">
        <v>15</v>
      </c>
      <c r="H116" s="2169">
        <f t="shared" si="5"/>
        <v>20.547945205479451</v>
      </c>
    </row>
    <row r="117" spans="1:8" ht="15" x14ac:dyDescent="0.2">
      <c r="A117" s="2165">
        <v>3636</v>
      </c>
      <c r="B117" s="2166">
        <v>5169</v>
      </c>
      <c r="C117" s="2166">
        <v>38100880</v>
      </c>
      <c r="D117" s="2167" t="s">
        <v>892</v>
      </c>
      <c r="E117" s="2168">
        <v>824</v>
      </c>
      <c r="F117" s="2168">
        <v>266</v>
      </c>
      <c r="G117" s="2168">
        <v>202</v>
      </c>
      <c r="H117" s="2169">
        <f t="shared" si="5"/>
        <v>75.939849624060145</v>
      </c>
    </row>
    <row r="118" spans="1:8" ht="15" x14ac:dyDescent="0.2">
      <c r="A118" s="2165">
        <v>3636</v>
      </c>
      <c r="B118" s="2166">
        <v>5169</v>
      </c>
      <c r="C118" s="2166">
        <v>38500881</v>
      </c>
      <c r="D118" s="2167" t="s">
        <v>892</v>
      </c>
      <c r="E118" s="2168">
        <v>2226</v>
      </c>
      <c r="F118" s="2168">
        <v>584</v>
      </c>
      <c r="G118" s="2168">
        <v>547</v>
      </c>
      <c r="H118" s="2169">
        <f t="shared" si="5"/>
        <v>93.664383561643831</v>
      </c>
    </row>
    <row r="119" spans="1:8" ht="15" x14ac:dyDescent="0.2">
      <c r="A119" s="2165">
        <v>3636</v>
      </c>
      <c r="B119" s="2166">
        <v>5173</v>
      </c>
      <c r="C119" s="2166">
        <v>38100880</v>
      </c>
      <c r="D119" s="2167" t="s">
        <v>1211</v>
      </c>
      <c r="E119" s="2168">
        <v>8</v>
      </c>
      <c r="F119" s="2168">
        <v>8</v>
      </c>
      <c r="G119" s="2168">
        <v>1</v>
      </c>
      <c r="H119" s="2169">
        <f t="shared" si="5"/>
        <v>12.5</v>
      </c>
    </row>
    <row r="120" spans="1:8" ht="15" x14ac:dyDescent="0.2">
      <c r="A120" s="2165">
        <v>3636</v>
      </c>
      <c r="B120" s="2166">
        <v>5173</v>
      </c>
      <c r="C120" s="2166">
        <v>38500881</v>
      </c>
      <c r="D120" s="2167" t="s">
        <v>1211</v>
      </c>
      <c r="E120" s="2168">
        <v>22</v>
      </c>
      <c r="F120" s="2168">
        <v>22</v>
      </c>
      <c r="G120" s="2168">
        <v>4</v>
      </c>
      <c r="H120" s="2169">
        <f t="shared" si="5"/>
        <v>18.181818181818183</v>
      </c>
    </row>
    <row r="121" spans="1:8" ht="15" x14ac:dyDescent="0.2">
      <c r="A121" s="2165">
        <v>3636</v>
      </c>
      <c r="B121" s="2166">
        <v>5175</v>
      </c>
      <c r="C121" s="2166">
        <v>38100880</v>
      </c>
      <c r="D121" s="2167" t="s">
        <v>707</v>
      </c>
      <c r="E121" s="2168">
        <v>14</v>
      </c>
      <c r="F121" s="2168">
        <v>14</v>
      </c>
      <c r="G121" s="2168">
        <v>9</v>
      </c>
      <c r="H121" s="2169">
        <f t="shared" si="5"/>
        <v>64.285714285714292</v>
      </c>
    </row>
    <row r="122" spans="1:8" ht="15" x14ac:dyDescent="0.2">
      <c r="A122" s="2165">
        <v>3636</v>
      </c>
      <c r="B122" s="2166">
        <v>5175</v>
      </c>
      <c r="C122" s="2166">
        <v>38500881</v>
      </c>
      <c r="D122" s="2167" t="s">
        <v>707</v>
      </c>
      <c r="E122" s="2168">
        <v>36</v>
      </c>
      <c r="F122" s="2168">
        <v>36</v>
      </c>
      <c r="G122" s="2168">
        <v>25</v>
      </c>
      <c r="H122" s="2169">
        <f t="shared" si="5"/>
        <v>69.444444444444443</v>
      </c>
    </row>
    <row r="123" spans="1:8" ht="15" x14ac:dyDescent="0.2">
      <c r="A123" s="2165">
        <v>3636</v>
      </c>
      <c r="B123" s="2166">
        <v>5176</v>
      </c>
      <c r="C123" s="2166">
        <v>38100880</v>
      </c>
      <c r="D123" s="2167" t="s">
        <v>1309</v>
      </c>
      <c r="E123" s="2168">
        <v>3</v>
      </c>
      <c r="F123" s="2168">
        <v>3</v>
      </c>
      <c r="G123" s="2168">
        <v>0</v>
      </c>
      <c r="H123" s="2169">
        <f t="shared" si="5"/>
        <v>0</v>
      </c>
    </row>
    <row r="124" spans="1:8" ht="15" x14ac:dyDescent="0.2">
      <c r="A124" s="2165">
        <v>3636</v>
      </c>
      <c r="B124" s="2166">
        <v>5176</v>
      </c>
      <c r="C124" s="2166">
        <v>38500881</v>
      </c>
      <c r="D124" s="2167" t="s">
        <v>1309</v>
      </c>
      <c r="E124" s="2168">
        <v>7</v>
      </c>
      <c r="F124" s="2168">
        <v>7</v>
      </c>
      <c r="G124" s="2168">
        <v>1</v>
      </c>
      <c r="H124" s="2169">
        <f t="shared" si="5"/>
        <v>14.285714285714285</v>
      </c>
    </row>
    <row r="125" spans="1:8" ht="15" hidden="1" x14ac:dyDescent="0.2">
      <c r="A125" s="2165">
        <v>3299</v>
      </c>
      <c r="B125" s="2166">
        <v>5901</v>
      </c>
      <c r="C125" s="2170">
        <v>32533019</v>
      </c>
      <c r="D125" s="2167" t="s">
        <v>639</v>
      </c>
      <c r="E125" s="2168">
        <v>0</v>
      </c>
      <c r="F125" s="2168">
        <v>0</v>
      </c>
      <c r="G125" s="2168">
        <v>0</v>
      </c>
      <c r="H125" s="2169" t="e">
        <f t="shared" si="5"/>
        <v>#DIV/0!</v>
      </c>
    </row>
    <row r="126" spans="1:8" ht="15" hidden="1" x14ac:dyDescent="0.2">
      <c r="A126" s="2165">
        <v>3299</v>
      </c>
      <c r="B126" s="2166">
        <v>5323</v>
      </c>
      <c r="C126" s="2170">
        <v>32133019</v>
      </c>
      <c r="D126" s="2167" t="s">
        <v>235</v>
      </c>
      <c r="E126" s="2168">
        <v>0</v>
      </c>
      <c r="F126" s="2168">
        <v>0</v>
      </c>
      <c r="G126" s="2168">
        <v>0</v>
      </c>
      <c r="H126" s="2169" t="e">
        <f t="shared" si="5"/>
        <v>#DIV/0!</v>
      </c>
    </row>
    <row r="127" spans="1:8" ht="15" hidden="1" x14ac:dyDescent="0.2">
      <c r="A127" s="2165">
        <v>3636</v>
      </c>
      <c r="B127" s="2166">
        <v>5323</v>
      </c>
      <c r="C127" s="2170">
        <v>32533019</v>
      </c>
      <c r="D127" s="2167" t="s">
        <v>235</v>
      </c>
      <c r="E127" s="2168">
        <v>0</v>
      </c>
      <c r="F127" s="2168">
        <v>0</v>
      </c>
      <c r="G127" s="2168">
        <v>0</v>
      </c>
      <c r="H127" s="2169" t="e">
        <f t="shared" si="5"/>
        <v>#DIV/0!</v>
      </c>
    </row>
    <row r="128" spans="1:8" ht="15" hidden="1" x14ac:dyDescent="0.2">
      <c r="A128" s="2165">
        <v>3636</v>
      </c>
      <c r="B128" s="2166">
        <v>6901</v>
      </c>
      <c r="C128" s="2170">
        <v>32533926</v>
      </c>
      <c r="D128" s="2167" t="s">
        <v>449</v>
      </c>
      <c r="E128" s="2168">
        <v>0</v>
      </c>
      <c r="F128" s="2168">
        <v>0</v>
      </c>
      <c r="G128" s="2168">
        <v>0</v>
      </c>
      <c r="H128" s="2169" t="e">
        <f t="shared" si="5"/>
        <v>#DIV/0!</v>
      </c>
    </row>
    <row r="129" spans="1:8" ht="15.75" thickBot="1" x14ac:dyDescent="0.25">
      <c r="A129" s="2165">
        <v>6330</v>
      </c>
      <c r="B129" s="2166">
        <v>5345</v>
      </c>
      <c r="C129" s="2170">
        <v>0</v>
      </c>
      <c r="D129" s="2167" t="s">
        <v>806</v>
      </c>
      <c r="E129" s="2168">
        <v>0</v>
      </c>
      <c r="F129" s="2168">
        <v>0</v>
      </c>
      <c r="G129" s="2168">
        <v>955</v>
      </c>
      <c r="H129" s="2171">
        <v>0</v>
      </c>
    </row>
    <row r="130" spans="1:8" ht="16.5" thickTop="1" thickBot="1" x14ac:dyDescent="0.3">
      <c r="A130" s="2750" t="s">
        <v>802</v>
      </c>
      <c r="B130" s="2751"/>
      <c r="C130" s="2751"/>
      <c r="D130" s="2751"/>
      <c r="E130" s="1957">
        <f>SUM(E97:E128)</f>
        <v>8788</v>
      </c>
      <c r="F130" s="1957">
        <f>SUM(F97:F129)</f>
        <v>3488</v>
      </c>
      <c r="G130" s="1957">
        <f>SUM(G97:G129)</f>
        <v>3938</v>
      </c>
      <c r="H130" s="1962">
        <v>0</v>
      </c>
    </row>
    <row r="131" spans="1:8" ht="13.5" thickTop="1" x14ac:dyDescent="0.2"/>
    <row r="132" spans="1:8" ht="27" customHeight="1" x14ac:dyDescent="0.25">
      <c r="A132" s="2744" t="s">
        <v>1704</v>
      </c>
      <c r="B132" s="2745"/>
      <c r="C132" s="2745"/>
      <c r="D132" s="2745"/>
      <c r="E132" s="2745"/>
      <c r="F132" s="2745"/>
      <c r="G132" s="2745"/>
      <c r="H132" s="2745"/>
    </row>
    <row r="133" spans="1:8" ht="15.75" thickBot="1" x14ac:dyDescent="0.3">
      <c r="A133" s="2132" t="s">
        <v>1705</v>
      </c>
      <c r="B133" s="2146"/>
      <c r="C133" s="2146"/>
      <c r="E133" s="2147"/>
      <c r="F133" s="2147"/>
      <c r="G133" s="2147"/>
      <c r="H133" s="2148" t="s">
        <v>173</v>
      </c>
    </row>
    <row r="134" spans="1:8" ht="25.5" thickTop="1" thickBot="1" x14ac:dyDescent="0.25">
      <c r="A134" s="1943" t="s">
        <v>174</v>
      </c>
      <c r="B134" s="1944" t="s">
        <v>800</v>
      </c>
      <c r="C134" s="1944" t="s">
        <v>397</v>
      </c>
      <c r="D134" s="1945" t="s">
        <v>176</v>
      </c>
      <c r="E134" s="1976" t="s">
        <v>669</v>
      </c>
      <c r="F134" s="1976" t="s">
        <v>670</v>
      </c>
      <c r="G134" s="1977" t="s">
        <v>923</v>
      </c>
      <c r="H134" s="1978" t="s">
        <v>924</v>
      </c>
    </row>
    <row r="135" spans="1:8" ht="14.25" thickTop="1" thickBot="1" x14ac:dyDescent="0.25">
      <c r="A135" s="1740">
        <v>1</v>
      </c>
      <c r="B135" s="1739">
        <v>2</v>
      </c>
      <c r="C135" s="1739">
        <v>3</v>
      </c>
      <c r="D135" s="1739">
        <v>4</v>
      </c>
      <c r="E135" s="1738">
        <v>5</v>
      </c>
      <c r="F135" s="1738">
        <v>6</v>
      </c>
      <c r="G135" s="2028">
        <v>7</v>
      </c>
      <c r="H135" s="2054" t="s">
        <v>61</v>
      </c>
    </row>
    <row r="136" spans="1:8" ht="45.75" thickTop="1" x14ac:dyDescent="0.2">
      <c r="A136" s="2160">
        <v>2125</v>
      </c>
      <c r="B136" s="2161">
        <v>5213</v>
      </c>
      <c r="C136" s="2161">
        <v>38100016</v>
      </c>
      <c r="D136" s="2162" t="s">
        <v>1087</v>
      </c>
      <c r="E136" s="2163">
        <v>0</v>
      </c>
      <c r="F136" s="2163">
        <v>500</v>
      </c>
      <c r="G136" s="2163">
        <v>31</v>
      </c>
      <c r="H136" s="2164">
        <f t="shared" ref="H136:H144" si="6">G136/F136*100</f>
        <v>6.2</v>
      </c>
    </row>
    <row r="137" spans="1:8" ht="45" x14ac:dyDescent="0.2">
      <c r="A137" s="2165">
        <v>2125</v>
      </c>
      <c r="B137" s="2166">
        <v>5213</v>
      </c>
      <c r="C137" s="2166">
        <v>38100880</v>
      </c>
      <c r="D137" s="2167" t="s">
        <v>1087</v>
      </c>
      <c r="E137" s="2168">
        <v>1167</v>
      </c>
      <c r="F137" s="2168">
        <v>1167</v>
      </c>
      <c r="G137" s="2168">
        <v>71</v>
      </c>
      <c r="H137" s="2169">
        <f t="shared" si="6"/>
        <v>6.0839760068551847</v>
      </c>
    </row>
    <row r="138" spans="1:8" ht="45.75" thickBot="1" x14ac:dyDescent="0.25">
      <c r="A138" s="2165">
        <v>2125</v>
      </c>
      <c r="B138" s="2166">
        <v>5213</v>
      </c>
      <c r="C138" s="2166">
        <v>38500881</v>
      </c>
      <c r="D138" s="2167" t="s">
        <v>1087</v>
      </c>
      <c r="E138" s="2168">
        <v>5000</v>
      </c>
      <c r="F138" s="2168">
        <v>5000</v>
      </c>
      <c r="G138" s="2168">
        <v>306</v>
      </c>
      <c r="H138" s="2169">
        <f t="shared" si="6"/>
        <v>6.12</v>
      </c>
    </row>
    <row r="139" spans="1:8" ht="15.75" hidden="1" thickBot="1" x14ac:dyDescent="0.25">
      <c r="A139" s="2165">
        <v>3299</v>
      </c>
      <c r="B139" s="2166">
        <v>5021</v>
      </c>
      <c r="C139" s="2166">
        <v>32133019</v>
      </c>
      <c r="D139" s="2167" t="s">
        <v>409</v>
      </c>
      <c r="E139" s="2168">
        <v>0</v>
      </c>
      <c r="F139" s="2168">
        <v>0</v>
      </c>
      <c r="G139" s="2168">
        <v>0</v>
      </c>
      <c r="H139" s="2169" t="e">
        <f t="shared" si="6"/>
        <v>#DIV/0!</v>
      </c>
    </row>
    <row r="140" spans="1:8" ht="15.75" hidden="1" thickBot="1" x14ac:dyDescent="0.25">
      <c r="A140" s="2165">
        <v>3299</v>
      </c>
      <c r="B140" s="2166">
        <v>5021</v>
      </c>
      <c r="C140" s="2166">
        <v>32533019</v>
      </c>
      <c r="D140" s="2167" t="s">
        <v>409</v>
      </c>
      <c r="E140" s="2168">
        <v>0</v>
      </c>
      <c r="F140" s="2168">
        <v>0</v>
      </c>
      <c r="G140" s="2168">
        <v>0</v>
      </c>
      <c r="H140" s="2169" t="e">
        <f t="shared" si="6"/>
        <v>#DIV/0!</v>
      </c>
    </row>
    <row r="141" spans="1:8" ht="30.75" hidden="1" thickBot="1" x14ac:dyDescent="0.25">
      <c r="A141" s="2165">
        <v>3299</v>
      </c>
      <c r="B141" s="2166">
        <v>5031</v>
      </c>
      <c r="C141" s="2166">
        <v>32133019</v>
      </c>
      <c r="D141" s="2215" t="s">
        <v>1362</v>
      </c>
      <c r="E141" s="2168">
        <v>0</v>
      </c>
      <c r="F141" s="2168">
        <v>0</v>
      </c>
      <c r="G141" s="2168">
        <v>0</v>
      </c>
      <c r="H141" s="2169" t="e">
        <f t="shared" si="6"/>
        <v>#DIV/0!</v>
      </c>
    </row>
    <row r="142" spans="1:8" ht="30.75" hidden="1" thickBot="1" x14ac:dyDescent="0.25">
      <c r="A142" s="2165">
        <v>3299</v>
      </c>
      <c r="B142" s="2166">
        <v>5031</v>
      </c>
      <c r="C142" s="2166">
        <v>32533019</v>
      </c>
      <c r="D142" s="2215" t="s">
        <v>1362</v>
      </c>
      <c r="E142" s="2168">
        <v>0</v>
      </c>
      <c r="F142" s="2168">
        <v>0</v>
      </c>
      <c r="G142" s="2168">
        <v>0</v>
      </c>
      <c r="H142" s="2169" t="e">
        <f t="shared" si="6"/>
        <v>#DIV/0!</v>
      </c>
    </row>
    <row r="143" spans="1:8" ht="30.75" hidden="1" thickBot="1" x14ac:dyDescent="0.25">
      <c r="A143" s="2165">
        <v>3299</v>
      </c>
      <c r="B143" s="2166">
        <v>5032</v>
      </c>
      <c r="C143" s="2170">
        <v>32133019</v>
      </c>
      <c r="D143" s="2167" t="s">
        <v>1236</v>
      </c>
      <c r="E143" s="2168">
        <v>0</v>
      </c>
      <c r="F143" s="2168">
        <v>0</v>
      </c>
      <c r="G143" s="2168">
        <v>0</v>
      </c>
      <c r="H143" s="2169" t="e">
        <f t="shared" si="6"/>
        <v>#DIV/0!</v>
      </c>
    </row>
    <row r="144" spans="1:8" ht="30.75" hidden="1" thickBot="1" x14ac:dyDescent="0.25">
      <c r="A144" s="2165">
        <v>3299</v>
      </c>
      <c r="B144" s="2166">
        <v>5032</v>
      </c>
      <c r="C144" s="2170">
        <v>32533019</v>
      </c>
      <c r="D144" s="2167" t="s">
        <v>1236</v>
      </c>
      <c r="E144" s="2168">
        <v>0</v>
      </c>
      <c r="F144" s="2168">
        <v>0</v>
      </c>
      <c r="G144" s="2168">
        <v>0</v>
      </c>
      <c r="H144" s="2169" t="e">
        <f t="shared" si="6"/>
        <v>#DIV/0!</v>
      </c>
    </row>
    <row r="145" spans="1:8" ht="15.75" hidden="1" thickBot="1" x14ac:dyDescent="0.25">
      <c r="A145" s="2165">
        <v>3299</v>
      </c>
      <c r="B145" s="2166">
        <v>5137</v>
      </c>
      <c r="C145" s="2170">
        <v>32133019</v>
      </c>
      <c r="D145" s="2167" t="s">
        <v>167</v>
      </c>
      <c r="E145" s="2168">
        <v>0</v>
      </c>
      <c r="F145" s="2168">
        <v>0</v>
      </c>
      <c r="G145" s="2168">
        <v>0</v>
      </c>
      <c r="H145" s="2169">
        <v>0</v>
      </c>
    </row>
    <row r="146" spans="1:8" ht="15.75" hidden="1" thickBot="1" x14ac:dyDescent="0.25">
      <c r="A146" s="2165">
        <v>3299</v>
      </c>
      <c r="B146" s="2166">
        <v>5137</v>
      </c>
      <c r="C146" s="2170">
        <v>32533019</v>
      </c>
      <c r="D146" s="2167" t="s">
        <v>167</v>
      </c>
      <c r="E146" s="2168">
        <v>0</v>
      </c>
      <c r="F146" s="2168">
        <v>0</v>
      </c>
      <c r="G146" s="2168">
        <v>0</v>
      </c>
      <c r="H146" s="2169" t="e">
        <f t="shared" ref="H146:H161" si="7">G146/F146*100</f>
        <v>#DIV/0!</v>
      </c>
    </row>
    <row r="147" spans="1:8" ht="15.75" hidden="1" thickBot="1" x14ac:dyDescent="0.25">
      <c r="A147" s="2165">
        <v>3299</v>
      </c>
      <c r="B147" s="2166">
        <v>5139</v>
      </c>
      <c r="C147" s="2170">
        <v>32133019</v>
      </c>
      <c r="D147" s="2167" t="s">
        <v>284</v>
      </c>
      <c r="E147" s="2168">
        <v>0</v>
      </c>
      <c r="F147" s="2168">
        <v>0</v>
      </c>
      <c r="G147" s="2168">
        <v>0</v>
      </c>
      <c r="H147" s="2169" t="e">
        <f t="shared" si="7"/>
        <v>#DIV/0!</v>
      </c>
    </row>
    <row r="148" spans="1:8" ht="15.75" hidden="1" thickBot="1" x14ac:dyDescent="0.25">
      <c r="A148" s="2165">
        <v>3299</v>
      </c>
      <c r="B148" s="2166">
        <v>5139</v>
      </c>
      <c r="C148" s="2170">
        <v>32533019</v>
      </c>
      <c r="D148" s="2167" t="s">
        <v>284</v>
      </c>
      <c r="E148" s="2168">
        <v>0</v>
      </c>
      <c r="F148" s="2168">
        <v>0</v>
      </c>
      <c r="G148" s="2168">
        <v>0</v>
      </c>
      <c r="H148" s="2169" t="e">
        <f t="shared" si="7"/>
        <v>#DIV/0!</v>
      </c>
    </row>
    <row r="149" spans="1:8" ht="15.75" hidden="1" thickBot="1" x14ac:dyDescent="0.25">
      <c r="A149" s="2165">
        <v>3299</v>
      </c>
      <c r="B149" s="2166">
        <v>5162</v>
      </c>
      <c r="C149" s="2170">
        <v>32133019</v>
      </c>
      <c r="D149" s="2167" t="s">
        <v>904</v>
      </c>
      <c r="E149" s="2168">
        <v>0</v>
      </c>
      <c r="F149" s="2168">
        <v>0</v>
      </c>
      <c r="G149" s="2168">
        <v>0</v>
      </c>
      <c r="H149" s="2169" t="e">
        <f t="shared" si="7"/>
        <v>#DIV/0!</v>
      </c>
    </row>
    <row r="150" spans="1:8" ht="15.75" hidden="1" thickBot="1" x14ac:dyDescent="0.25">
      <c r="A150" s="2165">
        <v>3299</v>
      </c>
      <c r="B150" s="2166">
        <v>5162</v>
      </c>
      <c r="C150" s="2170">
        <v>32533019</v>
      </c>
      <c r="D150" s="2167" t="s">
        <v>904</v>
      </c>
      <c r="E150" s="2168">
        <v>0</v>
      </c>
      <c r="F150" s="2168">
        <v>0</v>
      </c>
      <c r="G150" s="2168">
        <v>0</v>
      </c>
      <c r="H150" s="2169" t="e">
        <f t="shared" si="7"/>
        <v>#DIV/0!</v>
      </c>
    </row>
    <row r="151" spans="1:8" ht="15.75" hidden="1" thickBot="1" x14ac:dyDescent="0.25">
      <c r="A151" s="2165">
        <v>3299</v>
      </c>
      <c r="B151" s="2166">
        <v>5169</v>
      </c>
      <c r="C151" s="2170">
        <v>32133019</v>
      </c>
      <c r="D151" s="2167" t="s">
        <v>892</v>
      </c>
      <c r="E151" s="2168">
        <v>0</v>
      </c>
      <c r="F151" s="2168">
        <v>0</v>
      </c>
      <c r="G151" s="2168">
        <v>0</v>
      </c>
      <c r="H151" s="2169" t="e">
        <f t="shared" si="7"/>
        <v>#DIV/0!</v>
      </c>
    </row>
    <row r="152" spans="1:8" ht="15.75" hidden="1" thickBot="1" x14ac:dyDescent="0.25">
      <c r="A152" s="2165">
        <v>3299</v>
      </c>
      <c r="B152" s="2166">
        <v>5169</v>
      </c>
      <c r="C152" s="2170">
        <v>32533019</v>
      </c>
      <c r="D152" s="2167" t="s">
        <v>892</v>
      </c>
      <c r="E152" s="2168">
        <v>0</v>
      </c>
      <c r="F152" s="2168">
        <v>0</v>
      </c>
      <c r="G152" s="2168">
        <v>0</v>
      </c>
      <c r="H152" s="2169" t="e">
        <f t="shared" si="7"/>
        <v>#DIV/0!</v>
      </c>
    </row>
    <row r="153" spans="1:8" ht="15.75" hidden="1" thickBot="1" x14ac:dyDescent="0.25">
      <c r="A153" s="2165">
        <v>3299</v>
      </c>
      <c r="B153" s="2166">
        <v>5175</v>
      </c>
      <c r="C153" s="2170">
        <v>32133019</v>
      </c>
      <c r="D153" s="2167" t="s">
        <v>707</v>
      </c>
      <c r="E153" s="2168">
        <v>0</v>
      </c>
      <c r="F153" s="2168">
        <v>0</v>
      </c>
      <c r="G153" s="2168">
        <v>0</v>
      </c>
      <c r="H153" s="2169" t="e">
        <f t="shared" si="7"/>
        <v>#DIV/0!</v>
      </c>
    </row>
    <row r="154" spans="1:8" ht="15.75" hidden="1" thickBot="1" x14ac:dyDescent="0.25">
      <c r="A154" s="2165">
        <v>3299</v>
      </c>
      <c r="B154" s="2166">
        <v>5175</v>
      </c>
      <c r="C154" s="2170">
        <v>32533019</v>
      </c>
      <c r="D154" s="2167" t="s">
        <v>707</v>
      </c>
      <c r="E154" s="2168">
        <v>0</v>
      </c>
      <c r="F154" s="2168">
        <v>0</v>
      </c>
      <c r="G154" s="2168">
        <v>0</v>
      </c>
      <c r="H154" s="2169" t="e">
        <f t="shared" si="7"/>
        <v>#DIV/0!</v>
      </c>
    </row>
    <row r="155" spans="1:8" ht="15.75" hidden="1" thickBot="1" x14ac:dyDescent="0.25">
      <c r="A155" s="2165">
        <v>3299</v>
      </c>
      <c r="B155" s="2166">
        <v>5901</v>
      </c>
      <c r="C155" s="2170">
        <v>0</v>
      </c>
      <c r="D155" s="2167" t="s">
        <v>639</v>
      </c>
      <c r="E155" s="2168">
        <v>0</v>
      </c>
      <c r="F155" s="2168">
        <v>0</v>
      </c>
      <c r="G155" s="2168">
        <v>0</v>
      </c>
      <c r="H155" s="2169" t="e">
        <f t="shared" si="7"/>
        <v>#DIV/0!</v>
      </c>
    </row>
    <row r="156" spans="1:8" ht="15.75" hidden="1" thickBot="1" x14ac:dyDescent="0.25">
      <c r="A156" s="2165">
        <v>3299</v>
      </c>
      <c r="B156" s="2166">
        <v>5901</v>
      </c>
      <c r="C156" s="2170">
        <v>32133019</v>
      </c>
      <c r="D156" s="2167" t="s">
        <v>639</v>
      </c>
      <c r="E156" s="2168">
        <v>0</v>
      </c>
      <c r="F156" s="2168">
        <v>0</v>
      </c>
      <c r="G156" s="2168">
        <v>0</v>
      </c>
      <c r="H156" s="2169" t="e">
        <f t="shared" si="7"/>
        <v>#DIV/0!</v>
      </c>
    </row>
    <row r="157" spans="1:8" ht="15.75" hidden="1" thickBot="1" x14ac:dyDescent="0.25">
      <c r="A157" s="2165">
        <v>3299</v>
      </c>
      <c r="B157" s="2166">
        <v>5901</v>
      </c>
      <c r="C157" s="2170">
        <v>32533019</v>
      </c>
      <c r="D157" s="2167" t="s">
        <v>639</v>
      </c>
      <c r="E157" s="2168">
        <v>0</v>
      </c>
      <c r="F157" s="2168">
        <v>0</v>
      </c>
      <c r="G157" s="2168">
        <v>0</v>
      </c>
      <c r="H157" s="2169" t="e">
        <f t="shared" si="7"/>
        <v>#DIV/0!</v>
      </c>
    </row>
    <row r="158" spans="1:8" ht="15.75" hidden="1" thickBot="1" x14ac:dyDescent="0.25">
      <c r="A158" s="2165">
        <v>3299</v>
      </c>
      <c r="B158" s="2166">
        <v>5323</v>
      </c>
      <c r="C158" s="2170">
        <v>32133019</v>
      </c>
      <c r="D158" s="2167" t="s">
        <v>235</v>
      </c>
      <c r="E158" s="2168">
        <v>0</v>
      </c>
      <c r="F158" s="2168">
        <v>0</v>
      </c>
      <c r="G158" s="2168">
        <v>0</v>
      </c>
      <c r="H158" s="2169" t="e">
        <f t="shared" si="7"/>
        <v>#DIV/0!</v>
      </c>
    </row>
    <row r="159" spans="1:8" ht="15.75" hidden="1" thickBot="1" x14ac:dyDescent="0.25">
      <c r="A159" s="2165">
        <v>3636</v>
      </c>
      <c r="B159" s="2166">
        <v>5323</v>
      </c>
      <c r="C159" s="2170">
        <v>32533019</v>
      </c>
      <c r="D159" s="2167" t="s">
        <v>235</v>
      </c>
      <c r="E159" s="2168">
        <v>0</v>
      </c>
      <c r="F159" s="2168">
        <v>0</v>
      </c>
      <c r="G159" s="2168">
        <v>0</v>
      </c>
      <c r="H159" s="2169" t="e">
        <f t="shared" si="7"/>
        <v>#DIV/0!</v>
      </c>
    </row>
    <row r="160" spans="1:8" ht="15.75" hidden="1" thickBot="1" x14ac:dyDescent="0.25">
      <c r="A160" s="2165">
        <v>3636</v>
      </c>
      <c r="B160" s="2166">
        <v>6901</v>
      </c>
      <c r="C160" s="2170">
        <v>32533926</v>
      </c>
      <c r="D160" s="2167" t="s">
        <v>449</v>
      </c>
      <c r="E160" s="2168">
        <v>0</v>
      </c>
      <c r="F160" s="2168">
        <v>0</v>
      </c>
      <c r="G160" s="2168">
        <v>0</v>
      </c>
      <c r="H160" s="2169" t="e">
        <f t="shared" si="7"/>
        <v>#DIV/0!</v>
      </c>
    </row>
    <row r="161" spans="1:12" ht="15.75" hidden="1" thickBot="1" x14ac:dyDescent="0.25">
      <c r="A161" s="2165">
        <v>6402</v>
      </c>
      <c r="B161" s="2166">
        <v>5363</v>
      </c>
      <c r="C161" s="2170">
        <v>19</v>
      </c>
      <c r="D161" s="2167" t="s">
        <v>585</v>
      </c>
      <c r="E161" s="2168">
        <v>0</v>
      </c>
      <c r="F161" s="2168">
        <v>0</v>
      </c>
      <c r="G161" s="2168">
        <v>0</v>
      </c>
      <c r="H161" s="2171" t="e">
        <f t="shared" si="7"/>
        <v>#DIV/0!</v>
      </c>
    </row>
    <row r="162" spans="1:12" ht="16.5" thickTop="1" thickBot="1" x14ac:dyDescent="0.3">
      <c r="A162" s="2750" t="s">
        <v>802</v>
      </c>
      <c r="B162" s="2751"/>
      <c r="C162" s="2751"/>
      <c r="D162" s="2751"/>
      <c r="E162" s="1957">
        <f>SUM(E136:E160)</f>
        <v>6167</v>
      </c>
      <c r="F162" s="1957">
        <f>SUM(F136:F161)</f>
        <v>6667</v>
      </c>
      <c r="G162" s="1957">
        <f>SUM(G136:G161)</f>
        <v>408</v>
      </c>
      <c r="H162" s="1962">
        <v>0</v>
      </c>
    </row>
    <row r="163" spans="1:12" ht="13.5" thickTop="1" x14ac:dyDescent="0.2"/>
    <row r="164" spans="1:12" ht="15" hidden="1" x14ac:dyDescent="0.25">
      <c r="A164" s="2132" t="s">
        <v>805</v>
      </c>
      <c r="B164" s="2146"/>
      <c r="C164" s="2146"/>
      <c r="D164" s="2146"/>
      <c r="F164" s="2147"/>
      <c r="G164" s="2147"/>
      <c r="H164" s="2148" t="s">
        <v>173</v>
      </c>
      <c r="I164" s="2219"/>
    </row>
    <row r="165" spans="1:12" ht="25.5" hidden="1" thickTop="1" thickBot="1" x14ac:dyDescent="0.25">
      <c r="A165" s="2149" t="s">
        <v>174</v>
      </c>
      <c r="B165" s="2150" t="s">
        <v>800</v>
      </c>
      <c r="C165" s="2150" t="s">
        <v>397</v>
      </c>
      <c r="D165" s="2151" t="s">
        <v>176</v>
      </c>
      <c r="E165" s="2152" t="s">
        <v>669</v>
      </c>
      <c r="F165" s="2152" t="s">
        <v>670</v>
      </c>
      <c r="G165" s="2153" t="s">
        <v>923</v>
      </c>
      <c r="H165" s="2154" t="s">
        <v>924</v>
      </c>
    </row>
    <row r="166" spans="1:12" ht="14.25" hidden="1" thickTop="1" thickBot="1" x14ac:dyDescent="0.25">
      <c r="A166" s="2155">
        <v>1</v>
      </c>
      <c r="B166" s="2156">
        <v>2</v>
      </c>
      <c r="C166" s="2156">
        <v>3</v>
      </c>
      <c r="D166" s="2156">
        <v>5</v>
      </c>
      <c r="E166" s="2157">
        <v>6</v>
      </c>
      <c r="F166" s="2157">
        <v>7</v>
      </c>
      <c r="G166" s="2158">
        <v>8</v>
      </c>
      <c r="H166" s="2174" t="s">
        <v>801</v>
      </c>
    </row>
    <row r="167" spans="1:12" s="2141" customFormat="1" ht="15.75" hidden="1" thickTop="1" x14ac:dyDescent="0.25">
      <c r="A167" s="2216">
        <v>6409</v>
      </c>
      <c r="B167" s="2187">
        <v>5909</v>
      </c>
      <c r="C167" s="2284">
        <v>0</v>
      </c>
      <c r="D167" s="2188" t="s">
        <v>1706</v>
      </c>
      <c r="E167" s="2163">
        <v>0</v>
      </c>
      <c r="F167" s="2163">
        <v>0</v>
      </c>
      <c r="G167" s="2175">
        <v>0</v>
      </c>
      <c r="H167" s="2164">
        <v>0</v>
      </c>
    </row>
    <row r="168" spans="1:12" s="2141" customFormat="1" ht="15" hidden="1" x14ac:dyDescent="0.25">
      <c r="A168" s="2186">
        <v>6409</v>
      </c>
      <c r="B168" s="2187">
        <v>5909</v>
      </c>
      <c r="C168" s="2236"/>
      <c r="D168" s="2188" t="s">
        <v>820</v>
      </c>
      <c r="E168" s="2168">
        <v>0</v>
      </c>
      <c r="F168" s="2168">
        <v>0</v>
      </c>
      <c r="G168" s="2176">
        <v>0</v>
      </c>
      <c r="H168" s="2169">
        <v>0</v>
      </c>
    </row>
    <row r="169" spans="1:12" ht="16.5" hidden="1" thickTop="1" thickBot="1" x14ac:dyDescent="0.3">
      <c r="A169" s="2177" t="s">
        <v>802</v>
      </c>
      <c r="B169" s="2178"/>
      <c r="C169" s="2178"/>
      <c r="D169" s="2179"/>
      <c r="E169" s="2172">
        <f>SUM(E167:E168)</f>
        <v>0</v>
      </c>
      <c r="F169" s="2172">
        <f>SUM(F167:F168)</f>
        <v>0</v>
      </c>
      <c r="G169" s="2172">
        <f>SUM(G167:G168)</f>
        <v>0</v>
      </c>
      <c r="H169" s="2173">
        <v>0</v>
      </c>
    </row>
    <row r="173" spans="1:12" ht="16.5" x14ac:dyDescent="0.25">
      <c r="A173" s="2193" t="s">
        <v>487</v>
      </c>
      <c r="B173" s="2194"/>
      <c r="C173" s="2195"/>
      <c r="D173" s="2196"/>
      <c r="E173" s="2197">
        <f>SUM(E174:E176)</f>
        <v>16015</v>
      </c>
      <c r="F173" s="2197">
        <f>F174+F175+F176+F177</f>
        <v>10550</v>
      </c>
      <c r="G173" s="2197">
        <f>G174+G175+G176+G177</f>
        <v>5284</v>
      </c>
      <c r="H173" s="2198">
        <v>61.717249327698809</v>
      </c>
      <c r="J173" s="2199">
        <f>J174+J175+J176</f>
        <v>16015000</v>
      </c>
      <c r="K173" s="2199">
        <f>K174+K175+K176</f>
        <v>10550000</v>
      </c>
      <c r="L173" s="2199">
        <f>L174+L175+L176</f>
        <v>5284055.33</v>
      </c>
    </row>
    <row r="174" spans="1:12" ht="15" x14ac:dyDescent="0.2">
      <c r="A174" s="2200" t="s">
        <v>277</v>
      </c>
      <c r="B174" s="2201"/>
      <c r="C174" s="2202"/>
      <c r="D174" s="2203"/>
      <c r="E174" s="2204">
        <f>E13+E14+E27+E39+E40+E41+E42+E47+E63+E73+E74+E81+E82+E83+E85+E86+E97+E98+E99+E100+E101+E102+E103+E104+E107+E108+E109+E110+E111+E112+E113+E114+E115+E116+E117+E118+E119+E120+E121+E122+E123+E124+E136+E137+E138</f>
        <v>16015</v>
      </c>
      <c r="F174" s="2204">
        <f>F13+F14+F27+F39+F40+F41+F42+F47+F63+F73+F74+F81+F82+F83+F85+F86+F97+F98+F99+F100+F101+F102+F103+F104+F107+F108+F109+F110+F111+F112+F113+F114+F115+F116+F117+F118+F119+F120+F121+F122+F123+F124+F136+F137+F138</f>
        <v>10550</v>
      </c>
      <c r="G174" s="2204">
        <f>G13+G14+G27+G39+G40+G41+G42+G47+G63+G73+G74+G81+G82+G83+G85+G86+G97+G98+G99+G100+G101+G102+G103+G104+G107+G108+G109+G110+G111+G112+G113+G114+G115+G116+G117+G118+G119+G120+G121+G122+G123+G124+G136+G137+G138</f>
        <v>3608</v>
      </c>
      <c r="H174" s="2205">
        <v>61.717249327698809</v>
      </c>
      <c r="J174" s="2206">
        <v>16015000</v>
      </c>
      <c r="K174" s="2206">
        <v>10550000</v>
      </c>
      <c r="L174" s="2206">
        <v>3607897.31</v>
      </c>
    </row>
    <row r="175" spans="1:12" ht="15" x14ac:dyDescent="0.2">
      <c r="A175" s="2200" t="s">
        <v>278</v>
      </c>
      <c r="B175" s="2207"/>
      <c r="C175" s="2202"/>
      <c r="D175" s="2208"/>
      <c r="E175" s="2204">
        <f>E43+E53</f>
        <v>0</v>
      </c>
      <c r="F175" s="2204">
        <v>0</v>
      </c>
      <c r="G175" s="2204">
        <v>0</v>
      </c>
      <c r="H175" s="2205">
        <v>0</v>
      </c>
      <c r="J175" s="2206">
        <v>0</v>
      </c>
      <c r="K175" s="2206">
        <v>0</v>
      </c>
      <c r="L175" s="2206">
        <v>0</v>
      </c>
    </row>
    <row r="176" spans="1:12" ht="15" x14ac:dyDescent="0.2">
      <c r="A176" s="2200" t="s">
        <v>488</v>
      </c>
      <c r="B176" s="2207"/>
      <c r="C176" s="2202"/>
      <c r="D176" s="2208"/>
      <c r="E176" s="2204">
        <f>E17+E129</f>
        <v>0</v>
      </c>
      <c r="F176" s="2204">
        <f>F17+F129</f>
        <v>0</v>
      </c>
      <c r="G176" s="2204">
        <f>G17+G129</f>
        <v>1676</v>
      </c>
      <c r="H176" s="2205">
        <v>0</v>
      </c>
      <c r="J176" s="2206">
        <v>0</v>
      </c>
      <c r="K176" s="2206">
        <v>0</v>
      </c>
      <c r="L176" s="2206">
        <v>1676158.02</v>
      </c>
    </row>
    <row r="177" spans="1:8" ht="16.5" customHeight="1" x14ac:dyDescent="0.2">
      <c r="A177" s="2200"/>
      <c r="B177" s="2207"/>
      <c r="C177" s="2202"/>
      <c r="D177" s="2208"/>
      <c r="E177" s="2204"/>
      <c r="F177" s="2204"/>
      <c r="G177" s="2204"/>
      <c r="H177" s="2209"/>
    </row>
    <row r="178" spans="1:8" ht="57.75" customHeight="1" thickBot="1" x14ac:dyDescent="0.4">
      <c r="A178" s="2763" t="s">
        <v>1707</v>
      </c>
      <c r="B178" s="2768"/>
      <c r="C178" s="2768"/>
      <c r="D178" s="2768"/>
      <c r="E178" s="2210">
        <f>SUM(E173)</f>
        <v>16015</v>
      </c>
      <c r="F178" s="2210">
        <f>SUM(F173)</f>
        <v>10550</v>
      </c>
      <c r="G178" s="2210">
        <f>SUM(G173)</f>
        <v>5284</v>
      </c>
      <c r="H178" s="2211">
        <f>G178/F178*100</f>
        <v>50.085308056872037</v>
      </c>
    </row>
    <row r="179" spans="1:8" ht="13.5" thickTop="1" x14ac:dyDescent="0.2"/>
  </sheetData>
  <mergeCells count="11">
    <mergeCell ref="A91:D91"/>
    <mergeCell ref="A8:H8"/>
    <mergeCell ref="A18:D18"/>
    <mergeCell ref="A21:H21"/>
    <mergeCell ref="A55:D55"/>
    <mergeCell ref="A57:H57"/>
    <mergeCell ref="A93:H93"/>
    <mergeCell ref="A130:D130"/>
    <mergeCell ref="A132:H132"/>
    <mergeCell ref="A162:D162"/>
    <mergeCell ref="A178:D178"/>
  </mergeCells>
  <pageMargins left="0.70866141732283472" right="0.70866141732283472" top="0.78740157480314965" bottom="0.78740157480314965" header="0.31496062992125984" footer="0.31496062992125984"/>
  <pageSetup paperSize="9" scale="70" firstPageNumber="168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1" manualBreakCount="1">
    <brk id="112" max="7" man="1"/>
  </rowBreaks>
  <colBreaks count="1" manualBreakCount="1">
    <brk id="8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230"/>
  <sheetViews>
    <sheetView view="pageBreakPreview" topLeftCell="A188" zoomScaleNormal="100" zoomScaleSheetLayoutView="100" workbookViewId="0">
      <selection activeCell="J1225" sqref="J1225:L1227"/>
    </sheetView>
  </sheetViews>
  <sheetFormatPr defaultRowHeight="12.75" x14ac:dyDescent="0.2"/>
  <cols>
    <col min="1" max="1" width="5.5703125" style="2139" customWidth="1"/>
    <col min="2" max="2" width="6.7109375" style="2139" customWidth="1"/>
    <col min="3" max="3" width="9.28515625" style="2139" customWidth="1"/>
    <col min="4" max="4" width="47.85546875" style="2139" customWidth="1"/>
    <col min="5" max="5" width="12.85546875" style="2139" customWidth="1"/>
    <col min="6" max="6" width="15.5703125" style="2139" customWidth="1"/>
    <col min="7" max="7" width="15.85546875" style="2139" customWidth="1"/>
    <col min="8" max="8" width="8.7109375" style="2139" customWidth="1"/>
    <col min="9" max="10" width="9.140625" style="2139"/>
    <col min="11" max="12" width="16" style="2139" bestFit="1" customWidth="1"/>
    <col min="13" max="256" width="9.140625" style="2139"/>
    <col min="257" max="257" width="5.5703125" style="2139" customWidth="1"/>
    <col min="258" max="258" width="6.7109375" style="2139" customWidth="1"/>
    <col min="259" max="259" width="8.85546875" style="2139" customWidth="1"/>
    <col min="260" max="260" width="47.85546875" style="2139" customWidth="1"/>
    <col min="261" max="261" width="12.85546875" style="2139" customWidth="1"/>
    <col min="262" max="262" width="15.5703125" style="2139" customWidth="1"/>
    <col min="263" max="263" width="15.85546875" style="2139" customWidth="1"/>
    <col min="264" max="264" width="6.42578125" style="2139" customWidth="1"/>
    <col min="265" max="266" width="9.140625" style="2139"/>
    <col min="267" max="268" width="14.7109375" style="2139" bestFit="1" customWidth="1"/>
    <col min="269" max="512" width="9.140625" style="2139"/>
    <col min="513" max="513" width="5.5703125" style="2139" customWidth="1"/>
    <col min="514" max="514" width="6.7109375" style="2139" customWidth="1"/>
    <col min="515" max="515" width="8.85546875" style="2139" customWidth="1"/>
    <col min="516" max="516" width="47.85546875" style="2139" customWidth="1"/>
    <col min="517" max="517" width="12.85546875" style="2139" customWidth="1"/>
    <col min="518" max="518" width="15.5703125" style="2139" customWidth="1"/>
    <col min="519" max="519" width="15.85546875" style="2139" customWidth="1"/>
    <col min="520" max="520" width="6.42578125" style="2139" customWidth="1"/>
    <col min="521" max="522" width="9.140625" style="2139"/>
    <col min="523" max="524" width="14.7109375" style="2139" bestFit="1" customWidth="1"/>
    <col min="525" max="768" width="9.140625" style="2139"/>
    <col min="769" max="769" width="5.5703125" style="2139" customWidth="1"/>
    <col min="770" max="770" width="6.7109375" style="2139" customWidth="1"/>
    <col min="771" max="771" width="8.85546875" style="2139" customWidth="1"/>
    <col min="772" max="772" width="47.85546875" style="2139" customWidth="1"/>
    <col min="773" max="773" width="12.85546875" style="2139" customWidth="1"/>
    <col min="774" max="774" width="15.5703125" style="2139" customWidth="1"/>
    <col min="775" max="775" width="15.85546875" style="2139" customWidth="1"/>
    <col min="776" max="776" width="6.42578125" style="2139" customWidth="1"/>
    <col min="777" max="778" width="9.140625" style="2139"/>
    <col min="779" max="780" width="14.7109375" style="2139" bestFit="1" customWidth="1"/>
    <col min="781" max="1024" width="9.140625" style="2139"/>
    <col min="1025" max="1025" width="5.5703125" style="2139" customWidth="1"/>
    <col min="1026" max="1026" width="6.7109375" style="2139" customWidth="1"/>
    <col min="1027" max="1027" width="8.85546875" style="2139" customWidth="1"/>
    <col min="1028" max="1028" width="47.85546875" style="2139" customWidth="1"/>
    <col min="1029" max="1029" width="12.85546875" style="2139" customWidth="1"/>
    <col min="1030" max="1030" width="15.5703125" style="2139" customWidth="1"/>
    <col min="1031" max="1031" width="15.85546875" style="2139" customWidth="1"/>
    <col min="1032" max="1032" width="6.42578125" style="2139" customWidth="1"/>
    <col min="1033" max="1034" width="9.140625" style="2139"/>
    <col min="1035" max="1036" width="14.7109375" style="2139" bestFit="1" customWidth="1"/>
    <col min="1037" max="1280" width="9.140625" style="2139"/>
    <col min="1281" max="1281" width="5.5703125" style="2139" customWidth="1"/>
    <col min="1282" max="1282" width="6.7109375" style="2139" customWidth="1"/>
    <col min="1283" max="1283" width="8.85546875" style="2139" customWidth="1"/>
    <col min="1284" max="1284" width="47.85546875" style="2139" customWidth="1"/>
    <col min="1285" max="1285" width="12.85546875" style="2139" customWidth="1"/>
    <col min="1286" max="1286" width="15.5703125" style="2139" customWidth="1"/>
    <col min="1287" max="1287" width="15.85546875" style="2139" customWidth="1"/>
    <col min="1288" max="1288" width="6.42578125" style="2139" customWidth="1"/>
    <col min="1289" max="1290" width="9.140625" style="2139"/>
    <col min="1291" max="1292" width="14.7109375" style="2139" bestFit="1" customWidth="1"/>
    <col min="1293" max="1536" width="9.140625" style="2139"/>
    <col min="1537" max="1537" width="5.5703125" style="2139" customWidth="1"/>
    <col min="1538" max="1538" width="6.7109375" style="2139" customWidth="1"/>
    <col min="1539" max="1539" width="8.85546875" style="2139" customWidth="1"/>
    <col min="1540" max="1540" width="47.85546875" style="2139" customWidth="1"/>
    <col min="1541" max="1541" width="12.85546875" style="2139" customWidth="1"/>
    <col min="1542" max="1542" width="15.5703125" style="2139" customWidth="1"/>
    <col min="1543" max="1543" width="15.85546875" style="2139" customWidth="1"/>
    <col min="1544" max="1544" width="6.42578125" style="2139" customWidth="1"/>
    <col min="1545" max="1546" width="9.140625" style="2139"/>
    <col min="1547" max="1548" width="14.7109375" style="2139" bestFit="1" customWidth="1"/>
    <col min="1549" max="1792" width="9.140625" style="2139"/>
    <col min="1793" max="1793" width="5.5703125" style="2139" customWidth="1"/>
    <col min="1794" max="1794" width="6.7109375" style="2139" customWidth="1"/>
    <col min="1795" max="1795" width="8.85546875" style="2139" customWidth="1"/>
    <col min="1796" max="1796" width="47.85546875" style="2139" customWidth="1"/>
    <col min="1797" max="1797" width="12.85546875" style="2139" customWidth="1"/>
    <col min="1798" max="1798" width="15.5703125" style="2139" customWidth="1"/>
    <col min="1799" max="1799" width="15.85546875" style="2139" customWidth="1"/>
    <col min="1800" max="1800" width="6.42578125" style="2139" customWidth="1"/>
    <col min="1801" max="1802" width="9.140625" style="2139"/>
    <col min="1803" max="1804" width="14.7109375" style="2139" bestFit="1" customWidth="1"/>
    <col min="1805" max="2048" width="9.140625" style="2139"/>
    <col min="2049" max="2049" width="5.5703125" style="2139" customWidth="1"/>
    <col min="2050" max="2050" width="6.7109375" style="2139" customWidth="1"/>
    <col min="2051" max="2051" width="8.85546875" style="2139" customWidth="1"/>
    <col min="2052" max="2052" width="47.85546875" style="2139" customWidth="1"/>
    <col min="2053" max="2053" width="12.85546875" style="2139" customWidth="1"/>
    <col min="2054" max="2054" width="15.5703125" style="2139" customWidth="1"/>
    <col min="2055" max="2055" width="15.85546875" style="2139" customWidth="1"/>
    <col min="2056" max="2056" width="6.42578125" style="2139" customWidth="1"/>
    <col min="2057" max="2058" width="9.140625" style="2139"/>
    <col min="2059" max="2060" width="14.7109375" style="2139" bestFit="1" customWidth="1"/>
    <col min="2061" max="2304" width="9.140625" style="2139"/>
    <col min="2305" max="2305" width="5.5703125" style="2139" customWidth="1"/>
    <col min="2306" max="2306" width="6.7109375" style="2139" customWidth="1"/>
    <col min="2307" max="2307" width="8.85546875" style="2139" customWidth="1"/>
    <col min="2308" max="2308" width="47.85546875" style="2139" customWidth="1"/>
    <col min="2309" max="2309" width="12.85546875" style="2139" customWidth="1"/>
    <col min="2310" max="2310" width="15.5703125" style="2139" customWidth="1"/>
    <col min="2311" max="2311" width="15.85546875" style="2139" customWidth="1"/>
    <col min="2312" max="2312" width="6.42578125" style="2139" customWidth="1"/>
    <col min="2313" max="2314" width="9.140625" style="2139"/>
    <col min="2315" max="2316" width="14.7109375" style="2139" bestFit="1" customWidth="1"/>
    <col min="2317" max="2560" width="9.140625" style="2139"/>
    <col min="2561" max="2561" width="5.5703125" style="2139" customWidth="1"/>
    <col min="2562" max="2562" width="6.7109375" style="2139" customWidth="1"/>
    <col min="2563" max="2563" width="8.85546875" style="2139" customWidth="1"/>
    <col min="2564" max="2564" width="47.85546875" style="2139" customWidth="1"/>
    <col min="2565" max="2565" width="12.85546875" style="2139" customWidth="1"/>
    <col min="2566" max="2566" width="15.5703125" style="2139" customWidth="1"/>
    <col min="2567" max="2567" width="15.85546875" style="2139" customWidth="1"/>
    <col min="2568" max="2568" width="6.42578125" style="2139" customWidth="1"/>
    <col min="2569" max="2570" width="9.140625" style="2139"/>
    <col min="2571" max="2572" width="14.7109375" style="2139" bestFit="1" customWidth="1"/>
    <col min="2573" max="2816" width="9.140625" style="2139"/>
    <col min="2817" max="2817" width="5.5703125" style="2139" customWidth="1"/>
    <col min="2818" max="2818" width="6.7109375" style="2139" customWidth="1"/>
    <col min="2819" max="2819" width="8.85546875" style="2139" customWidth="1"/>
    <col min="2820" max="2820" width="47.85546875" style="2139" customWidth="1"/>
    <col min="2821" max="2821" width="12.85546875" style="2139" customWidth="1"/>
    <col min="2822" max="2822" width="15.5703125" style="2139" customWidth="1"/>
    <col min="2823" max="2823" width="15.85546875" style="2139" customWidth="1"/>
    <col min="2824" max="2824" width="6.42578125" style="2139" customWidth="1"/>
    <col min="2825" max="2826" width="9.140625" style="2139"/>
    <col min="2827" max="2828" width="14.7109375" style="2139" bestFit="1" customWidth="1"/>
    <col min="2829" max="3072" width="9.140625" style="2139"/>
    <col min="3073" max="3073" width="5.5703125" style="2139" customWidth="1"/>
    <col min="3074" max="3074" width="6.7109375" style="2139" customWidth="1"/>
    <col min="3075" max="3075" width="8.85546875" style="2139" customWidth="1"/>
    <col min="3076" max="3076" width="47.85546875" style="2139" customWidth="1"/>
    <col min="3077" max="3077" width="12.85546875" style="2139" customWidth="1"/>
    <col min="3078" max="3078" width="15.5703125" style="2139" customWidth="1"/>
    <col min="3079" max="3079" width="15.85546875" style="2139" customWidth="1"/>
    <col min="3080" max="3080" width="6.42578125" style="2139" customWidth="1"/>
    <col min="3081" max="3082" width="9.140625" style="2139"/>
    <col min="3083" max="3084" width="14.7109375" style="2139" bestFit="1" customWidth="1"/>
    <col min="3085" max="3328" width="9.140625" style="2139"/>
    <col min="3329" max="3329" width="5.5703125" style="2139" customWidth="1"/>
    <col min="3330" max="3330" width="6.7109375" style="2139" customWidth="1"/>
    <col min="3331" max="3331" width="8.85546875" style="2139" customWidth="1"/>
    <col min="3332" max="3332" width="47.85546875" style="2139" customWidth="1"/>
    <col min="3333" max="3333" width="12.85546875" style="2139" customWidth="1"/>
    <col min="3334" max="3334" width="15.5703125" style="2139" customWidth="1"/>
    <col min="3335" max="3335" width="15.85546875" style="2139" customWidth="1"/>
    <col min="3336" max="3336" width="6.42578125" style="2139" customWidth="1"/>
    <col min="3337" max="3338" width="9.140625" style="2139"/>
    <col min="3339" max="3340" width="14.7109375" style="2139" bestFit="1" customWidth="1"/>
    <col min="3341" max="3584" width="9.140625" style="2139"/>
    <col min="3585" max="3585" width="5.5703125" style="2139" customWidth="1"/>
    <col min="3586" max="3586" width="6.7109375" style="2139" customWidth="1"/>
    <col min="3587" max="3587" width="8.85546875" style="2139" customWidth="1"/>
    <col min="3588" max="3588" width="47.85546875" style="2139" customWidth="1"/>
    <col min="3589" max="3589" width="12.85546875" style="2139" customWidth="1"/>
    <col min="3590" max="3590" width="15.5703125" style="2139" customWidth="1"/>
    <col min="3591" max="3591" width="15.85546875" style="2139" customWidth="1"/>
    <col min="3592" max="3592" width="6.42578125" style="2139" customWidth="1"/>
    <col min="3593" max="3594" width="9.140625" style="2139"/>
    <col min="3595" max="3596" width="14.7109375" style="2139" bestFit="1" customWidth="1"/>
    <col min="3597" max="3840" width="9.140625" style="2139"/>
    <col min="3841" max="3841" width="5.5703125" style="2139" customWidth="1"/>
    <col min="3842" max="3842" width="6.7109375" style="2139" customWidth="1"/>
    <col min="3843" max="3843" width="8.85546875" style="2139" customWidth="1"/>
    <col min="3844" max="3844" width="47.85546875" style="2139" customWidth="1"/>
    <col min="3845" max="3845" width="12.85546875" style="2139" customWidth="1"/>
    <col min="3846" max="3846" width="15.5703125" style="2139" customWidth="1"/>
    <col min="3847" max="3847" width="15.85546875" style="2139" customWidth="1"/>
    <col min="3848" max="3848" width="6.42578125" style="2139" customWidth="1"/>
    <col min="3849" max="3850" width="9.140625" style="2139"/>
    <col min="3851" max="3852" width="14.7109375" style="2139" bestFit="1" customWidth="1"/>
    <col min="3853" max="4096" width="9.140625" style="2139"/>
    <col min="4097" max="4097" width="5.5703125" style="2139" customWidth="1"/>
    <col min="4098" max="4098" width="6.7109375" style="2139" customWidth="1"/>
    <col min="4099" max="4099" width="8.85546875" style="2139" customWidth="1"/>
    <col min="4100" max="4100" width="47.85546875" style="2139" customWidth="1"/>
    <col min="4101" max="4101" width="12.85546875" style="2139" customWidth="1"/>
    <col min="4102" max="4102" width="15.5703125" style="2139" customWidth="1"/>
    <col min="4103" max="4103" width="15.85546875" style="2139" customWidth="1"/>
    <col min="4104" max="4104" width="6.42578125" style="2139" customWidth="1"/>
    <col min="4105" max="4106" width="9.140625" style="2139"/>
    <col min="4107" max="4108" width="14.7109375" style="2139" bestFit="1" customWidth="1"/>
    <col min="4109" max="4352" width="9.140625" style="2139"/>
    <col min="4353" max="4353" width="5.5703125" style="2139" customWidth="1"/>
    <col min="4354" max="4354" width="6.7109375" style="2139" customWidth="1"/>
    <col min="4355" max="4355" width="8.85546875" style="2139" customWidth="1"/>
    <col min="4356" max="4356" width="47.85546875" style="2139" customWidth="1"/>
    <col min="4357" max="4357" width="12.85546875" style="2139" customWidth="1"/>
    <col min="4358" max="4358" width="15.5703125" style="2139" customWidth="1"/>
    <col min="4359" max="4359" width="15.85546875" style="2139" customWidth="1"/>
    <col min="4360" max="4360" width="6.42578125" style="2139" customWidth="1"/>
    <col min="4361" max="4362" width="9.140625" style="2139"/>
    <col min="4363" max="4364" width="14.7109375" style="2139" bestFit="1" customWidth="1"/>
    <col min="4365" max="4608" width="9.140625" style="2139"/>
    <col min="4609" max="4609" width="5.5703125" style="2139" customWidth="1"/>
    <col min="4610" max="4610" width="6.7109375" style="2139" customWidth="1"/>
    <col min="4611" max="4611" width="8.85546875" style="2139" customWidth="1"/>
    <col min="4612" max="4612" width="47.85546875" style="2139" customWidth="1"/>
    <col min="4613" max="4613" width="12.85546875" style="2139" customWidth="1"/>
    <col min="4614" max="4614" width="15.5703125" style="2139" customWidth="1"/>
    <col min="4615" max="4615" width="15.85546875" style="2139" customWidth="1"/>
    <col min="4616" max="4616" width="6.42578125" style="2139" customWidth="1"/>
    <col min="4617" max="4618" width="9.140625" style="2139"/>
    <col min="4619" max="4620" width="14.7109375" style="2139" bestFit="1" customWidth="1"/>
    <col min="4621" max="4864" width="9.140625" style="2139"/>
    <col min="4865" max="4865" width="5.5703125" style="2139" customWidth="1"/>
    <col min="4866" max="4866" width="6.7109375" style="2139" customWidth="1"/>
    <col min="4867" max="4867" width="8.85546875" style="2139" customWidth="1"/>
    <col min="4868" max="4868" width="47.85546875" style="2139" customWidth="1"/>
    <col min="4869" max="4869" width="12.85546875" style="2139" customWidth="1"/>
    <col min="4870" max="4870" width="15.5703125" style="2139" customWidth="1"/>
    <col min="4871" max="4871" width="15.85546875" style="2139" customWidth="1"/>
    <col min="4872" max="4872" width="6.42578125" style="2139" customWidth="1"/>
    <col min="4873" max="4874" width="9.140625" style="2139"/>
    <col min="4875" max="4876" width="14.7109375" style="2139" bestFit="1" customWidth="1"/>
    <col min="4877" max="5120" width="9.140625" style="2139"/>
    <col min="5121" max="5121" width="5.5703125" style="2139" customWidth="1"/>
    <col min="5122" max="5122" width="6.7109375" style="2139" customWidth="1"/>
    <col min="5123" max="5123" width="8.85546875" style="2139" customWidth="1"/>
    <col min="5124" max="5124" width="47.85546875" style="2139" customWidth="1"/>
    <col min="5125" max="5125" width="12.85546875" style="2139" customWidth="1"/>
    <col min="5126" max="5126" width="15.5703125" style="2139" customWidth="1"/>
    <col min="5127" max="5127" width="15.85546875" style="2139" customWidth="1"/>
    <col min="5128" max="5128" width="6.42578125" style="2139" customWidth="1"/>
    <col min="5129" max="5130" width="9.140625" style="2139"/>
    <col min="5131" max="5132" width="14.7109375" style="2139" bestFit="1" customWidth="1"/>
    <col min="5133" max="5376" width="9.140625" style="2139"/>
    <col min="5377" max="5377" width="5.5703125" style="2139" customWidth="1"/>
    <col min="5378" max="5378" width="6.7109375" style="2139" customWidth="1"/>
    <col min="5379" max="5379" width="8.85546875" style="2139" customWidth="1"/>
    <col min="5380" max="5380" width="47.85546875" style="2139" customWidth="1"/>
    <col min="5381" max="5381" width="12.85546875" style="2139" customWidth="1"/>
    <col min="5382" max="5382" width="15.5703125" style="2139" customWidth="1"/>
    <col min="5383" max="5383" width="15.85546875" style="2139" customWidth="1"/>
    <col min="5384" max="5384" width="6.42578125" style="2139" customWidth="1"/>
    <col min="5385" max="5386" width="9.140625" style="2139"/>
    <col min="5387" max="5388" width="14.7109375" style="2139" bestFit="1" customWidth="1"/>
    <col min="5389" max="5632" width="9.140625" style="2139"/>
    <col min="5633" max="5633" width="5.5703125" style="2139" customWidth="1"/>
    <col min="5634" max="5634" width="6.7109375" style="2139" customWidth="1"/>
    <col min="5635" max="5635" width="8.85546875" style="2139" customWidth="1"/>
    <col min="5636" max="5636" width="47.85546875" style="2139" customWidth="1"/>
    <col min="5637" max="5637" width="12.85546875" style="2139" customWidth="1"/>
    <col min="5638" max="5638" width="15.5703125" style="2139" customWidth="1"/>
    <col min="5639" max="5639" width="15.85546875" style="2139" customWidth="1"/>
    <col min="5640" max="5640" width="6.42578125" style="2139" customWidth="1"/>
    <col min="5641" max="5642" width="9.140625" style="2139"/>
    <col min="5643" max="5644" width="14.7109375" style="2139" bestFit="1" customWidth="1"/>
    <col min="5645" max="5888" width="9.140625" style="2139"/>
    <col min="5889" max="5889" width="5.5703125" style="2139" customWidth="1"/>
    <col min="5890" max="5890" width="6.7109375" style="2139" customWidth="1"/>
    <col min="5891" max="5891" width="8.85546875" style="2139" customWidth="1"/>
    <col min="5892" max="5892" width="47.85546875" style="2139" customWidth="1"/>
    <col min="5893" max="5893" width="12.85546875" style="2139" customWidth="1"/>
    <col min="5894" max="5894" width="15.5703125" style="2139" customWidth="1"/>
    <col min="5895" max="5895" width="15.85546875" style="2139" customWidth="1"/>
    <col min="5896" max="5896" width="6.42578125" style="2139" customWidth="1"/>
    <col min="5897" max="5898" width="9.140625" style="2139"/>
    <col min="5899" max="5900" width="14.7109375" style="2139" bestFit="1" customWidth="1"/>
    <col min="5901" max="6144" width="9.140625" style="2139"/>
    <col min="6145" max="6145" width="5.5703125" style="2139" customWidth="1"/>
    <col min="6146" max="6146" width="6.7109375" style="2139" customWidth="1"/>
    <col min="6147" max="6147" width="8.85546875" style="2139" customWidth="1"/>
    <col min="6148" max="6148" width="47.85546875" style="2139" customWidth="1"/>
    <col min="6149" max="6149" width="12.85546875" style="2139" customWidth="1"/>
    <col min="6150" max="6150" width="15.5703125" style="2139" customWidth="1"/>
    <col min="6151" max="6151" width="15.85546875" style="2139" customWidth="1"/>
    <col min="6152" max="6152" width="6.42578125" style="2139" customWidth="1"/>
    <col min="6153" max="6154" width="9.140625" style="2139"/>
    <col min="6155" max="6156" width="14.7109375" style="2139" bestFit="1" customWidth="1"/>
    <col min="6157" max="6400" width="9.140625" style="2139"/>
    <col min="6401" max="6401" width="5.5703125" style="2139" customWidth="1"/>
    <col min="6402" max="6402" width="6.7109375" style="2139" customWidth="1"/>
    <col min="6403" max="6403" width="8.85546875" style="2139" customWidth="1"/>
    <col min="6404" max="6404" width="47.85546875" style="2139" customWidth="1"/>
    <col min="6405" max="6405" width="12.85546875" style="2139" customWidth="1"/>
    <col min="6406" max="6406" width="15.5703125" style="2139" customWidth="1"/>
    <col min="6407" max="6407" width="15.85546875" style="2139" customWidth="1"/>
    <col min="6408" max="6408" width="6.42578125" style="2139" customWidth="1"/>
    <col min="6409" max="6410" width="9.140625" style="2139"/>
    <col min="6411" max="6412" width="14.7109375" style="2139" bestFit="1" customWidth="1"/>
    <col min="6413" max="6656" width="9.140625" style="2139"/>
    <col min="6657" max="6657" width="5.5703125" style="2139" customWidth="1"/>
    <col min="6658" max="6658" width="6.7109375" style="2139" customWidth="1"/>
    <col min="6659" max="6659" width="8.85546875" style="2139" customWidth="1"/>
    <col min="6660" max="6660" width="47.85546875" style="2139" customWidth="1"/>
    <col min="6661" max="6661" width="12.85546875" style="2139" customWidth="1"/>
    <col min="6662" max="6662" width="15.5703125" style="2139" customWidth="1"/>
    <col min="6663" max="6663" width="15.85546875" style="2139" customWidth="1"/>
    <col min="6664" max="6664" width="6.42578125" style="2139" customWidth="1"/>
    <col min="6665" max="6666" width="9.140625" style="2139"/>
    <col min="6667" max="6668" width="14.7109375" style="2139" bestFit="1" customWidth="1"/>
    <col min="6669" max="6912" width="9.140625" style="2139"/>
    <col min="6913" max="6913" width="5.5703125" style="2139" customWidth="1"/>
    <col min="6914" max="6914" width="6.7109375" style="2139" customWidth="1"/>
    <col min="6915" max="6915" width="8.85546875" style="2139" customWidth="1"/>
    <col min="6916" max="6916" width="47.85546875" style="2139" customWidth="1"/>
    <col min="6917" max="6917" width="12.85546875" style="2139" customWidth="1"/>
    <col min="6918" max="6918" width="15.5703125" style="2139" customWidth="1"/>
    <col min="6919" max="6919" width="15.85546875" style="2139" customWidth="1"/>
    <col min="6920" max="6920" width="6.42578125" style="2139" customWidth="1"/>
    <col min="6921" max="6922" width="9.140625" style="2139"/>
    <col min="6923" max="6924" width="14.7109375" style="2139" bestFit="1" customWidth="1"/>
    <col min="6925" max="7168" width="9.140625" style="2139"/>
    <col min="7169" max="7169" width="5.5703125" style="2139" customWidth="1"/>
    <col min="7170" max="7170" width="6.7109375" style="2139" customWidth="1"/>
    <col min="7171" max="7171" width="8.85546875" style="2139" customWidth="1"/>
    <col min="7172" max="7172" width="47.85546875" style="2139" customWidth="1"/>
    <col min="7173" max="7173" width="12.85546875" style="2139" customWidth="1"/>
    <col min="7174" max="7174" width="15.5703125" style="2139" customWidth="1"/>
    <col min="7175" max="7175" width="15.85546875" style="2139" customWidth="1"/>
    <col min="7176" max="7176" width="6.42578125" style="2139" customWidth="1"/>
    <col min="7177" max="7178" width="9.140625" style="2139"/>
    <col min="7179" max="7180" width="14.7109375" style="2139" bestFit="1" customWidth="1"/>
    <col min="7181" max="7424" width="9.140625" style="2139"/>
    <col min="7425" max="7425" width="5.5703125" style="2139" customWidth="1"/>
    <col min="7426" max="7426" width="6.7109375" style="2139" customWidth="1"/>
    <col min="7427" max="7427" width="8.85546875" style="2139" customWidth="1"/>
    <col min="7428" max="7428" width="47.85546875" style="2139" customWidth="1"/>
    <col min="7429" max="7429" width="12.85546875" style="2139" customWidth="1"/>
    <col min="7430" max="7430" width="15.5703125" style="2139" customWidth="1"/>
    <col min="7431" max="7431" width="15.85546875" style="2139" customWidth="1"/>
    <col min="7432" max="7432" width="6.42578125" style="2139" customWidth="1"/>
    <col min="7433" max="7434" width="9.140625" style="2139"/>
    <col min="7435" max="7436" width="14.7109375" style="2139" bestFit="1" customWidth="1"/>
    <col min="7437" max="7680" width="9.140625" style="2139"/>
    <col min="7681" max="7681" width="5.5703125" style="2139" customWidth="1"/>
    <col min="7682" max="7682" width="6.7109375" style="2139" customWidth="1"/>
    <col min="7683" max="7683" width="8.85546875" style="2139" customWidth="1"/>
    <col min="7684" max="7684" width="47.85546875" style="2139" customWidth="1"/>
    <col min="7685" max="7685" width="12.85546875" style="2139" customWidth="1"/>
    <col min="7686" max="7686" width="15.5703125" style="2139" customWidth="1"/>
    <col min="7687" max="7687" width="15.85546875" style="2139" customWidth="1"/>
    <col min="7688" max="7688" width="6.42578125" style="2139" customWidth="1"/>
    <col min="7689" max="7690" width="9.140625" style="2139"/>
    <col min="7691" max="7692" width="14.7109375" style="2139" bestFit="1" customWidth="1"/>
    <col min="7693" max="7936" width="9.140625" style="2139"/>
    <col min="7937" max="7937" width="5.5703125" style="2139" customWidth="1"/>
    <col min="7938" max="7938" width="6.7109375" style="2139" customWidth="1"/>
    <col min="7939" max="7939" width="8.85546875" style="2139" customWidth="1"/>
    <col min="7940" max="7940" width="47.85546875" style="2139" customWidth="1"/>
    <col min="7941" max="7941" width="12.85546875" style="2139" customWidth="1"/>
    <col min="7942" max="7942" width="15.5703125" style="2139" customWidth="1"/>
    <col min="7943" max="7943" width="15.85546875" style="2139" customWidth="1"/>
    <col min="7944" max="7944" width="6.42578125" style="2139" customWidth="1"/>
    <col min="7945" max="7946" width="9.140625" style="2139"/>
    <col min="7947" max="7948" width="14.7109375" style="2139" bestFit="1" customWidth="1"/>
    <col min="7949" max="8192" width="9.140625" style="2139"/>
    <col min="8193" max="8193" width="5.5703125" style="2139" customWidth="1"/>
    <col min="8194" max="8194" width="6.7109375" style="2139" customWidth="1"/>
    <col min="8195" max="8195" width="8.85546875" style="2139" customWidth="1"/>
    <col min="8196" max="8196" width="47.85546875" style="2139" customWidth="1"/>
    <col min="8197" max="8197" width="12.85546875" style="2139" customWidth="1"/>
    <col min="8198" max="8198" width="15.5703125" style="2139" customWidth="1"/>
    <col min="8199" max="8199" width="15.85546875" style="2139" customWidth="1"/>
    <col min="8200" max="8200" width="6.42578125" style="2139" customWidth="1"/>
    <col min="8201" max="8202" width="9.140625" style="2139"/>
    <col min="8203" max="8204" width="14.7109375" style="2139" bestFit="1" customWidth="1"/>
    <col min="8205" max="8448" width="9.140625" style="2139"/>
    <col min="8449" max="8449" width="5.5703125" style="2139" customWidth="1"/>
    <col min="8450" max="8450" width="6.7109375" style="2139" customWidth="1"/>
    <col min="8451" max="8451" width="8.85546875" style="2139" customWidth="1"/>
    <col min="8452" max="8452" width="47.85546875" style="2139" customWidth="1"/>
    <col min="8453" max="8453" width="12.85546875" style="2139" customWidth="1"/>
    <col min="8454" max="8454" width="15.5703125" style="2139" customWidth="1"/>
    <col min="8455" max="8455" width="15.85546875" style="2139" customWidth="1"/>
    <col min="8456" max="8456" width="6.42578125" style="2139" customWidth="1"/>
    <col min="8457" max="8458" width="9.140625" style="2139"/>
    <col min="8459" max="8460" width="14.7109375" style="2139" bestFit="1" customWidth="1"/>
    <col min="8461" max="8704" width="9.140625" style="2139"/>
    <col min="8705" max="8705" width="5.5703125" style="2139" customWidth="1"/>
    <col min="8706" max="8706" width="6.7109375" style="2139" customWidth="1"/>
    <col min="8707" max="8707" width="8.85546875" style="2139" customWidth="1"/>
    <col min="8708" max="8708" width="47.85546875" style="2139" customWidth="1"/>
    <col min="8709" max="8709" width="12.85546875" style="2139" customWidth="1"/>
    <col min="8710" max="8710" width="15.5703125" style="2139" customWidth="1"/>
    <col min="8711" max="8711" width="15.85546875" style="2139" customWidth="1"/>
    <col min="8712" max="8712" width="6.42578125" style="2139" customWidth="1"/>
    <col min="8713" max="8714" width="9.140625" style="2139"/>
    <col min="8715" max="8716" width="14.7109375" style="2139" bestFit="1" customWidth="1"/>
    <col min="8717" max="8960" width="9.140625" style="2139"/>
    <col min="8961" max="8961" width="5.5703125" style="2139" customWidth="1"/>
    <col min="8962" max="8962" width="6.7109375" style="2139" customWidth="1"/>
    <col min="8963" max="8963" width="8.85546875" style="2139" customWidth="1"/>
    <col min="8964" max="8964" width="47.85546875" style="2139" customWidth="1"/>
    <col min="8965" max="8965" width="12.85546875" style="2139" customWidth="1"/>
    <col min="8966" max="8966" width="15.5703125" style="2139" customWidth="1"/>
    <col min="8967" max="8967" width="15.85546875" style="2139" customWidth="1"/>
    <col min="8968" max="8968" width="6.42578125" style="2139" customWidth="1"/>
    <col min="8969" max="8970" width="9.140625" style="2139"/>
    <col min="8971" max="8972" width="14.7109375" style="2139" bestFit="1" customWidth="1"/>
    <col min="8973" max="9216" width="9.140625" style="2139"/>
    <col min="9217" max="9217" width="5.5703125" style="2139" customWidth="1"/>
    <col min="9218" max="9218" width="6.7109375" style="2139" customWidth="1"/>
    <col min="9219" max="9219" width="8.85546875" style="2139" customWidth="1"/>
    <col min="9220" max="9220" width="47.85546875" style="2139" customWidth="1"/>
    <col min="9221" max="9221" width="12.85546875" style="2139" customWidth="1"/>
    <col min="9222" max="9222" width="15.5703125" style="2139" customWidth="1"/>
    <col min="9223" max="9223" width="15.85546875" style="2139" customWidth="1"/>
    <col min="9224" max="9224" width="6.42578125" style="2139" customWidth="1"/>
    <col min="9225" max="9226" width="9.140625" style="2139"/>
    <col min="9227" max="9228" width="14.7109375" style="2139" bestFit="1" customWidth="1"/>
    <col min="9229" max="9472" width="9.140625" style="2139"/>
    <col min="9473" max="9473" width="5.5703125" style="2139" customWidth="1"/>
    <col min="9474" max="9474" width="6.7109375" style="2139" customWidth="1"/>
    <col min="9475" max="9475" width="8.85546875" style="2139" customWidth="1"/>
    <col min="9476" max="9476" width="47.85546875" style="2139" customWidth="1"/>
    <col min="9477" max="9477" width="12.85546875" style="2139" customWidth="1"/>
    <col min="9478" max="9478" width="15.5703125" style="2139" customWidth="1"/>
    <col min="9479" max="9479" width="15.85546875" style="2139" customWidth="1"/>
    <col min="9480" max="9480" width="6.42578125" style="2139" customWidth="1"/>
    <col min="9481" max="9482" width="9.140625" style="2139"/>
    <col min="9483" max="9484" width="14.7109375" style="2139" bestFit="1" customWidth="1"/>
    <col min="9485" max="9728" width="9.140625" style="2139"/>
    <col min="9729" max="9729" width="5.5703125" style="2139" customWidth="1"/>
    <col min="9730" max="9730" width="6.7109375" style="2139" customWidth="1"/>
    <col min="9731" max="9731" width="8.85546875" style="2139" customWidth="1"/>
    <col min="9732" max="9732" width="47.85546875" style="2139" customWidth="1"/>
    <col min="9733" max="9733" width="12.85546875" style="2139" customWidth="1"/>
    <col min="9734" max="9734" width="15.5703125" style="2139" customWidth="1"/>
    <col min="9735" max="9735" width="15.85546875" style="2139" customWidth="1"/>
    <col min="9736" max="9736" width="6.42578125" style="2139" customWidth="1"/>
    <col min="9737" max="9738" width="9.140625" style="2139"/>
    <col min="9739" max="9740" width="14.7109375" style="2139" bestFit="1" customWidth="1"/>
    <col min="9741" max="9984" width="9.140625" style="2139"/>
    <col min="9985" max="9985" width="5.5703125" style="2139" customWidth="1"/>
    <col min="9986" max="9986" width="6.7109375" style="2139" customWidth="1"/>
    <col min="9987" max="9987" width="8.85546875" style="2139" customWidth="1"/>
    <col min="9988" max="9988" width="47.85546875" style="2139" customWidth="1"/>
    <col min="9989" max="9989" width="12.85546875" style="2139" customWidth="1"/>
    <col min="9990" max="9990" width="15.5703125" style="2139" customWidth="1"/>
    <col min="9991" max="9991" width="15.85546875" style="2139" customWidth="1"/>
    <col min="9992" max="9992" width="6.42578125" style="2139" customWidth="1"/>
    <col min="9993" max="9994" width="9.140625" style="2139"/>
    <col min="9995" max="9996" width="14.7109375" style="2139" bestFit="1" customWidth="1"/>
    <col min="9997" max="10240" width="9.140625" style="2139"/>
    <col min="10241" max="10241" width="5.5703125" style="2139" customWidth="1"/>
    <col min="10242" max="10242" width="6.7109375" style="2139" customWidth="1"/>
    <col min="10243" max="10243" width="8.85546875" style="2139" customWidth="1"/>
    <col min="10244" max="10244" width="47.85546875" style="2139" customWidth="1"/>
    <col min="10245" max="10245" width="12.85546875" style="2139" customWidth="1"/>
    <col min="10246" max="10246" width="15.5703125" style="2139" customWidth="1"/>
    <col min="10247" max="10247" width="15.85546875" style="2139" customWidth="1"/>
    <col min="10248" max="10248" width="6.42578125" style="2139" customWidth="1"/>
    <col min="10249" max="10250" width="9.140625" style="2139"/>
    <col min="10251" max="10252" width="14.7109375" style="2139" bestFit="1" customWidth="1"/>
    <col min="10253" max="10496" width="9.140625" style="2139"/>
    <col min="10497" max="10497" width="5.5703125" style="2139" customWidth="1"/>
    <col min="10498" max="10498" width="6.7109375" style="2139" customWidth="1"/>
    <col min="10499" max="10499" width="8.85546875" style="2139" customWidth="1"/>
    <col min="10500" max="10500" width="47.85546875" style="2139" customWidth="1"/>
    <col min="10501" max="10501" width="12.85546875" style="2139" customWidth="1"/>
    <col min="10502" max="10502" width="15.5703125" style="2139" customWidth="1"/>
    <col min="10503" max="10503" width="15.85546875" style="2139" customWidth="1"/>
    <col min="10504" max="10504" width="6.42578125" style="2139" customWidth="1"/>
    <col min="10505" max="10506" width="9.140625" style="2139"/>
    <col min="10507" max="10508" width="14.7109375" style="2139" bestFit="1" customWidth="1"/>
    <col min="10509" max="10752" width="9.140625" style="2139"/>
    <col min="10753" max="10753" width="5.5703125" style="2139" customWidth="1"/>
    <col min="10754" max="10754" width="6.7109375" style="2139" customWidth="1"/>
    <col min="10755" max="10755" width="8.85546875" style="2139" customWidth="1"/>
    <col min="10756" max="10756" width="47.85546875" style="2139" customWidth="1"/>
    <col min="10757" max="10757" width="12.85546875" style="2139" customWidth="1"/>
    <col min="10758" max="10758" width="15.5703125" style="2139" customWidth="1"/>
    <col min="10759" max="10759" width="15.85546875" style="2139" customWidth="1"/>
    <col min="10760" max="10760" width="6.42578125" style="2139" customWidth="1"/>
    <col min="10761" max="10762" width="9.140625" style="2139"/>
    <col min="10763" max="10764" width="14.7109375" style="2139" bestFit="1" customWidth="1"/>
    <col min="10765" max="11008" width="9.140625" style="2139"/>
    <col min="11009" max="11009" width="5.5703125" style="2139" customWidth="1"/>
    <col min="11010" max="11010" width="6.7109375" style="2139" customWidth="1"/>
    <col min="11011" max="11011" width="8.85546875" style="2139" customWidth="1"/>
    <col min="11012" max="11012" width="47.85546875" style="2139" customWidth="1"/>
    <col min="11013" max="11013" width="12.85546875" style="2139" customWidth="1"/>
    <col min="11014" max="11014" width="15.5703125" style="2139" customWidth="1"/>
    <col min="11015" max="11015" width="15.85546875" style="2139" customWidth="1"/>
    <col min="11016" max="11016" width="6.42578125" style="2139" customWidth="1"/>
    <col min="11017" max="11018" width="9.140625" style="2139"/>
    <col min="11019" max="11020" width="14.7109375" style="2139" bestFit="1" customWidth="1"/>
    <col min="11021" max="11264" width="9.140625" style="2139"/>
    <col min="11265" max="11265" width="5.5703125" style="2139" customWidth="1"/>
    <col min="11266" max="11266" width="6.7109375" style="2139" customWidth="1"/>
    <col min="11267" max="11267" width="8.85546875" style="2139" customWidth="1"/>
    <col min="11268" max="11268" width="47.85546875" style="2139" customWidth="1"/>
    <col min="11269" max="11269" width="12.85546875" style="2139" customWidth="1"/>
    <col min="11270" max="11270" width="15.5703125" style="2139" customWidth="1"/>
    <col min="11271" max="11271" width="15.85546875" style="2139" customWidth="1"/>
    <col min="11272" max="11272" width="6.42578125" style="2139" customWidth="1"/>
    <col min="11273" max="11274" width="9.140625" style="2139"/>
    <col min="11275" max="11276" width="14.7109375" style="2139" bestFit="1" customWidth="1"/>
    <col min="11277" max="11520" width="9.140625" style="2139"/>
    <col min="11521" max="11521" width="5.5703125" style="2139" customWidth="1"/>
    <col min="11522" max="11522" width="6.7109375" style="2139" customWidth="1"/>
    <col min="11523" max="11523" width="8.85546875" style="2139" customWidth="1"/>
    <col min="11524" max="11524" width="47.85546875" style="2139" customWidth="1"/>
    <col min="11525" max="11525" width="12.85546875" style="2139" customWidth="1"/>
    <col min="11526" max="11526" width="15.5703125" style="2139" customWidth="1"/>
    <col min="11527" max="11527" width="15.85546875" style="2139" customWidth="1"/>
    <col min="11528" max="11528" width="6.42578125" style="2139" customWidth="1"/>
    <col min="11529" max="11530" width="9.140625" style="2139"/>
    <col min="11531" max="11532" width="14.7109375" style="2139" bestFit="1" customWidth="1"/>
    <col min="11533" max="11776" width="9.140625" style="2139"/>
    <col min="11777" max="11777" width="5.5703125" style="2139" customWidth="1"/>
    <col min="11778" max="11778" width="6.7109375" style="2139" customWidth="1"/>
    <col min="11779" max="11779" width="8.85546875" style="2139" customWidth="1"/>
    <col min="11780" max="11780" width="47.85546875" style="2139" customWidth="1"/>
    <col min="11781" max="11781" width="12.85546875" style="2139" customWidth="1"/>
    <col min="11782" max="11782" width="15.5703125" style="2139" customWidth="1"/>
    <col min="11783" max="11783" width="15.85546875" style="2139" customWidth="1"/>
    <col min="11784" max="11784" width="6.42578125" style="2139" customWidth="1"/>
    <col min="11785" max="11786" width="9.140625" style="2139"/>
    <col min="11787" max="11788" width="14.7109375" style="2139" bestFit="1" customWidth="1"/>
    <col min="11789" max="12032" width="9.140625" style="2139"/>
    <col min="12033" max="12033" width="5.5703125" style="2139" customWidth="1"/>
    <col min="12034" max="12034" width="6.7109375" style="2139" customWidth="1"/>
    <col min="12035" max="12035" width="8.85546875" style="2139" customWidth="1"/>
    <col min="12036" max="12036" width="47.85546875" style="2139" customWidth="1"/>
    <col min="12037" max="12037" width="12.85546875" style="2139" customWidth="1"/>
    <col min="12038" max="12038" width="15.5703125" style="2139" customWidth="1"/>
    <col min="12039" max="12039" width="15.85546875" style="2139" customWidth="1"/>
    <col min="12040" max="12040" width="6.42578125" style="2139" customWidth="1"/>
    <col min="12041" max="12042" width="9.140625" style="2139"/>
    <col min="12043" max="12044" width="14.7109375" style="2139" bestFit="1" customWidth="1"/>
    <col min="12045" max="12288" width="9.140625" style="2139"/>
    <col min="12289" max="12289" width="5.5703125" style="2139" customWidth="1"/>
    <col min="12290" max="12290" width="6.7109375" style="2139" customWidth="1"/>
    <col min="12291" max="12291" width="8.85546875" style="2139" customWidth="1"/>
    <col min="12292" max="12292" width="47.85546875" style="2139" customWidth="1"/>
    <col min="12293" max="12293" width="12.85546875" style="2139" customWidth="1"/>
    <col min="12294" max="12294" width="15.5703125" style="2139" customWidth="1"/>
    <col min="12295" max="12295" width="15.85546875" style="2139" customWidth="1"/>
    <col min="12296" max="12296" width="6.42578125" style="2139" customWidth="1"/>
    <col min="12297" max="12298" width="9.140625" style="2139"/>
    <col min="12299" max="12300" width="14.7109375" style="2139" bestFit="1" customWidth="1"/>
    <col min="12301" max="12544" width="9.140625" style="2139"/>
    <col min="12545" max="12545" width="5.5703125" style="2139" customWidth="1"/>
    <col min="12546" max="12546" width="6.7109375" style="2139" customWidth="1"/>
    <col min="12547" max="12547" width="8.85546875" style="2139" customWidth="1"/>
    <col min="12548" max="12548" width="47.85546875" style="2139" customWidth="1"/>
    <col min="12549" max="12549" width="12.85546875" style="2139" customWidth="1"/>
    <col min="12550" max="12550" width="15.5703125" style="2139" customWidth="1"/>
    <col min="12551" max="12551" width="15.85546875" style="2139" customWidth="1"/>
    <col min="12552" max="12552" width="6.42578125" style="2139" customWidth="1"/>
    <col min="12553" max="12554" width="9.140625" style="2139"/>
    <col min="12555" max="12556" width="14.7109375" style="2139" bestFit="1" customWidth="1"/>
    <col min="12557" max="12800" width="9.140625" style="2139"/>
    <col min="12801" max="12801" width="5.5703125" style="2139" customWidth="1"/>
    <col min="12802" max="12802" width="6.7109375" style="2139" customWidth="1"/>
    <col min="12803" max="12803" width="8.85546875" style="2139" customWidth="1"/>
    <col min="12804" max="12804" width="47.85546875" style="2139" customWidth="1"/>
    <col min="12805" max="12805" width="12.85546875" style="2139" customWidth="1"/>
    <col min="12806" max="12806" width="15.5703125" style="2139" customWidth="1"/>
    <col min="12807" max="12807" width="15.85546875" style="2139" customWidth="1"/>
    <col min="12808" max="12808" width="6.42578125" style="2139" customWidth="1"/>
    <col min="12809" max="12810" width="9.140625" style="2139"/>
    <col min="12811" max="12812" width="14.7109375" style="2139" bestFit="1" customWidth="1"/>
    <col min="12813" max="13056" width="9.140625" style="2139"/>
    <col min="13057" max="13057" width="5.5703125" style="2139" customWidth="1"/>
    <col min="13058" max="13058" width="6.7109375" style="2139" customWidth="1"/>
    <col min="13059" max="13059" width="8.85546875" style="2139" customWidth="1"/>
    <col min="13060" max="13060" width="47.85546875" style="2139" customWidth="1"/>
    <col min="13061" max="13061" width="12.85546875" style="2139" customWidth="1"/>
    <col min="13062" max="13062" width="15.5703125" style="2139" customWidth="1"/>
    <col min="13063" max="13063" width="15.85546875" style="2139" customWidth="1"/>
    <col min="13064" max="13064" width="6.42578125" style="2139" customWidth="1"/>
    <col min="13065" max="13066" width="9.140625" style="2139"/>
    <col min="13067" max="13068" width="14.7109375" style="2139" bestFit="1" customWidth="1"/>
    <col min="13069" max="13312" width="9.140625" style="2139"/>
    <col min="13313" max="13313" width="5.5703125" style="2139" customWidth="1"/>
    <col min="13314" max="13314" width="6.7109375" style="2139" customWidth="1"/>
    <col min="13315" max="13315" width="8.85546875" style="2139" customWidth="1"/>
    <col min="13316" max="13316" width="47.85546875" style="2139" customWidth="1"/>
    <col min="13317" max="13317" width="12.85546875" style="2139" customWidth="1"/>
    <col min="13318" max="13318" width="15.5703125" style="2139" customWidth="1"/>
    <col min="13319" max="13319" width="15.85546875" style="2139" customWidth="1"/>
    <col min="13320" max="13320" width="6.42578125" style="2139" customWidth="1"/>
    <col min="13321" max="13322" width="9.140625" style="2139"/>
    <col min="13323" max="13324" width="14.7109375" style="2139" bestFit="1" customWidth="1"/>
    <col min="13325" max="13568" width="9.140625" style="2139"/>
    <col min="13569" max="13569" width="5.5703125" style="2139" customWidth="1"/>
    <col min="13570" max="13570" width="6.7109375" style="2139" customWidth="1"/>
    <col min="13571" max="13571" width="8.85546875" style="2139" customWidth="1"/>
    <col min="13572" max="13572" width="47.85546875" style="2139" customWidth="1"/>
    <col min="13573" max="13573" width="12.85546875" style="2139" customWidth="1"/>
    <col min="13574" max="13574" width="15.5703125" style="2139" customWidth="1"/>
    <col min="13575" max="13575" width="15.85546875" style="2139" customWidth="1"/>
    <col min="13576" max="13576" width="6.42578125" style="2139" customWidth="1"/>
    <col min="13577" max="13578" width="9.140625" style="2139"/>
    <col min="13579" max="13580" width="14.7109375" style="2139" bestFit="1" customWidth="1"/>
    <col min="13581" max="13824" width="9.140625" style="2139"/>
    <col min="13825" max="13825" width="5.5703125" style="2139" customWidth="1"/>
    <col min="13826" max="13826" width="6.7109375" style="2139" customWidth="1"/>
    <col min="13827" max="13827" width="8.85546875" style="2139" customWidth="1"/>
    <col min="13828" max="13828" width="47.85546875" style="2139" customWidth="1"/>
    <col min="13829" max="13829" width="12.85546875" style="2139" customWidth="1"/>
    <col min="13830" max="13830" width="15.5703125" style="2139" customWidth="1"/>
    <col min="13831" max="13831" width="15.85546875" style="2139" customWidth="1"/>
    <col min="13832" max="13832" width="6.42578125" style="2139" customWidth="1"/>
    <col min="13833" max="13834" width="9.140625" style="2139"/>
    <col min="13835" max="13836" width="14.7109375" style="2139" bestFit="1" customWidth="1"/>
    <col min="13837" max="14080" width="9.140625" style="2139"/>
    <col min="14081" max="14081" width="5.5703125" style="2139" customWidth="1"/>
    <col min="14082" max="14082" width="6.7109375" style="2139" customWidth="1"/>
    <col min="14083" max="14083" width="8.85546875" style="2139" customWidth="1"/>
    <col min="14084" max="14084" width="47.85546875" style="2139" customWidth="1"/>
    <col min="14085" max="14085" width="12.85546875" style="2139" customWidth="1"/>
    <col min="14086" max="14086" width="15.5703125" style="2139" customWidth="1"/>
    <col min="14087" max="14087" width="15.85546875" style="2139" customWidth="1"/>
    <col min="14088" max="14088" width="6.42578125" style="2139" customWidth="1"/>
    <col min="14089" max="14090" width="9.140625" style="2139"/>
    <col min="14091" max="14092" width="14.7109375" style="2139" bestFit="1" customWidth="1"/>
    <col min="14093" max="14336" width="9.140625" style="2139"/>
    <col min="14337" max="14337" width="5.5703125" style="2139" customWidth="1"/>
    <col min="14338" max="14338" width="6.7109375" style="2139" customWidth="1"/>
    <col min="14339" max="14339" width="8.85546875" style="2139" customWidth="1"/>
    <col min="14340" max="14340" width="47.85546875" style="2139" customWidth="1"/>
    <col min="14341" max="14341" width="12.85546875" style="2139" customWidth="1"/>
    <col min="14342" max="14342" width="15.5703125" style="2139" customWidth="1"/>
    <col min="14343" max="14343" width="15.85546875" style="2139" customWidth="1"/>
    <col min="14344" max="14344" width="6.42578125" style="2139" customWidth="1"/>
    <col min="14345" max="14346" width="9.140625" style="2139"/>
    <col min="14347" max="14348" width="14.7109375" style="2139" bestFit="1" customWidth="1"/>
    <col min="14349" max="14592" width="9.140625" style="2139"/>
    <col min="14593" max="14593" width="5.5703125" style="2139" customWidth="1"/>
    <col min="14594" max="14594" width="6.7109375" style="2139" customWidth="1"/>
    <col min="14595" max="14595" width="8.85546875" style="2139" customWidth="1"/>
    <col min="14596" max="14596" width="47.85546875" style="2139" customWidth="1"/>
    <col min="14597" max="14597" width="12.85546875" style="2139" customWidth="1"/>
    <col min="14598" max="14598" width="15.5703125" style="2139" customWidth="1"/>
    <col min="14599" max="14599" width="15.85546875" style="2139" customWidth="1"/>
    <col min="14600" max="14600" width="6.42578125" style="2139" customWidth="1"/>
    <col min="14601" max="14602" width="9.140625" style="2139"/>
    <col min="14603" max="14604" width="14.7109375" style="2139" bestFit="1" customWidth="1"/>
    <col min="14605" max="14848" width="9.140625" style="2139"/>
    <col min="14849" max="14849" width="5.5703125" style="2139" customWidth="1"/>
    <col min="14850" max="14850" width="6.7109375" style="2139" customWidth="1"/>
    <col min="14851" max="14851" width="8.85546875" style="2139" customWidth="1"/>
    <col min="14852" max="14852" width="47.85546875" style="2139" customWidth="1"/>
    <col min="14853" max="14853" width="12.85546875" style="2139" customWidth="1"/>
    <col min="14854" max="14854" width="15.5703125" style="2139" customWidth="1"/>
    <col min="14855" max="14855" width="15.85546875" style="2139" customWidth="1"/>
    <col min="14856" max="14856" width="6.42578125" style="2139" customWidth="1"/>
    <col min="14857" max="14858" width="9.140625" style="2139"/>
    <col min="14859" max="14860" width="14.7109375" style="2139" bestFit="1" customWidth="1"/>
    <col min="14861" max="15104" width="9.140625" style="2139"/>
    <col min="15105" max="15105" width="5.5703125" style="2139" customWidth="1"/>
    <col min="15106" max="15106" width="6.7109375" style="2139" customWidth="1"/>
    <col min="15107" max="15107" width="8.85546875" style="2139" customWidth="1"/>
    <col min="15108" max="15108" width="47.85546875" style="2139" customWidth="1"/>
    <col min="15109" max="15109" width="12.85546875" style="2139" customWidth="1"/>
    <col min="15110" max="15110" width="15.5703125" style="2139" customWidth="1"/>
    <col min="15111" max="15111" width="15.85546875" style="2139" customWidth="1"/>
    <col min="15112" max="15112" width="6.42578125" style="2139" customWidth="1"/>
    <col min="15113" max="15114" width="9.140625" style="2139"/>
    <col min="15115" max="15116" width="14.7109375" style="2139" bestFit="1" customWidth="1"/>
    <col min="15117" max="15360" width="9.140625" style="2139"/>
    <col min="15361" max="15361" width="5.5703125" style="2139" customWidth="1"/>
    <col min="15362" max="15362" width="6.7109375" style="2139" customWidth="1"/>
    <col min="15363" max="15363" width="8.85546875" style="2139" customWidth="1"/>
    <col min="15364" max="15364" width="47.85546875" style="2139" customWidth="1"/>
    <col min="15365" max="15365" width="12.85546875" style="2139" customWidth="1"/>
    <col min="15366" max="15366" width="15.5703125" style="2139" customWidth="1"/>
    <col min="15367" max="15367" width="15.85546875" style="2139" customWidth="1"/>
    <col min="15368" max="15368" width="6.42578125" style="2139" customWidth="1"/>
    <col min="15369" max="15370" width="9.140625" style="2139"/>
    <col min="15371" max="15372" width="14.7109375" style="2139" bestFit="1" customWidth="1"/>
    <col min="15373" max="15616" width="9.140625" style="2139"/>
    <col min="15617" max="15617" width="5.5703125" style="2139" customWidth="1"/>
    <col min="15618" max="15618" width="6.7109375" style="2139" customWidth="1"/>
    <col min="15619" max="15619" width="8.85546875" style="2139" customWidth="1"/>
    <col min="15620" max="15620" width="47.85546875" style="2139" customWidth="1"/>
    <col min="15621" max="15621" width="12.85546875" style="2139" customWidth="1"/>
    <col min="15622" max="15622" width="15.5703125" style="2139" customWidth="1"/>
    <col min="15623" max="15623" width="15.85546875" style="2139" customWidth="1"/>
    <col min="15624" max="15624" width="6.42578125" style="2139" customWidth="1"/>
    <col min="15625" max="15626" width="9.140625" style="2139"/>
    <col min="15627" max="15628" width="14.7109375" style="2139" bestFit="1" customWidth="1"/>
    <col min="15629" max="15872" width="9.140625" style="2139"/>
    <col min="15873" max="15873" width="5.5703125" style="2139" customWidth="1"/>
    <col min="15874" max="15874" width="6.7109375" style="2139" customWidth="1"/>
    <col min="15875" max="15875" width="8.85546875" style="2139" customWidth="1"/>
    <col min="15876" max="15876" width="47.85546875" style="2139" customWidth="1"/>
    <col min="15877" max="15877" width="12.85546875" style="2139" customWidth="1"/>
    <col min="15878" max="15878" width="15.5703125" style="2139" customWidth="1"/>
    <col min="15879" max="15879" width="15.85546875" style="2139" customWidth="1"/>
    <col min="15880" max="15880" width="6.42578125" style="2139" customWidth="1"/>
    <col min="15881" max="15882" width="9.140625" style="2139"/>
    <col min="15883" max="15884" width="14.7109375" style="2139" bestFit="1" customWidth="1"/>
    <col min="15885" max="16128" width="9.140625" style="2139"/>
    <col min="16129" max="16129" width="5.5703125" style="2139" customWidth="1"/>
    <col min="16130" max="16130" width="6.7109375" style="2139" customWidth="1"/>
    <col min="16131" max="16131" width="8.85546875" style="2139" customWidth="1"/>
    <col min="16132" max="16132" width="47.85546875" style="2139" customWidth="1"/>
    <col min="16133" max="16133" width="12.85546875" style="2139" customWidth="1"/>
    <col min="16134" max="16134" width="15.5703125" style="2139" customWidth="1"/>
    <col min="16135" max="16135" width="15.85546875" style="2139" customWidth="1"/>
    <col min="16136" max="16136" width="6.42578125" style="2139" customWidth="1"/>
    <col min="16137" max="16138" width="9.140625" style="2139"/>
    <col min="16139" max="16140" width="14.7109375" style="2139" bestFit="1" customWidth="1"/>
    <col min="16141" max="16384" width="9.140625" style="2139"/>
  </cols>
  <sheetData>
    <row r="1" spans="1:9" ht="18.75" thickBot="1" x14ac:dyDescent="0.3">
      <c r="A1" s="2133" t="s">
        <v>1923</v>
      </c>
      <c r="B1" s="2134"/>
      <c r="C1" s="2135"/>
      <c r="D1" s="2136"/>
      <c r="E1" s="2137"/>
      <c r="F1" s="2136"/>
      <c r="G1" s="2138"/>
      <c r="H1" s="2133"/>
    </row>
    <row r="2" spans="1:9" ht="18" x14ac:dyDescent="0.25">
      <c r="A2" s="2140"/>
      <c r="B2" s="2141"/>
      <c r="C2" s="2141"/>
      <c r="D2" s="2141"/>
      <c r="E2" s="2141"/>
      <c r="F2" s="2141"/>
      <c r="G2" s="2141"/>
      <c r="H2" s="2142" t="s">
        <v>1924</v>
      </c>
    </row>
    <row r="3" spans="1:9" ht="18" x14ac:dyDescent="0.25">
      <c r="A3" s="2143" t="s">
        <v>387</v>
      </c>
      <c r="B3" s="2141"/>
      <c r="C3" s="2144" t="s">
        <v>229</v>
      </c>
      <c r="D3" s="2141"/>
      <c r="E3" s="2141"/>
      <c r="F3" s="2141"/>
      <c r="G3" s="2141"/>
      <c r="H3" s="2142"/>
    </row>
    <row r="4" spans="1:9" ht="18" x14ac:dyDescent="0.25">
      <c r="A4" s="2140"/>
      <c r="B4" s="2141"/>
      <c r="C4" s="2359" t="s">
        <v>486</v>
      </c>
      <c r="D4" s="2141"/>
      <c r="E4" s="2141"/>
      <c r="F4" s="2141"/>
      <c r="G4" s="2141"/>
      <c r="H4" s="2142"/>
    </row>
    <row r="5" spans="1:9" ht="18" x14ac:dyDescent="0.25">
      <c r="A5" s="2145" t="s">
        <v>1925</v>
      </c>
      <c r="B5" s="2141"/>
      <c r="C5" s="2141"/>
      <c r="D5" s="2141"/>
      <c r="E5" s="2141"/>
      <c r="F5" s="2141"/>
      <c r="G5" s="2141"/>
      <c r="H5" s="2142"/>
    </row>
    <row r="6" spans="1:9" x14ac:dyDescent="0.2">
      <c r="A6" s="2146"/>
      <c r="B6" s="2146"/>
      <c r="C6" s="2146"/>
      <c r="E6" s="2147"/>
      <c r="F6" s="2147"/>
      <c r="G6" s="2147"/>
    </row>
    <row r="7" spans="1:9" x14ac:dyDescent="0.2">
      <c r="A7" s="2146"/>
      <c r="B7" s="2146"/>
      <c r="C7" s="2146"/>
      <c r="E7" s="2147"/>
      <c r="F7" s="2147"/>
      <c r="G7" s="2147"/>
    </row>
    <row r="8" spans="1:9" s="2229" customFormat="1" ht="15" x14ac:dyDescent="0.25">
      <c r="A8" s="2212"/>
      <c r="B8" s="2212"/>
      <c r="C8" s="2212"/>
      <c r="D8" s="2212"/>
      <c r="E8" s="2213"/>
      <c r="F8" s="2213"/>
      <c r="G8" s="2213"/>
      <c r="H8" s="2214"/>
      <c r="I8" s="2228"/>
    </row>
    <row r="9" spans="1:9" ht="12" customHeight="1" x14ac:dyDescent="0.25">
      <c r="A9" s="2744" t="s">
        <v>1754</v>
      </c>
      <c r="B9" s="2745"/>
      <c r="C9" s="2745"/>
      <c r="D9" s="2745"/>
      <c r="E9" s="2745"/>
      <c r="F9" s="2745"/>
      <c r="G9" s="2745"/>
      <c r="H9" s="2745"/>
    </row>
    <row r="10" spans="1:9" ht="15.75" thickBot="1" x14ac:dyDescent="0.3">
      <c r="A10" s="2132" t="s">
        <v>1665</v>
      </c>
      <c r="B10" s="2146"/>
      <c r="C10" s="2146"/>
      <c r="E10" s="2147"/>
      <c r="F10" s="2147"/>
      <c r="G10" s="2147"/>
      <c r="H10" s="2148" t="s">
        <v>173</v>
      </c>
    </row>
    <row r="11" spans="1:9" ht="25.5" thickTop="1" thickBot="1" x14ac:dyDescent="0.25">
      <c r="A11" s="1943" t="s">
        <v>174</v>
      </c>
      <c r="B11" s="1944" t="s">
        <v>800</v>
      </c>
      <c r="C11" s="1944" t="s">
        <v>397</v>
      </c>
      <c r="D11" s="1945" t="s">
        <v>176</v>
      </c>
      <c r="E11" s="1976" t="s">
        <v>669</v>
      </c>
      <c r="F11" s="1976" t="s">
        <v>670</v>
      </c>
      <c r="G11" s="1977" t="s">
        <v>923</v>
      </c>
      <c r="H11" s="1978" t="s">
        <v>924</v>
      </c>
    </row>
    <row r="12" spans="1:9" ht="14.25" thickTop="1" thickBot="1" x14ac:dyDescent="0.25">
      <c r="A12" s="1740">
        <v>1</v>
      </c>
      <c r="B12" s="1739">
        <v>2</v>
      </c>
      <c r="C12" s="1739">
        <v>3</v>
      </c>
      <c r="D12" s="1739">
        <v>4</v>
      </c>
      <c r="E12" s="1738">
        <v>5</v>
      </c>
      <c r="F12" s="1738">
        <v>6</v>
      </c>
      <c r="G12" s="2028">
        <v>7</v>
      </c>
      <c r="H12" s="2054" t="s">
        <v>61</v>
      </c>
    </row>
    <row r="13" spans="1:9" ht="15.75" hidden="1" thickTop="1" x14ac:dyDescent="0.2">
      <c r="A13" s="2160">
        <v>3636</v>
      </c>
      <c r="B13" s="2161">
        <v>5011</v>
      </c>
      <c r="C13" s="2170">
        <v>0</v>
      </c>
      <c r="D13" s="2162" t="s">
        <v>219</v>
      </c>
      <c r="E13" s="2163">
        <v>0</v>
      </c>
      <c r="F13" s="2163">
        <v>0</v>
      </c>
      <c r="G13" s="2163">
        <v>0</v>
      </c>
      <c r="H13" s="2164" t="e">
        <f t="shared" ref="H13:H20" si="0">G13/F13*100</f>
        <v>#DIV/0!</v>
      </c>
    </row>
    <row r="14" spans="1:9" ht="15.75" hidden="1" thickTop="1" x14ac:dyDescent="0.2">
      <c r="A14" s="2165">
        <v>3636</v>
      </c>
      <c r="B14" s="2166">
        <v>5011</v>
      </c>
      <c r="C14" s="2166">
        <v>38500881</v>
      </c>
      <c r="D14" s="2167" t="s">
        <v>219</v>
      </c>
      <c r="E14" s="2168">
        <v>0</v>
      </c>
      <c r="F14" s="2168">
        <v>0</v>
      </c>
      <c r="G14" s="2168">
        <v>0</v>
      </c>
      <c r="H14" s="2169" t="e">
        <f t="shared" si="0"/>
        <v>#DIV/0!</v>
      </c>
    </row>
    <row r="15" spans="1:9" ht="30.75" thickTop="1" x14ac:dyDescent="0.2">
      <c r="A15" s="2165">
        <v>3121</v>
      </c>
      <c r="B15" s="2166">
        <v>5336</v>
      </c>
      <c r="C15" s="2170">
        <v>32133019</v>
      </c>
      <c r="D15" s="2167" t="s">
        <v>1325</v>
      </c>
      <c r="E15" s="2168">
        <v>0</v>
      </c>
      <c r="F15" s="2168">
        <f>5+56</f>
        <v>61</v>
      </c>
      <c r="G15" s="2168">
        <f>5+56</f>
        <v>61</v>
      </c>
      <c r="H15" s="2169">
        <f>G15/F15*100</f>
        <v>100</v>
      </c>
    </row>
    <row r="16" spans="1:9" ht="15" hidden="1" x14ac:dyDescent="0.2">
      <c r="A16" s="2165">
        <v>3636</v>
      </c>
      <c r="B16" s="2166">
        <v>5021</v>
      </c>
      <c r="C16" s="2166">
        <v>38500881</v>
      </c>
      <c r="D16" s="2167" t="s">
        <v>409</v>
      </c>
      <c r="E16" s="2168"/>
      <c r="F16" s="2168"/>
      <c r="G16" s="2168"/>
      <c r="H16" s="2169" t="e">
        <f t="shared" si="0"/>
        <v>#DIV/0!</v>
      </c>
    </row>
    <row r="17" spans="1:8" ht="30" hidden="1" x14ac:dyDescent="0.2">
      <c r="A17" s="2165">
        <v>3636</v>
      </c>
      <c r="B17" s="2166">
        <v>5031</v>
      </c>
      <c r="C17" s="2166">
        <v>38100880</v>
      </c>
      <c r="D17" s="2167" t="s">
        <v>1362</v>
      </c>
      <c r="E17" s="2168"/>
      <c r="F17" s="2168"/>
      <c r="G17" s="2168"/>
      <c r="H17" s="2169" t="e">
        <f t="shared" si="0"/>
        <v>#DIV/0!</v>
      </c>
    </row>
    <row r="18" spans="1:8" ht="30" hidden="1" x14ac:dyDescent="0.2">
      <c r="A18" s="2165">
        <v>3636</v>
      </c>
      <c r="B18" s="2166">
        <v>5031</v>
      </c>
      <c r="C18" s="2166">
        <v>38500881</v>
      </c>
      <c r="D18" s="2167" t="s">
        <v>1362</v>
      </c>
      <c r="E18" s="2168"/>
      <c r="F18" s="2168"/>
      <c r="G18" s="2168"/>
      <c r="H18" s="2169" t="e">
        <f t="shared" si="0"/>
        <v>#DIV/0!</v>
      </c>
    </row>
    <row r="19" spans="1:8" ht="30" hidden="1" x14ac:dyDescent="0.2">
      <c r="A19" s="2165">
        <v>3636</v>
      </c>
      <c r="B19" s="2166">
        <v>5032</v>
      </c>
      <c r="C19" s="2166">
        <v>38100880</v>
      </c>
      <c r="D19" s="2167" t="s">
        <v>1236</v>
      </c>
      <c r="E19" s="2168"/>
      <c r="F19" s="2168"/>
      <c r="G19" s="2168"/>
      <c r="H19" s="2169" t="e">
        <f t="shared" si="0"/>
        <v>#DIV/0!</v>
      </c>
    </row>
    <row r="20" spans="1:8" ht="30" hidden="1" x14ac:dyDescent="0.2">
      <c r="A20" s="2165">
        <v>3636</v>
      </c>
      <c r="B20" s="2166">
        <v>5032</v>
      </c>
      <c r="C20" s="2166">
        <v>38500881</v>
      </c>
      <c r="D20" s="2167" t="s">
        <v>1236</v>
      </c>
      <c r="E20" s="2168"/>
      <c r="F20" s="2168"/>
      <c r="G20" s="2168"/>
      <c r="H20" s="2169" t="e">
        <f t="shared" si="0"/>
        <v>#DIV/0!</v>
      </c>
    </row>
    <row r="21" spans="1:8" ht="15" hidden="1" x14ac:dyDescent="0.2">
      <c r="A21" s="2165">
        <v>3636</v>
      </c>
      <c r="B21" s="2166">
        <v>5139</v>
      </c>
      <c r="C21" s="2166">
        <v>38100880</v>
      </c>
      <c r="D21" s="2167" t="s">
        <v>284</v>
      </c>
      <c r="E21" s="2168"/>
      <c r="F21" s="2168"/>
      <c r="G21" s="2168"/>
      <c r="H21" s="2169">
        <v>0</v>
      </c>
    </row>
    <row r="22" spans="1:8" ht="15" hidden="1" x14ac:dyDescent="0.2">
      <c r="A22" s="2165">
        <v>3636</v>
      </c>
      <c r="B22" s="2166">
        <v>5139</v>
      </c>
      <c r="C22" s="2166">
        <v>38500881</v>
      </c>
      <c r="D22" s="2167" t="s">
        <v>284</v>
      </c>
      <c r="E22" s="2168"/>
      <c r="F22" s="2168"/>
      <c r="G22" s="2168"/>
      <c r="H22" s="2169" t="e">
        <f t="shared" ref="H22:H42" si="1">G22/F22*100</f>
        <v>#DIV/0!</v>
      </c>
    </row>
    <row r="23" spans="1:8" ht="15" hidden="1" x14ac:dyDescent="0.2">
      <c r="A23" s="2165">
        <v>3636</v>
      </c>
      <c r="B23" s="2166">
        <v>5162</v>
      </c>
      <c r="C23" s="2166">
        <v>38100880</v>
      </c>
      <c r="D23" s="2167" t="s">
        <v>904</v>
      </c>
      <c r="E23" s="2168"/>
      <c r="F23" s="2168"/>
      <c r="G23" s="2168"/>
      <c r="H23" s="2169" t="e">
        <f t="shared" si="1"/>
        <v>#DIV/0!</v>
      </c>
    </row>
    <row r="24" spans="1:8" ht="15" hidden="1" x14ac:dyDescent="0.2">
      <c r="A24" s="2165">
        <v>3636</v>
      </c>
      <c r="B24" s="2166">
        <v>5162</v>
      </c>
      <c r="C24" s="2166">
        <v>38500881</v>
      </c>
      <c r="D24" s="2167" t="s">
        <v>904</v>
      </c>
      <c r="E24" s="2168"/>
      <c r="F24" s="2168"/>
      <c r="G24" s="2168"/>
      <c r="H24" s="2169" t="e">
        <f t="shared" si="1"/>
        <v>#DIV/0!</v>
      </c>
    </row>
    <row r="25" spans="1:8" ht="15" hidden="1" x14ac:dyDescent="0.2">
      <c r="A25" s="2165">
        <v>3636</v>
      </c>
      <c r="B25" s="2166">
        <v>5164</v>
      </c>
      <c r="C25" s="2166">
        <v>38100880</v>
      </c>
      <c r="D25" s="2167" t="s">
        <v>182</v>
      </c>
      <c r="E25" s="2168"/>
      <c r="F25" s="2168"/>
      <c r="G25" s="2168"/>
      <c r="H25" s="2169" t="e">
        <f t="shared" si="1"/>
        <v>#DIV/0!</v>
      </c>
    </row>
    <row r="26" spans="1:8" ht="15" hidden="1" x14ac:dyDescent="0.2">
      <c r="A26" s="2165">
        <v>3636</v>
      </c>
      <c r="B26" s="2166">
        <v>5164</v>
      </c>
      <c r="C26" s="2166">
        <v>38500881</v>
      </c>
      <c r="D26" s="2167" t="s">
        <v>182</v>
      </c>
      <c r="E26" s="2168"/>
      <c r="F26" s="2168"/>
      <c r="G26" s="2168"/>
      <c r="H26" s="2169" t="e">
        <f t="shared" si="1"/>
        <v>#DIV/0!</v>
      </c>
    </row>
    <row r="27" spans="1:8" ht="30.75" thickBot="1" x14ac:dyDescent="0.25">
      <c r="A27" s="2165">
        <v>3121</v>
      </c>
      <c r="B27" s="2166">
        <v>5336</v>
      </c>
      <c r="C27" s="2170">
        <v>32533019</v>
      </c>
      <c r="D27" s="2167" t="s">
        <v>1325</v>
      </c>
      <c r="E27" s="2168">
        <v>0</v>
      </c>
      <c r="F27" s="2168">
        <f>27+320</f>
        <v>347</v>
      </c>
      <c r="G27" s="2168">
        <f>27+320</f>
        <v>347</v>
      </c>
      <c r="H27" s="2169">
        <f>G27/F27*100</f>
        <v>100</v>
      </c>
    </row>
    <row r="28" spans="1:8" ht="15.75" hidden="1" thickBot="1" x14ac:dyDescent="0.25">
      <c r="A28" s="2165">
        <v>6223</v>
      </c>
      <c r="B28" s="2166">
        <v>5166</v>
      </c>
      <c r="C28" s="2166">
        <v>41100880</v>
      </c>
      <c r="D28" s="2167" t="s">
        <v>646</v>
      </c>
      <c r="E28" s="2168"/>
      <c r="F28" s="2168"/>
      <c r="G28" s="2168"/>
      <c r="H28" s="2169" t="e">
        <f t="shared" si="1"/>
        <v>#DIV/0!</v>
      </c>
    </row>
    <row r="29" spans="1:8" ht="15.75" hidden="1" thickBot="1" x14ac:dyDescent="0.25">
      <c r="A29" s="2165">
        <v>6223</v>
      </c>
      <c r="B29" s="2166">
        <v>5166</v>
      </c>
      <c r="C29" s="2166">
        <v>41100882</v>
      </c>
      <c r="D29" s="2167" t="s">
        <v>646</v>
      </c>
      <c r="E29" s="2168"/>
      <c r="F29" s="2168"/>
      <c r="G29" s="2168"/>
      <c r="H29" s="2169" t="e">
        <f t="shared" si="1"/>
        <v>#DIV/0!</v>
      </c>
    </row>
    <row r="30" spans="1:8" ht="15.75" hidden="1" thickBot="1" x14ac:dyDescent="0.25">
      <c r="A30" s="2165">
        <v>6223</v>
      </c>
      <c r="B30" s="2166">
        <v>5166</v>
      </c>
      <c r="C30" s="2166">
        <v>41500881</v>
      </c>
      <c r="D30" s="2167" t="s">
        <v>646</v>
      </c>
      <c r="E30" s="2168"/>
      <c r="F30" s="2168"/>
      <c r="G30" s="2168"/>
      <c r="H30" s="2169" t="e">
        <f t="shared" si="1"/>
        <v>#DIV/0!</v>
      </c>
    </row>
    <row r="31" spans="1:8" ht="15.75" hidden="1" thickBot="1" x14ac:dyDescent="0.25">
      <c r="A31" s="2165">
        <v>3636</v>
      </c>
      <c r="B31" s="2166">
        <v>5167</v>
      </c>
      <c r="C31" s="2166">
        <v>38100880</v>
      </c>
      <c r="D31" s="2167" t="s">
        <v>937</v>
      </c>
      <c r="E31" s="2168"/>
      <c r="F31" s="2168"/>
      <c r="G31" s="2168"/>
      <c r="H31" s="2169" t="e">
        <f t="shared" si="1"/>
        <v>#DIV/0!</v>
      </c>
    </row>
    <row r="32" spans="1:8" ht="15.75" hidden="1" thickBot="1" x14ac:dyDescent="0.25">
      <c r="A32" s="2165">
        <v>3636</v>
      </c>
      <c r="B32" s="2166">
        <v>5167</v>
      </c>
      <c r="C32" s="2166">
        <v>38500881</v>
      </c>
      <c r="D32" s="2167" t="s">
        <v>937</v>
      </c>
      <c r="E32" s="2168"/>
      <c r="F32" s="2168"/>
      <c r="G32" s="2168"/>
      <c r="H32" s="2169" t="e">
        <f t="shared" si="1"/>
        <v>#DIV/0!</v>
      </c>
    </row>
    <row r="33" spans="1:8" ht="15.75" hidden="1" thickBot="1" x14ac:dyDescent="0.25">
      <c r="A33" s="2165">
        <v>3636</v>
      </c>
      <c r="B33" s="2166">
        <v>5169</v>
      </c>
      <c r="C33" s="2166">
        <v>38100880</v>
      </c>
      <c r="D33" s="2167" t="s">
        <v>892</v>
      </c>
      <c r="E33" s="2168"/>
      <c r="F33" s="2168"/>
      <c r="G33" s="2168"/>
      <c r="H33" s="2169" t="e">
        <f t="shared" si="1"/>
        <v>#DIV/0!</v>
      </c>
    </row>
    <row r="34" spans="1:8" ht="15.75" hidden="1" thickBot="1" x14ac:dyDescent="0.25">
      <c r="A34" s="2165">
        <v>3636</v>
      </c>
      <c r="B34" s="2166">
        <v>5169</v>
      </c>
      <c r="C34" s="2166">
        <v>38500881</v>
      </c>
      <c r="D34" s="2167" t="s">
        <v>892</v>
      </c>
      <c r="E34" s="2168"/>
      <c r="F34" s="2168"/>
      <c r="G34" s="2168"/>
      <c r="H34" s="2169" t="e">
        <f t="shared" si="1"/>
        <v>#DIV/0!</v>
      </c>
    </row>
    <row r="35" spans="1:8" ht="15.75" hidden="1" thickBot="1" x14ac:dyDescent="0.25">
      <c r="A35" s="2165">
        <v>6223</v>
      </c>
      <c r="B35" s="2166">
        <v>5173</v>
      </c>
      <c r="C35" s="2170">
        <v>0</v>
      </c>
      <c r="D35" s="2167" t="s">
        <v>1211</v>
      </c>
      <c r="E35" s="2168"/>
      <c r="F35" s="2168"/>
      <c r="G35" s="2168"/>
      <c r="H35" s="2169">
        <v>0</v>
      </c>
    </row>
    <row r="36" spans="1:8" ht="15.75" hidden="1" thickBot="1" x14ac:dyDescent="0.25">
      <c r="A36" s="2165">
        <v>3636</v>
      </c>
      <c r="B36" s="2166">
        <v>5173</v>
      </c>
      <c r="C36" s="2166">
        <v>38500881</v>
      </c>
      <c r="D36" s="2167" t="s">
        <v>1211</v>
      </c>
      <c r="E36" s="2168">
        <v>0</v>
      </c>
      <c r="F36" s="2168"/>
      <c r="G36" s="2168"/>
      <c r="H36" s="2169" t="e">
        <f t="shared" si="1"/>
        <v>#DIV/0!</v>
      </c>
    </row>
    <row r="37" spans="1:8" ht="15.75" hidden="1" thickBot="1" x14ac:dyDescent="0.25">
      <c r="A37" s="2165">
        <v>3636</v>
      </c>
      <c r="B37" s="2166">
        <v>5175</v>
      </c>
      <c r="C37" s="2166">
        <v>38100880</v>
      </c>
      <c r="D37" s="2167" t="s">
        <v>707</v>
      </c>
      <c r="E37" s="2168">
        <v>0</v>
      </c>
      <c r="F37" s="2168"/>
      <c r="G37" s="2168"/>
      <c r="H37" s="2169" t="e">
        <f t="shared" si="1"/>
        <v>#DIV/0!</v>
      </c>
    </row>
    <row r="38" spans="1:8" ht="15.75" hidden="1" thickBot="1" x14ac:dyDescent="0.25">
      <c r="A38" s="2165">
        <v>3636</v>
      </c>
      <c r="B38" s="2166">
        <v>5175</v>
      </c>
      <c r="C38" s="2166">
        <v>38500881</v>
      </c>
      <c r="D38" s="2167" t="s">
        <v>707</v>
      </c>
      <c r="E38" s="2168">
        <v>0</v>
      </c>
      <c r="F38" s="2168"/>
      <c r="G38" s="2168"/>
      <c r="H38" s="2169" t="e">
        <f t="shared" si="1"/>
        <v>#DIV/0!</v>
      </c>
    </row>
    <row r="39" spans="1:8" ht="15.75" hidden="1" thickBot="1" x14ac:dyDescent="0.25">
      <c r="A39" s="2165">
        <v>3636</v>
      </c>
      <c r="B39" s="2166">
        <v>5176</v>
      </c>
      <c r="C39" s="2166">
        <v>38100880</v>
      </c>
      <c r="D39" s="2167" t="s">
        <v>1309</v>
      </c>
      <c r="E39" s="2168">
        <v>0</v>
      </c>
      <c r="F39" s="2168"/>
      <c r="G39" s="2168"/>
      <c r="H39" s="2169" t="e">
        <f t="shared" si="1"/>
        <v>#DIV/0!</v>
      </c>
    </row>
    <row r="40" spans="1:8" ht="15.75" hidden="1" thickBot="1" x14ac:dyDescent="0.25">
      <c r="A40" s="2165">
        <v>3636</v>
      </c>
      <c r="B40" s="2166">
        <v>5176</v>
      </c>
      <c r="C40" s="2166">
        <v>38500881</v>
      </c>
      <c r="D40" s="2167" t="s">
        <v>1309</v>
      </c>
      <c r="E40" s="2168">
        <v>0</v>
      </c>
      <c r="F40" s="2168"/>
      <c r="G40" s="2168"/>
      <c r="H40" s="2169" t="e">
        <f t="shared" si="1"/>
        <v>#DIV/0!</v>
      </c>
    </row>
    <row r="41" spans="1:8" ht="15.75" hidden="1" thickBot="1" x14ac:dyDescent="0.25">
      <c r="A41" s="2165">
        <v>3636</v>
      </c>
      <c r="B41" s="2166">
        <v>6901</v>
      </c>
      <c r="C41" s="2166">
        <v>38100880</v>
      </c>
      <c r="D41" s="2167" t="s">
        <v>449</v>
      </c>
      <c r="E41" s="2168">
        <v>0</v>
      </c>
      <c r="F41" s="2168">
        <v>0</v>
      </c>
      <c r="G41" s="2168">
        <v>0</v>
      </c>
      <c r="H41" s="2169" t="e">
        <f t="shared" si="1"/>
        <v>#DIV/0!</v>
      </c>
    </row>
    <row r="42" spans="1:8" ht="15.75" hidden="1" thickBot="1" x14ac:dyDescent="0.25">
      <c r="A42" s="2165">
        <v>3636</v>
      </c>
      <c r="B42" s="2166">
        <v>5363</v>
      </c>
      <c r="C42" s="2166">
        <v>38500881</v>
      </c>
      <c r="D42" s="2167" t="s">
        <v>585</v>
      </c>
      <c r="E42" s="2168">
        <v>0</v>
      </c>
      <c r="F42" s="2168">
        <v>0</v>
      </c>
      <c r="G42" s="2168">
        <v>0</v>
      </c>
      <c r="H42" s="2171" t="e">
        <f t="shared" si="1"/>
        <v>#DIV/0!</v>
      </c>
    </row>
    <row r="43" spans="1:8" ht="16.5" thickTop="1" thickBot="1" x14ac:dyDescent="0.3">
      <c r="A43" s="2750" t="s">
        <v>802</v>
      </c>
      <c r="B43" s="2751"/>
      <c r="C43" s="2751"/>
      <c r="D43" s="2751"/>
      <c r="E43" s="1957">
        <f>SUM(E13:E42)</f>
        <v>0</v>
      </c>
      <c r="F43" s="1957">
        <f>SUM(F13:F42)</f>
        <v>408</v>
      </c>
      <c r="G43" s="1957">
        <f>SUM(G13:G42)</f>
        <v>408</v>
      </c>
      <c r="H43" s="1962">
        <v>0</v>
      </c>
    </row>
    <row r="44" spans="1:8" ht="13.5" thickTop="1" x14ac:dyDescent="0.2"/>
    <row r="45" spans="1:8" ht="12" customHeight="1" x14ac:dyDescent="0.25">
      <c r="A45" s="2744" t="s">
        <v>1367</v>
      </c>
      <c r="B45" s="2745"/>
      <c r="C45" s="2745"/>
      <c r="D45" s="2745"/>
      <c r="E45" s="2745"/>
      <c r="F45" s="2745"/>
      <c r="G45" s="2745"/>
      <c r="H45" s="2745"/>
    </row>
    <row r="46" spans="1:8" ht="15.75" thickBot="1" x14ac:dyDescent="0.3">
      <c r="A46" s="2132" t="s">
        <v>1454</v>
      </c>
      <c r="B46" s="2146"/>
      <c r="C46" s="2146"/>
      <c r="E46" s="2147"/>
      <c r="F46" s="2147"/>
      <c r="G46" s="2147"/>
      <c r="H46" s="2148" t="s">
        <v>173</v>
      </c>
    </row>
    <row r="47" spans="1:8" ht="25.5" thickTop="1" thickBot="1" x14ac:dyDescent="0.25">
      <c r="A47" s="1943" t="s">
        <v>174</v>
      </c>
      <c r="B47" s="1944" t="s">
        <v>800</v>
      </c>
      <c r="C47" s="1944" t="s">
        <v>397</v>
      </c>
      <c r="D47" s="1945" t="s">
        <v>176</v>
      </c>
      <c r="E47" s="1976" t="s">
        <v>669</v>
      </c>
      <c r="F47" s="1976" t="s">
        <v>670</v>
      </c>
      <c r="G47" s="1977" t="s">
        <v>923</v>
      </c>
      <c r="H47" s="1978" t="s">
        <v>924</v>
      </c>
    </row>
    <row r="48" spans="1:8" ht="14.25" thickTop="1" thickBot="1" x14ac:dyDescent="0.25">
      <c r="A48" s="1740">
        <v>1</v>
      </c>
      <c r="B48" s="1739">
        <v>2</v>
      </c>
      <c r="C48" s="1739">
        <v>3</v>
      </c>
      <c r="D48" s="1739">
        <v>4</v>
      </c>
      <c r="E48" s="1738">
        <v>5</v>
      </c>
      <c r="F48" s="1738">
        <v>6</v>
      </c>
      <c r="G48" s="2028">
        <v>7</v>
      </c>
      <c r="H48" s="2054" t="s">
        <v>61</v>
      </c>
    </row>
    <row r="49" spans="1:8" ht="15.75" hidden="1" thickTop="1" x14ac:dyDescent="0.2">
      <c r="A49" s="2160">
        <v>3636</v>
      </c>
      <c r="B49" s="2161">
        <v>5011</v>
      </c>
      <c r="C49" s="2170">
        <v>0</v>
      </c>
      <c r="D49" s="2162" t="s">
        <v>219</v>
      </c>
      <c r="E49" s="2163">
        <v>0</v>
      </c>
      <c r="F49" s="2163">
        <v>0</v>
      </c>
      <c r="G49" s="2163">
        <v>0</v>
      </c>
      <c r="H49" s="2164" t="e">
        <f t="shared" ref="H49:H56" si="2">G49/F49*100</f>
        <v>#DIV/0!</v>
      </c>
    </row>
    <row r="50" spans="1:8" ht="15.75" hidden="1" thickTop="1" x14ac:dyDescent="0.2">
      <c r="A50" s="2165">
        <v>3636</v>
      </c>
      <c r="B50" s="2166">
        <v>5011</v>
      </c>
      <c r="C50" s="2166">
        <v>38500881</v>
      </c>
      <c r="D50" s="2167" t="s">
        <v>219</v>
      </c>
      <c r="E50" s="2168">
        <v>0</v>
      </c>
      <c r="F50" s="2168">
        <v>0</v>
      </c>
      <c r="G50" s="2168">
        <v>0</v>
      </c>
      <c r="H50" s="2169" t="e">
        <f t="shared" si="2"/>
        <v>#DIV/0!</v>
      </c>
    </row>
    <row r="51" spans="1:8" ht="30.75" thickTop="1" x14ac:dyDescent="0.2">
      <c r="A51" s="2165">
        <v>3121</v>
      </c>
      <c r="B51" s="2166">
        <v>5336</v>
      </c>
      <c r="C51" s="2170">
        <v>32133019</v>
      </c>
      <c r="D51" s="2167" t="s">
        <v>1325</v>
      </c>
      <c r="E51" s="2168">
        <v>0</v>
      </c>
      <c r="F51" s="2168">
        <f>10+121</f>
        <v>131</v>
      </c>
      <c r="G51" s="2168">
        <f>10+121</f>
        <v>131</v>
      </c>
      <c r="H51" s="2169">
        <f t="shared" si="2"/>
        <v>100</v>
      </c>
    </row>
    <row r="52" spans="1:8" ht="15" hidden="1" x14ac:dyDescent="0.2">
      <c r="A52" s="2165">
        <v>3636</v>
      </c>
      <c r="B52" s="2166">
        <v>5021</v>
      </c>
      <c r="C52" s="2166">
        <v>38500881</v>
      </c>
      <c r="D52" s="2167" t="s">
        <v>409</v>
      </c>
      <c r="E52" s="2168"/>
      <c r="F52" s="2168"/>
      <c r="G52" s="2168"/>
      <c r="H52" s="2169" t="e">
        <f t="shared" si="2"/>
        <v>#DIV/0!</v>
      </c>
    </row>
    <row r="53" spans="1:8" ht="30" hidden="1" x14ac:dyDescent="0.2">
      <c r="A53" s="2165">
        <v>3636</v>
      </c>
      <c r="B53" s="2166">
        <v>5031</v>
      </c>
      <c r="C53" s="2166">
        <v>38100880</v>
      </c>
      <c r="D53" s="2167" t="s">
        <v>1362</v>
      </c>
      <c r="E53" s="2168"/>
      <c r="F53" s="2168"/>
      <c r="G53" s="2168"/>
      <c r="H53" s="2169" t="e">
        <f t="shared" si="2"/>
        <v>#DIV/0!</v>
      </c>
    </row>
    <row r="54" spans="1:8" ht="30" hidden="1" x14ac:dyDescent="0.2">
      <c r="A54" s="2165">
        <v>3636</v>
      </c>
      <c r="B54" s="2166">
        <v>5031</v>
      </c>
      <c r="C54" s="2166">
        <v>38500881</v>
      </c>
      <c r="D54" s="2167" t="s">
        <v>1362</v>
      </c>
      <c r="E54" s="2168"/>
      <c r="F54" s="2168"/>
      <c r="G54" s="2168"/>
      <c r="H54" s="2169" t="e">
        <f t="shared" si="2"/>
        <v>#DIV/0!</v>
      </c>
    </row>
    <row r="55" spans="1:8" ht="30" hidden="1" x14ac:dyDescent="0.2">
      <c r="A55" s="2165">
        <v>3636</v>
      </c>
      <c r="B55" s="2166">
        <v>5032</v>
      </c>
      <c r="C55" s="2166">
        <v>38100880</v>
      </c>
      <c r="D55" s="2167" t="s">
        <v>1236</v>
      </c>
      <c r="E55" s="2168"/>
      <c r="F55" s="2168"/>
      <c r="G55" s="2168"/>
      <c r="H55" s="2169" t="e">
        <f t="shared" si="2"/>
        <v>#DIV/0!</v>
      </c>
    </row>
    <row r="56" spans="1:8" ht="30" hidden="1" x14ac:dyDescent="0.2">
      <c r="A56" s="2165">
        <v>3636</v>
      </c>
      <c r="B56" s="2166">
        <v>5032</v>
      </c>
      <c r="C56" s="2166">
        <v>38500881</v>
      </c>
      <c r="D56" s="2167" t="s">
        <v>1236</v>
      </c>
      <c r="E56" s="2168"/>
      <c r="F56" s="2168"/>
      <c r="G56" s="2168"/>
      <c r="H56" s="2169" t="e">
        <f t="shared" si="2"/>
        <v>#DIV/0!</v>
      </c>
    </row>
    <row r="57" spans="1:8" ht="15" hidden="1" x14ac:dyDescent="0.2">
      <c r="A57" s="2165">
        <v>3636</v>
      </c>
      <c r="B57" s="2166">
        <v>5139</v>
      </c>
      <c r="C57" s="2166">
        <v>38100880</v>
      </c>
      <c r="D57" s="2167" t="s">
        <v>284</v>
      </c>
      <c r="E57" s="2168"/>
      <c r="F57" s="2168"/>
      <c r="G57" s="2168"/>
      <c r="H57" s="2169">
        <v>0</v>
      </c>
    </row>
    <row r="58" spans="1:8" ht="15" hidden="1" x14ac:dyDescent="0.2">
      <c r="A58" s="2165">
        <v>3636</v>
      </c>
      <c r="B58" s="2166">
        <v>5139</v>
      </c>
      <c r="C58" s="2166">
        <v>38500881</v>
      </c>
      <c r="D58" s="2167" t="s">
        <v>284</v>
      </c>
      <c r="E58" s="2168"/>
      <c r="F58" s="2168"/>
      <c r="G58" s="2168"/>
      <c r="H58" s="2169" t="e">
        <f t="shared" ref="H58:H63" si="3">G58/F58*100</f>
        <v>#DIV/0!</v>
      </c>
    </row>
    <row r="59" spans="1:8" ht="15" hidden="1" x14ac:dyDescent="0.2">
      <c r="A59" s="2165">
        <v>3636</v>
      </c>
      <c r="B59" s="2166">
        <v>5162</v>
      </c>
      <c r="C59" s="2166">
        <v>38100880</v>
      </c>
      <c r="D59" s="2167" t="s">
        <v>904</v>
      </c>
      <c r="E59" s="2168"/>
      <c r="F59" s="2168"/>
      <c r="G59" s="2168"/>
      <c r="H59" s="2169" t="e">
        <f t="shared" si="3"/>
        <v>#DIV/0!</v>
      </c>
    </row>
    <row r="60" spans="1:8" ht="15" hidden="1" x14ac:dyDescent="0.2">
      <c r="A60" s="2165">
        <v>3636</v>
      </c>
      <c r="B60" s="2166">
        <v>5162</v>
      </c>
      <c r="C60" s="2166">
        <v>38500881</v>
      </c>
      <c r="D60" s="2167" t="s">
        <v>904</v>
      </c>
      <c r="E60" s="2168"/>
      <c r="F60" s="2168"/>
      <c r="G60" s="2168"/>
      <c r="H60" s="2169" t="e">
        <f t="shared" si="3"/>
        <v>#DIV/0!</v>
      </c>
    </row>
    <row r="61" spans="1:8" ht="15" hidden="1" x14ac:dyDescent="0.2">
      <c r="A61" s="2165">
        <v>3636</v>
      </c>
      <c r="B61" s="2166">
        <v>5164</v>
      </c>
      <c r="C61" s="2166">
        <v>38100880</v>
      </c>
      <c r="D61" s="2167" t="s">
        <v>182</v>
      </c>
      <c r="E61" s="2168"/>
      <c r="F61" s="2168"/>
      <c r="G61" s="2168"/>
      <c r="H61" s="2169" t="e">
        <f t="shared" si="3"/>
        <v>#DIV/0!</v>
      </c>
    </row>
    <row r="62" spans="1:8" ht="15" hidden="1" x14ac:dyDescent="0.2">
      <c r="A62" s="2165">
        <v>3636</v>
      </c>
      <c r="B62" s="2166">
        <v>5164</v>
      </c>
      <c r="C62" s="2166">
        <v>38500881</v>
      </c>
      <c r="D62" s="2167" t="s">
        <v>182</v>
      </c>
      <c r="E62" s="2168"/>
      <c r="F62" s="2168"/>
      <c r="G62" s="2168"/>
      <c r="H62" s="2169" t="e">
        <f t="shared" si="3"/>
        <v>#DIV/0!</v>
      </c>
    </row>
    <row r="63" spans="1:8" ht="30.75" thickBot="1" x14ac:dyDescent="0.25">
      <c r="A63" s="2165">
        <v>3121</v>
      </c>
      <c r="B63" s="2166">
        <v>5336</v>
      </c>
      <c r="C63" s="2170">
        <v>32533019</v>
      </c>
      <c r="D63" s="2167" t="s">
        <v>1325</v>
      </c>
      <c r="E63" s="2168">
        <v>0</v>
      </c>
      <c r="F63" s="2168">
        <f>53+688</f>
        <v>741</v>
      </c>
      <c r="G63" s="2168">
        <f>53+688</f>
        <v>741</v>
      </c>
      <c r="H63" s="2169">
        <f t="shared" si="3"/>
        <v>100</v>
      </c>
    </row>
    <row r="64" spans="1:8" ht="15.75" hidden="1" thickBot="1" x14ac:dyDescent="0.25">
      <c r="A64" s="2165">
        <v>6223</v>
      </c>
      <c r="B64" s="2166">
        <v>5166</v>
      </c>
      <c r="C64" s="2166">
        <v>41100880</v>
      </c>
      <c r="D64" s="2167" t="s">
        <v>646</v>
      </c>
      <c r="E64" s="2168"/>
      <c r="F64" s="2168"/>
      <c r="G64" s="2168"/>
      <c r="H64" s="2169" t="e">
        <f t="shared" ref="H64:H70" si="4">G64/F64*100</f>
        <v>#DIV/0!</v>
      </c>
    </row>
    <row r="65" spans="1:8" ht="15.75" hidden="1" thickBot="1" x14ac:dyDescent="0.25">
      <c r="A65" s="2165">
        <v>6223</v>
      </c>
      <c r="B65" s="2166">
        <v>5166</v>
      </c>
      <c r="C65" s="2166">
        <v>41100882</v>
      </c>
      <c r="D65" s="2167" t="s">
        <v>646</v>
      </c>
      <c r="E65" s="2168"/>
      <c r="F65" s="2168"/>
      <c r="G65" s="2168"/>
      <c r="H65" s="2169" t="e">
        <f t="shared" si="4"/>
        <v>#DIV/0!</v>
      </c>
    </row>
    <row r="66" spans="1:8" ht="15.75" hidden="1" thickBot="1" x14ac:dyDescent="0.25">
      <c r="A66" s="2165">
        <v>6223</v>
      </c>
      <c r="B66" s="2166">
        <v>5166</v>
      </c>
      <c r="C66" s="2166">
        <v>41500881</v>
      </c>
      <c r="D66" s="2167" t="s">
        <v>646</v>
      </c>
      <c r="E66" s="2168"/>
      <c r="F66" s="2168"/>
      <c r="G66" s="2168"/>
      <c r="H66" s="2169" t="e">
        <f t="shared" si="4"/>
        <v>#DIV/0!</v>
      </c>
    </row>
    <row r="67" spans="1:8" ht="15.75" hidden="1" thickBot="1" x14ac:dyDescent="0.25">
      <c r="A67" s="2165">
        <v>3636</v>
      </c>
      <c r="B67" s="2166">
        <v>5167</v>
      </c>
      <c r="C67" s="2166">
        <v>38100880</v>
      </c>
      <c r="D67" s="2167" t="s">
        <v>937</v>
      </c>
      <c r="E67" s="2168"/>
      <c r="F67" s="2168"/>
      <c r="G67" s="2168"/>
      <c r="H67" s="2169" t="e">
        <f t="shared" si="4"/>
        <v>#DIV/0!</v>
      </c>
    </row>
    <row r="68" spans="1:8" ht="15.75" hidden="1" thickBot="1" x14ac:dyDescent="0.25">
      <c r="A68" s="2165">
        <v>3636</v>
      </c>
      <c r="B68" s="2166">
        <v>5167</v>
      </c>
      <c r="C68" s="2166">
        <v>38500881</v>
      </c>
      <c r="D68" s="2167" t="s">
        <v>937</v>
      </c>
      <c r="E68" s="2168"/>
      <c r="F68" s="2168"/>
      <c r="G68" s="2168"/>
      <c r="H68" s="2169" t="e">
        <f t="shared" si="4"/>
        <v>#DIV/0!</v>
      </c>
    </row>
    <row r="69" spans="1:8" ht="15.75" hidden="1" thickBot="1" x14ac:dyDescent="0.25">
      <c r="A69" s="2165">
        <v>3636</v>
      </c>
      <c r="B69" s="2166">
        <v>5169</v>
      </c>
      <c r="C69" s="2166">
        <v>38100880</v>
      </c>
      <c r="D69" s="2167" t="s">
        <v>892</v>
      </c>
      <c r="E69" s="2168"/>
      <c r="F69" s="2168"/>
      <c r="G69" s="2168"/>
      <c r="H69" s="2169" t="e">
        <f t="shared" si="4"/>
        <v>#DIV/0!</v>
      </c>
    </row>
    <row r="70" spans="1:8" ht="15.75" hidden="1" thickBot="1" x14ac:dyDescent="0.25">
      <c r="A70" s="2165">
        <v>3636</v>
      </c>
      <c r="B70" s="2166">
        <v>5169</v>
      </c>
      <c r="C70" s="2166">
        <v>38500881</v>
      </c>
      <c r="D70" s="2167" t="s">
        <v>892</v>
      </c>
      <c r="E70" s="2168"/>
      <c r="F70" s="2168"/>
      <c r="G70" s="2168"/>
      <c r="H70" s="2169" t="e">
        <f t="shared" si="4"/>
        <v>#DIV/0!</v>
      </c>
    </row>
    <row r="71" spans="1:8" ht="15.75" hidden="1" thickBot="1" x14ac:dyDescent="0.25">
      <c r="A71" s="2165">
        <v>6223</v>
      </c>
      <c r="B71" s="2166">
        <v>5173</v>
      </c>
      <c r="C71" s="2170">
        <v>0</v>
      </c>
      <c r="D71" s="2167" t="s">
        <v>1211</v>
      </c>
      <c r="E71" s="2168"/>
      <c r="F71" s="2168"/>
      <c r="G71" s="2168"/>
      <c r="H71" s="2169">
        <v>0</v>
      </c>
    </row>
    <row r="72" spans="1:8" ht="15.75" hidden="1" thickBot="1" x14ac:dyDescent="0.25">
      <c r="A72" s="2165">
        <v>3636</v>
      </c>
      <c r="B72" s="2166">
        <v>5173</v>
      </c>
      <c r="C72" s="2166">
        <v>38500881</v>
      </c>
      <c r="D72" s="2167" t="s">
        <v>1211</v>
      </c>
      <c r="E72" s="2168">
        <v>0</v>
      </c>
      <c r="F72" s="2168"/>
      <c r="G72" s="2168"/>
      <c r="H72" s="2169" t="e">
        <f t="shared" ref="H72:H78" si="5">G72/F72*100</f>
        <v>#DIV/0!</v>
      </c>
    </row>
    <row r="73" spans="1:8" ht="15.75" hidden="1" thickBot="1" x14ac:dyDescent="0.25">
      <c r="A73" s="2165">
        <v>3636</v>
      </c>
      <c r="B73" s="2166">
        <v>5175</v>
      </c>
      <c r="C73" s="2166">
        <v>38100880</v>
      </c>
      <c r="D73" s="2167" t="s">
        <v>707</v>
      </c>
      <c r="E73" s="2168">
        <v>0</v>
      </c>
      <c r="F73" s="2168"/>
      <c r="G73" s="2168"/>
      <c r="H73" s="2169" t="e">
        <f t="shared" si="5"/>
        <v>#DIV/0!</v>
      </c>
    </row>
    <row r="74" spans="1:8" ht="15.75" hidden="1" thickBot="1" x14ac:dyDescent="0.25">
      <c r="A74" s="2165">
        <v>3636</v>
      </c>
      <c r="B74" s="2166">
        <v>5175</v>
      </c>
      <c r="C74" s="2166">
        <v>38500881</v>
      </c>
      <c r="D74" s="2167" t="s">
        <v>707</v>
      </c>
      <c r="E74" s="2168">
        <v>0</v>
      </c>
      <c r="F74" s="2168"/>
      <c r="G74" s="2168"/>
      <c r="H74" s="2169" t="e">
        <f t="shared" si="5"/>
        <v>#DIV/0!</v>
      </c>
    </row>
    <row r="75" spans="1:8" ht="15.75" hidden="1" thickBot="1" x14ac:dyDescent="0.25">
      <c r="A75" s="2165">
        <v>3636</v>
      </c>
      <c r="B75" s="2166">
        <v>5176</v>
      </c>
      <c r="C75" s="2166">
        <v>38100880</v>
      </c>
      <c r="D75" s="2167" t="s">
        <v>1309</v>
      </c>
      <c r="E75" s="2168">
        <v>0</v>
      </c>
      <c r="F75" s="2168"/>
      <c r="G75" s="2168"/>
      <c r="H75" s="2169" t="e">
        <f t="shared" si="5"/>
        <v>#DIV/0!</v>
      </c>
    </row>
    <row r="76" spans="1:8" ht="15.75" hidden="1" thickBot="1" x14ac:dyDescent="0.25">
      <c r="A76" s="2165">
        <v>3636</v>
      </c>
      <c r="B76" s="2166">
        <v>5176</v>
      </c>
      <c r="C76" s="2166">
        <v>38500881</v>
      </c>
      <c r="D76" s="2167" t="s">
        <v>1309</v>
      </c>
      <c r="E76" s="2168">
        <v>0</v>
      </c>
      <c r="F76" s="2168"/>
      <c r="G76" s="2168"/>
      <c r="H76" s="2169" t="e">
        <f t="shared" si="5"/>
        <v>#DIV/0!</v>
      </c>
    </row>
    <row r="77" spans="1:8" ht="15.75" hidden="1" thickBot="1" x14ac:dyDescent="0.25">
      <c r="A77" s="2165">
        <v>3636</v>
      </c>
      <c r="B77" s="2166">
        <v>6901</v>
      </c>
      <c r="C77" s="2166">
        <v>38100880</v>
      </c>
      <c r="D77" s="2167" t="s">
        <v>449</v>
      </c>
      <c r="E77" s="2168">
        <v>0</v>
      </c>
      <c r="F77" s="2168">
        <v>0</v>
      </c>
      <c r="G77" s="2168">
        <v>0</v>
      </c>
      <c r="H77" s="2169" t="e">
        <f t="shared" si="5"/>
        <v>#DIV/0!</v>
      </c>
    </row>
    <row r="78" spans="1:8" ht="15.75" hidden="1" thickBot="1" x14ac:dyDescent="0.25">
      <c r="A78" s="2165">
        <v>3636</v>
      </c>
      <c r="B78" s="2166">
        <v>5363</v>
      </c>
      <c r="C78" s="2166">
        <v>38500881</v>
      </c>
      <c r="D78" s="2167" t="s">
        <v>585</v>
      </c>
      <c r="E78" s="2168">
        <v>0</v>
      </c>
      <c r="F78" s="2168">
        <v>0</v>
      </c>
      <c r="G78" s="2168">
        <v>0</v>
      </c>
      <c r="H78" s="2171" t="e">
        <f t="shared" si="5"/>
        <v>#DIV/0!</v>
      </c>
    </row>
    <row r="79" spans="1:8" ht="16.5" thickTop="1" thickBot="1" x14ac:dyDescent="0.3">
      <c r="A79" s="2750" t="s">
        <v>802</v>
      </c>
      <c r="B79" s="2751"/>
      <c r="C79" s="2751"/>
      <c r="D79" s="2751"/>
      <c r="E79" s="1957">
        <f>SUM(E49:E78)</f>
        <v>0</v>
      </c>
      <c r="F79" s="1957">
        <f>SUM(F49:F78)</f>
        <v>872</v>
      </c>
      <c r="G79" s="1957">
        <f>SUM(G49:G78)</f>
        <v>872</v>
      </c>
      <c r="H79" s="1962">
        <v>0</v>
      </c>
    </row>
    <row r="80" spans="1:8" ht="13.5" thickTop="1" x14ac:dyDescent="0.2"/>
    <row r="81" spans="1:8" ht="12" customHeight="1" x14ac:dyDescent="0.25">
      <c r="A81" s="2744" t="s">
        <v>1751</v>
      </c>
      <c r="B81" s="2745"/>
      <c r="C81" s="2745"/>
      <c r="D81" s="2745"/>
      <c r="E81" s="2745"/>
      <c r="F81" s="2745"/>
      <c r="G81" s="2745"/>
      <c r="H81" s="2745"/>
    </row>
    <row r="82" spans="1:8" ht="15.75" thickBot="1" x14ac:dyDescent="0.3">
      <c r="A82" s="2132" t="s">
        <v>1327</v>
      </c>
      <c r="B82" s="2146"/>
      <c r="C82" s="2146"/>
      <c r="E82" s="2147"/>
      <c r="F82" s="2147"/>
      <c r="G82" s="2147"/>
      <c r="H82" s="2148" t="s">
        <v>173</v>
      </c>
    </row>
    <row r="83" spans="1:8" ht="25.5" thickTop="1" thickBot="1" x14ac:dyDescent="0.25">
      <c r="A83" s="1943" t="s">
        <v>174</v>
      </c>
      <c r="B83" s="1944" t="s">
        <v>800</v>
      </c>
      <c r="C83" s="1944" t="s">
        <v>397</v>
      </c>
      <c r="D83" s="1945" t="s">
        <v>176</v>
      </c>
      <c r="E83" s="1976" t="s">
        <v>669</v>
      </c>
      <c r="F83" s="1976" t="s">
        <v>670</v>
      </c>
      <c r="G83" s="1977" t="s">
        <v>923</v>
      </c>
      <c r="H83" s="1978" t="s">
        <v>924</v>
      </c>
    </row>
    <row r="84" spans="1:8" ht="14.25" thickTop="1" thickBot="1" x14ac:dyDescent="0.25">
      <c r="A84" s="1740">
        <v>1</v>
      </c>
      <c r="B84" s="1739">
        <v>2</v>
      </c>
      <c r="C84" s="1739">
        <v>3</v>
      </c>
      <c r="D84" s="1739">
        <v>4</v>
      </c>
      <c r="E84" s="1738">
        <v>5</v>
      </c>
      <c r="F84" s="1738">
        <v>6</v>
      </c>
      <c r="G84" s="2028">
        <v>7</v>
      </c>
      <c r="H84" s="2054" t="s">
        <v>61</v>
      </c>
    </row>
    <row r="85" spans="1:8" ht="15.75" hidden="1" thickTop="1" x14ac:dyDescent="0.2">
      <c r="A85" s="2160">
        <v>3636</v>
      </c>
      <c r="B85" s="2161">
        <v>5011</v>
      </c>
      <c r="C85" s="2170">
        <v>0</v>
      </c>
      <c r="D85" s="2162" t="s">
        <v>219</v>
      </c>
      <c r="E85" s="2163">
        <v>0</v>
      </c>
      <c r="F85" s="2163">
        <v>0</v>
      </c>
      <c r="G85" s="2163">
        <v>0</v>
      </c>
      <c r="H85" s="2164" t="e">
        <f t="shared" ref="H85:H92" si="6">G85/F85*100</f>
        <v>#DIV/0!</v>
      </c>
    </row>
    <row r="86" spans="1:8" ht="15.75" hidden="1" thickTop="1" x14ac:dyDescent="0.2">
      <c r="A86" s="2165">
        <v>3636</v>
      </c>
      <c r="B86" s="2166">
        <v>5011</v>
      </c>
      <c r="C86" s="2166">
        <v>38500881</v>
      </c>
      <c r="D86" s="2167" t="s">
        <v>219</v>
      </c>
      <c r="E86" s="2168">
        <v>0</v>
      </c>
      <c r="F86" s="2168">
        <v>0</v>
      </c>
      <c r="G86" s="2168">
        <v>0</v>
      </c>
      <c r="H86" s="2169" t="e">
        <f t="shared" si="6"/>
        <v>#DIV/0!</v>
      </c>
    </row>
    <row r="87" spans="1:8" ht="30.75" thickTop="1" x14ac:dyDescent="0.2">
      <c r="A87" s="2165">
        <v>3121</v>
      </c>
      <c r="B87" s="2166">
        <v>5336</v>
      </c>
      <c r="C87" s="2170">
        <v>32133019</v>
      </c>
      <c r="D87" s="2167" t="s">
        <v>1325</v>
      </c>
      <c r="E87" s="2168">
        <v>0</v>
      </c>
      <c r="F87" s="2168">
        <f>13+185</f>
        <v>198</v>
      </c>
      <c r="G87" s="2168">
        <f>5+58</f>
        <v>63</v>
      </c>
      <c r="H87" s="2169">
        <f t="shared" si="6"/>
        <v>31.818181818181817</v>
      </c>
    </row>
    <row r="88" spans="1:8" ht="15" hidden="1" x14ac:dyDescent="0.2">
      <c r="A88" s="2165">
        <v>3636</v>
      </c>
      <c r="B88" s="2166">
        <v>5021</v>
      </c>
      <c r="C88" s="2166">
        <v>38500881</v>
      </c>
      <c r="D88" s="2167" t="s">
        <v>409</v>
      </c>
      <c r="E88" s="2168"/>
      <c r="F88" s="2168"/>
      <c r="G88" s="2168"/>
      <c r="H88" s="2169" t="e">
        <f t="shared" si="6"/>
        <v>#DIV/0!</v>
      </c>
    </row>
    <row r="89" spans="1:8" ht="30" hidden="1" x14ac:dyDescent="0.2">
      <c r="A89" s="2165">
        <v>3636</v>
      </c>
      <c r="B89" s="2166">
        <v>5031</v>
      </c>
      <c r="C89" s="2166">
        <v>38100880</v>
      </c>
      <c r="D89" s="2167" t="s">
        <v>1362</v>
      </c>
      <c r="E89" s="2168"/>
      <c r="F89" s="2168"/>
      <c r="G89" s="2168"/>
      <c r="H89" s="2169" t="e">
        <f t="shared" si="6"/>
        <v>#DIV/0!</v>
      </c>
    </row>
    <row r="90" spans="1:8" ht="30" hidden="1" x14ac:dyDescent="0.2">
      <c r="A90" s="2165">
        <v>3636</v>
      </c>
      <c r="B90" s="2166">
        <v>5031</v>
      </c>
      <c r="C90" s="2166">
        <v>38500881</v>
      </c>
      <c r="D90" s="2167" t="s">
        <v>1362</v>
      </c>
      <c r="E90" s="2168"/>
      <c r="F90" s="2168"/>
      <c r="G90" s="2168"/>
      <c r="H90" s="2169" t="e">
        <f t="shared" si="6"/>
        <v>#DIV/0!</v>
      </c>
    </row>
    <row r="91" spans="1:8" ht="30" hidden="1" x14ac:dyDescent="0.2">
      <c r="A91" s="2165">
        <v>3636</v>
      </c>
      <c r="B91" s="2166">
        <v>5032</v>
      </c>
      <c r="C91" s="2166">
        <v>38100880</v>
      </c>
      <c r="D91" s="2167" t="s">
        <v>1236</v>
      </c>
      <c r="E91" s="2168"/>
      <c r="F91" s="2168"/>
      <c r="G91" s="2168"/>
      <c r="H91" s="2169" t="e">
        <f t="shared" si="6"/>
        <v>#DIV/0!</v>
      </c>
    </row>
    <row r="92" spans="1:8" ht="30" hidden="1" x14ac:dyDescent="0.2">
      <c r="A92" s="2165">
        <v>3636</v>
      </c>
      <c r="B92" s="2166">
        <v>5032</v>
      </c>
      <c r="C92" s="2166">
        <v>38500881</v>
      </c>
      <c r="D92" s="2167" t="s">
        <v>1236</v>
      </c>
      <c r="E92" s="2168"/>
      <c r="F92" s="2168"/>
      <c r="G92" s="2168"/>
      <c r="H92" s="2169" t="e">
        <f t="shared" si="6"/>
        <v>#DIV/0!</v>
      </c>
    </row>
    <row r="93" spans="1:8" ht="15" hidden="1" x14ac:dyDescent="0.2">
      <c r="A93" s="2165">
        <v>3636</v>
      </c>
      <c r="B93" s="2166">
        <v>5139</v>
      </c>
      <c r="C93" s="2166">
        <v>38100880</v>
      </c>
      <c r="D93" s="2167" t="s">
        <v>284</v>
      </c>
      <c r="E93" s="2168"/>
      <c r="F93" s="2168"/>
      <c r="G93" s="2168"/>
      <c r="H93" s="2169">
        <v>0</v>
      </c>
    </row>
    <row r="94" spans="1:8" ht="15" hidden="1" x14ac:dyDescent="0.2">
      <c r="A94" s="2165">
        <v>3636</v>
      </c>
      <c r="B94" s="2166">
        <v>5139</v>
      </c>
      <c r="C94" s="2166">
        <v>38500881</v>
      </c>
      <c r="D94" s="2167" t="s">
        <v>284</v>
      </c>
      <c r="E94" s="2168"/>
      <c r="F94" s="2168"/>
      <c r="G94" s="2168"/>
      <c r="H94" s="2169" t="e">
        <f t="shared" ref="H94:H99" si="7">G94/F94*100</f>
        <v>#DIV/0!</v>
      </c>
    </row>
    <row r="95" spans="1:8" ht="15" hidden="1" x14ac:dyDescent="0.2">
      <c r="A95" s="2165">
        <v>3636</v>
      </c>
      <c r="B95" s="2166">
        <v>5162</v>
      </c>
      <c r="C95" s="2166">
        <v>38100880</v>
      </c>
      <c r="D95" s="2167" t="s">
        <v>904</v>
      </c>
      <c r="E95" s="2168"/>
      <c r="F95" s="2168"/>
      <c r="G95" s="2168"/>
      <c r="H95" s="2169" t="e">
        <f t="shared" si="7"/>
        <v>#DIV/0!</v>
      </c>
    </row>
    <row r="96" spans="1:8" ht="15" hidden="1" x14ac:dyDescent="0.2">
      <c r="A96" s="2165">
        <v>3636</v>
      </c>
      <c r="B96" s="2166">
        <v>5162</v>
      </c>
      <c r="C96" s="2166">
        <v>38500881</v>
      </c>
      <c r="D96" s="2167" t="s">
        <v>904</v>
      </c>
      <c r="E96" s="2168"/>
      <c r="F96" s="2168"/>
      <c r="G96" s="2168"/>
      <c r="H96" s="2169" t="e">
        <f t="shared" si="7"/>
        <v>#DIV/0!</v>
      </c>
    </row>
    <row r="97" spans="1:8" ht="15" hidden="1" x14ac:dyDescent="0.2">
      <c r="A97" s="2165">
        <v>3636</v>
      </c>
      <c r="B97" s="2166">
        <v>5164</v>
      </c>
      <c r="C97" s="2166">
        <v>38100880</v>
      </c>
      <c r="D97" s="2167" t="s">
        <v>182</v>
      </c>
      <c r="E97" s="2168"/>
      <c r="F97" s="2168"/>
      <c r="G97" s="2168"/>
      <c r="H97" s="2169" t="e">
        <f t="shared" si="7"/>
        <v>#DIV/0!</v>
      </c>
    </row>
    <row r="98" spans="1:8" ht="15" hidden="1" x14ac:dyDescent="0.2">
      <c r="A98" s="2165">
        <v>3636</v>
      </c>
      <c r="B98" s="2166">
        <v>5164</v>
      </c>
      <c r="C98" s="2166">
        <v>38500881</v>
      </c>
      <c r="D98" s="2167" t="s">
        <v>182</v>
      </c>
      <c r="E98" s="2168"/>
      <c r="F98" s="2168"/>
      <c r="G98" s="2168"/>
      <c r="H98" s="2169" t="e">
        <f t="shared" si="7"/>
        <v>#DIV/0!</v>
      </c>
    </row>
    <row r="99" spans="1:8" ht="30.75" thickBot="1" x14ac:dyDescent="0.25">
      <c r="A99" s="2165">
        <v>3121</v>
      </c>
      <c r="B99" s="2166">
        <v>5336</v>
      </c>
      <c r="C99" s="2170">
        <v>32533019</v>
      </c>
      <c r="D99" s="2167" t="s">
        <v>1325</v>
      </c>
      <c r="E99" s="2168">
        <v>0</v>
      </c>
      <c r="F99" s="2168">
        <f>73+1048</f>
        <v>1121</v>
      </c>
      <c r="G99" s="2168">
        <f>28+329</f>
        <v>357</v>
      </c>
      <c r="H99" s="2169">
        <f t="shared" si="7"/>
        <v>31.846565566458519</v>
      </c>
    </row>
    <row r="100" spans="1:8" ht="15.75" hidden="1" thickBot="1" x14ac:dyDescent="0.25">
      <c r="A100" s="2165">
        <v>6223</v>
      </c>
      <c r="B100" s="2166">
        <v>5166</v>
      </c>
      <c r="C100" s="2166">
        <v>41100880</v>
      </c>
      <c r="D100" s="2167" t="s">
        <v>646</v>
      </c>
      <c r="E100" s="2168"/>
      <c r="F100" s="2168"/>
      <c r="G100" s="2168"/>
      <c r="H100" s="2169" t="e">
        <f t="shared" ref="H100:H106" si="8">G100/F100*100</f>
        <v>#DIV/0!</v>
      </c>
    </row>
    <row r="101" spans="1:8" ht="15.75" hidden="1" thickBot="1" x14ac:dyDescent="0.25">
      <c r="A101" s="2165">
        <v>6223</v>
      </c>
      <c r="B101" s="2166">
        <v>5166</v>
      </c>
      <c r="C101" s="2166">
        <v>41100882</v>
      </c>
      <c r="D101" s="2167" t="s">
        <v>646</v>
      </c>
      <c r="E101" s="2168"/>
      <c r="F101" s="2168"/>
      <c r="G101" s="2168"/>
      <c r="H101" s="2169" t="e">
        <f t="shared" si="8"/>
        <v>#DIV/0!</v>
      </c>
    </row>
    <row r="102" spans="1:8" ht="15.75" hidden="1" thickBot="1" x14ac:dyDescent="0.25">
      <c r="A102" s="2165">
        <v>6223</v>
      </c>
      <c r="B102" s="2166">
        <v>5166</v>
      </c>
      <c r="C102" s="2166">
        <v>41500881</v>
      </c>
      <c r="D102" s="2167" t="s">
        <v>646</v>
      </c>
      <c r="E102" s="2168"/>
      <c r="F102" s="2168"/>
      <c r="G102" s="2168"/>
      <c r="H102" s="2169" t="e">
        <f t="shared" si="8"/>
        <v>#DIV/0!</v>
      </c>
    </row>
    <row r="103" spans="1:8" ht="15.75" hidden="1" thickBot="1" x14ac:dyDescent="0.25">
      <c r="A103" s="2165">
        <v>3636</v>
      </c>
      <c r="B103" s="2166">
        <v>5167</v>
      </c>
      <c r="C103" s="2166">
        <v>38100880</v>
      </c>
      <c r="D103" s="2167" t="s">
        <v>937</v>
      </c>
      <c r="E103" s="2168"/>
      <c r="F103" s="2168"/>
      <c r="G103" s="2168"/>
      <c r="H103" s="2169" t="e">
        <f t="shared" si="8"/>
        <v>#DIV/0!</v>
      </c>
    </row>
    <row r="104" spans="1:8" ht="15.75" hidden="1" thickBot="1" x14ac:dyDescent="0.25">
      <c r="A104" s="2165">
        <v>3636</v>
      </c>
      <c r="B104" s="2166">
        <v>5167</v>
      </c>
      <c r="C104" s="2166">
        <v>38500881</v>
      </c>
      <c r="D104" s="2167" t="s">
        <v>937</v>
      </c>
      <c r="E104" s="2168"/>
      <c r="F104" s="2168"/>
      <c r="G104" s="2168"/>
      <c r="H104" s="2169" t="e">
        <f t="shared" si="8"/>
        <v>#DIV/0!</v>
      </c>
    </row>
    <row r="105" spans="1:8" ht="15.75" hidden="1" thickBot="1" x14ac:dyDescent="0.25">
      <c r="A105" s="2165">
        <v>3636</v>
      </c>
      <c r="B105" s="2166">
        <v>5169</v>
      </c>
      <c r="C105" s="2166">
        <v>38100880</v>
      </c>
      <c r="D105" s="2167" t="s">
        <v>892</v>
      </c>
      <c r="E105" s="2168"/>
      <c r="F105" s="2168"/>
      <c r="G105" s="2168"/>
      <c r="H105" s="2169" t="e">
        <f t="shared" si="8"/>
        <v>#DIV/0!</v>
      </c>
    </row>
    <row r="106" spans="1:8" ht="15.75" hidden="1" thickBot="1" x14ac:dyDescent="0.25">
      <c r="A106" s="2165">
        <v>3636</v>
      </c>
      <c r="B106" s="2166">
        <v>5169</v>
      </c>
      <c r="C106" s="2166">
        <v>38500881</v>
      </c>
      <c r="D106" s="2167" t="s">
        <v>892</v>
      </c>
      <c r="E106" s="2168"/>
      <c r="F106" s="2168"/>
      <c r="G106" s="2168"/>
      <c r="H106" s="2169" t="e">
        <f t="shared" si="8"/>
        <v>#DIV/0!</v>
      </c>
    </row>
    <row r="107" spans="1:8" ht="15.75" hidden="1" thickBot="1" x14ac:dyDescent="0.25">
      <c r="A107" s="2165">
        <v>6223</v>
      </c>
      <c r="B107" s="2166">
        <v>5173</v>
      </c>
      <c r="C107" s="2170">
        <v>0</v>
      </c>
      <c r="D107" s="2167" t="s">
        <v>1211</v>
      </c>
      <c r="E107" s="2168"/>
      <c r="F107" s="2168"/>
      <c r="G107" s="2168"/>
      <c r="H107" s="2169">
        <v>0</v>
      </c>
    </row>
    <row r="108" spans="1:8" ht="15.75" hidden="1" thickBot="1" x14ac:dyDescent="0.25">
      <c r="A108" s="2165">
        <v>3636</v>
      </c>
      <c r="B108" s="2166">
        <v>5173</v>
      </c>
      <c r="C108" s="2166">
        <v>38500881</v>
      </c>
      <c r="D108" s="2167" t="s">
        <v>1211</v>
      </c>
      <c r="E108" s="2168">
        <v>0</v>
      </c>
      <c r="F108" s="2168"/>
      <c r="G108" s="2168"/>
      <c r="H108" s="2169" t="e">
        <f t="shared" ref="H108:H114" si="9">G108/F108*100</f>
        <v>#DIV/0!</v>
      </c>
    </row>
    <row r="109" spans="1:8" ht="15.75" hidden="1" thickBot="1" x14ac:dyDescent="0.25">
      <c r="A109" s="2165">
        <v>3636</v>
      </c>
      <c r="B109" s="2166">
        <v>5175</v>
      </c>
      <c r="C109" s="2166">
        <v>38100880</v>
      </c>
      <c r="D109" s="2167" t="s">
        <v>707</v>
      </c>
      <c r="E109" s="2168">
        <v>0</v>
      </c>
      <c r="F109" s="2168"/>
      <c r="G109" s="2168"/>
      <c r="H109" s="2169" t="e">
        <f t="shared" si="9"/>
        <v>#DIV/0!</v>
      </c>
    </row>
    <row r="110" spans="1:8" ht="15.75" hidden="1" thickBot="1" x14ac:dyDescent="0.25">
      <c r="A110" s="2165">
        <v>3636</v>
      </c>
      <c r="B110" s="2166">
        <v>5175</v>
      </c>
      <c r="C110" s="2166">
        <v>38500881</v>
      </c>
      <c r="D110" s="2167" t="s">
        <v>707</v>
      </c>
      <c r="E110" s="2168">
        <v>0</v>
      </c>
      <c r="F110" s="2168"/>
      <c r="G110" s="2168"/>
      <c r="H110" s="2169" t="e">
        <f t="shared" si="9"/>
        <v>#DIV/0!</v>
      </c>
    </row>
    <row r="111" spans="1:8" ht="15.75" hidden="1" thickBot="1" x14ac:dyDescent="0.25">
      <c r="A111" s="2165">
        <v>3636</v>
      </c>
      <c r="B111" s="2166">
        <v>5176</v>
      </c>
      <c r="C111" s="2166">
        <v>38100880</v>
      </c>
      <c r="D111" s="2167" t="s">
        <v>1309</v>
      </c>
      <c r="E111" s="2168">
        <v>0</v>
      </c>
      <c r="F111" s="2168"/>
      <c r="G111" s="2168"/>
      <c r="H111" s="2169" t="e">
        <f t="shared" si="9"/>
        <v>#DIV/0!</v>
      </c>
    </row>
    <row r="112" spans="1:8" ht="15.75" hidden="1" thickBot="1" x14ac:dyDescent="0.25">
      <c r="A112" s="2165">
        <v>3636</v>
      </c>
      <c r="B112" s="2166">
        <v>5176</v>
      </c>
      <c r="C112" s="2166">
        <v>38500881</v>
      </c>
      <c r="D112" s="2167" t="s">
        <v>1309</v>
      </c>
      <c r="E112" s="2168">
        <v>0</v>
      </c>
      <c r="F112" s="2168"/>
      <c r="G112" s="2168"/>
      <c r="H112" s="2169" t="e">
        <f t="shared" si="9"/>
        <v>#DIV/0!</v>
      </c>
    </row>
    <row r="113" spans="1:8" ht="15.75" hidden="1" thickBot="1" x14ac:dyDescent="0.25">
      <c r="A113" s="2165">
        <v>3636</v>
      </c>
      <c r="B113" s="2166">
        <v>6901</v>
      </c>
      <c r="C113" s="2166">
        <v>38100880</v>
      </c>
      <c r="D113" s="2167" t="s">
        <v>449</v>
      </c>
      <c r="E113" s="2168">
        <v>0</v>
      </c>
      <c r="F113" s="2168">
        <v>0</v>
      </c>
      <c r="G113" s="2168">
        <v>0</v>
      </c>
      <c r="H113" s="2169" t="e">
        <f t="shared" si="9"/>
        <v>#DIV/0!</v>
      </c>
    </row>
    <row r="114" spans="1:8" ht="15.75" hidden="1" thickBot="1" x14ac:dyDescent="0.25">
      <c r="A114" s="2165">
        <v>3636</v>
      </c>
      <c r="B114" s="2166">
        <v>5363</v>
      </c>
      <c r="C114" s="2166">
        <v>38500881</v>
      </c>
      <c r="D114" s="2167" t="s">
        <v>585</v>
      </c>
      <c r="E114" s="2168">
        <v>0</v>
      </c>
      <c r="F114" s="2168">
        <v>0</v>
      </c>
      <c r="G114" s="2168">
        <v>0</v>
      </c>
      <c r="H114" s="2171" t="e">
        <f t="shared" si="9"/>
        <v>#DIV/0!</v>
      </c>
    </row>
    <row r="115" spans="1:8" ht="16.5" thickTop="1" thickBot="1" x14ac:dyDescent="0.3">
      <c r="A115" s="2750" t="s">
        <v>802</v>
      </c>
      <c r="B115" s="2751"/>
      <c r="C115" s="2751"/>
      <c r="D115" s="2751"/>
      <c r="E115" s="1957">
        <f>SUM(E85:E114)</f>
        <v>0</v>
      </c>
      <c r="F115" s="1957">
        <f>SUM(F85:F114)</f>
        <v>1319</v>
      </c>
      <c r="G115" s="1957">
        <f>SUM(G85:G114)</f>
        <v>420</v>
      </c>
      <c r="H115" s="1962">
        <v>0</v>
      </c>
    </row>
    <row r="116" spans="1:8" ht="13.5" thickTop="1" x14ac:dyDescent="0.2"/>
    <row r="117" spans="1:8" ht="12" customHeight="1" x14ac:dyDescent="0.25">
      <c r="A117" s="2744" t="s">
        <v>1666</v>
      </c>
      <c r="B117" s="2745"/>
      <c r="C117" s="2745"/>
      <c r="D117" s="2745"/>
      <c r="E117" s="2745"/>
      <c r="F117" s="2745"/>
      <c r="G117" s="2745"/>
      <c r="H117" s="2745"/>
    </row>
    <row r="118" spans="1:8" ht="15.75" thickBot="1" x14ac:dyDescent="0.3">
      <c r="A118" s="2132" t="s">
        <v>1328</v>
      </c>
      <c r="B118" s="2146"/>
      <c r="C118" s="2146"/>
      <c r="E118" s="2147"/>
      <c r="F118" s="2147"/>
      <c r="G118" s="2147"/>
      <c r="H118" s="2148" t="s">
        <v>173</v>
      </c>
    </row>
    <row r="119" spans="1:8" ht="25.5" thickTop="1" thickBot="1" x14ac:dyDescent="0.25">
      <c r="A119" s="1943" t="s">
        <v>174</v>
      </c>
      <c r="B119" s="1944" t="s">
        <v>800</v>
      </c>
      <c r="C119" s="1944" t="s">
        <v>397</v>
      </c>
      <c r="D119" s="1945" t="s">
        <v>176</v>
      </c>
      <c r="E119" s="1976" t="s">
        <v>669</v>
      </c>
      <c r="F119" s="1976" t="s">
        <v>670</v>
      </c>
      <c r="G119" s="1977" t="s">
        <v>923</v>
      </c>
      <c r="H119" s="1978" t="s">
        <v>924</v>
      </c>
    </row>
    <row r="120" spans="1:8" ht="14.25" thickTop="1" thickBot="1" x14ac:dyDescent="0.25">
      <c r="A120" s="1740">
        <v>1</v>
      </c>
      <c r="B120" s="1739">
        <v>2</v>
      </c>
      <c r="C120" s="1739">
        <v>3</v>
      </c>
      <c r="D120" s="1739">
        <v>4</v>
      </c>
      <c r="E120" s="1738">
        <v>5</v>
      </c>
      <c r="F120" s="1738">
        <v>6</v>
      </c>
      <c r="G120" s="2028">
        <v>7</v>
      </c>
      <c r="H120" s="2054" t="s">
        <v>61</v>
      </c>
    </row>
    <row r="121" spans="1:8" ht="15.75" hidden="1" thickTop="1" x14ac:dyDescent="0.2">
      <c r="A121" s="2160">
        <v>3636</v>
      </c>
      <c r="B121" s="2161">
        <v>5011</v>
      </c>
      <c r="C121" s="2170">
        <v>0</v>
      </c>
      <c r="D121" s="2162" t="s">
        <v>219</v>
      </c>
      <c r="E121" s="2163">
        <v>0</v>
      </c>
      <c r="F121" s="2163">
        <v>0</v>
      </c>
      <c r="G121" s="2163">
        <v>0</v>
      </c>
      <c r="H121" s="2164" t="e">
        <f t="shared" ref="H121:H128" si="10">G121/F121*100</f>
        <v>#DIV/0!</v>
      </c>
    </row>
    <row r="122" spans="1:8" ht="15.75" hidden="1" thickTop="1" x14ac:dyDescent="0.2">
      <c r="A122" s="2165">
        <v>3636</v>
      </c>
      <c r="B122" s="2166">
        <v>5011</v>
      </c>
      <c r="C122" s="2166">
        <v>38500881</v>
      </c>
      <c r="D122" s="2167" t="s">
        <v>219</v>
      </c>
      <c r="E122" s="2168">
        <v>0</v>
      </c>
      <c r="F122" s="2168">
        <v>0</v>
      </c>
      <c r="G122" s="2168">
        <v>0</v>
      </c>
      <c r="H122" s="2169" t="e">
        <f t="shared" si="10"/>
        <v>#DIV/0!</v>
      </c>
    </row>
    <row r="123" spans="1:8" ht="30.75" thickTop="1" x14ac:dyDescent="0.2">
      <c r="A123" s="2165">
        <v>3121</v>
      </c>
      <c r="B123" s="2166">
        <v>5336</v>
      </c>
      <c r="C123" s="2170">
        <v>32133019</v>
      </c>
      <c r="D123" s="2167" t="s">
        <v>1325</v>
      </c>
      <c r="E123" s="2168">
        <v>0</v>
      </c>
      <c r="F123" s="2168">
        <f>5+59</f>
        <v>64</v>
      </c>
      <c r="G123" s="2168">
        <f>5+59</f>
        <v>64</v>
      </c>
      <c r="H123" s="2169">
        <f t="shared" si="10"/>
        <v>100</v>
      </c>
    </row>
    <row r="124" spans="1:8" ht="15" hidden="1" x14ac:dyDescent="0.2">
      <c r="A124" s="2165">
        <v>3636</v>
      </c>
      <c r="B124" s="2166">
        <v>5021</v>
      </c>
      <c r="C124" s="2166">
        <v>38500881</v>
      </c>
      <c r="D124" s="2167" t="s">
        <v>409</v>
      </c>
      <c r="E124" s="2168"/>
      <c r="F124" s="2168"/>
      <c r="G124" s="2168"/>
      <c r="H124" s="2169" t="e">
        <f t="shared" si="10"/>
        <v>#DIV/0!</v>
      </c>
    </row>
    <row r="125" spans="1:8" ht="30" hidden="1" x14ac:dyDescent="0.2">
      <c r="A125" s="2165">
        <v>3636</v>
      </c>
      <c r="B125" s="2166">
        <v>5031</v>
      </c>
      <c r="C125" s="2166">
        <v>38100880</v>
      </c>
      <c r="D125" s="2167" t="s">
        <v>1362</v>
      </c>
      <c r="E125" s="2168"/>
      <c r="F125" s="2168"/>
      <c r="G125" s="2168"/>
      <c r="H125" s="2169" t="e">
        <f t="shared" si="10"/>
        <v>#DIV/0!</v>
      </c>
    </row>
    <row r="126" spans="1:8" ht="30" hidden="1" x14ac:dyDescent="0.2">
      <c r="A126" s="2165">
        <v>3636</v>
      </c>
      <c r="B126" s="2166">
        <v>5031</v>
      </c>
      <c r="C126" s="2166">
        <v>38500881</v>
      </c>
      <c r="D126" s="2167" t="s">
        <v>1362</v>
      </c>
      <c r="E126" s="2168"/>
      <c r="F126" s="2168"/>
      <c r="G126" s="2168"/>
      <c r="H126" s="2169" t="e">
        <f t="shared" si="10"/>
        <v>#DIV/0!</v>
      </c>
    </row>
    <row r="127" spans="1:8" ht="30" hidden="1" x14ac:dyDescent="0.2">
      <c r="A127" s="2165">
        <v>3636</v>
      </c>
      <c r="B127" s="2166">
        <v>5032</v>
      </c>
      <c r="C127" s="2166">
        <v>38100880</v>
      </c>
      <c r="D127" s="2167" t="s">
        <v>1236</v>
      </c>
      <c r="E127" s="2168"/>
      <c r="F127" s="2168"/>
      <c r="G127" s="2168"/>
      <c r="H127" s="2169" t="e">
        <f t="shared" si="10"/>
        <v>#DIV/0!</v>
      </c>
    </row>
    <row r="128" spans="1:8" ht="30" hidden="1" x14ac:dyDescent="0.2">
      <c r="A128" s="2165">
        <v>3636</v>
      </c>
      <c r="B128" s="2166">
        <v>5032</v>
      </c>
      <c r="C128" s="2166">
        <v>38500881</v>
      </c>
      <c r="D128" s="2167" t="s">
        <v>1236</v>
      </c>
      <c r="E128" s="2168"/>
      <c r="F128" s="2168"/>
      <c r="G128" s="2168"/>
      <c r="H128" s="2169" t="e">
        <f t="shared" si="10"/>
        <v>#DIV/0!</v>
      </c>
    </row>
    <row r="129" spans="1:8" ht="15" hidden="1" x14ac:dyDescent="0.2">
      <c r="A129" s="2165">
        <v>3636</v>
      </c>
      <c r="B129" s="2166">
        <v>5139</v>
      </c>
      <c r="C129" s="2166">
        <v>38100880</v>
      </c>
      <c r="D129" s="2167" t="s">
        <v>284</v>
      </c>
      <c r="E129" s="2168"/>
      <c r="F129" s="2168"/>
      <c r="G129" s="2168"/>
      <c r="H129" s="2169">
        <v>0</v>
      </c>
    </row>
    <row r="130" spans="1:8" ht="15" hidden="1" x14ac:dyDescent="0.2">
      <c r="A130" s="2165">
        <v>3636</v>
      </c>
      <c r="B130" s="2166">
        <v>5139</v>
      </c>
      <c r="C130" s="2166">
        <v>38500881</v>
      </c>
      <c r="D130" s="2167" t="s">
        <v>284</v>
      </c>
      <c r="E130" s="2168"/>
      <c r="F130" s="2168"/>
      <c r="G130" s="2168"/>
      <c r="H130" s="2169" t="e">
        <f t="shared" ref="H130:H135" si="11">G130/F130*100</f>
        <v>#DIV/0!</v>
      </c>
    </row>
    <row r="131" spans="1:8" ht="15" hidden="1" x14ac:dyDescent="0.2">
      <c r="A131" s="2165">
        <v>3636</v>
      </c>
      <c r="B131" s="2166">
        <v>5162</v>
      </c>
      <c r="C131" s="2166">
        <v>38100880</v>
      </c>
      <c r="D131" s="2167" t="s">
        <v>904</v>
      </c>
      <c r="E131" s="2168"/>
      <c r="F131" s="2168"/>
      <c r="G131" s="2168"/>
      <c r="H131" s="2169" t="e">
        <f t="shared" si="11"/>
        <v>#DIV/0!</v>
      </c>
    </row>
    <row r="132" spans="1:8" ht="15" hidden="1" x14ac:dyDescent="0.2">
      <c r="A132" s="2165">
        <v>3636</v>
      </c>
      <c r="B132" s="2166">
        <v>5162</v>
      </c>
      <c r="C132" s="2166">
        <v>38500881</v>
      </c>
      <c r="D132" s="2167" t="s">
        <v>904</v>
      </c>
      <c r="E132" s="2168"/>
      <c r="F132" s="2168"/>
      <c r="G132" s="2168"/>
      <c r="H132" s="2169" t="e">
        <f t="shared" si="11"/>
        <v>#DIV/0!</v>
      </c>
    </row>
    <row r="133" spans="1:8" ht="15" hidden="1" x14ac:dyDescent="0.2">
      <c r="A133" s="2165">
        <v>3636</v>
      </c>
      <c r="B133" s="2166">
        <v>5164</v>
      </c>
      <c r="C133" s="2166">
        <v>38100880</v>
      </c>
      <c r="D133" s="2167" t="s">
        <v>182</v>
      </c>
      <c r="E133" s="2168"/>
      <c r="F133" s="2168"/>
      <c r="G133" s="2168"/>
      <c r="H133" s="2169" t="e">
        <f t="shared" si="11"/>
        <v>#DIV/0!</v>
      </c>
    </row>
    <row r="134" spans="1:8" ht="15" hidden="1" x14ac:dyDescent="0.2">
      <c r="A134" s="2165">
        <v>3636</v>
      </c>
      <c r="B134" s="2166">
        <v>5164</v>
      </c>
      <c r="C134" s="2166">
        <v>38500881</v>
      </c>
      <c r="D134" s="2167" t="s">
        <v>182</v>
      </c>
      <c r="E134" s="2168"/>
      <c r="F134" s="2168"/>
      <c r="G134" s="2168"/>
      <c r="H134" s="2169" t="e">
        <f t="shared" si="11"/>
        <v>#DIV/0!</v>
      </c>
    </row>
    <row r="135" spans="1:8" ht="30.75" thickBot="1" x14ac:dyDescent="0.25">
      <c r="A135" s="2165">
        <v>3121</v>
      </c>
      <c r="B135" s="2166">
        <v>5336</v>
      </c>
      <c r="C135" s="2170">
        <v>32533019</v>
      </c>
      <c r="D135" s="2167" t="s">
        <v>1325</v>
      </c>
      <c r="E135" s="2168">
        <v>0</v>
      </c>
      <c r="F135" s="2168">
        <f>28+334</f>
        <v>362</v>
      </c>
      <c r="G135" s="2168">
        <f>28+334</f>
        <v>362</v>
      </c>
      <c r="H135" s="2169">
        <f t="shared" si="11"/>
        <v>100</v>
      </c>
    </row>
    <row r="136" spans="1:8" ht="15.75" hidden="1" thickBot="1" x14ac:dyDescent="0.25">
      <c r="A136" s="2165">
        <v>6223</v>
      </c>
      <c r="B136" s="2166">
        <v>5166</v>
      </c>
      <c r="C136" s="2166">
        <v>41100880</v>
      </c>
      <c r="D136" s="2167" t="s">
        <v>646</v>
      </c>
      <c r="E136" s="2168"/>
      <c r="F136" s="2168"/>
      <c r="G136" s="2168"/>
      <c r="H136" s="2169" t="e">
        <f t="shared" ref="H136:H142" si="12">G136/F136*100</f>
        <v>#DIV/0!</v>
      </c>
    </row>
    <row r="137" spans="1:8" ht="15.75" hidden="1" thickBot="1" x14ac:dyDescent="0.25">
      <c r="A137" s="2165">
        <v>6223</v>
      </c>
      <c r="B137" s="2166">
        <v>5166</v>
      </c>
      <c r="C137" s="2166">
        <v>41100882</v>
      </c>
      <c r="D137" s="2167" t="s">
        <v>646</v>
      </c>
      <c r="E137" s="2168"/>
      <c r="F137" s="2168"/>
      <c r="G137" s="2168"/>
      <c r="H137" s="2169" t="e">
        <f t="shared" si="12"/>
        <v>#DIV/0!</v>
      </c>
    </row>
    <row r="138" spans="1:8" ht="15.75" hidden="1" thickBot="1" x14ac:dyDescent="0.25">
      <c r="A138" s="2165">
        <v>6223</v>
      </c>
      <c r="B138" s="2166">
        <v>5166</v>
      </c>
      <c r="C138" s="2166">
        <v>41500881</v>
      </c>
      <c r="D138" s="2167" t="s">
        <v>646</v>
      </c>
      <c r="E138" s="2168"/>
      <c r="F138" s="2168"/>
      <c r="G138" s="2168"/>
      <c r="H138" s="2169" t="e">
        <f t="shared" si="12"/>
        <v>#DIV/0!</v>
      </c>
    </row>
    <row r="139" spans="1:8" ht="15.75" hidden="1" thickBot="1" x14ac:dyDescent="0.25">
      <c r="A139" s="2165">
        <v>3636</v>
      </c>
      <c r="B139" s="2166">
        <v>5167</v>
      </c>
      <c r="C139" s="2166">
        <v>38100880</v>
      </c>
      <c r="D139" s="2167" t="s">
        <v>937</v>
      </c>
      <c r="E139" s="2168"/>
      <c r="F139" s="2168"/>
      <c r="G139" s="2168"/>
      <c r="H139" s="2169" t="e">
        <f t="shared" si="12"/>
        <v>#DIV/0!</v>
      </c>
    </row>
    <row r="140" spans="1:8" ht="15.75" hidden="1" thickBot="1" x14ac:dyDescent="0.25">
      <c r="A140" s="2165">
        <v>3636</v>
      </c>
      <c r="B140" s="2166">
        <v>5167</v>
      </c>
      <c r="C140" s="2166">
        <v>38500881</v>
      </c>
      <c r="D140" s="2167" t="s">
        <v>937</v>
      </c>
      <c r="E140" s="2168"/>
      <c r="F140" s="2168"/>
      <c r="G140" s="2168"/>
      <c r="H140" s="2169" t="e">
        <f t="shared" si="12"/>
        <v>#DIV/0!</v>
      </c>
    </row>
    <row r="141" spans="1:8" ht="15.75" hidden="1" thickBot="1" x14ac:dyDescent="0.25">
      <c r="A141" s="2165">
        <v>3636</v>
      </c>
      <c r="B141" s="2166">
        <v>5169</v>
      </c>
      <c r="C141" s="2166">
        <v>38100880</v>
      </c>
      <c r="D141" s="2167" t="s">
        <v>892</v>
      </c>
      <c r="E141" s="2168"/>
      <c r="F141" s="2168"/>
      <c r="G141" s="2168"/>
      <c r="H141" s="2169" t="e">
        <f t="shared" si="12"/>
        <v>#DIV/0!</v>
      </c>
    </row>
    <row r="142" spans="1:8" ht="15.75" hidden="1" thickBot="1" x14ac:dyDescent="0.25">
      <c r="A142" s="2165">
        <v>3636</v>
      </c>
      <c r="B142" s="2166">
        <v>5169</v>
      </c>
      <c r="C142" s="2166">
        <v>38500881</v>
      </c>
      <c r="D142" s="2167" t="s">
        <v>892</v>
      </c>
      <c r="E142" s="2168"/>
      <c r="F142" s="2168"/>
      <c r="G142" s="2168"/>
      <c r="H142" s="2169" t="e">
        <f t="shared" si="12"/>
        <v>#DIV/0!</v>
      </c>
    </row>
    <row r="143" spans="1:8" ht="15.75" hidden="1" thickBot="1" x14ac:dyDescent="0.25">
      <c r="A143" s="2165">
        <v>6223</v>
      </c>
      <c r="B143" s="2166">
        <v>5173</v>
      </c>
      <c r="C143" s="2170">
        <v>0</v>
      </c>
      <c r="D143" s="2167" t="s">
        <v>1211</v>
      </c>
      <c r="E143" s="2168"/>
      <c r="F143" s="2168"/>
      <c r="G143" s="2168"/>
      <c r="H143" s="2169">
        <v>0</v>
      </c>
    </row>
    <row r="144" spans="1:8" ht="15.75" hidden="1" thickBot="1" x14ac:dyDescent="0.25">
      <c r="A144" s="2165">
        <v>3636</v>
      </c>
      <c r="B144" s="2166">
        <v>5173</v>
      </c>
      <c r="C144" s="2166">
        <v>38500881</v>
      </c>
      <c r="D144" s="2167" t="s">
        <v>1211</v>
      </c>
      <c r="E144" s="2168">
        <v>0</v>
      </c>
      <c r="F144" s="2168"/>
      <c r="G144" s="2168"/>
      <c r="H144" s="2169" t="e">
        <f t="shared" ref="H144:H150" si="13">G144/F144*100</f>
        <v>#DIV/0!</v>
      </c>
    </row>
    <row r="145" spans="1:8" ht="15.75" hidden="1" thickBot="1" x14ac:dyDescent="0.25">
      <c r="A145" s="2165">
        <v>3636</v>
      </c>
      <c r="B145" s="2166">
        <v>5175</v>
      </c>
      <c r="C145" s="2166">
        <v>38100880</v>
      </c>
      <c r="D145" s="2167" t="s">
        <v>707</v>
      </c>
      <c r="E145" s="2168">
        <v>0</v>
      </c>
      <c r="F145" s="2168"/>
      <c r="G145" s="2168"/>
      <c r="H145" s="2169" t="e">
        <f t="shared" si="13"/>
        <v>#DIV/0!</v>
      </c>
    </row>
    <row r="146" spans="1:8" ht="15.75" hidden="1" thickBot="1" x14ac:dyDescent="0.25">
      <c r="A146" s="2165">
        <v>3636</v>
      </c>
      <c r="B146" s="2166">
        <v>5175</v>
      </c>
      <c r="C146" s="2166">
        <v>38500881</v>
      </c>
      <c r="D146" s="2167" t="s">
        <v>707</v>
      </c>
      <c r="E146" s="2168">
        <v>0</v>
      </c>
      <c r="F146" s="2168"/>
      <c r="G146" s="2168"/>
      <c r="H146" s="2169" t="e">
        <f t="shared" si="13"/>
        <v>#DIV/0!</v>
      </c>
    </row>
    <row r="147" spans="1:8" ht="15.75" hidden="1" thickBot="1" x14ac:dyDescent="0.25">
      <c r="A147" s="2165">
        <v>3636</v>
      </c>
      <c r="B147" s="2166">
        <v>5176</v>
      </c>
      <c r="C147" s="2166">
        <v>38100880</v>
      </c>
      <c r="D147" s="2167" t="s">
        <v>1309</v>
      </c>
      <c r="E147" s="2168">
        <v>0</v>
      </c>
      <c r="F147" s="2168"/>
      <c r="G147" s="2168"/>
      <c r="H147" s="2169" t="e">
        <f t="shared" si="13"/>
        <v>#DIV/0!</v>
      </c>
    </row>
    <row r="148" spans="1:8" ht="15.75" hidden="1" thickBot="1" x14ac:dyDescent="0.25">
      <c r="A148" s="2165">
        <v>3636</v>
      </c>
      <c r="B148" s="2166">
        <v>5176</v>
      </c>
      <c r="C148" s="2166">
        <v>38500881</v>
      </c>
      <c r="D148" s="2167" t="s">
        <v>1309</v>
      </c>
      <c r="E148" s="2168">
        <v>0</v>
      </c>
      <c r="F148" s="2168"/>
      <c r="G148" s="2168"/>
      <c r="H148" s="2169" t="e">
        <f t="shared" si="13"/>
        <v>#DIV/0!</v>
      </c>
    </row>
    <row r="149" spans="1:8" ht="15.75" hidden="1" thickBot="1" x14ac:dyDescent="0.25">
      <c r="A149" s="2165">
        <v>3636</v>
      </c>
      <c r="B149" s="2166">
        <v>6901</v>
      </c>
      <c r="C149" s="2166">
        <v>38100880</v>
      </c>
      <c r="D149" s="2167" t="s">
        <v>449</v>
      </c>
      <c r="E149" s="2168">
        <v>0</v>
      </c>
      <c r="F149" s="2168">
        <v>0</v>
      </c>
      <c r="G149" s="2168">
        <v>0</v>
      </c>
      <c r="H149" s="2169" t="e">
        <f t="shared" si="13"/>
        <v>#DIV/0!</v>
      </c>
    </row>
    <row r="150" spans="1:8" ht="15.75" hidden="1" thickBot="1" x14ac:dyDescent="0.25">
      <c r="A150" s="2165">
        <v>3636</v>
      </c>
      <c r="B150" s="2166">
        <v>5363</v>
      </c>
      <c r="C150" s="2166">
        <v>38500881</v>
      </c>
      <c r="D150" s="2167" t="s">
        <v>585</v>
      </c>
      <c r="E150" s="2168">
        <v>0</v>
      </c>
      <c r="F150" s="2168">
        <v>0</v>
      </c>
      <c r="G150" s="2168">
        <v>0</v>
      </c>
      <c r="H150" s="2171" t="e">
        <f t="shared" si="13"/>
        <v>#DIV/0!</v>
      </c>
    </row>
    <row r="151" spans="1:8" ht="16.5" thickTop="1" thickBot="1" x14ac:dyDescent="0.3">
      <c r="A151" s="2750" t="s">
        <v>802</v>
      </c>
      <c r="B151" s="2751"/>
      <c r="C151" s="2751"/>
      <c r="D151" s="2751"/>
      <c r="E151" s="1957">
        <f>SUM(E121:E150)</f>
        <v>0</v>
      </c>
      <c r="F151" s="1957">
        <f>SUM(F121:F150)</f>
        <v>426</v>
      </c>
      <c r="G151" s="1957">
        <f>SUM(G121:G150)</f>
        <v>426</v>
      </c>
      <c r="H151" s="1962">
        <v>0</v>
      </c>
    </row>
    <row r="152" spans="1:8" ht="13.5" thickTop="1" x14ac:dyDescent="0.2"/>
    <row r="153" spans="1:8" ht="12" customHeight="1" x14ac:dyDescent="0.25">
      <c r="A153" s="2744" t="s">
        <v>679</v>
      </c>
      <c r="B153" s="2745"/>
      <c r="C153" s="2745"/>
      <c r="D153" s="2745"/>
      <c r="E153" s="2745"/>
      <c r="F153" s="2745"/>
      <c r="G153" s="2745"/>
      <c r="H153" s="2745"/>
    </row>
    <row r="154" spans="1:8" ht="15.75" thickBot="1" x14ac:dyDescent="0.3">
      <c r="A154" s="2132" t="s">
        <v>1926</v>
      </c>
      <c r="B154" s="2146"/>
      <c r="C154" s="2146"/>
      <c r="E154" s="2147"/>
      <c r="F154" s="2147"/>
      <c r="G154" s="2147"/>
      <c r="H154" s="2148" t="s">
        <v>173</v>
      </c>
    </row>
    <row r="155" spans="1:8" ht="25.5" thickTop="1" thickBot="1" x14ac:dyDescent="0.25">
      <c r="A155" s="1943" t="s">
        <v>174</v>
      </c>
      <c r="B155" s="1944" t="s">
        <v>800</v>
      </c>
      <c r="C155" s="1944" t="s">
        <v>397</v>
      </c>
      <c r="D155" s="1945" t="s">
        <v>176</v>
      </c>
      <c r="E155" s="1976" t="s">
        <v>669</v>
      </c>
      <c r="F155" s="1976" t="s">
        <v>670</v>
      </c>
      <c r="G155" s="1977" t="s">
        <v>923</v>
      </c>
      <c r="H155" s="1978" t="s">
        <v>924</v>
      </c>
    </row>
    <row r="156" spans="1:8" ht="14.25" thickTop="1" thickBot="1" x14ac:dyDescent="0.25">
      <c r="A156" s="1740">
        <v>1</v>
      </c>
      <c r="B156" s="1739">
        <v>2</v>
      </c>
      <c r="C156" s="1739">
        <v>3</v>
      </c>
      <c r="D156" s="1739">
        <v>4</v>
      </c>
      <c r="E156" s="1738">
        <v>5</v>
      </c>
      <c r="F156" s="1738">
        <v>6</v>
      </c>
      <c r="G156" s="2028">
        <v>7</v>
      </c>
      <c r="H156" s="2054" t="s">
        <v>61</v>
      </c>
    </row>
    <row r="157" spans="1:8" ht="15.75" hidden="1" thickTop="1" x14ac:dyDescent="0.2">
      <c r="A157" s="2160">
        <v>3636</v>
      </c>
      <c r="B157" s="2161">
        <v>5011</v>
      </c>
      <c r="C157" s="2170">
        <v>0</v>
      </c>
      <c r="D157" s="2162" t="s">
        <v>219</v>
      </c>
      <c r="E157" s="2163">
        <v>0</v>
      </c>
      <c r="F157" s="2163">
        <v>0</v>
      </c>
      <c r="G157" s="2163">
        <v>0</v>
      </c>
      <c r="H157" s="2164" t="e">
        <f t="shared" ref="H157:H164" si="14">G157/F157*100</f>
        <v>#DIV/0!</v>
      </c>
    </row>
    <row r="158" spans="1:8" ht="15.75" hidden="1" thickTop="1" x14ac:dyDescent="0.2">
      <c r="A158" s="2165">
        <v>3636</v>
      </c>
      <c r="B158" s="2166">
        <v>5011</v>
      </c>
      <c r="C158" s="2166">
        <v>38500881</v>
      </c>
      <c r="D158" s="2167" t="s">
        <v>219</v>
      </c>
      <c r="E158" s="2168">
        <v>0</v>
      </c>
      <c r="F158" s="2168">
        <v>0</v>
      </c>
      <c r="G158" s="2168">
        <v>0</v>
      </c>
      <c r="H158" s="2169" t="e">
        <f t="shared" si="14"/>
        <v>#DIV/0!</v>
      </c>
    </row>
    <row r="159" spans="1:8" ht="30.75" thickTop="1" x14ac:dyDescent="0.2">
      <c r="A159" s="2165">
        <v>3121</v>
      </c>
      <c r="B159" s="2166">
        <v>5336</v>
      </c>
      <c r="C159" s="2170">
        <v>32133019</v>
      </c>
      <c r="D159" s="2167" t="s">
        <v>1325</v>
      </c>
      <c r="E159" s="2168">
        <v>0</v>
      </c>
      <c r="F159" s="2168">
        <f>9+151</f>
        <v>160</v>
      </c>
      <c r="G159" s="2168">
        <f>5+58</f>
        <v>63</v>
      </c>
      <c r="H159" s="2169">
        <f t="shared" si="14"/>
        <v>39.375</v>
      </c>
    </row>
    <row r="160" spans="1:8" ht="15" hidden="1" x14ac:dyDescent="0.2">
      <c r="A160" s="2165">
        <v>3636</v>
      </c>
      <c r="B160" s="2166">
        <v>5021</v>
      </c>
      <c r="C160" s="2166">
        <v>38500881</v>
      </c>
      <c r="D160" s="2167" t="s">
        <v>409</v>
      </c>
      <c r="E160" s="2168"/>
      <c r="F160" s="2168"/>
      <c r="G160" s="2168"/>
      <c r="H160" s="2169" t="e">
        <f t="shared" si="14"/>
        <v>#DIV/0!</v>
      </c>
    </row>
    <row r="161" spans="1:8" ht="30" hidden="1" x14ac:dyDescent="0.2">
      <c r="A161" s="2165">
        <v>3636</v>
      </c>
      <c r="B161" s="2166">
        <v>5031</v>
      </c>
      <c r="C161" s="2166">
        <v>38100880</v>
      </c>
      <c r="D161" s="2167" t="s">
        <v>1362</v>
      </c>
      <c r="E161" s="2168"/>
      <c r="F161" s="2168"/>
      <c r="G161" s="2168"/>
      <c r="H161" s="2169" t="e">
        <f t="shared" si="14"/>
        <v>#DIV/0!</v>
      </c>
    </row>
    <row r="162" spans="1:8" ht="30" hidden="1" x14ac:dyDescent="0.2">
      <c r="A162" s="2165">
        <v>3636</v>
      </c>
      <c r="B162" s="2166">
        <v>5031</v>
      </c>
      <c r="C162" s="2166">
        <v>38500881</v>
      </c>
      <c r="D162" s="2167" t="s">
        <v>1362</v>
      </c>
      <c r="E162" s="2168"/>
      <c r="F162" s="2168"/>
      <c r="G162" s="2168"/>
      <c r="H162" s="2169" t="e">
        <f t="shared" si="14"/>
        <v>#DIV/0!</v>
      </c>
    </row>
    <row r="163" spans="1:8" ht="30" hidden="1" x14ac:dyDescent="0.2">
      <c r="A163" s="2165">
        <v>3636</v>
      </c>
      <c r="B163" s="2166">
        <v>5032</v>
      </c>
      <c r="C163" s="2166">
        <v>38100880</v>
      </c>
      <c r="D163" s="2167" t="s">
        <v>1236</v>
      </c>
      <c r="E163" s="2168"/>
      <c r="F163" s="2168"/>
      <c r="G163" s="2168"/>
      <c r="H163" s="2169" t="e">
        <f t="shared" si="14"/>
        <v>#DIV/0!</v>
      </c>
    </row>
    <row r="164" spans="1:8" ht="30" hidden="1" x14ac:dyDescent="0.2">
      <c r="A164" s="2165">
        <v>3636</v>
      </c>
      <c r="B164" s="2166">
        <v>5032</v>
      </c>
      <c r="C164" s="2166">
        <v>38500881</v>
      </c>
      <c r="D164" s="2167" t="s">
        <v>1236</v>
      </c>
      <c r="E164" s="2168"/>
      <c r="F164" s="2168"/>
      <c r="G164" s="2168"/>
      <c r="H164" s="2169" t="e">
        <f t="shared" si="14"/>
        <v>#DIV/0!</v>
      </c>
    </row>
    <row r="165" spans="1:8" ht="15" hidden="1" x14ac:dyDescent="0.2">
      <c r="A165" s="2165">
        <v>3636</v>
      </c>
      <c r="B165" s="2166">
        <v>5139</v>
      </c>
      <c r="C165" s="2166">
        <v>38100880</v>
      </c>
      <c r="D165" s="2167" t="s">
        <v>284</v>
      </c>
      <c r="E165" s="2168"/>
      <c r="F165" s="2168"/>
      <c r="G165" s="2168"/>
      <c r="H165" s="2169">
        <v>0</v>
      </c>
    </row>
    <row r="166" spans="1:8" ht="15" hidden="1" x14ac:dyDescent="0.2">
      <c r="A166" s="2165">
        <v>3636</v>
      </c>
      <c r="B166" s="2166">
        <v>5139</v>
      </c>
      <c r="C166" s="2166">
        <v>38500881</v>
      </c>
      <c r="D166" s="2167" t="s">
        <v>284</v>
      </c>
      <c r="E166" s="2168"/>
      <c r="F166" s="2168"/>
      <c r="G166" s="2168"/>
      <c r="H166" s="2169" t="e">
        <f t="shared" ref="H166:H171" si="15">G166/F166*100</f>
        <v>#DIV/0!</v>
      </c>
    </row>
    <row r="167" spans="1:8" ht="15" hidden="1" x14ac:dyDescent="0.2">
      <c r="A167" s="2165">
        <v>3636</v>
      </c>
      <c r="B167" s="2166">
        <v>5162</v>
      </c>
      <c r="C167" s="2166">
        <v>38100880</v>
      </c>
      <c r="D167" s="2167" t="s">
        <v>904</v>
      </c>
      <c r="E167" s="2168"/>
      <c r="F167" s="2168"/>
      <c r="G167" s="2168"/>
      <c r="H167" s="2169" t="e">
        <f t="shared" si="15"/>
        <v>#DIV/0!</v>
      </c>
    </row>
    <row r="168" spans="1:8" ht="15" hidden="1" x14ac:dyDescent="0.2">
      <c r="A168" s="2165">
        <v>3636</v>
      </c>
      <c r="B168" s="2166">
        <v>5162</v>
      </c>
      <c r="C168" s="2166">
        <v>38500881</v>
      </c>
      <c r="D168" s="2167" t="s">
        <v>904</v>
      </c>
      <c r="E168" s="2168"/>
      <c r="F168" s="2168"/>
      <c r="G168" s="2168"/>
      <c r="H168" s="2169" t="e">
        <f t="shared" si="15"/>
        <v>#DIV/0!</v>
      </c>
    </row>
    <row r="169" spans="1:8" ht="15" hidden="1" x14ac:dyDescent="0.2">
      <c r="A169" s="2165">
        <v>3636</v>
      </c>
      <c r="B169" s="2166">
        <v>5164</v>
      </c>
      <c r="C169" s="2166">
        <v>38100880</v>
      </c>
      <c r="D169" s="2167" t="s">
        <v>182</v>
      </c>
      <c r="E169" s="2168"/>
      <c r="F169" s="2168"/>
      <c r="G169" s="2168"/>
      <c r="H169" s="2169" t="e">
        <f t="shared" si="15"/>
        <v>#DIV/0!</v>
      </c>
    </row>
    <row r="170" spans="1:8" ht="15" hidden="1" x14ac:dyDescent="0.2">
      <c r="A170" s="2165">
        <v>3636</v>
      </c>
      <c r="B170" s="2166">
        <v>5164</v>
      </c>
      <c r="C170" s="2166">
        <v>38500881</v>
      </c>
      <c r="D170" s="2167" t="s">
        <v>182</v>
      </c>
      <c r="E170" s="2168"/>
      <c r="F170" s="2168"/>
      <c r="G170" s="2168"/>
      <c r="H170" s="2169" t="e">
        <f t="shared" si="15"/>
        <v>#DIV/0!</v>
      </c>
    </row>
    <row r="171" spans="1:8" ht="30" x14ac:dyDescent="0.2">
      <c r="A171" s="2165">
        <v>3121</v>
      </c>
      <c r="B171" s="2166">
        <v>5336</v>
      </c>
      <c r="C171" s="2170">
        <v>32533019</v>
      </c>
      <c r="D171" s="2167" t="s">
        <v>1325</v>
      </c>
      <c r="E171" s="2168">
        <v>0</v>
      </c>
      <c r="F171" s="2168">
        <f>859+48</f>
        <v>907</v>
      </c>
      <c r="G171" s="2168">
        <f>330+28</f>
        <v>358</v>
      </c>
      <c r="H171" s="2169">
        <f t="shared" si="15"/>
        <v>39.470782800441015</v>
      </c>
    </row>
    <row r="172" spans="1:8" ht="15" hidden="1" x14ac:dyDescent="0.2">
      <c r="A172" s="2165">
        <v>6223</v>
      </c>
      <c r="B172" s="2166">
        <v>5166</v>
      </c>
      <c r="C172" s="2166">
        <v>41100880</v>
      </c>
      <c r="D172" s="2167" t="s">
        <v>646</v>
      </c>
      <c r="E172" s="2168"/>
      <c r="F172" s="2168"/>
      <c r="G172" s="2168"/>
      <c r="H172" s="2169" t="e">
        <f t="shared" ref="H172:H178" si="16">G172/F172*100</f>
        <v>#DIV/0!</v>
      </c>
    </row>
    <row r="173" spans="1:8" ht="15" hidden="1" x14ac:dyDescent="0.2">
      <c r="A173" s="2165">
        <v>6223</v>
      </c>
      <c r="B173" s="2166">
        <v>5166</v>
      </c>
      <c r="C173" s="2166">
        <v>41100882</v>
      </c>
      <c r="D173" s="2167" t="s">
        <v>646</v>
      </c>
      <c r="E173" s="2168"/>
      <c r="F173" s="2168"/>
      <c r="G173" s="2168"/>
      <c r="H173" s="2169" t="e">
        <f t="shared" si="16"/>
        <v>#DIV/0!</v>
      </c>
    </row>
    <row r="174" spans="1:8" ht="15" hidden="1" x14ac:dyDescent="0.2">
      <c r="A174" s="2165">
        <v>6223</v>
      </c>
      <c r="B174" s="2166">
        <v>5166</v>
      </c>
      <c r="C174" s="2166">
        <v>41500881</v>
      </c>
      <c r="D174" s="2167" t="s">
        <v>646</v>
      </c>
      <c r="E174" s="2168"/>
      <c r="F174" s="2168"/>
      <c r="G174" s="2168"/>
      <c r="H174" s="2169" t="e">
        <f t="shared" si="16"/>
        <v>#DIV/0!</v>
      </c>
    </row>
    <row r="175" spans="1:8" ht="15" hidden="1" x14ac:dyDescent="0.2">
      <c r="A175" s="2165">
        <v>3636</v>
      </c>
      <c r="B175" s="2166">
        <v>5167</v>
      </c>
      <c r="C175" s="2166">
        <v>38100880</v>
      </c>
      <c r="D175" s="2167" t="s">
        <v>937</v>
      </c>
      <c r="E175" s="2168"/>
      <c r="F175" s="2168"/>
      <c r="G175" s="2168"/>
      <c r="H175" s="2169" t="e">
        <f t="shared" si="16"/>
        <v>#DIV/0!</v>
      </c>
    </row>
    <row r="176" spans="1:8" ht="15" hidden="1" x14ac:dyDescent="0.2">
      <c r="A176" s="2165">
        <v>3636</v>
      </c>
      <c r="B176" s="2166">
        <v>5167</v>
      </c>
      <c r="C176" s="2166">
        <v>38500881</v>
      </c>
      <c r="D176" s="2167" t="s">
        <v>937</v>
      </c>
      <c r="E176" s="2168"/>
      <c r="F176" s="2168"/>
      <c r="G176" s="2168"/>
      <c r="H176" s="2169" t="e">
        <f t="shared" si="16"/>
        <v>#DIV/0!</v>
      </c>
    </row>
    <row r="177" spans="1:8" ht="15" hidden="1" x14ac:dyDescent="0.2">
      <c r="A177" s="2165">
        <v>3636</v>
      </c>
      <c r="B177" s="2166">
        <v>5169</v>
      </c>
      <c r="C177" s="2166">
        <v>38100880</v>
      </c>
      <c r="D177" s="2167" t="s">
        <v>892</v>
      </c>
      <c r="E177" s="2168"/>
      <c r="F177" s="2168"/>
      <c r="G177" s="2168"/>
      <c r="H177" s="2169" t="e">
        <f t="shared" si="16"/>
        <v>#DIV/0!</v>
      </c>
    </row>
    <row r="178" spans="1:8" ht="15" hidden="1" x14ac:dyDescent="0.2">
      <c r="A178" s="2165">
        <v>3636</v>
      </c>
      <c r="B178" s="2166">
        <v>5169</v>
      </c>
      <c r="C178" s="2166">
        <v>38500881</v>
      </c>
      <c r="D178" s="2167" t="s">
        <v>892</v>
      </c>
      <c r="E178" s="2168"/>
      <c r="F178" s="2168"/>
      <c r="G178" s="2168"/>
      <c r="H178" s="2169" t="e">
        <f t="shared" si="16"/>
        <v>#DIV/0!</v>
      </c>
    </row>
    <row r="179" spans="1:8" ht="15" hidden="1" x14ac:dyDescent="0.2">
      <c r="A179" s="2165">
        <v>6223</v>
      </c>
      <c r="B179" s="2166">
        <v>5173</v>
      </c>
      <c r="C179" s="2170">
        <v>0</v>
      </c>
      <c r="D179" s="2167" t="s">
        <v>1211</v>
      </c>
      <c r="E179" s="2168"/>
      <c r="F179" s="2168"/>
      <c r="G179" s="2168"/>
      <c r="H179" s="2169">
        <v>0</v>
      </c>
    </row>
    <row r="180" spans="1:8" ht="15" hidden="1" x14ac:dyDescent="0.2">
      <c r="A180" s="2165">
        <v>3636</v>
      </c>
      <c r="B180" s="2166">
        <v>5173</v>
      </c>
      <c r="C180" s="2166">
        <v>38500881</v>
      </c>
      <c r="D180" s="2167" t="s">
        <v>1211</v>
      </c>
      <c r="E180" s="2168">
        <v>0</v>
      </c>
      <c r="F180" s="2168"/>
      <c r="G180" s="2168"/>
      <c r="H180" s="2169" t="e">
        <f t="shared" ref="H180:H186" si="17">G180/F180*100</f>
        <v>#DIV/0!</v>
      </c>
    </row>
    <row r="181" spans="1:8" ht="15" hidden="1" x14ac:dyDescent="0.2">
      <c r="A181" s="2165">
        <v>3636</v>
      </c>
      <c r="B181" s="2166">
        <v>5175</v>
      </c>
      <c r="C181" s="2166">
        <v>38100880</v>
      </c>
      <c r="D181" s="2167" t="s">
        <v>707</v>
      </c>
      <c r="E181" s="2168">
        <v>0</v>
      </c>
      <c r="F181" s="2168"/>
      <c r="G181" s="2168"/>
      <c r="H181" s="2169" t="e">
        <f t="shared" si="17"/>
        <v>#DIV/0!</v>
      </c>
    </row>
    <row r="182" spans="1:8" ht="15" hidden="1" x14ac:dyDescent="0.2">
      <c r="A182" s="2165">
        <v>3636</v>
      </c>
      <c r="B182" s="2166">
        <v>5175</v>
      </c>
      <c r="C182" s="2166">
        <v>38500881</v>
      </c>
      <c r="D182" s="2167" t="s">
        <v>707</v>
      </c>
      <c r="E182" s="2168">
        <v>0</v>
      </c>
      <c r="F182" s="2168"/>
      <c r="G182" s="2168"/>
      <c r="H182" s="2169" t="e">
        <f t="shared" si="17"/>
        <v>#DIV/0!</v>
      </c>
    </row>
    <row r="183" spans="1:8" ht="15" hidden="1" x14ac:dyDescent="0.2">
      <c r="A183" s="2165">
        <v>3636</v>
      </c>
      <c r="B183" s="2166">
        <v>5176</v>
      </c>
      <c r="C183" s="2166">
        <v>38100880</v>
      </c>
      <c r="D183" s="2167" t="s">
        <v>1309</v>
      </c>
      <c r="E183" s="2168">
        <v>0</v>
      </c>
      <c r="F183" s="2168"/>
      <c r="G183" s="2168"/>
      <c r="H183" s="2169" t="e">
        <f t="shared" si="17"/>
        <v>#DIV/0!</v>
      </c>
    </row>
    <row r="184" spans="1:8" ht="15" hidden="1" x14ac:dyDescent="0.2">
      <c r="A184" s="2165">
        <v>3636</v>
      </c>
      <c r="B184" s="2166">
        <v>5176</v>
      </c>
      <c r="C184" s="2166">
        <v>38500881</v>
      </c>
      <c r="D184" s="2167" t="s">
        <v>1309</v>
      </c>
      <c r="E184" s="2168">
        <v>0</v>
      </c>
      <c r="F184" s="2168"/>
      <c r="G184" s="2168"/>
      <c r="H184" s="2169" t="e">
        <f t="shared" si="17"/>
        <v>#DIV/0!</v>
      </c>
    </row>
    <row r="185" spans="1:8" ht="30" x14ac:dyDescent="0.2">
      <c r="A185" s="2165">
        <v>3121</v>
      </c>
      <c r="B185" s="2166">
        <v>6356</v>
      </c>
      <c r="C185" s="2166">
        <v>32133910</v>
      </c>
      <c r="D185" s="2167" t="s">
        <v>1927</v>
      </c>
      <c r="E185" s="2168">
        <v>0</v>
      </c>
      <c r="F185" s="2168">
        <v>14</v>
      </c>
      <c r="G185" s="2168">
        <v>0</v>
      </c>
      <c r="H185" s="2169">
        <f t="shared" si="17"/>
        <v>0</v>
      </c>
    </row>
    <row r="186" spans="1:8" ht="30.75" thickBot="1" x14ac:dyDescent="0.25">
      <c r="A186" s="2165">
        <v>3121</v>
      </c>
      <c r="B186" s="2166">
        <v>6356</v>
      </c>
      <c r="C186" s="2166">
        <v>32533910</v>
      </c>
      <c r="D186" s="2167" t="s">
        <v>1927</v>
      </c>
      <c r="E186" s="2168">
        <v>0</v>
      </c>
      <c r="F186" s="2168">
        <v>79</v>
      </c>
      <c r="G186" s="2168">
        <v>0</v>
      </c>
      <c r="H186" s="2171">
        <f t="shared" si="17"/>
        <v>0</v>
      </c>
    </row>
    <row r="187" spans="1:8" ht="16.5" thickTop="1" thickBot="1" x14ac:dyDescent="0.3">
      <c r="A187" s="2750" t="s">
        <v>802</v>
      </c>
      <c r="B187" s="2751"/>
      <c r="C187" s="2751"/>
      <c r="D187" s="2751"/>
      <c r="E187" s="1957">
        <f>SUM(E157:E186)</f>
        <v>0</v>
      </c>
      <c r="F187" s="1957">
        <f>SUM(F157:F186)</f>
        <v>1160</v>
      </c>
      <c r="G187" s="1957">
        <f>SUM(G157:G186)</f>
        <v>421</v>
      </c>
      <c r="H187" s="1962">
        <v>0</v>
      </c>
    </row>
    <row r="188" spans="1:8" ht="13.5" thickTop="1" x14ac:dyDescent="0.2"/>
    <row r="189" spans="1:8" ht="12" customHeight="1" x14ac:dyDescent="0.25">
      <c r="A189" s="2744" t="s">
        <v>1928</v>
      </c>
      <c r="B189" s="2745"/>
      <c r="C189" s="2745"/>
      <c r="D189" s="2745"/>
      <c r="E189" s="2745"/>
      <c r="F189" s="2745"/>
      <c r="G189" s="2745"/>
      <c r="H189" s="2745"/>
    </row>
    <row r="190" spans="1:8" ht="15.75" thickBot="1" x14ac:dyDescent="0.3">
      <c r="A190" s="2132" t="s">
        <v>1332</v>
      </c>
      <c r="B190" s="2146"/>
      <c r="C190" s="2146"/>
      <c r="E190" s="2147"/>
      <c r="F190" s="2147"/>
      <c r="G190" s="2147"/>
      <c r="H190" s="2148" t="s">
        <v>173</v>
      </c>
    </row>
    <row r="191" spans="1:8" ht="25.5" thickTop="1" thickBot="1" x14ac:dyDescent="0.25">
      <c r="A191" s="1943" t="s">
        <v>174</v>
      </c>
      <c r="B191" s="1944" t="s">
        <v>800</v>
      </c>
      <c r="C191" s="1944" t="s">
        <v>397</v>
      </c>
      <c r="D191" s="1945" t="s">
        <v>176</v>
      </c>
      <c r="E191" s="1976" t="s">
        <v>669</v>
      </c>
      <c r="F191" s="1976" t="s">
        <v>670</v>
      </c>
      <c r="G191" s="1977" t="s">
        <v>923</v>
      </c>
      <c r="H191" s="1978" t="s">
        <v>924</v>
      </c>
    </row>
    <row r="192" spans="1:8" ht="14.25" thickTop="1" thickBot="1" x14ac:dyDescent="0.25">
      <c r="A192" s="1740">
        <v>1</v>
      </c>
      <c r="B192" s="1739">
        <v>2</v>
      </c>
      <c r="C192" s="1739">
        <v>3</v>
      </c>
      <c r="D192" s="1739">
        <v>4</v>
      </c>
      <c r="E192" s="1738">
        <v>5</v>
      </c>
      <c r="F192" s="1738">
        <v>6</v>
      </c>
      <c r="G192" s="2028">
        <v>7</v>
      </c>
      <c r="H192" s="2054" t="s">
        <v>61</v>
      </c>
    </row>
    <row r="193" spans="1:8" ht="15.75" hidden="1" thickTop="1" x14ac:dyDescent="0.2">
      <c r="A193" s="2160">
        <v>3636</v>
      </c>
      <c r="B193" s="2161">
        <v>5011</v>
      </c>
      <c r="C193" s="2170">
        <v>0</v>
      </c>
      <c r="D193" s="2162" t="s">
        <v>219</v>
      </c>
      <c r="E193" s="2163">
        <v>0</v>
      </c>
      <c r="F193" s="2163">
        <v>0</v>
      </c>
      <c r="G193" s="2163">
        <v>0</v>
      </c>
      <c r="H193" s="2164" t="e">
        <f t="shared" ref="H193:H200" si="18">G193/F193*100</f>
        <v>#DIV/0!</v>
      </c>
    </row>
    <row r="194" spans="1:8" ht="15.75" hidden="1" thickTop="1" x14ac:dyDescent="0.2">
      <c r="A194" s="2165">
        <v>3636</v>
      </c>
      <c r="B194" s="2166">
        <v>5011</v>
      </c>
      <c r="C194" s="2166">
        <v>38500881</v>
      </c>
      <c r="D194" s="2167" t="s">
        <v>219</v>
      </c>
      <c r="E194" s="2168">
        <v>0</v>
      </c>
      <c r="F194" s="2168">
        <v>0</v>
      </c>
      <c r="G194" s="2168">
        <v>0</v>
      </c>
      <c r="H194" s="2169" t="e">
        <f t="shared" si="18"/>
        <v>#DIV/0!</v>
      </c>
    </row>
    <row r="195" spans="1:8" ht="30.75" thickTop="1" x14ac:dyDescent="0.2">
      <c r="A195" s="2165">
        <v>3122</v>
      </c>
      <c r="B195" s="2166">
        <v>5336</v>
      </c>
      <c r="C195" s="2170">
        <v>32133019</v>
      </c>
      <c r="D195" s="2167" t="s">
        <v>1325</v>
      </c>
      <c r="E195" s="2168">
        <v>0</v>
      </c>
      <c r="F195" s="2168">
        <f>137+12</f>
        <v>149</v>
      </c>
      <c r="G195" s="2168">
        <f>57+5</f>
        <v>62</v>
      </c>
      <c r="H195" s="2169">
        <f t="shared" si="18"/>
        <v>41.61073825503356</v>
      </c>
    </row>
    <row r="196" spans="1:8" ht="15" hidden="1" x14ac:dyDescent="0.2">
      <c r="A196" s="2165">
        <v>3636</v>
      </c>
      <c r="B196" s="2166">
        <v>5021</v>
      </c>
      <c r="C196" s="2166">
        <v>38500881</v>
      </c>
      <c r="D196" s="2167" t="s">
        <v>409</v>
      </c>
      <c r="E196" s="2168"/>
      <c r="F196" s="2168"/>
      <c r="G196" s="2168"/>
      <c r="H196" s="2169" t="e">
        <f t="shared" si="18"/>
        <v>#DIV/0!</v>
      </c>
    </row>
    <row r="197" spans="1:8" ht="30" hidden="1" x14ac:dyDescent="0.2">
      <c r="A197" s="2165">
        <v>3636</v>
      </c>
      <c r="B197" s="2166">
        <v>5031</v>
      </c>
      <c r="C197" s="2166">
        <v>38100880</v>
      </c>
      <c r="D197" s="2167" t="s">
        <v>1362</v>
      </c>
      <c r="E197" s="2168"/>
      <c r="F197" s="2168"/>
      <c r="G197" s="2168"/>
      <c r="H197" s="2169" t="e">
        <f t="shared" si="18"/>
        <v>#DIV/0!</v>
      </c>
    </row>
    <row r="198" spans="1:8" ht="30" hidden="1" x14ac:dyDescent="0.2">
      <c r="A198" s="2165">
        <v>3636</v>
      </c>
      <c r="B198" s="2166">
        <v>5031</v>
      </c>
      <c r="C198" s="2166">
        <v>38500881</v>
      </c>
      <c r="D198" s="2167" t="s">
        <v>1362</v>
      </c>
      <c r="E198" s="2168"/>
      <c r="F198" s="2168"/>
      <c r="G198" s="2168"/>
      <c r="H198" s="2169" t="e">
        <f t="shared" si="18"/>
        <v>#DIV/0!</v>
      </c>
    </row>
    <row r="199" spans="1:8" ht="30" hidden="1" x14ac:dyDescent="0.2">
      <c r="A199" s="2165">
        <v>3636</v>
      </c>
      <c r="B199" s="2166">
        <v>5032</v>
      </c>
      <c r="C199" s="2166">
        <v>38100880</v>
      </c>
      <c r="D199" s="2167" t="s">
        <v>1236</v>
      </c>
      <c r="E199" s="2168"/>
      <c r="F199" s="2168"/>
      <c r="G199" s="2168"/>
      <c r="H199" s="2169" t="e">
        <f t="shared" si="18"/>
        <v>#DIV/0!</v>
      </c>
    </row>
    <row r="200" spans="1:8" ht="30" hidden="1" x14ac:dyDescent="0.2">
      <c r="A200" s="2165">
        <v>3636</v>
      </c>
      <c r="B200" s="2166">
        <v>5032</v>
      </c>
      <c r="C200" s="2166">
        <v>38500881</v>
      </c>
      <c r="D200" s="2167" t="s">
        <v>1236</v>
      </c>
      <c r="E200" s="2168"/>
      <c r="F200" s="2168"/>
      <c r="G200" s="2168"/>
      <c r="H200" s="2169" t="e">
        <f t="shared" si="18"/>
        <v>#DIV/0!</v>
      </c>
    </row>
    <row r="201" spans="1:8" ht="15" hidden="1" x14ac:dyDescent="0.2">
      <c r="A201" s="2165">
        <v>3636</v>
      </c>
      <c r="B201" s="2166">
        <v>5139</v>
      </c>
      <c r="C201" s="2166">
        <v>38100880</v>
      </c>
      <c r="D201" s="2167" t="s">
        <v>284</v>
      </c>
      <c r="E201" s="2168"/>
      <c r="F201" s="2168"/>
      <c r="G201" s="2168"/>
      <c r="H201" s="2169">
        <v>0</v>
      </c>
    </row>
    <row r="202" spans="1:8" ht="15" hidden="1" x14ac:dyDescent="0.2">
      <c r="A202" s="2165">
        <v>3636</v>
      </c>
      <c r="B202" s="2166">
        <v>5139</v>
      </c>
      <c r="C202" s="2166">
        <v>38500881</v>
      </c>
      <c r="D202" s="2167" t="s">
        <v>284</v>
      </c>
      <c r="E202" s="2168"/>
      <c r="F202" s="2168"/>
      <c r="G202" s="2168"/>
      <c r="H202" s="2169" t="e">
        <f t="shared" ref="H202:H207" si="19">G202/F202*100</f>
        <v>#DIV/0!</v>
      </c>
    </row>
    <row r="203" spans="1:8" ht="15" hidden="1" x14ac:dyDescent="0.2">
      <c r="A203" s="2165">
        <v>3636</v>
      </c>
      <c r="B203" s="2166">
        <v>5162</v>
      </c>
      <c r="C203" s="2166">
        <v>38100880</v>
      </c>
      <c r="D203" s="2167" t="s">
        <v>904</v>
      </c>
      <c r="E203" s="2168"/>
      <c r="F203" s="2168"/>
      <c r="G203" s="2168"/>
      <c r="H203" s="2169" t="e">
        <f t="shared" si="19"/>
        <v>#DIV/0!</v>
      </c>
    </row>
    <row r="204" spans="1:8" ht="15" hidden="1" x14ac:dyDescent="0.2">
      <c r="A204" s="2165">
        <v>3636</v>
      </c>
      <c r="B204" s="2166">
        <v>5162</v>
      </c>
      <c r="C204" s="2166">
        <v>38500881</v>
      </c>
      <c r="D204" s="2167" t="s">
        <v>904</v>
      </c>
      <c r="E204" s="2168"/>
      <c r="F204" s="2168"/>
      <c r="G204" s="2168"/>
      <c r="H204" s="2169" t="e">
        <f t="shared" si="19"/>
        <v>#DIV/0!</v>
      </c>
    </row>
    <row r="205" spans="1:8" ht="15" hidden="1" x14ac:dyDescent="0.2">
      <c r="A205" s="2165">
        <v>3636</v>
      </c>
      <c r="B205" s="2166">
        <v>5164</v>
      </c>
      <c r="C205" s="2166">
        <v>38100880</v>
      </c>
      <c r="D205" s="2167" t="s">
        <v>182</v>
      </c>
      <c r="E205" s="2168"/>
      <c r="F205" s="2168"/>
      <c r="G205" s="2168"/>
      <c r="H205" s="2169" t="e">
        <f t="shared" si="19"/>
        <v>#DIV/0!</v>
      </c>
    </row>
    <row r="206" spans="1:8" ht="15" hidden="1" x14ac:dyDescent="0.2">
      <c r="A206" s="2165">
        <v>3636</v>
      </c>
      <c r="B206" s="2166">
        <v>5164</v>
      </c>
      <c r="C206" s="2166">
        <v>38500881</v>
      </c>
      <c r="D206" s="2167" t="s">
        <v>182</v>
      </c>
      <c r="E206" s="2168"/>
      <c r="F206" s="2168"/>
      <c r="G206" s="2168"/>
      <c r="H206" s="2169" t="e">
        <f t="shared" si="19"/>
        <v>#DIV/0!</v>
      </c>
    </row>
    <row r="207" spans="1:8" ht="30" x14ac:dyDescent="0.2">
      <c r="A207" s="2165">
        <v>3122</v>
      </c>
      <c r="B207" s="2166">
        <v>5336</v>
      </c>
      <c r="C207" s="2170">
        <v>32533019</v>
      </c>
      <c r="D207" s="2167" t="s">
        <v>1325</v>
      </c>
      <c r="E207" s="2168">
        <v>0</v>
      </c>
      <c r="F207" s="2168">
        <f>779+66</f>
        <v>845</v>
      </c>
      <c r="G207" s="2168">
        <f>325+28</f>
        <v>353</v>
      </c>
      <c r="H207" s="2169">
        <f t="shared" si="19"/>
        <v>41.77514792899408</v>
      </c>
    </row>
    <row r="208" spans="1:8" ht="15" hidden="1" x14ac:dyDescent="0.2">
      <c r="A208" s="2165">
        <v>3122</v>
      </c>
      <c r="B208" s="2166">
        <v>5166</v>
      </c>
      <c r="C208" s="2166">
        <v>41100880</v>
      </c>
      <c r="D208" s="2167" t="s">
        <v>646</v>
      </c>
      <c r="E208" s="2168"/>
      <c r="F208" s="2168"/>
      <c r="G208" s="2168"/>
      <c r="H208" s="2169" t="e">
        <f t="shared" ref="H208:H214" si="20">G208/F208*100</f>
        <v>#DIV/0!</v>
      </c>
    </row>
    <row r="209" spans="1:8" ht="15" hidden="1" x14ac:dyDescent="0.2">
      <c r="A209" s="2165">
        <v>3122</v>
      </c>
      <c r="B209" s="2166">
        <v>5166</v>
      </c>
      <c r="C209" s="2166">
        <v>41100882</v>
      </c>
      <c r="D209" s="2167" t="s">
        <v>646</v>
      </c>
      <c r="E209" s="2168"/>
      <c r="F209" s="2168"/>
      <c r="G209" s="2168"/>
      <c r="H209" s="2169" t="e">
        <f t="shared" si="20"/>
        <v>#DIV/0!</v>
      </c>
    </row>
    <row r="210" spans="1:8" ht="15" hidden="1" x14ac:dyDescent="0.2">
      <c r="A210" s="2165">
        <v>3122</v>
      </c>
      <c r="B210" s="2166">
        <v>5166</v>
      </c>
      <c r="C210" s="2166">
        <v>41500881</v>
      </c>
      <c r="D210" s="2167" t="s">
        <v>646</v>
      </c>
      <c r="E210" s="2168"/>
      <c r="F210" s="2168"/>
      <c r="G210" s="2168"/>
      <c r="H210" s="2169" t="e">
        <f t="shared" si="20"/>
        <v>#DIV/0!</v>
      </c>
    </row>
    <row r="211" spans="1:8" ht="15" hidden="1" x14ac:dyDescent="0.2">
      <c r="A211" s="2165">
        <v>3122</v>
      </c>
      <c r="B211" s="2166">
        <v>5167</v>
      </c>
      <c r="C211" s="2166">
        <v>38100880</v>
      </c>
      <c r="D211" s="2167" t="s">
        <v>937</v>
      </c>
      <c r="E211" s="2168"/>
      <c r="F211" s="2168"/>
      <c r="G211" s="2168"/>
      <c r="H211" s="2169" t="e">
        <f t="shared" si="20"/>
        <v>#DIV/0!</v>
      </c>
    </row>
    <row r="212" spans="1:8" ht="15" hidden="1" x14ac:dyDescent="0.2">
      <c r="A212" s="2165">
        <v>3122</v>
      </c>
      <c r="B212" s="2166">
        <v>5167</v>
      </c>
      <c r="C212" s="2166">
        <v>38500881</v>
      </c>
      <c r="D212" s="2167" t="s">
        <v>937</v>
      </c>
      <c r="E212" s="2168"/>
      <c r="F212" s="2168"/>
      <c r="G212" s="2168"/>
      <c r="H212" s="2169" t="e">
        <f t="shared" si="20"/>
        <v>#DIV/0!</v>
      </c>
    </row>
    <row r="213" spans="1:8" ht="15" hidden="1" x14ac:dyDescent="0.2">
      <c r="A213" s="2165">
        <v>3122</v>
      </c>
      <c r="B213" s="2166">
        <v>5169</v>
      </c>
      <c r="C213" s="2166">
        <v>38100880</v>
      </c>
      <c r="D213" s="2167" t="s">
        <v>892</v>
      </c>
      <c r="E213" s="2168"/>
      <c r="F213" s="2168"/>
      <c r="G213" s="2168"/>
      <c r="H213" s="2169" t="e">
        <f t="shared" si="20"/>
        <v>#DIV/0!</v>
      </c>
    </row>
    <row r="214" spans="1:8" ht="15" hidden="1" x14ac:dyDescent="0.2">
      <c r="A214" s="2165">
        <v>3122</v>
      </c>
      <c r="B214" s="2166">
        <v>5169</v>
      </c>
      <c r="C214" s="2166">
        <v>38500881</v>
      </c>
      <c r="D214" s="2167" t="s">
        <v>892</v>
      </c>
      <c r="E214" s="2168"/>
      <c r="F214" s="2168"/>
      <c r="G214" s="2168"/>
      <c r="H214" s="2169" t="e">
        <f t="shared" si="20"/>
        <v>#DIV/0!</v>
      </c>
    </row>
    <row r="215" spans="1:8" ht="15" hidden="1" x14ac:dyDescent="0.2">
      <c r="A215" s="2165">
        <v>3122</v>
      </c>
      <c r="B215" s="2166">
        <v>5173</v>
      </c>
      <c r="C215" s="2170">
        <v>0</v>
      </c>
      <c r="D215" s="2167" t="s">
        <v>1211</v>
      </c>
      <c r="E215" s="2168"/>
      <c r="F215" s="2168"/>
      <c r="G215" s="2168"/>
      <c r="H215" s="2169">
        <v>0</v>
      </c>
    </row>
    <row r="216" spans="1:8" ht="15" hidden="1" x14ac:dyDescent="0.2">
      <c r="A216" s="2165">
        <v>3122</v>
      </c>
      <c r="B216" s="2166">
        <v>5173</v>
      </c>
      <c r="C216" s="2166">
        <v>38500881</v>
      </c>
      <c r="D216" s="2167" t="s">
        <v>1211</v>
      </c>
      <c r="E216" s="2168">
        <v>0</v>
      </c>
      <c r="F216" s="2168"/>
      <c r="G216" s="2168"/>
      <c r="H216" s="2169" t="e">
        <f t="shared" ref="H216:H222" si="21">G216/F216*100</f>
        <v>#DIV/0!</v>
      </c>
    </row>
    <row r="217" spans="1:8" ht="15" hidden="1" x14ac:dyDescent="0.2">
      <c r="A217" s="2165">
        <v>3122</v>
      </c>
      <c r="B217" s="2166">
        <v>5175</v>
      </c>
      <c r="C217" s="2166">
        <v>38100880</v>
      </c>
      <c r="D217" s="2167" t="s">
        <v>707</v>
      </c>
      <c r="E217" s="2168">
        <v>0</v>
      </c>
      <c r="F217" s="2168"/>
      <c r="G217" s="2168"/>
      <c r="H217" s="2169" t="e">
        <f t="shared" si="21"/>
        <v>#DIV/0!</v>
      </c>
    </row>
    <row r="218" spans="1:8" ht="15" hidden="1" x14ac:dyDescent="0.2">
      <c r="A218" s="2165">
        <v>3122</v>
      </c>
      <c r="B218" s="2166">
        <v>5175</v>
      </c>
      <c r="C218" s="2166">
        <v>38500881</v>
      </c>
      <c r="D218" s="2167" t="s">
        <v>707</v>
      </c>
      <c r="E218" s="2168">
        <v>0</v>
      </c>
      <c r="F218" s="2168"/>
      <c r="G218" s="2168"/>
      <c r="H218" s="2169" t="e">
        <f t="shared" si="21"/>
        <v>#DIV/0!</v>
      </c>
    </row>
    <row r="219" spans="1:8" ht="15" hidden="1" x14ac:dyDescent="0.2">
      <c r="A219" s="2165">
        <v>3122</v>
      </c>
      <c r="B219" s="2166">
        <v>5176</v>
      </c>
      <c r="C219" s="2166">
        <v>38100880</v>
      </c>
      <c r="D219" s="2167" t="s">
        <v>1309</v>
      </c>
      <c r="E219" s="2168">
        <v>0</v>
      </c>
      <c r="F219" s="2168"/>
      <c r="G219" s="2168"/>
      <c r="H219" s="2169" t="e">
        <f t="shared" si="21"/>
        <v>#DIV/0!</v>
      </c>
    </row>
    <row r="220" spans="1:8" ht="15" hidden="1" x14ac:dyDescent="0.2">
      <c r="A220" s="2165">
        <v>3122</v>
      </c>
      <c r="B220" s="2166">
        <v>5176</v>
      </c>
      <c r="C220" s="2166">
        <v>38500881</v>
      </c>
      <c r="D220" s="2167" t="s">
        <v>1309</v>
      </c>
      <c r="E220" s="2168">
        <v>0</v>
      </c>
      <c r="F220" s="2168"/>
      <c r="G220" s="2168"/>
      <c r="H220" s="2169" t="e">
        <f t="shared" si="21"/>
        <v>#DIV/0!</v>
      </c>
    </row>
    <row r="221" spans="1:8" ht="30" x14ac:dyDescent="0.2">
      <c r="A221" s="2165">
        <v>3122</v>
      </c>
      <c r="B221" s="2166">
        <v>6356</v>
      </c>
      <c r="C221" s="2166">
        <v>32133910</v>
      </c>
      <c r="D221" s="2167" t="s">
        <v>1927</v>
      </c>
      <c r="E221" s="2168">
        <v>0</v>
      </c>
      <c r="F221" s="2168">
        <v>83</v>
      </c>
      <c r="G221" s="2168">
        <v>0</v>
      </c>
      <c r="H221" s="2169">
        <f t="shared" si="21"/>
        <v>0</v>
      </c>
    </row>
    <row r="222" spans="1:8" ht="30.75" thickBot="1" x14ac:dyDescent="0.25">
      <c r="A222" s="2165">
        <v>3122</v>
      </c>
      <c r="B222" s="2166">
        <v>6356</v>
      </c>
      <c r="C222" s="2166">
        <v>32533910</v>
      </c>
      <c r="D222" s="2167" t="s">
        <v>1927</v>
      </c>
      <c r="E222" s="2168">
        <v>0</v>
      </c>
      <c r="F222" s="2168">
        <v>470</v>
      </c>
      <c r="G222" s="2168">
        <v>0</v>
      </c>
      <c r="H222" s="2171">
        <f t="shared" si="21"/>
        <v>0</v>
      </c>
    </row>
    <row r="223" spans="1:8" ht="16.5" thickTop="1" thickBot="1" x14ac:dyDescent="0.3">
      <c r="A223" s="2750" t="s">
        <v>802</v>
      </c>
      <c r="B223" s="2751"/>
      <c r="C223" s="2751"/>
      <c r="D223" s="2751"/>
      <c r="E223" s="1957">
        <f>SUM(E193:E222)</f>
        <v>0</v>
      </c>
      <c r="F223" s="1957">
        <f>SUM(F193:F222)</f>
        <v>1547</v>
      </c>
      <c r="G223" s="1957">
        <f>SUM(G193:G222)</f>
        <v>415</v>
      </c>
      <c r="H223" s="1962">
        <v>0</v>
      </c>
    </row>
    <row r="224" spans="1:8" ht="13.5" thickTop="1" x14ac:dyDescent="0.2"/>
    <row r="225" spans="1:8" ht="12" customHeight="1" x14ac:dyDescent="0.25">
      <c r="A225" s="2744" t="s">
        <v>1929</v>
      </c>
      <c r="B225" s="2745"/>
      <c r="C225" s="2745"/>
      <c r="D225" s="2745"/>
      <c r="E225" s="2745"/>
      <c r="F225" s="2745"/>
      <c r="G225" s="2745"/>
      <c r="H225" s="2745"/>
    </row>
    <row r="226" spans="1:8" ht="15.75" thickBot="1" x14ac:dyDescent="0.3">
      <c r="A226" s="2132" t="s">
        <v>1334</v>
      </c>
      <c r="B226" s="2146"/>
      <c r="C226" s="2146"/>
      <c r="E226" s="2147"/>
      <c r="F226" s="2147"/>
      <c r="G226" s="2147"/>
      <c r="H226" s="2148" t="s">
        <v>173</v>
      </c>
    </row>
    <row r="227" spans="1:8" ht="25.5" thickTop="1" thickBot="1" x14ac:dyDescent="0.25">
      <c r="A227" s="1943" t="s">
        <v>174</v>
      </c>
      <c r="B227" s="1944" t="s">
        <v>800</v>
      </c>
      <c r="C227" s="1944" t="s">
        <v>397</v>
      </c>
      <c r="D227" s="1945" t="s">
        <v>176</v>
      </c>
      <c r="E227" s="1976" t="s">
        <v>669</v>
      </c>
      <c r="F227" s="1976" t="s">
        <v>670</v>
      </c>
      <c r="G227" s="1977" t="s">
        <v>923</v>
      </c>
      <c r="H227" s="1978" t="s">
        <v>924</v>
      </c>
    </row>
    <row r="228" spans="1:8" ht="14.25" thickTop="1" thickBot="1" x14ac:dyDescent="0.25">
      <c r="A228" s="1740">
        <v>1</v>
      </c>
      <c r="B228" s="1739">
        <v>2</v>
      </c>
      <c r="C228" s="1739">
        <v>3</v>
      </c>
      <c r="D228" s="1739">
        <v>4</v>
      </c>
      <c r="E228" s="1738">
        <v>5</v>
      </c>
      <c r="F228" s="1738">
        <v>6</v>
      </c>
      <c r="G228" s="2028">
        <v>7</v>
      </c>
      <c r="H228" s="2054" t="s">
        <v>61</v>
      </c>
    </row>
    <row r="229" spans="1:8" ht="15.75" hidden="1" thickTop="1" x14ac:dyDescent="0.2">
      <c r="A229" s="2160">
        <v>3636</v>
      </c>
      <c r="B229" s="2161">
        <v>5011</v>
      </c>
      <c r="C229" s="2170">
        <v>0</v>
      </c>
      <c r="D229" s="2162" t="s">
        <v>219</v>
      </c>
      <c r="E229" s="2163">
        <v>0</v>
      </c>
      <c r="F229" s="2163">
        <v>0</v>
      </c>
      <c r="G229" s="2163">
        <v>0</v>
      </c>
      <c r="H229" s="2164" t="e">
        <f t="shared" ref="H229:H236" si="22">G229/F229*100</f>
        <v>#DIV/0!</v>
      </c>
    </row>
    <row r="230" spans="1:8" ht="15.75" hidden="1" thickTop="1" x14ac:dyDescent="0.2">
      <c r="A230" s="2165">
        <v>3636</v>
      </c>
      <c r="B230" s="2166">
        <v>5011</v>
      </c>
      <c r="C230" s="2166">
        <v>38500881</v>
      </c>
      <c r="D230" s="2167" t="s">
        <v>219</v>
      </c>
      <c r="E230" s="2168">
        <v>0</v>
      </c>
      <c r="F230" s="2168">
        <v>0</v>
      </c>
      <c r="G230" s="2168">
        <v>0</v>
      </c>
      <c r="H230" s="2169" t="e">
        <f t="shared" si="22"/>
        <v>#DIV/0!</v>
      </c>
    </row>
    <row r="231" spans="1:8" ht="30.75" thickTop="1" x14ac:dyDescent="0.2">
      <c r="A231" s="2165">
        <v>3122</v>
      </c>
      <c r="B231" s="2166">
        <v>5336</v>
      </c>
      <c r="C231" s="2170">
        <v>32133019</v>
      </c>
      <c r="D231" s="2167" t="s">
        <v>1325</v>
      </c>
      <c r="E231" s="2168">
        <v>0</v>
      </c>
      <c r="F231" s="2168">
        <f>66+6</f>
        <v>72</v>
      </c>
      <c r="G231" s="2168">
        <f>60+5</f>
        <v>65</v>
      </c>
      <c r="H231" s="2169">
        <f t="shared" si="22"/>
        <v>90.277777777777786</v>
      </c>
    </row>
    <row r="232" spans="1:8" ht="15" hidden="1" x14ac:dyDescent="0.2">
      <c r="A232" s="2165">
        <v>3636</v>
      </c>
      <c r="B232" s="2166">
        <v>5021</v>
      </c>
      <c r="C232" s="2166">
        <v>38500881</v>
      </c>
      <c r="D232" s="2167" t="s">
        <v>409</v>
      </c>
      <c r="E232" s="2168"/>
      <c r="F232" s="2168"/>
      <c r="G232" s="2168"/>
      <c r="H232" s="2169" t="e">
        <f t="shared" si="22"/>
        <v>#DIV/0!</v>
      </c>
    </row>
    <row r="233" spans="1:8" ht="30" hidden="1" x14ac:dyDescent="0.2">
      <c r="A233" s="2165">
        <v>3636</v>
      </c>
      <c r="B233" s="2166">
        <v>5031</v>
      </c>
      <c r="C233" s="2166">
        <v>38100880</v>
      </c>
      <c r="D233" s="2167" t="s">
        <v>1362</v>
      </c>
      <c r="E233" s="2168"/>
      <c r="F233" s="2168"/>
      <c r="G233" s="2168"/>
      <c r="H233" s="2169" t="e">
        <f t="shared" si="22"/>
        <v>#DIV/0!</v>
      </c>
    </row>
    <row r="234" spans="1:8" ht="30" hidden="1" x14ac:dyDescent="0.2">
      <c r="A234" s="2165">
        <v>3636</v>
      </c>
      <c r="B234" s="2166">
        <v>5031</v>
      </c>
      <c r="C234" s="2166">
        <v>38500881</v>
      </c>
      <c r="D234" s="2167" t="s">
        <v>1362</v>
      </c>
      <c r="E234" s="2168"/>
      <c r="F234" s="2168"/>
      <c r="G234" s="2168"/>
      <c r="H234" s="2169" t="e">
        <f t="shared" si="22"/>
        <v>#DIV/0!</v>
      </c>
    </row>
    <row r="235" spans="1:8" ht="30" hidden="1" x14ac:dyDescent="0.2">
      <c r="A235" s="2165">
        <v>3636</v>
      </c>
      <c r="B235" s="2166">
        <v>5032</v>
      </c>
      <c r="C235" s="2166">
        <v>38100880</v>
      </c>
      <c r="D235" s="2167" t="s">
        <v>1236</v>
      </c>
      <c r="E235" s="2168"/>
      <c r="F235" s="2168"/>
      <c r="G235" s="2168"/>
      <c r="H235" s="2169" t="e">
        <f t="shared" si="22"/>
        <v>#DIV/0!</v>
      </c>
    </row>
    <row r="236" spans="1:8" ht="30" hidden="1" x14ac:dyDescent="0.2">
      <c r="A236" s="2165">
        <v>3636</v>
      </c>
      <c r="B236" s="2166">
        <v>5032</v>
      </c>
      <c r="C236" s="2166">
        <v>38500881</v>
      </c>
      <c r="D236" s="2167" t="s">
        <v>1236</v>
      </c>
      <c r="E236" s="2168"/>
      <c r="F236" s="2168"/>
      <c r="G236" s="2168"/>
      <c r="H236" s="2169" t="e">
        <f t="shared" si="22"/>
        <v>#DIV/0!</v>
      </c>
    </row>
    <row r="237" spans="1:8" ht="15" hidden="1" x14ac:dyDescent="0.2">
      <c r="A237" s="2165">
        <v>3636</v>
      </c>
      <c r="B237" s="2166">
        <v>5139</v>
      </c>
      <c r="C237" s="2166">
        <v>38100880</v>
      </c>
      <c r="D237" s="2167" t="s">
        <v>284</v>
      </c>
      <c r="E237" s="2168"/>
      <c r="F237" s="2168"/>
      <c r="G237" s="2168"/>
      <c r="H237" s="2169">
        <v>0</v>
      </c>
    </row>
    <row r="238" spans="1:8" ht="15" hidden="1" x14ac:dyDescent="0.2">
      <c r="A238" s="2165">
        <v>3636</v>
      </c>
      <c r="B238" s="2166">
        <v>5139</v>
      </c>
      <c r="C238" s="2166">
        <v>38500881</v>
      </c>
      <c r="D238" s="2167" t="s">
        <v>284</v>
      </c>
      <c r="E238" s="2168"/>
      <c r="F238" s="2168"/>
      <c r="G238" s="2168"/>
      <c r="H238" s="2169" t="e">
        <f t="shared" ref="H238:H243" si="23">G238/F238*100</f>
        <v>#DIV/0!</v>
      </c>
    </row>
    <row r="239" spans="1:8" ht="15" hidden="1" x14ac:dyDescent="0.2">
      <c r="A239" s="2165">
        <v>3636</v>
      </c>
      <c r="B239" s="2166">
        <v>5162</v>
      </c>
      <c r="C239" s="2166">
        <v>38100880</v>
      </c>
      <c r="D239" s="2167" t="s">
        <v>904</v>
      </c>
      <c r="E239" s="2168"/>
      <c r="F239" s="2168"/>
      <c r="G239" s="2168"/>
      <c r="H239" s="2169" t="e">
        <f t="shared" si="23"/>
        <v>#DIV/0!</v>
      </c>
    </row>
    <row r="240" spans="1:8" ht="15" hidden="1" x14ac:dyDescent="0.2">
      <c r="A240" s="2165">
        <v>3636</v>
      </c>
      <c r="B240" s="2166">
        <v>5162</v>
      </c>
      <c r="C240" s="2166">
        <v>38500881</v>
      </c>
      <c r="D240" s="2167" t="s">
        <v>904</v>
      </c>
      <c r="E240" s="2168"/>
      <c r="F240" s="2168"/>
      <c r="G240" s="2168"/>
      <c r="H240" s="2169" t="e">
        <f t="shared" si="23"/>
        <v>#DIV/0!</v>
      </c>
    </row>
    <row r="241" spans="1:8" ht="15" hidden="1" x14ac:dyDescent="0.2">
      <c r="A241" s="2165">
        <v>3636</v>
      </c>
      <c r="B241" s="2166">
        <v>5164</v>
      </c>
      <c r="C241" s="2166">
        <v>38100880</v>
      </c>
      <c r="D241" s="2167" t="s">
        <v>182</v>
      </c>
      <c r="E241" s="2168"/>
      <c r="F241" s="2168"/>
      <c r="G241" s="2168"/>
      <c r="H241" s="2169" t="e">
        <f t="shared" si="23"/>
        <v>#DIV/0!</v>
      </c>
    </row>
    <row r="242" spans="1:8" ht="15" hidden="1" x14ac:dyDescent="0.2">
      <c r="A242" s="2165">
        <v>3636</v>
      </c>
      <c r="B242" s="2166">
        <v>5164</v>
      </c>
      <c r="C242" s="2166">
        <v>38500881</v>
      </c>
      <c r="D242" s="2167" t="s">
        <v>182</v>
      </c>
      <c r="E242" s="2168"/>
      <c r="F242" s="2168"/>
      <c r="G242" s="2168"/>
      <c r="H242" s="2169" t="e">
        <f t="shared" si="23"/>
        <v>#DIV/0!</v>
      </c>
    </row>
    <row r="243" spans="1:8" ht="30" x14ac:dyDescent="0.2">
      <c r="A243" s="2165">
        <v>3122</v>
      </c>
      <c r="B243" s="2166">
        <v>5336</v>
      </c>
      <c r="C243" s="2170">
        <v>32533019</v>
      </c>
      <c r="D243" s="2167" t="s">
        <v>1325</v>
      </c>
      <c r="E243" s="2168">
        <v>0</v>
      </c>
      <c r="F243" s="2168">
        <f>374+32</f>
        <v>406</v>
      </c>
      <c r="G243" s="2168">
        <f>340+29</f>
        <v>369</v>
      </c>
      <c r="H243" s="2169">
        <f t="shared" si="23"/>
        <v>90.886699507389153</v>
      </c>
    </row>
    <row r="244" spans="1:8" ht="15" hidden="1" x14ac:dyDescent="0.2">
      <c r="A244" s="2165">
        <v>3122</v>
      </c>
      <c r="B244" s="2166">
        <v>5166</v>
      </c>
      <c r="C244" s="2166">
        <v>41100880</v>
      </c>
      <c r="D244" s="2167" t="s">
        <v>646</v>
      </c>
      <c r="E244" s="2168"/>
      <c r="F244" s="2168"/>
      <c r="G244" s="2168"/>
      <c r="H244" s="2169" t="e">
        <f t="shared" ref="H244:H250" si="24">G244/F244*100</f>
        <v>#DIV/0!</v>
      </c>
    </row>
    <row r="245" spans="1:8" ht="15" hidden="1" x14ac:dyDescent="0.2">
      <c r="A245" s="2165">
        <v>3122</v>
      </c>
      <c r="B245" s="2166">
        <v>5166</v>
      </c>
      <c r="C245" s="2166">
        <v>41100882</v>
      </c>
      <c r="D245" s="2167" t="s">
        <v>646</v>
      </c>
      <c r="E245" s="2168"/>
      <c r="F245" s="2168"/>
      <c r="G245" s="2168"/>
      <c r="H245" s="2169" t="e">
        <f t="shared" si="24"/>
        <v>#DIV/0!</v>
      </c>
    </row>
    <row r="246" spans="1:8" ht="15" hidden="1" x14ac:dyDescent="0.2">
      <c r="A246" s="2165">
        <v>3122</v>
      </c>
      <c r="B246" s="2166">
        <v>5166</v>
      </c>
      <c r="C246" s="2166">
        <v>41500881</v>
      </c>
      <c r="D246" s="2167" t="s">
        <v>646</v>
      </c>
      <c r="E246" s="2168"/>
      <c r="F246" s="2168"/>
      <c r="G246" s="2168"/>
      <c r="H246" s="2169" t="e">
        <f t="shared" si="24"/>
        <v>#DIV/0!</v>
      </c>
    </row>
    <row r="247" spans="1:8" ht="15" hidden="1" x14ac:dyDescent="0.2">
      <c r="A247" s="2165">
        <v>3122</v>
      </c>
      <c r="B247" s="2166">
        <v>5167</v>
      </c>
      <c r="C247" s="2166">
        <v>38100880</v>
      </c>
      <c r="D247" s="2167" t="s">
        <v>937</v>
      </c>
      <c r="E247" s="2168"/>
      <c r="F247" s="2168"/>
      <c r="G247" s="2168"/>
      <c r="H247" s="2169" t="e">
        <f t="shared" si="24"/>
        <v>#DIV/0!</v>
      </c>
    </row>
    <row r="248" spans="1:8" ht="15" hidden="1" x14ac:dyDescent="0.2">
      <c r="A248" s="2165">
        <v>3122</v>
      </c>
      <c r="B248" s="2166">
        <v>5167</v>
      </c>
      <c r="C248" s="2166">
        <v>38500881</v>
      </c>
      <c r="D248" s="2167" t="s">
        <v>937</v>
      </c>
      <c r="E248" s="2168"/>
      <c r="F248" s="2168"/>
      <c r="G248" s="2168"/>
      <c r="H248" s="2169" t="e">
        <f t="shared" si="24"/>
        <v>#DIV/0!</v>
      </c>
    </row>
    <row r="249" spans="1:8" ht="15" hidden="1" x14ac:dyDescent="0.2">
      <c r="A249" s="2165">
        <v>3122</v>
      </c>
      <c r="B249" s="2166">
        <v>5169</v>
      </c>
      <c r="C249" s="2166">
        <v>38100880</v>
      </c>
      <c r="D249" s="2167" t="s">
        <v>892</v>
      </c>
      <c r="E249" s="2168"/>
      <c r="F249" s="2168"/>
      <c r="G249" s="2168"/>
      <c r="H249" s="2169" t="e">
        <f t="shared" si="24"/>
        <v>#DIV/0!</v>
      </c>
    </row>
    <row r="250" spans="1:8" ht="15" hidden="1" x14ac:dyDescent="0.2">
      <c r="A250" s="2165">
        <v>3122</v>
      </c>
      <c r="B250" s="2166">
        <v>5169</v>
      </c>
      <c r="C250" s="2166">
        <v>38500881</v>
      </c>
      <c r="D250" s="2167" t="s">
        <v>892</v>
      </c>
      <c r="E250" s="2168"/>
      <c r="F250" s="2168"/>
      <c r="G250" s="2168"/>
      <c r="H250" s="2169" t="e">
        <f t="shared" si="24"/>
        <v>#DIV/0!</v>
      </c>
    </row>
    <row r="251" spans="1:8" ht="15" hidden="1" x14ac:dyDescent="0.2">
      <c r="A251" s="2165">
        <v>3122</v>
      </c>
      <c r="B251" s="2166">
        <v>5173</v>
      </c>
      <c r="C251" s="2170">
        <v>0</v>
      </c>
      <c r="D251" s="2167" t="s">
        <v>1211</v>
      </c>
      <c r="E251" s="2168"/>
      <c r="F251" s="2168"/>
      <c r="G251" s="2168"/>
      <c r="H251" s="2169">
        <v>0</v>
      </c>
    </row>
    <row r="252" spans="1:8" ht="15" hidden="1" x14ac:dyDescent="0.2">
      <c r="A252" s="2165">
        <v>3122</v>
      </c>
      <c r="B252" s="2166">
        <v>5173</v>
      </c>
      <c r="C252" s="2166">
        <v>38500881</v>
      </c>
      <c r="D252" s="2167" t="s">
        <v>1211</v>
      </c>
      <c r="E252" s="2168">
        <v>0</v>
      </c>
      <c r="F252" s="2168"/>
      <c r="G252" s="2168"/>
      <c r="H252" s="2169" t="e">
        <f t="shared" ref="H252:H258" si="25">G252/F252*100</f>
        <v>#DIV/0!</v>
      </c>
    </row>
    <row r="253" spans="1:8" ht="15" hidden="1" x14ac:dyDescent="0.2">
      <c r="A253" s="2165">
        <v>3122</v>
      </c>
      <c r="B253" s="2166">
        <v>5175</v>
      </c>
      <c r="C253" s="2166">
        <v>38100880</v>
      </c>
      <c r="D253" s="2167" t="s">
        <v>707</v>
      </c>
      <c r="E253" s="2168">
        <v>0</v>
      </c>
      <c r="F253" s="2168"/>
      <c r="G253" s="2168"/>
      <c r="H253" s="2169" t="e">
        <f t="shared" si="25"/>
        <v>#DIV/0!</v>
      </c>
    </row>
    <row r="254" spans="1:8" ht="15" hidden="1" x14ac:dyDescent="0.2">
      <c r="A254" s="2165">
        <v>3122</v>
      </c>
      <c r="B254" s="2166">
        <v>5175</v>
      </c>
      <c r="C254" s="2166">
        <v>38500881</v>
      </c>
      <c r="D254" s="2167" t="s">
        <v>707</v>
      </c>
      <c r="E254" s="2168">
        <v>0</v>
      </c>
      <c r="F254" s="2168"/>
      <c r="G254" s="2168"/>
      <c r="H254" s="2169" t="e">
        <f t="shared" si="25"/>
        <v>#DIV/0!</v>
      </c>
    </row>
    <row r="255" spans="1:8" ht="15" hidden="1" x14ac:dyDescent="0.2">
      <c r="A255" s="2165">
        <v>3122</v>
      </c>
      <c r="B255" s="2166">
        <v>5176</v>
      </c>
      <c r="C255" s="2166">
        <v>38100880</v>
      </c>
      <c r="D255" s="2167" t="s">
        <v>1309</v>
      </c>
      <c r="E255" s="2168">
        <v>0</v>
      </c>
      <c r="F255" s="2168"/>
      <c r="G255" s="2168"/>
      <c r="H255" s="2169" t="e">
        <f t="shared" si="25"/>
        <v>#DIV/0!</v>
      </c>
    </row>
    <row r="256" spans="1:8" ht="15" hidden="1" x14ac:dyDescent="0.2">
      <c r="A256" s="2165">
        <v>3122</v>
      </c>
      <c r="B256" s="2166">
        <v>5176</v>
      </c>
      <c r="C256" s="2166">
        <v>38500881</v>
      </c>
      <c r="D256" s="2167" t="s">
        <v>1309</v>
      </c>
      <c r="E256" s="2168">
        <v>0</v>
      </c>
      <c r="F256" s="2168"/>
      <c r="G256" s="2168"/>
      <c r="H256" s="2169" t="e">
        <f t="shared" si="25"/>
        <v>#DIV/0!</v>
      </c>
    </row>
    <row r="257" spans="1:8" ht="30" x14ac:dyDescent="0.2">
      <c r="A257" s="2165">
        <v>3122</v>
      </c>
      <c r="B257" s="2166">
        <v>6356</v>
      </c>
      <c r="C257" s="2166">
        <v>32133910</v>
      </c>
      <c r="D257" s="2167" t="s">
        <v>1927</v>
      </c>
      <c r="E257" s="2168">
        <v>0</v>
      </c>
      <c r="F257" s="2168">
        <v>76</v>
      </c>
      <c r="G257" s="2168">
        <v>0</v>
      </c>
      <c r="H257" s="2169">
        <f t="shared" si="25"/>
        <v>0</v>
      </c>
    </row>
    <row r="258" spans="1:8" ht="30.75" thickBot="1" x14ac:dyDescent="0.25">
      <c r="A258" s="2165">
        <v>3122</v>
      </c>
      <c r="B258" s="2166">
        <v>6356</v>
      </c>
      <c r="C258" s="2166">
        <v>32533910</v>
      </c>
      <c r="D258" s="2167" t="s">
        <v>1927</v>
      </c>
      <c r="E258" s="2168">
        <v>0</v>
      </c>
      <c r="F258" s="2168">
        <v>433</v>
      </c>
      <c r="G258" s="2168">
        <v>0</v>
      </c>
      <c r="H258" s="2171">
        <f t="shared" si="25"/>
        <v>0</v>
      </c>
    </row>
    <row r="259" spans="1:8" ht="16.5" thickTop="1" thickBot="1" x14ac:dyDescent="0.3">
      <c r="A259" s="2750" t="s">
        <v>802</v>
      </c>
      <c r="B259" s="2751"/>
      <c r="C259" s="2751"/>
      <c r="D259" s="2751"/>
      <c r="E259" s="1957">
        <f>SUM(E229:E258)</f>
        <v>0</v>
      </c>
      <c r="F259" s="1957">
        <f>SUM(F229:F258)</f>
        <v>987</v>
      </c>
      <c r="G259" s="1957">
        <f>SUM(G229:G258)</f>
        <v>434</v>
      </c>
      <c r="H259" s="1962">
        <v>0</v>
      </c>
    </row>
    <row r="260" spans="1:8" ht="13.5" thickTop="1" x14ac:dyDescent="0.2"/>
    <row r="261" spans="1:8" ht="12" customHeight="1" x14ac:dyDescent="0.25">
      <c r="A261" s="2744" t="s">
        <v>1930</v>
      </c>
      <c r="B261" s="2745"/>
      <c r="C261" s="2745"/>
      <c r="D261" s="2745"/>
      <c r="E261" s="2745"/>
      <c r="F261" s="2745"/>
      <c r="G261" s="2745"/>
      <c r="H261" s="2745"/>
    </row>
    <row r="262" spans="1:8" ht="15.75" thickBot="1" x14ac:dyDescent="0.3">
      <c r="A262" s="2132" t="s">
        <v>1931</v>
      </c>
      <c r="B262" s="2146"/>
      <c r="C262" s="2146"/>
      <c r="E262" s="2147"/>
      <c r="F262" s="2147"/>
      <c r="G262" s="2147"/>
      <c r="H262" s="2148" t="s">
        <v>173</v>
      </c>
    </row>
    <row r="263" spans="1:8" ht="25.5" thickTop="1" thickBot="1" x14ac:dyDescent="0.25">
      <c r="A263" s="1943" t="s">
        <v>174</v>
      </c>
      <c r="B263" s="1944" t="s">
        <v>800</v>
      </c>
      <c r="C263" s="1944" t="s">
        <v>397</v>
      </c>
      <c r="D263" s="1945" t="s">
        <v>176</v>
      </c>
      <c r="E263" s="1976" t="s">
        <v>669</v>
      </c>
      <c r="F263" s="1976" t="s">
        <v>670</v>
      </c>
      <c r="G263" s="1977" t="s">
        <v>923</v>
      </c>
      <c r="H263" s="1978" t="s">
        <v>924</v>
      </c>
    </row>
    <row r="264" spans="1:8" ht="14.25" thickTop="1" thickBot="1" x14ac:dyDescent="0.25">
      <c r="A264" s="1740">
        <v>1</v>
      </c>
      <c r="B264" s="1739">
        <v>2</v>
      </c>
      <c r="C264" s="1739">
        <v>3</v>
      </c>
      <c r="D264" s="1739">
        <v>4</v>
      </c>
      <c r="E264" s="1738">
        <v>5</v>
      </c>
      <c r="F264" s="1738">
        <v>6</v>
      </c>
      <c r="G264" s="2028">
        <v>7</v>
      </c>
      <c r="H264" s="2054" t="s">
        <v>61</v>
      </c>
    </row>
    <row r="265" spans="1:8" ht="15.75" hidden="1" thickTop="1" x14ac:dyDescent="0.2">
      <c r="A265" s="2160">
        <v>3636</v>
      </c>
      <c r="B265" s="2161">
        <v>5011</v>
      </c>
      <c r="C265" s="2170">
        <v>0</v>
      </c>
      <c r="D265" s="2162" t="s">
        <v>219</v>
      </c>
      <c r="E265" s="2163">
        <v>0</v>
      </c>
      <c r="F265" s="2163">
        <v>0</v>
      </c>
      <c r="G265" s="2163">
        <v>0</v>
      </c>
      <c r="H265" s="2164" t="e">
        <f t="shared" ref="H265:H272" si="26">G265/F265*100</f>
        <v>#DIV/0!</v>
      </c>
    </row>
    <row r="266" spans="1:8" ht="15.75" hidden="1" thickTop="1" x14ac:dyDescent="0.2">
      <c r="A266" s="2165">
        <v>3636</v>
      </c>
      <c r="B266" s="2166">
        <v>5011</v>
      </c>
      <c r="C266" s="2166">
        <v>38500881</v>
      </c>
      <c r="D266" s="2167" t="s">
        <v>219</v>
      </c>
      <c r="E266" s="2168">
        <v>0</v>
      </c>
      <c r="F266" s="2168">
        <v>0</v>
      </c>
      <c r="G266" s="2168">
        <v>0</v>
      </c>
      <c r="H266" s="2169" t="e">
        <f t="shared" si="26"/>
        <v>#DIV/0!</v>
      </c>
    </row>
    <row r="267" spans="1:8" ht="30.75" thickTop="1" x14ac:dyDescent="0.2">
      <c r="A267" s="2165">
        <v>3122</v>
      </c>
      <c r="B267" s="2166">
        <v>5336</v>
      </c>
      <c r="C267" s="2170">
        <v>32133019</v>
      </c>
      <c r="D267" s="2167" t="s">
        <v>1325</v>
      </c>
      <c r="E267" s="2168">
        <v>0</v>
      </c>
      <c r="F267" s="2168">
        <f>87+7</f>
        <v>94</v>
      </c>
      <c r="G267" s="2168">
        <f>87+5</f>
        <v>92</v>
      </c>
      <c r="H267" s="2169">
        <f t="shared" si="26"/>
        <v>97.872340425531917</v>
      </c>
    </row>
    <row r="268" spans="1:8" ht="15" hidden="1" x14ac:dyDescent="0.2">
      <c r="A268" s="2165">
        <v>3636</v>
      </c>
      <c r="B268" s="2166">
        <v>5021</v>
      </c>
      <c r="C268" s="2166">
        <v>38500881</v>
      </c>
      <c r="D268" s="2167" t="s">
        <v>409</v>
      </c>
      <c r="E268" s="2168"/>
      <c r="F268" s="2168"/>
      <c r="G268" s="2168"/>
      <c r="H268" s="2169" t="e">
        <f t="shared" si="26"/>
        <v>#DIV/0!</v>
      </c>
    </row>
    <row r="269" spans="1:8" ht="30" hidden="1" x14ac:dyDescent="0.2">
      <c r="A269" s="2165">
        <v>3636</v>
      </c>
      <c r="B269" s="2166">
        <v>5031</v>
      </c>
      <c r="C269" s="2166">
        <v>38100880</v>
      </c>
      <c r="D269" s="2167" t="s">
        <v>1362</v>
      </c>
      <c r="E269" s="2168"/>
      <c r="F269" s="2168"/>
      <c r="G269" s="2168"/>
      <c r="H269" s="2169" t="e">
        <f t="shared" si="26"/>
        <v>#DIV/0!</v>
      </c>
    </row>
    <row r="270" spans="1:8" ht="30" hidden="1" x14ac:dyDescent="0.2">
      <c r="A270" s="2165">
        <v>3636</v>
      </c>
      <c r="B270" s="2166">
        <v>5031</v>
      </c>
      <c r="C270" s="2166">
        <v>38500881</v>
      </c>
      <c r="D270" s="2167" t="s">
        <v>1362</v>
      </c>
      <c r="E270" s="2168"/>
      <c r="F270" s="2168"/>
      <c r="G270" s="2168"/>
      <c r="H270" s="2169" t="e">
        <f t="shared" si="26"/>
        <v>#DIV/0!</v>
      </c>
    </row>
    <row r="271" spans="1:8" ht="30" hidden="1" x14ac:dyDescent="0.2">
      <c r="A271" s="2165">
        <v>3636</v>
      </c>
      <c r="B271" s="2166">
        <v>5032</v>
      </c>
      <c r="C271" s="2166">
        <v>38100880</v>
      </c>
      <c r="D271" s="2167" t="s">
        <v>1236</v>
      </c>
      <c r="E271" s="2168"/>
      <c r="F271" s="2168"/>
      <c r="G271" s="2168"/>
      <c r="H271" s="2169" t="e">
        <f t="shared" si="26"/>
        <v>#DIV/0!</v>
      </c>
    </row>
    <row r="272" spans="1:8" ht="30" hidden="1" x14ac:dyDescent="0.2">
      <c r="A272" s="2165">
        <v>3636</v>
      </c>
      <c r="B272" s="2166">
        <v>5032</v>
      </c>
      <c r="C272" s="2166">
        <v>38500881</v>
      </c>
      <c r="D272" s="2167" t="s">
        <v>1236</v>
      </c>
      <c r="E272" s="2168"/>
      <c r="F272" s="2168"/>
      <c r="G272" s="2168"/>
      <c r="H272" s="2169" t="e">
        <f t="shared" si="26"/>
        <v>#DIV/0!</v>
      </c>
    </row>
    <row r="273" spans="1:8" ht="15" hidden="1" x14ac:dyDescent="0.2">
      <c r="A273" s="2165">
        <v>3636</v>
      </c>
      <c r="B273" s="2166">
        <v>5139</v>
      </c>
      <c r="C273" s="2166">
        <v>38100880</v>
      </c>
      <c r="D273" s="2167" t="s">
        <v>284</v>
      </c>
      <c r="E273" s="2168"/>
      <c r="F273" s="2168"/>
      <c r="G273" s="2168"/>
      <c r="H273" s="2169">
        <v>0</v>
      </c>
    </row>
    <row r="274" spans="1:8" ht="15" hidden="1" x14ac:dyDescent="0.2">
      <c r="A274" s="2165">
        <v>3636</v>
      </c>
      <c r="B274" s="2166">
        <v>5139</v>
      </c>
      <c r="C274" s="2166">
        <v>38500881</v>
      </c>
      <c r="D274" s="2167" t="s">
        <v>284</v>
      </c>
      <c r="E274" s="2168"/>
      <c r="F274" s="2168"/>
      <c r="G274" s="2168"/>
      <c r="H274" s="2169" t="e">
        <f t="shared" ref="H274:H279" si="27">G274/F274*100</f>
        <v>#DIV/0!</v>
      </c>
    </row>
    <row r="275" spans="1:8" ht="15" hidden="1" x14ac:dyDescent="0.2">
      <c r="A275" s="2165">
        <v>3636</v>
      </c>
      <c r="B275" s="2166">
        <v>5162</v>
      </c>
      <c r="C275" s="2166">
        <v>38100880</v>
      </c>
      <c r="D275" s="2167" t="s">
        <v>904</v>
      </c>
      <c r="E275" s="2168"/>
      <c r="F275" s="2168"/>
      <c r="G275" s="2168"/>
      <c r="H275" s="2169" t="e">
        <f t="shared" si="27"/>
        <v>#DIV/0!</v>
      </c>
    </row>
    <row r="276" spans="1:8" ht="15" hidden="1" x14ac:dyDescent="0.2">
      <c r="A276" s="2165">
        <v>3636</v>
      </c>
      <c r="B276" s="2166">
        <v>5162</v>
      </c>
      <c r="C276" s="2166">
        <v>38500881</v>
      </c>
      <c r="D276" s="2167" t="s">
        <v>904</v>
      </c>
      <c r="E276" s="2168"/>
      <c r="F276" s="2168"/>
      <c r="G276" s="2168"/>
      <c r="H276" s="2169" t="e">
        <f t="shared" si="27"/>
        <v>#DIV/0!</v>
      </c>
    </row>
    <row r="277" spans="1:8" ht="15" hidden="1" x14ac:dyDescent="0.2">
      <c r="A277" s="2165">
        <v>3636</v>
      </c>
      <c r="B277" s="2166">
        <v>5164</v>
      </c>
      <c r="C277" s="2166">
        <v>38100880</v>
      </c>
      <c r="D277" s="2167" t="s">
        <v>182</v>
      </c>
      <c r="E277" s="2168"/>
      <c r="F277" s="2168"/>
      <c r="G277" s="2168"/>
      <c r="H277" s="2169" t="e">
        <f t="shared" si="27"/>
        <v>#DIV/0!</v>
      </c>
    </row>
    <row r="278" spans="1:8" ht="15" hidden="1" x14ac:dyDescent="0.2">
      <c r="A278" s="2165">
        <v>3636</v>
      </c>
      <c r="B278" s="2166">
        <v>5164</v>
      </c>
      <c r="C278" s="2166">
        <v>38500881</v>
      </c>
      <c r="D278" s="2167" t="s">
        <v>182</v>
      </c>
      <c r="E278" s="2168"/>
      <c r="F278" s="2168"/>
      <c r="G278" s="2168"/>
      <c r="H278" s="2169" t="e">
        <f t="shared" si="27"/>
        <v>#DIV/0!</v>
      </c>
    </row>
    <row r="279" spans="1:8" ht="30" x14ac:dyDescent="0.2">
      <c r="A279" s="2165">
        <v>3122</v>
      </c>
      <c r="B279" s="2166">
        <v>5336</v>
      </c>
      <c r="C279" s="2170">
        <v>32533019</v>
      </c>
      <c r="D279" s="2167" t="s">
        <v>1325</v>
      </c>
      <c r="E279" s="2168">
        <v>0</v>
      </c>
      <c r="F279" s="2168">
        <f>495+42</f>
        <v>537</v>
      </c>
      <c r="G279" s="2168">
        <f>495+28</f>
        <v>523</v>
      </c>
      <c r="H279" s="2169">
        <f t="shared" si="27"/>
        <v>97.392923649906891</v>
      </c>
    </row>
    <row r="280" spans="1:8" ht="15" hidden="1" x14ac:dyDescent="0.2">
      <c r="A280" s="2165">
        <v>6223</v>
      </c>
      <c r="B280" s="2166">
        <v>5166</v>
      </c>
      <c r="C280" s="2166">
        <v>41100880</v>
      </c>
      <c r="D280" s="2167" t="s">
        <v>646</v>
      </c>
      <c r="E280" s="2168"/>
      <c r="F280" s="2168"/>
      <c r="G280" s="2168"/>
      <c r="H280" s="2169" t="e">
        <f t="shared" ref="H280:H286" si="28">G280/F280*100</f>
        <v>#DIV/0!</v>
      </c>
    </row>
    <row r="281" spans="1:8" ht="15" hidden="1" x14ac:dyDescent="0.2">
      <c r="A281" s="2165">
        <v>6223</v>
      </c>
      <c r="B281" s="2166">
        <v>5166</v>
      </c>
      <c r="C281" s="2166">
        <v>41100882</v>
      </c>
      <c r="D281" s="2167" t="s">
        <v>646</v>
      </c>
      <c r="E281" s="2168"/>
      <c r="F281" s="2168"/>
      <c r="G281" s="2168"/>
      <c r="H281" s="2169" t="e">
        <f t="shared" si="28"/>
        <v>#DIV/0!</v>
      </c>
    </row>
    <row r="282" spans="1:8" ht="15" hidden="1" x14ac:dyDescent="0.2">
      <c r="A282" s="2165">
        <v>6223</v>
      </c>
      <c r="B282" s="2166">
        <v>5166</v>
      </c>
      <c r="C282" s="2166">
        <v>41500881</v>
      </c>
      <c r="D282" s="2167" t="s">
        <v>646</v>
      </c>
      <c r="E282" s="2168"/>
      <c r="F282" s="2168"/>
      <c r="G282" s="2168"/>
      <c r="H282" s="2169" t="e">
        <f t="shared" si="28"/>
        <v>#DIV/0!</v>
      </c>
    </row>
    <row r="283" spans="1:8" ht="15" hidden="1" x14ac:dyDescent="0.2">
      <c r="A283" s="2165">
        <v>3636</v>
      </c>
      <c r="B283" s="2166">
        <v>5167</v>
      </c>
      <c r="C283" s="2166">
        <v>38100880</v>
      </c>
      <c r="D283" s="2167" t="s">
        <v>937</v>
      </c>
      <c r="E283" s="2168"/>
      <c r="F283" s="2168"/>
      <c r="G283" s="2168"/>
      <c r="H283" s="2169" t="e">
        <f t="shared" si="28"/>
        <v>#DIV/0!</v>
      </c>
    </row>
    <row r="284" spans="1:8" ht="15" hidden="1" x14ac:dyDescent="0.2">
      <c r="A284" s="2165">
        <v>3636</v>
      </c>
      <c r="B284" s="2166">
        <v>5167</v>
      </c>
      <c r="C284" s="2166">
        <v>38500881</v>
      </c>
      <c r="D284" s="2167" t="s">
        <v>937</v>
      </c>
      <c r="E284" s="2168"/>
      <c r="F284" s="2168"/>
      <c r="G284" s="2168"/>
      <c r="H284" s="2169" t="e">
        <f t="shared" si="28"/>
        <v>#DIV/0!</v>
      </c>
    </row>
    <row r="285" spans="1:8" ht="15" hidden="1" x14ac:dyDescent="0.2">
      <c r="A285" s="2165">
        <v>3636</v>
      </c>
      <c r="B285" s="2166">
        <v>5169</v>
      </c>
      <c r="C285" s="2166">
        <v>38100880</v>
      </c>
      <c r="D285" s="2167" t="s">
        <v>892</v>
      </c>
      <c r="E285" s="2168"/>
      <c r="F285" s="2168"/>
      <c r="G285" s="2168"/>
      <c r="H285" s="2169" t="e">
        <f t="shared" si="28"/>
        <v>#DIV/0!</v>
      </c>
    </row>
    <row r="286" spans="1:8" ht="15" hidden="1" x14ac:dyDescent="0.2">
      <c r="A286" s="2165">
        <v>3636</v>
      </c>
      <c r="B286" s="2166">
        <v>5169</v>
      </c>
      <c r="C286" s="2166">
        <v>38500881</v>
      </c>
      <c r="D286" s="2167" t="s">
        <v>892</v>
      </c>
      <c r="E286" s="2168"/>
      <c r="F286" s="2168"/>
      <c r="G286" s="2168"/>
      <c r="H286" s="2169" t="e">
        <f t="shared" si="28"/>
        <v>#DIV/0!</v>
      </c>
    </row>
    <row r="287" spans="1:8" ht="15" hidden="1" x14ac:dyDescent="0.2">
      <c r="A287" s="2165">
        <v>6223</v>
      </c>
      <c r="B287" s="2166">
        <v>5173</v>
      </c>
      <c r="C287" s="2170">
        <v>0</v>
      </c>
      <c r="D287" s="2167" t="s">
        <v>1211</v>
      </c>
      <c r="E287" s="2168"/>
      <c r="F287" s="2168"/>
      <c r="G287" s="2168"/>
      <c r="H287" s="2169">
        <v>0</v>
      </c>
    </row>
    <row r="288" spans="1:8" ht="15" hidden="1" x14ac:dyDescent="0.2">
      <c r="A288" s="2165">
        <v>3636</v>
      </c>
      <c r="B288" s="2166">
        <v>5173</v>
      </c>
      <c r="C288" s="2166">
        <v>38500881</v>
      </c>
      <c r="D288" s="2167" t="s">
        <v>1211</v>
      </c>
      <c r="E288" s="2168">
        <v>0</v>
      </c>
      <c r="F288" s="2168"/>
      <c r="G288" s="2168"/>
      <c r="H288" s="2169" t="e">
        <f t="shared" ref="H288:H294" si="29">G288/F288*100</f>
        <v>#DIV/0!</v>
      </c>
    </row>
    <row r="289" spans="1:8" ht="15" hidden="1" x14ac:dyDescent="0.2">
      <c r="A289" s="2165">
        <v>3636</v>
      </c>
      <c r="B289" s="2166">
        <v>5175</v>
      </c>
      <c r="C289" s="2166">
        <v>38100880</v>
      </c>
      <c r="D289" s="2167" t="s">
        <v>707</v>
      </c>
      <c r="E289" s="2168">
        <v>0</v>
      </c>
      <c r="F289" s="2168"/>
      <c r="G289" s="2168"/>
      <c r="H289" s="2169" t="e">
        <f t="shared" si="29"/>
        <v>#DIV/0!</v>
      </c>
    </row>
    <row r="290" spans="1:8" ht="15" hidden="1" x14ac:dyDescent="0.2">
      <c r="A290" s="2165">
        <v>3636</v>
      </c>
      <c r="B290" s="2166">
        <v>5175</v>
      </c>
      <c r="C290" s="2166">
        <v>38500881</v>
      </c>
      <c r="D290" s="2167" t="s">
        <v>707</v>
      </c>
      <c r="E290" s="2168">
        <v>0</v>
      </c>
      <c r="F290" s="2168"/>
      <c r="G290" s="2168"/>
      <c r="H290" s="2169" t="e">
        <f t="shared" si="29"/>
        <v>#DIV/0!</v>
      </c>
    </row>
    <row r="291" spans="1:8" ht="15" hidden="1" x14ac:dyDescent="0.2">
      <c r="A291" s="2165">
        <v>3636</v>
      </c>
      <c r="B291" s="2166">
        <v>5176</v>
      </c>
      <c r="C291" s="2166">
        <v>38100880</v>
      </c>
      <c r="D291" s="2167" t="s">
        <v>1309</v>
      </c>
      <c r="E291" s="2168">
        <v>0</v>
      </c>
      <c r="F291" s="2168"/>
      <c r="G291" s="2168"/>
      <c r="H291" s="2169" t="e">
        <f t="shared" si="29"/>
        <v>#DIV/0!</v>
      </c>
    </row>
    <row r="292" spans="1:8" ht="15" hidden="1" x14ac:dyDescent="0.2">
      <c r="A292" s="2165">
        <v>3636</v>
      </c>
      <c r="B292" s="2166">
        <v>5176</v>
      </c>
      <c r="C292" s="2166">
        <v>38500881</v>
      </c>
      <c r="D292" s="2167" t="s">
        <v>1309</v>
      </c>
      <c r="E292" s="2168">
        <v>0</v>
      </c>
      <c r="F292" s="2168"/>
      <c r="G292" s="2168"/>
      <c r="H292" s="2169" t="e">
        <f t="shared" si="29"/>
        <v>#DIV/0!</v>
      </c>
    </row>
    <row r="293" spans="1:8" ht="30" x14ac:dyDescent="0.2">
      <c r="A293" s="2165">
        <v>3122</v>
      </c>
      <c r="B293" s="2166">
        <v>6356</v>
      </c>
      <c r="C293" s="2166">
        <v>32133910</v>
      </c>
      <c r="D293" s="2167" t="s">
        <v>1927</v>
      </c>
      <c r="E293" s="2168">
        <v>0</v>
      </c>
      <c r="F293" s="2168">
        <v>47</v>
      </c>
      <c r="G293" s="2168">
        <v>0</v>
      </c>
      <c r="H293" s="2169">
        <f t="shared" si="29"/>
        <v>0</v>
      </c>
    </row>
    <row r="294" spans="1:8" ht="30.75" thickBot="1" x14ac:dyDescent="0.25">
      <c r="A294" s="2165">
        <v>3122</v>
      </c>
      <c r="B294" s="2166">
        <v>6356</v>
      </c>
      <c r="C294" s="2166">
        <v>32533910</v>
      </c>
      <c r="D294" s="2167" t="s">
        <v>1927</v>
      </c>
      <c r="E294" s="2168">
        <v>0</v>
      </c>
      <c r="F294" s="2168">
        <v>269</v>
      </c>
      <c r="G294" s="2168">
        <v>0</v>
      </c>
      <c r="H294" s="2171">
        <f t="shared" si="29"/>
        <v>0</v>
      </c>
    </row>
    <row r="295" spans="1:8" ht="16.5" thickTop="1" thickBot="1" x14ac:dyDescent="0.3">
      <c r="A295" s="2750" t="s">
        <v>802</v>
      </c>
      <c r="B295" s="2751"/>
      <c r="C295" s="2751"/>
      <c r="D295" s="2751"/>
      <c r="E295" s="1957">
        <f>SUM(E265:E294)</f>
        <v>0</v>
      </c>
      <c r="F295" s="1957">
        <f>SUM(F265:F294)</f>
        <v>947</v>
      </c>
      <c r="G295" s="1957">
        <f>SUM(G265:G294)</f>
        <v>615</v>
      </c>
      <c r="H295" s="1962">
        <v>0</v>
      </c>
    </row>
    <row r="296" spans="1:8" ht="13.5" thickTop="1" x14ac:dyDescent="0.2"/>
    <row r="297" spans="1:8" ht="12" customHeight="1" x14ac:dyDescent="0.25">
      <c r="A297" s="2744" t="s">
        <v>1747</v>
      </c>
      <c r="B297" s="2745"/>
      <c r="C297" s="2745"/>
      <c r="D297" s="2745"/>
      <c r="E297" s="2745"/>
      <c r="F297" s="2745"/>
      <c r="G297" s="2745"/>
      <c r="H297" s="2745"/>
    </row>
    <row r="298" spans="1:8" ht="15.75" thickBot="1" x14ac:dyDescent="0.3">
      <c r="A298" s="2132" t="s">
        <v>1039</v>
      </c>
      <c r="B298" s="2146"/>
      <c r="C298" s="2146"/>
      <c r="E298" s="2147"/>
      <c r="F298" s="2147"/>
      <c r="G298" s="2147"/>
      <c r="H298" s="2148" t="s">
        <v>173</v>
      </c>
    </row>
    <row r="299" spans="1:8" ht="25.5" thickTop="1" thickBot="1" x14ac:dyDescent="0.25">
      <c r="A299" s="1943" t="s">
        <v>174</v>
      </c>
      <c r="B299" s="1944" t="s">
        <v>800</v>
      </c>
      <c r="C299" s="1944" t="s">
        <v>397</v>
      </c>
      <c r="D299" s="1945" t="s">
        <v>176</v>
      </c>
      <c r="E299" s="1976" t="s">
        <v>669</v>
      </c>
      <c r="F299" s="1976" t="s">
        <v>670</v>
      </c>
      <c r="G299" s="1977" t="s">
        <v>923</v>
      </c>
      <c r="H299" s="1978" t="s">
        <v>924</v>
      </c>
    </row>
    <row r="300" spans="1:8" ht="14.25" thickTop="1" thickBot="1" x14ac:dyDescent="0.25">
      <c r="A300" s="1740">
        <v>1</v>
      </c>
      <c r="B300" s="1739">
        <v>2</v>
      </c>
      <c r="C300" s="1739">
        <v>3</v>
      </c>
      <c r="D300" s="1739">
        <v>4</v>
      </c>
      <c r="E300" s="1738">
        <v>5</v>
      </c>
      <c r="F300" s="1738">
        <v>6</v>
      </c>
      <c r="G300" s="2028">
        <v>7</v>
      </c>
      <c r="H300" s="2054" t="s">
        <v>61</v>
      </c>
    </row>
    <row r="301" spans="1:8" ht="15.75" hidden="1" thickTop="1" x14ac:dyDescent="0.2">
      <c r="A301" s="2160">
        <v>3636</v>
      </c>
      <c r="B301" s="2161">
        <v>5011</v>
      </c>
      <c r="C301" s="2170">
        <v>0</v>
      </c>
      <c r="D301" s="2162" t="s">
        <v>219</v>
      </c>
      <c r="E301" s="2163">
        <v>0</v>
      </c>
      <c r="F301" s="2163">
        <v>0</v>
      </c>
      <c r="G301" s="2163">
        <v>0</v>
      </c>
      <c r="H301" s="2164" t="e">
        <f t="shared" ref="H301:H308" si="30">G301/F301*100</f>
        <v>#DIV/0!</v>
      </c>
    </row>
    <row r="302" spans="1:8" ht="15.75" hidden="1" thickTop="1" x14ac:dyDescent="0.2">
      <c r="A302" s="2165">
        <v>3636</v>
      </c>
      <c r="B302" s="2166">
        <v>5011</v>
      </c>
      <c r="C302" s="2166">
        <v>38500881</v>
      </c>
      <c r="D302" s="2167" t="s">
        <v>219</v>
      </c>
      <c r="E302" s="2168">
        <v>0</v>
      </c>
      <c r="F302" s="2168">
        <v>0</v>
      </c>
      <c r="G302" s="2168">
        <v>0</v>
      </c>
      <c r="H302" s="2169" t="e">
        <f t="shared" si="30"/>
        <v>#DIV/0!</v>
      </c>
    </row>
    <row r="303" spans="1:8" ht="30.75" thickTop="1" x14ac:dyDescent="0.2">
      <c r="A303" s="2165">
        <v>3123</v>
      </c>
      <c r="B303" s="2166">
        <v>5336</v>
      </c>
      <c r="C303" s="2170">
        <v>32133019</v>
      </c>
      <c r="D303" s="2167" t="s">
        <v>1325</v>
      </c>
      <c r="E303" s="2168">
        <v>0</v>
      </c>
      <c r="F303" s="2168">
        <f>57+5</f>
        <v>62</v>
      </c>
      <c r="G303" s="2168">
        <f>57+5</f>
        <v>62</v>
      </c>
      <c r="H303" s="2169">
        <f t="shared" si="30"/>
        <v>100</v>
      </c>
    </row>
    <row r="304" spans="1:8" ht="15" hidden="1" x14ac:dyDescent="0.2">
      <c r="A304" s="2165">
        <v>3636</v>
      </c>
      <c r="B304" s="2166">
        <v>5021</v>
      </c>
      <c r="C304" s="2166">
        <v>38500881</v>
      </c>
      <c r="D304" s="2167" t="s">
        <v>409</v>
      </c>
      <c r="E304" s="2168"/>
      <c r="F304" s="2168"/>
      <c r="G304" s="2168"/>
      <c r="H304" s="2169" t="e">
        <f t="shared" si="30"/>
        <v>#DIV/0!</v>
      </c>
    </row>
    <row r="305" spans="1:8" ht="30" hidden="1" x14ac:dyDescent="0.2">
      <c r="A305" s="2165">
        <v>3636</v>
      </c>
      <c r="B305" s="2166">
        <v>5031</v>
      </c>
      <c r="C305" s="2166">
        <v>38100880</v>
      </c>
      <c r="D305" s="2167" t="s">
        <v>1362</v>
      </c>
      <c r="E305" s="2168"/>
      <c r="F305" s="2168"/>
      <c r="G305" s="2168"/>
      <c r="H305" s="2169" t="e">
        <f t="shared" si="30"/>
        <v>#DIV/0!</v>
      </c>
    </row>
    <row r="306" spans="1:8" ht="30" hidden="1" x14ac:dyDescent="0.2">
      <c r="A306" s="2165">
        <v>3636</v>
      </c>
      <c r="B306" s="2166">
        <v>5031</v>
      </c>
      <c r="C306" s="2166">
        <v>38500881</v>
      </c>
      <c r="D306" s="2167" t="s">
        <v>1362</v>
      </c>
      <c r="E306" s="2168"/>
      <c r="F306" s="2168"/>
      <c r="G306" s="2168"/>
      <c r="H306" s="2169" t="e">
        <f t="shared" si="30"/>
        <v>#DIV/0!</v>
      </c>
    </row>
    <row r="307" spans="1:8" ht="30" hidden="1" x14ac:dyDescent="0.2">
      <c r="A307" s="2165">
        <v>3636</v>
      </c>
      <c r="B307" s="2166">
        <v>5032</v>
      </c>
      <c r="C307" s="2166">
        <v>38100880</v>
      </c>
      <c r="D307" s="2167" t="s">
        <v>1236</v>
      </c>
      <c r="E307" s="2168"/>
      <c r="F307" s="2168"/>
      <c r="G307" s="2168"/>
      <c r="H307" s="2169" t="e">
        <f t="shared" si="30"/>
        <v>#DIV/0!</v>
      </c>
    </row>
    <row r="308" spans="1:8" ht="30" hidden="1" x14ac:dyDescent="0.2">
      <c r="A308" s="2165">
        <v>3636</v>
      </c>
      <c r="B308" s="2166">
        <v>5032</v>
      </c>
      <c r="C308" s="2166">
        <v>38500881</v>
      </c>
      <c r="D308" s="2167" t="s">
        <v>1236</v>
      </c>
      <c r="E308" s="2168"/>
      <c r="F308" s="2168"/>
      <c r="G308" s="2168"/>
      <c r="H308" s="2169" t="e">
        <f t="shared" si="30"/>
        <v>#DIV/0!</v>
      </c>
    </row>
    <row r="309" spans="1:8" ht="15" hidden="1" x14ac:dyDescent="0.2">
      <c r="A309" s="2165">
        <v>3636</v>
      </c>
      <c r="B309" s="2166">
        <v>5139</v>
      </c>
      <c r="C309" s="2166">
        <v>38100880</v>
      </c>
      <c r="D309" s="2167" t="s">
        <v>284</v>
      </c>
      <c r="E309" s="2168"/>
      <c r="F309" s="2168"/>
      <c r="G309" s="2168"/>
      <c r="H309" s="2169">
        <v>0</v>
      </c>
    </row>
    <row r="310" spans="1:8" ht="15" hidden="1" x14ac:dyDescent="0.2">
      <c r="A310" s="2165">
        <v>3636</v>
      </c>
      <c r="B310" s="2166">
        <v>5139</v>
      </c>
      <c r="C310" s="2166">
        <v>38500881</v>
      </c>
      <c r="D310" s="2167" t="s">
        <v>284</v>
      </c>
      <c r="E310" s="2168"/>
      <c r="F310" s="2168"/>
      <c r="G310" s="2168"/>
      <c r="H310" s="2169" t="e">
        <f t="shared" ref="H310:H315" si="31">G310/F310*100</f>
        <v>#DIV/0!</v>
      </c>
    </row>
    <row r="311" spans="1:8" ht="15" hidden="1" x14ac:dyDescent="0.2">
      <c r="A311" s="2165">
        <v>3636</v>
      </c>
      <c r="B311" s="2166">
        <v>5162</v>
      </c>
      <c r="C311" s="2166">
        <v>38100880</v>
      </c>
      <c r="D311" s="2167" t="s">
        <v>904</v>
      </c>
      <c r="E311" s="2168"/>
      <c r="F311" s="2168"/>
      <c r="G311" s="2168"/>
      <c r="H311" s="2169" t="e">
        <f t="shared" si="31"/>
        <v>#DIV/0!</v>
      </c>
    </row>
    <row r="312" spans="1:8" ht="15" hidden="1" x14ac:dyDescent="0.2">
      <c r="A312" s="2165">
        <v>3636</v>
      </c>
      <c r="B312" s="2166">
        <v>5162</v>
      </c>
      <c r="C312" s="2166">
        <v>38500881</v>
      </c>
      <c r="D312" s="2167" t="s">
        <v>904</v>
      </c>
      <c r="E312" s="2168"/>
      <c r="F312" s="2168"/>
      <c r="G312" s="2168"/>
      <c r="H312" s="2169" t="e">
        <f t="shared" si="31"/>
        <v>#DIV/0!</v>
      </c>
    </row>
    <row r="313" spans="1:8" ht="15" hidden="1" x14ac:dyDescent="0.2">
      <c r="A313" s="2165">
        <v>3636</v>
      </c>
      <c r="B313" s="2166">
        <v>5164</v>
      </c>
      <c r="C313" s="2166">
        <v>38100880</v>
      </c>
      <c r="D313" s="2167" t="s">
        <v>182</v>
      </c>
      <c r="E313" s="2168"/>
      <c r="F313" s="2168"/>
      <c r="G313" s="2168"/>
      <c r="H313" s="2169" t="e">
        <f t="shared" si="31"/>
        <v>#DIV/0!</v>
      </c>
    </row>
    <row r="314" spans="1:8" ht="15" hidden="1" x14ac:dyDescent="0.2">
      <c r="A314" s="2165">
        <v>3636</v>
      </c>
      <c r="B314" s="2166">
        <v>5164</v>
      </c>
      <c r="C314" s="2166">
        <v>38500881</v>
      </c>
      <c r="D314" s="2167" t="s">
        <v>182</v>
      </c>
      <c r="E314" s="2168"/>
      <c r="F314" s="2168"/>
      <c r="G314" s="2168"/>
      <c r="H314" s="2169" t="e">
        <f t="shared" si="31"/>
        <v>#DIV/0!</v>
      </c>
    </row>
    <row r="315" spans="1:8" ht="30.75" thickBot="1" x14ac:dyDescent="0.25">
      <c r="A315" s="2165">
        <v>3123</v>
      </c>
      <c r="B315" s="2166">
        <v>5336</v>
      </c>
      <c r="C315" s="2170">
        <v>32533019</v>
      </c>
      <c r="D315" s="2167" t="s">
        <v>1325</v>
      </c>
      <c r="E315" s="2168">
        <v>0</v>
      </c>
      <c r="F315" s="2168">
        <f>321+27</f>
        <v>348</v>
      </c>
      <c r="G315" s="2168">
        <f>321+27</f>
        <v>348</v>
      </c>
      <c r="H315" s="2169">
        <f t="shared" si="31"/>
        <v>100</v>
      </c>
    </row>
    <row r="316" spans="1:8" ht="15.75" hidden="1" thickBot="1" x14ac:dyDescent="0.25">
      <c r="A316" s="2165">
        <v>6223</v>
      </c>
      <c r="B316" s="2166">
        <v>5166</v>
      </c>
      <c r="C316" s="2166">
        <v>41100880</v>
      </c>
      <c r="D316" s="2167" t="s">
        <v>646</v>
      </c>
      <c r="E316" s="2168"/>
      <c r="F316" s="2168"/>
      <c r="G316" s="2168"/>
      <c r="H316" s="2169" t="e">
        <f t="shared" ref="H316:H322" si="32">G316/F316*100</f>
        <v>#DIV/0!</v>
      </c>
    </row>
    <row r="317" spans="1:8" ht="15.75" hidden="1" thickBot="1" x14ac:dyDescent="0.25">
      <c r="A317" s="2165">
        <v>6223</v>
      </c>
      <c r="B317" s="2166">
        <v>5166</v>
      </c>
      <c r="C317" s="2166">
        <v>41100882</v>
      </c>
      <c r="D317" s="2167" t="s">
        <v>646</v>
      </c>
      <c r="E317" s="2168"/>
      <c r="F317" s="2168"/>
      <c r="G317" s="2168"/>
      <c r="H317" s="2169" t="e">
        <f t="shared" si="32"/>
        <v>#DIV/0!</v>
      </c>
    </row>
    <row r="318" spans="1:8" ht="15.75" hidden="1" thickBot="1" x14ac:dyDescent="0.25">
      <c r="A318" s="2165">
        <v>6223</v>
      </c>
      <c r="B318" s="2166">
        <v>5166</v>
      </c>
      <c r="C318" s="2166">
        <v>41500881</v>
      </c>
      <c r="D318" s="2167" t="s">
        <v>646</v>
      </c>
      <c r="E318" s="2168"/>
      <c r="F318" s="2168"/>
      <c r="G318" s="2168"/>
      <c r="H318" s="2169" t="e">
        <f t="shared" si="32"/>
        <v>#DIV/0!</v>
      </c>
    </row>
    <row r="319" spans="1:8" ht="15.75" hidden="1" thickBot="1" x14ac:dyDescent="0.25">
      <c r="A319" s="2165">
        <v>3636</v>
      </c>
      <c r="B319" s="2166">
        <v>5167</v>
      </c>
      <c r="C319" s="2166">
        <v>38100880</v>
      </c>
      <c r="D319" s="2167" t="s">
        <v>937</v>
      </c>
      <c r="E319" s="2168"/>
      <c r="F319" s="2168"/>
      <c r="G319" s="2168"/>
      <c r="H319" s="2169" t="e">
        <f t="shared" si="32"/>
        <v>#DIV/0!</v>
      </c>
    </row>
    <row r="320" spans="1:8" ht="15.75" hidden="1" thickBot="1" x14ac:dyDescent="0.25">
      <c r="A320" s="2165">
        <v>3636</v>
      </c>
      <c r="B320" s="2166">
        <v>5167</v>
      </c>
      <c r="C320" s="2166">
        <v>38500881</v>
      </c>
      <c r="D320" s="2167" t="s">
        <v>937</v>
      </c>
      <c r="E320" s="2168"/>
      <c r="F320" s="2168"/>
      <c r="G320" s="2168"/>
      <c r="H320" s="2169" t="e">
        <f t="shared" si="32"/>
        <v>#DIV/0!</v>
      </c>
    </row>
    <row r="321" spans="1:8" ht="15.75" hidden="1" thickBot="1" x14ac:dyDescent="0.25">
      <c r="A321" s="2165">
        <v>3636</v>
      </c>
      <c r="B321" s="2166">
        <v>5169</v>
      </c>
      <c r="C321" s="2166">
        <v>38100880</v>
      </c>
      <c r="D321" s="2167" t="s">
        <v>892</v>
      </c>
      <c r="E321" s="2168"/>
      <c r="F321" s="2168"/>
      <c r="G321" s="2168"/>
      <c r="H321" s="2169" t="e">
        <f t="shared" si="32"/>
        <v>#DIV/0!</v>
      </c>
    </row>
    <row r="322" spans="1:8" ht="15.75" hidden="1" thickBot="1" x14ac:dyDescent="0.25">
      <c r="A322" s="2165">
        <v>3636</v>
      </c>
      <c r="B322" s="2166">
        <v>5169</v>
      </c>
      <c r="C322" s="2166">
        <v>38500881</v>
      </c>
      <c r="D322" s="2167" t="s">
        <v>892</v>
      </c>
      <c r="E322" s="2168"/>
      <c r="F322" s="2168"/>
      <c r="G322" s="2168"/>
      <c r="H322" s="2169" t="e">
        <f t="shared" si="32"/>
        <v>#DIV/0!</v>
      </c>
    </row>
    <row r="323" spans="1:8" ht="15.75" hidden="1" thickBot="1" x14ac:dyDescent="0.25">
      <c r="A323" s="2165">
        <v>6223</v>
      </c>
      <c r="B323" s="2166">
        <v>5173</v>
      </c>
      <c r="C323" s="2170">
        <v>0</v>
      </c>
      <c r="D323" s="2167" t="s">
        <v>1211</v>
      </c>
      <c r="E323" s="2168"/>
      <c r="F323" s="2168"/>
      <c r="G323" s="2168"/>
      <c r="H323" s="2169">
        <v>0</v>
      </c>
    </row>
    <row r="324" spans="1:8" ht="15.75" hidden="1" thickBot="1" x14ac:dyDescent="0.25">
      <c r="A324" s="2165">
        <v>3636</v>
      </c>
      <c r="B324" s="2166">
        <v>5173</v>
      </c>
      <c r="C324" s="2166">
        <v>38500881</v>
      </c>
      <c r="D324" s="2167" t="s">
        <v>1211</v>
      </c>
      <c r="E324" s="2168">
        <v>0</v>
      </c>
      <c r="F324" s="2168"/>
      <c r="G324" s="2168"/>
      <c r="H324" s="2169" t="e">
        <f t="shared" ref="H324:H330" si="33">G324/F324*100</f>
        <v>#DIV/0!</v>
      </c>
    </row>
    <row r="325" spans="1:8" ht="15.75" hidden="1" thickBot="1" x14ac:dyDescent="0.25">
      <c r="A325" s="2165">
        <v>3636</v>
      </c>
      <c r="B325" s="2166">
        <v>5175</v>
      </c>
      <c r="C325" s="2166">
        <v>38100880</v>
      </c>
      <c r="D325" s="2167" t="s">
        <v>707</v>
      </c>
      <c r="E325" s="2168">
        <v>0</v>
      </c>
      <c r="F325" s="2168"/>
      <c r="G325" s="2168"/>
      <c r="H325" s="2169" t="e">
        <f t="shared" si="33"/>
        <v>#DIV/0!</v>
      </c>
    </row>
    <row r="326" spans="1:8" ht="15.75" hidden="1" thickBot="1" x14ac:dyDescent="0.25">
      <c r="A326" s="2165">
        <v>3636</v>
      </c>
      <c r="B326" s="2166">
        <v>5175</v>
      </c>
      <c r="C326" s="2166">
        <v>38500881</v>
      </c>
      <c r="D326" s="2167" t="s">
        <v>707</v>
      </c>
      <c r="E326" s="2168">
        <v>0</v>
      </c>
      <c r="F326" s="2168"/>
      <c r="G326" s="2168"/>
      <c r="H326" s="2169" t="e">
        <f t="shared" si="33"/>
        <v>#DIV/0!</v>
      </c>
    </row>
    <row r="327" spans="1:8" ht="15.75" hidden="1" thickBot="1" x14ac:dyDescent="0.25">
      <c r="A327" s="2165">
        <v>3636</v>
      </c>
      <c r="B327" s="2166">
        <v>5176</v>
      </c>
      <c r="C327" s="2166">
        <v>38100880</v>
      </c>
      <c r="D327" s="2167" t="s">
        <v>1309</v>
      </c>
      <c r="E327" s="2168">
        <v>0</v>
      </c>
      <c r="F327" s="2168"/>
      <c r="G327" s="2168"/>
      <c r="H327" s="2169" t="e">
        <f t="shared" si="33"/>
        <v>#DIV/0!</v>
      </c>
    </row>
    <row r="328" spans="1:8" ht="15.75" hidden="1" thickBot="1" x14ac:dyDescent="0.25">
      <c r="A328" s="2165">
        <v>3636</v>
      </c>
      <c r="B328" s="2166">
        <v>5176</v>
      </c>
      <c r="C328" s="2166">
        <v>38500881</v>
      </c>
      <c r="D328" s="2167" t="s">
        <v>1309</v>
      </c>
      <c r="E328" s="2168">
        <v>0</v>
      </c>
      <c r="F328" s="2168"/>
      <c r="G328" s="2168"/>
      <c r="H328" s="2169" t="e">
        <f t="shared" si="33"/>
        <v>#DIV/0!</v>
      </c>
    </row>
    <row r="329" spans="1:8" ht="15.75" hidden="1" thickBot="1" x14ac:dyDescent="0.25">
      <c r="A329" s="2165">
        <v>3636</v>
      </c>
      <c r="B329" s="2166">
        <v>6901</v>
      </c>
      <c r="C329" s="2166">
        <v>38100880</v>
      </c>
      <c r="D329" s="2167" t="s">
        <v>449</v>
      </c>
      <c r="E329" s="2168">
        <v>0</v>
      </c>
      <c r="F329" s="2168">
        <v>0</v>
      </c>
      <c r="G329" s="2168">
        <v>0</v>
      </c>
      <c r="H329" s="2169" t="e">
        <f t="shared" si="33"/>
        <v>#DIV/0!</v>
      </c>
    </row>
    <row r="330" spans="1:8" ht="15.75" hidden="1" thickBot="1" x14ac:dyDescent="0.25">
      <c r="A330" s="2165">
        <v>3636</v>
      </c>
      <c r="B330" s="2166">
        <v>5363</v>
      </c>
      <c r="C330" s="2166">
        <v>38500881</v>
      </c>
      <c r="D330" s="2167" t="s">
        <v>585</v>
      </c>
      <c r="E330" s="2168">
        <v>0</v>
      </c>
      <c r="F330" s="2168">
        <v>0</v>
      </c>
      <c r="G330" s="2168">
        <v>0</v>
      </c>
      <c r="H330" s="2171" t="e">
        <f t="shared" si="33"/>
        <v>#DIV/0!</v>
      </c>
    </row>
    <row r="331" spans="1:8" ht="16.5" thickTop="1" thickBot="1" x14ac:dyDescent="0.3">
      <c r="A331" s="2750" t="s">
        <v>802</v>
      </c>
      <c r="B331" s="2751"/>
      <c r="C331" s="2751"/>
      <c r="D331" s="2751"/>
      <c r="E331" s="1957">
        <f>SUM(E301:E330)</f>
        <v>0</v>
      </c>
      <c r="F331" s="1957">
        <f>SUM(F301:F330)</f>
        <v>410</v>
      </c>
      <c r="G331" s="1957">
        <f>SUM(G301:G330)</f>
        <v>410</v>
      </c>
      <c r="H331" s="1962">
        <v>0</v>
      </c>
    </row>
    <row r="332" spans="1:8" ht="13.5" thickTop="1" x14ac:dyDescent="0.2"/>
    <row r="333" spans="1:8" ht="12" customHeight="1" x14ac:dyDescent="0.25">
      <c r="A333" s="2744" t="s">
        <v>1932</v>
      </c>
      <c r="B333" s="2744"/>
      <c r="C333" s="2744"/>
      <c r="D333" s="2744"/>
      <c r="E333" s="2744"/>
      <c r="F333" s="2744"/>
      <c r="G333" s="2744"/>
      <c r="H333" s="2744"/>
    </row>
    <row r="334" spans="1:8" ht="15.75" thickBot="1" x14ac:dyDescent="0.3">
      <c r="A334" s="2132" t="s">
        <v>1933</v>
      </c>
      <c r="B334" s="2146"/>
      <c r="C334" s="2146"/>
      <c r="E334" s="2147"/>
      <c r="F334" s="2147"/>
      <c r="G334" s="2147"/>
      <c r="H334" s="2148" t="s">
        <v>173</v>
      </c>
    </row>
    <row r="335" spans="1:8" ht="25.5" thickTop="1" thickBot="1" x14ac:dyDescent="0.25">
      <c r="A335" s="1943" t="s">
        <v>174</v>
      </c>
      <c r="B335" s="1944" t="s">
        <v>800</v>
      </c>
      <c r="C335" s="1944" t="s">
        <v>397</v>
      </c>
      <c r="D335" s="1945" t="s">
        <v>176</v>
      </c>
      <c r="E335" s="1976" t="s">
        <v>669</v>
      </c>
      <c r="F335" s="1976" t="s">
        <v>670</v>
      </c>
      <c r="G335" s="1977" t="s">
        <v>923</v>
      </c>
      <c r="H335" s="1978" t="s">
        <v>924</v>
      </c>
    </row>
    <row r="336" spans="1:8" ht="14.25" thickTop="1" thickBot="1" x14ac:dyDescent="0.25">
      <c r="A336" s="1740">
        <v>1</v>
      </c>
      <c r="B336" s="1739">
        <v>2</v>
      </c>
      <c r="C336" s="1739">
        <v>3</v>
      </c>
      <c r="D336" s="1739">
        <v>4</v>
      </c>
      <c r="E336" s="1738">
        <v>5</v>
      </c>
      <c r="F336" s="1738">
        <v>6</v>
      </c>
      <c r="G336" s="2028">
        <v>7</v>
      </c>
      <c r="H336" s="2054" t="s">
        <v>61</v>
      </c>
    </row>
    <row r="337" spans="1:8" ht="15.75" hidden="1" thickTop="1" x14ac:dyDescent="0.2">
      <c r="A337" s="2160">
        <v>3636</v>
      </c>
      <c r="B337" s="2161">
        <v>5011</v>
      </c>
      <c r="C337" s="2170">
        <v>0</v>
      </c>
      <c r="D337" s="2162" t="s">
        <v>219</v>
      </c>
      <c r="E337" s="2163">
        <v>0</v>
      </c>
      <c r="F337" s="2163">
        <v>0</v>
      </c>
      <c r="G337" s="2163">
        <v>0</v>
      </c>
      <c r="H337" s="2164" t="e">
        <f t="shared" ref="H337:H344" si="34">G337/F337*100</f>
        <v>#DIV/0!</v>
      </c>
    </row>
    <row r="338" spans="1:8" ht="15.75" hidden="1" thickTop="1" x14ac:dyDescent="0.2">
      <c r="A338" s="2165">
        <v>3636</v>
      </c>
      <c r="B338" s="2166">
        <v>5011</v>
      </c>
      <c r="C338" s="2166">
        <v>38500881</v>
      </c>
      <c r="D338" s="2167" t="s">
        <v>219</v>
      </c>
      <c r="E338" s="2168">
        <v>0</v>
      </c>
      <c r="F338" s="2168">
        <v>0</v>
      </c>
      <c r="G338" s="2168">
        <v>0</v>
      </c>
      <c r="H338" s="2169" t="e">
        <f t="shared" si="34"/>
        <v>#DIV/0!</v>
      </c>
    </row>
    <row r="339" spans="1:8" ht="30.75" thickTop="1" x14ac:dyDescent="0.2">
      <c r="A339" s="2165">
        <v>3122</v>
      </c>
      <c r="B339" s="2166">
        <v>5336</v>
      </c>
      <c r="C339" s="2170">
        <v>32133019</v>
      </c>
      <c r="D339" s="2167" t="s">
        <v>1325</v>
      </c>
      <c r="E339" s="2168">
        <v>0</v>
      </c>
      <c r="F339" s="2168">
        <f>98+8</f>
        <v>106</v>
      </c>
      <c r="G339" s="2168">
        <f>63+5</f>
        <v>68</v>
      </c>
      <c r="H339" s="2169">
        <f t="shared" si="34"/>
        <v>64.15094339622641</v>
      </c>
    </row>
    <row r="340" spans="1:8" ht="15" hidden="1" x14ac:dyDescent="0.2">
      <c r="A340" s="2165">
        <v>3636</v>
      </c>
      <c r="B340" s="2166">
        <v>5021</v>
      </c>
      <c r="C340" s="2166">
        <v>38500881</v>
      </c>
      <c r="D340" s="2167" t="s">
        <v>409</v>
      </c>
      <c r="E340" s="2168"/>
      <c r="F340" s="2168"/>
      <c r="G340" s="2168"/>
      <c r="H340" s="2169" t="e">
        <f t="shared" si="34"/>
        <v>#DIV/0!</v>
      </c>
    </row>
    <row r="341" spans="1:8" ht="30" hidden="1" x14ac:dyDescent="0.2">
      <c r="A341" s="2165">
        <v>3636</v>
      </c>
      <c r="B341" s="2166">
        <v>5031</v>
      </c>
      <c r="C341" s="2166">
        <v>38100880</v>
      </c>
      <c r="D341" s="2167" t="s">
        <v>1362</v>
      </c>
      <c r="E341" s="2168"/>
      <c r="F341" s="2168"/>
      <c r="G341" s="2168"/>
      <c r="H341" s="2169" t="e">
        <f t="shared" si="34"/>
        <v>#DIV/0!</v>
      </c>
    </row>
    <row r="342" spans="1:8" ht="30" hidden="1" x14ac:dyDescent="0.2">
      <c r="A342" s="2165">
        <v>3636</v>
      </c>
      <c r="B342" s="2166">
        <v>5031</v>
      </c>
      <c r="C342" s="2166">
        <v>38500881</v>
      </c>
      <c r="D342" s="2167" t="s">
        <v>1362</v>
      </c>
      <c r="E342" s="2168"/>
      <c r="F342" s="2168"/>
      <c r="G342" s="2168"/>
      <c r="H342" s="2169" t="e">
        <f t="shared" si="34"/>
        <v>#DIV/0!</v>
      </c>
    </row>
    <row r="343" spans="1:8" ht="30" hidden="1" x14ac:dyDescent="0.2">
      <c r="A343" s="2165">
        <v>3636</v>
      </c>
      <c r="B343" s="2166">
        <v>5032</v>
      </c>
      <c r="C343" s="2166">
        <v>38100880</v>
      </c>
      <c r="D343" s="2167" t="s">
        <v>1236</v>
      </c>
      <c r="E343" s="2168"/>
      <c r="F343" s="2168"/>
      <c r="G343" s="2168"/>
      <c r="H343" s="2169" t="e">
        <f t="shared" si="34"/>
        <v>#DIV/0!</v>
      </c>
    </row>
    <row r="344" spans="1:8" ht="30" hidden="1" x14ac:dyDescent="0.2">
      <c r="A344" s="2165">
        <v>3636</v>
      </c>
      <c r="B344" s="2166">
        <v>5032</v>
      </c>
      <c r="C344" s="2166">
        <v>38500881</v>
      </c>
      <c r="D344" s="2167" t="s">
        <v>1236</v>
      </c>
      <c r="E344" s="2168"/>
      <c r="F344" s="2168"/>
      <c r="G344" s="2168"/>
      <c r="H344" s="2169" t="e">
        <f t="shared" si="34"/>
        <v>#DIV/0!</v>
      </c>
    </row>
    <row r="345" spans="1:8" ht="15" hidden="1" x14ac:dyDescent="0.2">
      <c r="A345" s="2165">
        <v>3636</v>
      </c>
      <c r="B345" s="2166">
        <v>5139</v>
      </c>
      <c r="C345" s="2166">
        <v>38100880</v>
      </c>
      <c r="D345" s="2167" t="s">
        <v>284</v>
      </c>
      <c r="E345" s="2168"/>
      <c r="F345" s="2168"/>
      <c r="G345" s="2168"/>
      <c r="H345" s="2169">
        <v>0</v>
      </c>
    </row>
    <row r="346" spans="1:8" ht="15" hidden="1" x14ac:dyDescent="0.2">
      <c r="A346" s="2165">
        <v>3636</v>
      </c>
      <c r="B346" s="2166">
        <v>5139</v>
      </c>
      <c r="C346" s="2166">
        <v>38500881</v>
      </c>
      <c r="D346" s="2167" t="s">
        <v>284</v>
      </c>
      <c r="E346" s="2168"/>
      <c r="F346" s="2168"/>
      <c r="G346" s="2168"/>
      <c r="H346" s="2169" t="e">
        <f t="shared" ref="H346:H351" si="35">G346/F346*100</f>
        <v>#DIV/0!</v>
      </c>
    </row>
    <row r="347" spans="1:8" ht="15" hidden="1" x14ac:dyDescent="0.2">
      <c r="A347" s="2165">
        <v>3636</v>
      </c>
      <c r="B347" s="2166">
        <v>5162</v>
      </c>
      <c r="C347" s="2166">
        <v>38100880</v>
      </c>
      <c r="D347" s="2167" t="s">
        <v>904</v>
      </c>
      <c r="E347" s="2168"/>
      <c r="F347" s="2168"/>
      <c r="G347" s="2168"/>
      <c r="H347" s="2169" t="e">
        <f t="shared" si="35"/>
        <v>#DIV/0!</v>
      </c>
    </row>
    <row r="348" spans="1:8" ht="15" hidden="1" x14ac:dyDescent="0.2">
      <c r="A348" s="2165">
        <v>3636</v>
      </c>
      <c r="B348" s="2166">
        <v>5162</v>
      </c>
      <c r="C348" s="2166">
        <v>38500881</v>
      </c>
      <c r="D348" s="2167" t="s">
        <v>904</v>
      </c>
      <c r="E348" s="2168"/>
      <c r="F348" s="2168"/>
      <c r="G348" s="2168"/>
      <c r="H348" s="2169" t="e">
        <f t="shared" si="35"/>
        <v>#DIV/0!</v>
      </c>
    </row>
    <row r="349" spans="1:8" ht="15" hidden="1" x14ac:dyDescent="0.2">
      <c r="A349" s="2165">
        <v>3636</v>
      </c>
      <c r="B349" s="2166">
        <v>5164</v>
      </c>
      <c r="C349" s="2166">
        <v>38100880</v>
      </c>
      <c r="D349" s="2167" t="s">
        <v>182</v>
      </c>
      <c r="E349" s="2168"/>
      <c r="F349" s="2168"/>
      <c r="G349" s="2168"/>
      <c r="H349" s="2169" t="e">
        <f t="shared" si="35"/>
        <v>#DIV/0!</v>
      </c>
    </row>
    <row r="350" spans="1:8" ht="15" hidden="1" x14ac:dyDescent="0.2">
      <c r="A350" s="2165">
        <v>3636</v>
      </c>
      <c r="B350" s="2166">
        <v>5164</v>
      </c>
      <c r="C350" s="2166">
        <v>38500881</v>
      </c>
      <c r="D350" s="2167" t="s">
        <v>182</v>
      </c>
      <c r="E350" s="2168"/>
      <c r="F350" s="2168"/>
      <c r="G350" s="2168"/>
      <c r="H350" s="2169" t="e">
        <f t="shared" si="35"/>
        <v>#DIV/0!</v>
      </c>
    </row>
    <row r="351" spans="1:8" ht="30.75" thickBot="1" x14ac:dyDescent="0.25">
      <c r="A351" s="2165">
        <v>3122</v>
      </c>
      <c r="B351" s="2166">
        <v>5336</v>
      </c>
      <c r="C351" s="2170">
        <v>32533019</v>
      </c>
      <c r="D351" s="2167" t="s">
        <v>1325</v>
      </c>
      <c r="E351" s="2168">
        <v>0</v>
      </c>
      <c r="F351" s="2168">
        <f>556+46</f>
        <v>602</v>
      </c>
      <c r="G351" s="2168">
        <f>355+30</f>
        <v>385</v>
      </c>
      <c r="H351" s="2169">
        <f t="shared" si="35"/>
        <v>63.953488372093027</v>
      </c>
    </row>
    <row r="352" spans="1:8" ht="15.75" hidden="1" thickBot="1" x14ac:dyDescent="0.25">
      <c r="A352" s="2165">
        <v>6223</v>
      </c>
      <c r="B352" s="2166">
        <v>5166</v>
      </c>
      <c r="C352" s="2166">
        <v>41100880</v>
      </c>
      <c r="D352" s="2167" t="s">
        <v>646</v>
      </c>
      <c r="E352" s="2168"/>
      <c r="F352" s="2168"/>
      <c r="G352" s="2168"/>
      <c r="H352" s="2169" t="e">
        <f t="shared" ref="H352:H358" si="36">G352/F352*100</f>
        <v>#DIV/0!</v>
      </c>
    </row>
    <row r="353" spans="1:8" ht="15.75" hidden="1" thickBot="1" x14ac:dyDescent="0.25">
      <c r="A353" s="2165">
        <v>6223</v>
      </c>
      <c r="B353" s="2166">
        <v>5166</v>
      </c>
      <c r="C353" s="2166">
        <v>41100882</v>
      </c>
      <c r="D353" s="2167" t="s">
        <v>646</v>
      </c>
      <c r="E353" s="2168"/>
      <c r="F353" s="2168"/>
      <c r="G353" s="2168"/>
      <c r="H353" s="2169" t="e">
        <f t="shared" si="36"/>
        <v>#DIV/0!</v>
      </c>
    </row>
    <row r="354" spans="1:8" ht="15.75" hidden="1" thickBot="1" x14ac:dyDescent="0.25">
      <c r="A354" s="2165">
        <v>6223</v>
      </c>
      <c r="B354" s="2166">
        <v>5166</v>
      </c>
      <c r="C354" s="2166">
        <v>41500881</v>
      </c>
      <c r="D354" s="2167" t="s">
        <v>646</v>
      </c>
      <c r="E354" s="2168"/>
      <c r="F354" s="2168"/>
      <c r="G354" s="2168"/>
      <c r="H354" s="2169" t="e">
        <f t="shared" si="36"/>
        <v>#DIV/0!</v>
      </c>
    </row>
    <row r="355" spans="1:8" ht="15.75" hidden="1" thickBot="1" x14ac:dyDescent="0.25">
      <c r="A355" s="2165">
        <v>3636</v>
      </c>
      <c r="B355" s="2166">
        <v>5167</v>
      </c>
      <c r="C355" s="2166">
        <v>38100880</v>
      </c>
      <c r="D355" s="2167" t="s">
        <v>937</v>
      </c>
      <c r="E355" s="2168"/>
      <c r="F355" s="2168"/>
      <c r="G355" s="2168"/>
      <c r="H355" s="2169" t="e">
        <f t="shared" si="36"/>
        <v>#DIV/0!</v>
      </c>
    </row>
    <row r="356" spans="1:8" ht="15.75" hidden="1" thickBot="1" x14ac:dyDescent="0.25">
      <c r="A356" s="2165">
        <v>3636</v>
      </c>
      <c r="B356" s="2166">
        <v>5167</v>
      </c>
      <c r="C356" s="2166">
        <v>38500881</v>
      </c>
      <c r="D356" s="2167" t="s">
        <v>937</v>
      </c>
      <c r="E356" s="2168"/>
      <c r="F356" s="2168"/>
      <c r="G356" s="2168"/>
      <c r="H356" s="2169" t="e">
        <f t="shared" si="36"/>
        <v>#DIV/0!</v>
      </c>
    </row>
    <row r="357" spans="1:8" ht="15.75" hidden="1" thickBot="1" x14ac:dyDescent="0.25">
      <c r="A357" s="2165">
        <v>3636</v>
      </c>
      <c r="B357" s="2166">
        <v>5169</v>
      </c>
      <c r="C357" s="2166">
        <v>38100880</v>
      </c>
      <c r="D357" s="2167" t="s">
        <v>892</v>
      </c>
      <c r="E357" s="2168"/>
      <c r="F357" s="2168"/>
      <c r="G357" s="2168"/>
      <c r="H357" s="2169" t="e">
        <f t="shared" si="36"/>
        <v>#DIV/0!</v>
      </c>
    </row>
    <row r="358" spans="1:8" ht="15.75" hidden="1" thickBot="1" x14ac:dyDescent="0.25">
      <c r="A358" s="2165">
        <v>3636</v>
      </c>
      <c r="B358" s="2166">
        <v>5169</v>
      </c>
      <c r="C358" s="2166">
        <v>38500881</v>
      </c>
      <c r="D358" s="2167" t="s">
        <v>892</v>
      </c>
      <c r="E358" s="2168"/>
      <c r="F358" s="2168"/>
      <c r="G358" s="2168"/>
      <c r="H358" s="2169" t="e">
        <f t="shared" si="36"/>
        <v>#DIV/0!</v>
      </c>
    </row>
    <row r="359" spans="1:8" ht="15.75" hidden="1" thickBot="1" x14ac:dyDescent="0.25">
      <c r="A359" s="2165">
        <v>6223</v>
      </c>
      <c r="B359" s="2166">
        <v>5173</v>
      </c>
      <c r="C359" s="2170">
        <v>0</v>
      </c>
      <c r="D359" s="2167" t="s">
        <v>1211</v>
      </c>
      <c r="E359" s="2168"/>
      <c r="F359" s="2168"/>
      <c r="G359" s="2168"/>
      <c r="H359" s="2169">
        <v>0</v>
      </c>
    </row>
    <row r="360" spans="1:8" ht="15.75" hidden="1" thickBot="1" x14ac:dyDescent="0.25">
      <c r="A360" s="2165">
        <v>3636</v>
      </c>
      <c r="B360" s="2166">
        <v>5173</v>
      </c>
      <c r="C360" s="2166">
        <v>38500881</v>
      </c>
      <c r="D360" s="2167" t="s">
        <v>1211</v>
      </c>
      <c r="E360" s="2168">
        <v>0</v>
      </c>
      <c r="F360" s="2168"/>
      <c r="G360" s="2168"/>
      <c r="H360" s="2169" t="e">
        <f t="shared" ref="H360:H366" si="37">G360/F360*100</f>
        <v>#DIV/0!</v>
      </c>
    </row>
    <row r="361" spans="1:8" ht="15.75" hidden="1" thickBot="1" x14ac:dyDescent="0.25">
      <c r="A361" s="2165">
        <v>3636</v>
      </c>
      <c r="B361" s="2166">
        <v>5175</v>
      </c>
      <c r="C361" s="2166">
        <v>38100880</v>
      </c>
      <c r="D361" s="2167" t="s">
        <v>707</v>
      </c>
      <c r="E361" s="2168">
        <v>0</v>
      </c>
      <c r="F361" s="2168"/>
      <c r="G361" s="2168"/>
      <c r="H361" s="2169" t="e">
        <f t="shared" si="37"/>
        <v>#DIV/0!</v>
      </c>
    </row>
    <row r="362" spans="1:8" ht="15.75" hidden="1" thickBot="1" x14ac:dyDescent="0.25">
      <c r="A362" s="2165">
        <v>3636</v>
      </c>
      <c r="B362" s="2166">
        <v>5175</v>
      </c>
      <c r="C362" s="2166">
        <v>38500881</v>
      </c>
      <c r="D362" s="2167" t="s">
        <v>707</v>
      </c>
      <c r="E362" s="2168">
        <v>0</v>
      </c>
      <c r="F362" s="2168"/>
      <c r="G362" s="2168"/>
      <c r="H362" s="2169" t="e">
        <f t="shared" si="37"/>
        <v>#DIV/0!</v>
      </c>
    </row>
    <row r="363" spans="1:8" ht="15.75" hidden="1" thickBot="1" x14ac:dyDescent="0.25">
      <c r="A363" s="2165">
        <v>3636</v>
      </c>
      <c r="B363" s="2166">
        <v>5176</v>
      </c>
      <c r="C363" s="2166">
        <v>38100880</v>
      </c>
      <c r="D363" s="2167" t="s">
        <v>1309</v>
      </c>
      <c r="E363" s="2168">
        <v>0</v>
      </c>
      <c r="F363" s="2168"/>
      <c r="G363" s="2168"/>
      <c r="H363" s="2169" t="e">
        <f t="shared" si="37"/>
        <v>#DIV/0!</v>
      </c>
    </row>
    <row r="364" spans="1:8" ht="15.75" hidden="1" thickBot="1" x14ac:dyDescent="0.25">
      <c r="A364" s="2165">
        <v>3636</v>
      </c>
      <c r="B364" s="2166">
        <v>5176</v>
      </c>
      <c r="C364" s="2166">
        <v>38500881</v>
      </c>
      <c r="D364" s="2167" t="s">
        <v>1309</v>
      </c>
      <c r="E364" s="2168">
        <v>0</v>
      </c>
      <c r="F364" s="2168"/>
      <c r="G364" s="2168"/>
      <c r="H364" s="2169" t="e">
        <f t="shared" si="37"/>
        <v>#DIV/0!</v>
      </c>
    </row>
    <row r="365" spans="1:8" ht="15.75" hidden="1" thickBot="1" x14ac:dyDescent="0.25">
      <c r="A365" s="2165">
        <v>3636</v>
      </c>
      <c r="B365" s="2166">
        <v>6901</v>
      </c>
      <c r="C365" s="2166">
        <v>38100880</v>
      </c>
      <c r="D365" s="2167" t="s">
        <v>449</v>
      </c>
      <c r="E365" s="2168">
        <v>0</v>
      </c>
      <c r="F365" s="2168">
        <v>0</v>
      </c>
      <c r="G365" s="2168">
        <v>0</v>
      </c>
      <c r="H365" s="2169" t="e">
        <f t="shared" si="37"/>
        <v>#DIV/0!</v>
      </c>
    </row>
    <row r="366" spans="1:8" ht="15.75" hidden="1" thickBot="1" x14ac:dyDescent="0.25">
      <c r="A366" s="2165">
        <v>3636</v>
      </c>
      <c r="B366" s="2166">
        <v>5363</v>
      </c>
      <c r="C366" s="2166">
        <v>38500881</v>
      </c>
      <c r="D366" s="2167" t="s">
        <v>585</v>
      </c>
      <c r="E366" s="2168">
        <v>0</v>
      </c>
      <c r="F366" s="2168">
        <v>0</v>
      </c>
      <c r="G366" s="2168">
        <v>0</v>
      </c>
      <c r="H366" s="2171" t="e">
        <f t="shared" si="37"/>
        <v>#DIV/0!</v>
      </c>
    </row>
    <row r="367" spans="1:8" ht="16.5" thickTop="1" thickBot="1" x14ac:dyDescent="0.3">
      <c r="A367" s="2750" t="s">
        <v>802</v>
      </c>
      <c r="B367" s="2751"/>
      <c r="C367" s="2751"/>
      <c r="D367" s="2751"/>
      <c r="E367" s="1957">
        <f>SUM(E337:E366)</f>
        <v>0</v>
      </c>
      <c r="F367" s="1957">
        <f>SUM(F337:F366)</f>
        <v>708</v>
      </c>
      <c r="G367" s="1957">
        <f>SUM(G337:G366)</f>
        <v>453</v>
      </c>
      <c r="H367" s="1962">
        <v>0</v>
      </c>
    </row>
    <row r="368" spans="1:8" ht="13.5" thickTop="1" x14ac:dyDescent="0.2"/>
    <row r="369" spans="1:8" ht="12" customHeight="1" x14ac:dyDescent="0.25">
      <c r="A369" s="2744" t="s">
        <v>1668</v>
      </c>
      <c r="B369" s="2745"/>
      <c r="C369" s="2745"/>
      <c r="D369" s="2745"/>
      <c r="E369" s="2745"/>
      <c r="F369" s="2745"/>
      <c r="G369" s="2745"/>
      <c r="H369" s="2745"/>
    </row>
    <row r="370" spans="1:8" ht="15.75" thickBot="1" x14ac:dyDescent="0.3">
      <c r="A370" s="2132" t="s">
        <v>590</v>
      </c>
      <c r="B370" s="2146"/>
      <c r="C370" s="2146"/>
      <c r="E370" s="2147"/>
      <c r="F370" s="2147"/>
      <c r="G370" s="2147"/>
      <c r="H370" s="2148" t="s">
        <v>173</v>
      </c>
    </row>
    <row r="371" spans="1:8" ht="25.5" thickTop="1" thickBot="1" x14ac:dyDescent="0.25">
      <c r="A371" s="1943" t="s">
        <v>174</v>
      </c>
      <c r="B371" s="1944" t="s">
        <v>800</v>
      </c>
      <c r="C371" s="1944" t="s">
        <v>397</v>
      </c>
      <c r="D371" s="1945" t="s">
        <v>176</v>
      </c>
      <c r="E371" s="1976" t="s">
        <v>669</v>
      </c>
      <c r="F371" s="1976" t="s">
        <v>670</v>
      </c>
      <c r="G371" s="1977" t="s">
        <v>923</v>
      </c>
      <c r="H371" s="1978" t="s">
        <v>924</v>
      </c>
    </row>
    <row r="372" spans="1:8" ht="14.25" thickTop="1" thickBot="1" x14ac:dyDescent="0.25">
      <c r="A372" s="1740">
        <v>1</v>
      </c>
      <c r="B372" s="1739">
        <v>2</v>
      </c>
      <c r="C372" s="1739">
        <v>3</v>
      </c>
      <c r="D372" s="1739">
        <v>4</v>
      </c>
      <c r="E372" s="1738">
        <v>5</v>
      </c>
      <c r="F372" s="1738">
        <v>6</v>
      </c>
      <c r="G372" s="2028">
        <v>7</v>
      </c>
      <c r="H372" s="2054" t="s">
        <v>61</v>
      </c>
    </row>
    <row r="373" spans="1:8" ht="15.75" hidden="1" thickTop="1" x14ac:dyDescent="0.2">
      <c r="A373" s="2160">
        <v>3636</v>
      </c>
      <c r="B373" s="2161">
        <v>5011</v>
      </c>
      <c r="C373" s="2170">
        <v>0</v>
      </c>
      <c r="D373" s="2162" t="s">
        <v>219</v>
      </c>
      <c r="E373" s="2163">
        <v>0</v>
      </c>
      <c r="F373" s="2163">
        <v>0</v>
      </c>
      <c r="G373" s="2163">
        <v>0</v>
      </c>
      <c r="H373" s="2164" t="e">
        <f t="shared" ref="H373:H380" si="38">G373/F373*100</f>
        <v>#DIV/0!</v>
      </c>
    </row>
    <row r="374" spans="1:8" ht="15.75" hidden="1" thickTop="1" x14ac:dyDescent="0.2">
      <c r="A374" s="2165">
        <v>3636</v>
      </c>
      <c r="B374" s="2166">
        <v>5011</v>
      </c>
      <c r="C374" s="2166">
        <v>38500881</v>
      </c>
      <c r="D374" s="2167" t="s">
        <v>219</v>
      </c>
      <c r="E374" s="2168">
        <v>0</v>
      </c>
      <c r="F374" s="2168">
        <v>0</v>
      </c>
      <c r="G374" s="2168">
        <v>0</v>
      </c>
      <c r="H374" s="2169" t="e">
        <f t="shared" si="38"/>
        <v>#DIV/0!</v>
      </c>
    </row>
    <row r="375" spans="1:8" ht="30.75" thickTop="1" x14ac:dyDescent="0.2">
      <c r="A375" s="2165">
        <v>3122</v>
      </c>
      <c r="B375" s="2166">
        <v>5336</v>
      </c>
      <c r="C375" s="2170">
        <v>32133019</v>
      </c>
      <c r="D375" s="2167" t="s">
        <v>1325</v>
      </c>
      <c r="E375" s="2168">
        <v>0</v>
      </c>
      <c r="F375" s="2168">
        <f>57+5</f>
        <v>62</v>
      </c>
      <c r="G375" s="2168">
        <f>4+57</f>
        <v>61</v>
      </c>
      <c r="H375" s="2169">
        <f t="shared" si="38"/>
        <v>98.387096774193552</v>
      </c>
    </row>
    <row r="376" spans="1:8" ht="15" hidden="1" x14ac:dyDescent="0.2">
      <c r="A376" s="2165">
        <v>3636</v>
      </c>
      <c r="B376" s="2166">
        <v>5021</v>
      </c>
      <c r="C376" s="2166">
        <v>38500881</v>
      </c>
      <c r="D376" s="2167" t="s">
        <v>409</v>
      </c>
      <c r="E376" s="2168"/>
      <c r="F376" s="2168"/>
      <c r="G376" s="2168"/>
      <c r="H376" s="2169" t="e">
        <f t="shared" si="38"/>
        <v>#DIV/0!</v>
      </c>
    </row>
    <row r="377" spans="1:8" ht="30" hidden="1" x14ac:dyDescent="0.2">
      <c r="A377" s="2165">
        <v>3636</v>
      </c>
      <c r="B377" s="2166">
        <v>5031</v>
      </c>
      <c r="C377" s="2166">
        <v>38100880</v>
      </c>
      <c r="D377" s="2167" t="s">
        <v>1362</v>
      </c>
      <c r="E377" s="2168"/>
      <c r="F377" s="2168"/>
      <c r="G377" s="2168"/>
      <c r="H377" s="2169" t="e">
        <f t="shared" si="38"/>
        <v>#DIV/0!</v>
      </c>
    </row>
    <row r="378" spans="1:8" ht="30" hidden="1" x14ac:dyDescent="0.2">
      <c r="A378" s="2165">
        <v>3636</v>
      </c>
      <c r="B378" s="2166">
        <v>5031</v>
      </c>
      <c r="C378" s="2166">
        <v>38500881</v>
      </c>
      <c r="D378" s="2167" t="s">
        <v>1362</v>
      </c>
      <c r="E378" s="2168"/>
      <c r="F378" s="2168"/>
      <c r="G378" s="2168"/>
      <c r="H378" s="2169" t="e">
        <f t="shared" si="38"/>
        <v>#DIV/0!</v>
      </c>
    </row>
    <row r="379" spans="1:8" ht="30" hidden="1" x14ac:dyDescent="0.2">
      <c r="A379" s="2165">
        <v>3636</v>
      </c>
      <c r="B379" s="2166">
        <v>5032</v>
      </c>
      <c r="C379" s="2166">
        <v>38100880</v>
      </c>
      <c r="D379" s="2167" t="s">
        <v>1236</v>
      </c>
      <c r="E379" s="2168"/>
      <c r="F379" s="2168"/>
      <c r="G379" s="2168"/>
      <c r="H379" s="2169" t="e">
        <f t="shared" si="38"/>
        <v>#DIV/0!</v>
      </c>
    </row>
    <row r="380" spans="1:8" ht="30" hidden="1" x14ac:dyDescent="0.2">
      <c r="A380" s="2165">
        <v>3636</v>
      </c>
      <c r="B380" s="2166">
        <v>5032</v>
      </c>
      <c r="C380" s="2166">
        <v>38500881</v>
      </c>
      <c r="D380" s="2167" t="s">
        <v>1236</v>
      </c>
      <c r="E380" s="2168"/>
      <c r="F380" s="2168"/>
      <c r="G380" s="2168"/>
      <c r="H380" s="2169" t="e">
        <f t="shared" si="38"/>
        <v>#DIV/0!</v>
      </c>
    </row>
    <row r="381" spans="1:8" ht="15" hidden="1" x14ac:dyDescent="0.2">
      <c r="A381" s="2165">
        <v>3636</v>
      </c>
      <c r="B381" s="2166">
        <v>5139</v>
      </c>
      <c r="C381" s="2166">
        <v>38100880</v>
      </c>
      <c r="D381" s="2167" t="s">
        <v>284</v>
      </c>
      <c r="E381" s="2168"/>
      <c r="F381" s="2168"/>
      <c r="G381" s="2168"/>
      <c r="H381" s="2169">
        <v>0</v>
      </c>
    </row>
    <row r="382" spans="1:8" ht="15" hidden="1" x14ac:dyDescent="0.2">
      <c r="A382" s="2165">
        <v>3636</v>
      </c>
      <c r="B382" s="2166">
        <v>5139</v>
      </c>
      <c r="C382" s="2166">
        <v>38500881</v>
      </c>
      <c r="D382" s="2167" t="s">
        <v>284</v>
      </c>
      <c r="E382" s="2168"/>
      <c r="F382" s="2168"/>
      <c r="G382" s="2168"/>
      <c r="H382" s="2169" t="e">
        <f t="shared" ref="H382:H387" si="39">G382/F382*100</f>
        <v>#DIV/0!</v>
      </c>
    </row>
    <row r="383" spans="1:8" ht="15" hidden="1" x14ac:dyDescent="0.2">
      <c r="A383" s="2165">
        <v>3636</v>
      </c>
      <c r="B383" s="2166">
        <v>5162</v>
      </c>
      <c r="C383" s="2166">
        <v>38100880</v>
      </c>
      <c r="D383" s="2167" t="s">
        <v>904</v>
      </c>
      <c r="E383" s="2168"/>
      <c r="F383" s="2168"/>
      <c r="G383" s="2168"/>
      <c r="H383" s="2169" t="e">
        <f t="shared" si="39"/>
        <v>#DIV/0!</v>
      </c>
    </row>
    <row r="384" spans="1:8" ht="15" hidden="1" x14ac:dyDescent="0.2">
      <c r="A384" s="2165">
        <v>3636</v>
      </c>
      <c r="B384" s="2166">
        <v>5162</v>
      </c>
      <c r="C384" s="2166">
        <v>38500881</v>
      </c>
      <c r="D384" s="2167" t="s">
        <v>904</v>
      </c>
      <c r="E384" s="2168"/>
      <c r="F384" s="2168"/>
      <c r="G384" s="2168"/>
      <c r="H384" s="2169" t="e">
        <f t="shared" si="39"/>
        <v>#DIV/0!</v>
      </c>
    </row>
    <row r="385" spans="1:8" ht="15" hidden="1" x14ac:dyDescent="0.2">
      <c r="A385" s="2165">
        <v>3636</v>
      </c>
      <c r="B385" s="2166">
        <v>5164</v>
      </c>
      <c r="C385" s="2166">
        <v>38100880</v>
      </c>
      <c r="D385" s="2167" t="s">
        <v>182</v>
      </c>
      <c r="E385" s="2168"/>
      <c r="F385" s="2168"/>
      <c r="G385" s="2168"/>
      <c r="H385" s="2169" t="e">
        <f t="shared" si="39"/>
        <v>#DIV/0!</v>
      </c>
    </row>
    <row r="386" spans="1:8" ht="15" hidden="1" x14ac:dyDescent="0.2">
      <c r="A386" s="2165">
        <v>3636</v>
      </c>
      <c r="B386" s="2166">
        <v>5164</v>
      </c>
      <c r="C386" s="2166">
        <v>38500881</v>
      </c>
      <c r="D386" s="2167" t="s">
        <v>182</v>
      </c>
      <c r="E386" s="2168"/>
      <c r="F386" s="2168"/>
      <c r="G386" s="2168"/>
      <c r="H386" s="2169" t="e">
        <f t="shared" si="39"/>
        <v>#DIV/0!</v>
      </c>
    </row>
    <row r="387" spans="1:8" ht="30" x14ac:dyDescent="0.2">
      <c r="A387" s="2165">
        <v>3122</v>
      </c>
      <c r="B387" s="2166">
        <v>5336</v>
      </c>
      <c r="C387" s="2170">
        <v>32533019</v>
      </c>
      <c r="D387" s="2167" t="s">
        <v>1325</v>
      </c>
      <c r="E387" s="2168">
        <v>0</v>
      </c>
      <c r="F387" s="2168">
        <f>326+28</f>
        <v>354</v>
      </c>
      <c r="G387" s="2168">
        <f>326+28</f>
        <v>354</v>
      </c>
      <c r="H387" s="2169">
        <f t="shared" si="39"/>
        <v>100</v>
      </c>
    </row>
    <row r="388" spans="1:8" ht="15" hidden="1" x14ac:dyDescent="0.2">
      <c r="A388" s="2165">
        <v>6223</v>
      </c>
      <c r="B388" s="2166">
        <v>5166</v>
      </c>
      <c r="C388" s="2166">
        <v>41100880</v>
      </c>
      <c r="D388" s="2167" t="s">
        <v>646</v>
      </c>
      <c r="E388" s="2168"/>
      <c r="F388" s="2168"/>
      <c r="G388" s="2168"/>
      <c r="H388" s="2169" t="e">
        <f t="shared" ref="H388:H394" si="40">G388/F388*100</f>
        <v>#DIV/0!</v>
      </c>
    </row>
    <row r="389" spans="1:8" ht="15" hidden="1" x14ac:dyDescent="0.2">
      <c r="A389" s="2165">
        <v>6223</v>
      </c>
      <c r="B389" s="2166">
        <v>5166</v>
      </c>
      <c r="C389" s="2166">
        <v>41100882</v>
      </c>
      <c r="D389" s="2167" t="s">
        <v>646</v>
      </c>
      <c r="E389" s="2168"/>
      <c r="F389" s="2168"/>
      <c r="G389" s="2168"/>
      <c r="H389" s="2169" t="e">
        <f t="shared" si="40"/>
        <v>#DIV/0!</v>
      </c>
    </row>
    <row r="390" spans="1:8" ht="15" hidden="1" x14ac:dyDescent="0.2">
      <c r="A390" s="2165">
        <v>6223</v>
      </c>
      <c r="B390" s="2166">
        <v>5166</v>
      </c>
      <c r="C390" s="2166">
        <v>41500881</v>
      </c>
      <c r="D390" s="2167" t="s">
        <v>646</v>
      </c>
      <c r="E390" s="2168"/>
      <c r="F390" s="2168"/>
      <c r="G390" s="2168"/>
      <c r="H390" s="2169" t="e">
        <f t="shared" si="40"/>
        <v>#DIV/0!</v>
      </c>
    </row>
    <row r="391" spans="1:8" ht="15" hidden="1" x14ac:dyDescent="0.2">
      <c r="A391" s="2165">
        <v>3636</v>
      </c>
      <c r="B391" s="2166">
        <v>5167</v>
      </c>
      <c r="C391" s="2166">
        <v>38100880</v>
      </c>
      <c r="D391" s="2167" t="s">
        <v>937</v>
      </c>
      <c r="E391" s="2168"/>
      <c r="F391" s="2168"/>
      <c r="G391" s="2168"/>
      <c r="H391" s="2169" t="e">
        <f t="shared" si="40"/>
        <v>#DIV/0!</v>
      </c>
    </row>
    <row r="392" spans="1:8" ht="15" hidden="1" x14ac:dyDescent="0.2">
      <c r="A392" s="2165">
        <v>3636</v>
      </c>
      <c r="B392" s="2166">
        <v>5167</v>
      </c>
      <c r="C392" s="2166">
        <v>38500881</v>
      </c>
      <c r="D392" s="2167" t="s">
        <v>937</v>
      </c>
      <c r="E392" s="2168"/>
      <c r="F392" s="2168"/>
      <c r="G392" s="2168"/>
      <c r="H392" s="2169" t="e">
        <f t="shared" si="40"/>
        <v>#DIV/0!</v>
      </c>
    </row>
    <row r="393" spans="1:8" ht="15" hidden="1" x14ac:dyDescent="0.2">
      <c r="A393" s="2165">
        <v>3636</v>
      </c>
      <c r="B393" s="2166">
        <v>5169</v>
      </c>
      <c r="C393" s="2166">
        <v>38100880</v>
      </c>
      <c r="D393" s="2167" t="s">
        <v>892</v>
      </c>
      <c r="E393" s="2168"/>
      <c r="F393" s="2168"/>
      <c r="G393" s="2168"/>
      <c r="H393" s="2169" t="e">
        <f t="shared" si="40"/>
        <v>#DIV/0!</v>
      </c>
    </row>
    <row r="394" spans="1:8" ht="15" hidden="1" x14ac:dyDescent="0.2">
      <c r="A394" s="2165">
        <v>3636</v>
      </c>
      <c r="B394" s="2166">
        <v>5169</v>
      </c>
      <c r="C394" s="2166">
        <v>38500881</v>
      </c>
      <c r="D394" s="2167" t="s">
        <v>892</v>
      </c>
      <c r="E394" s="2168"/>
      <c r="F394" s="2168"/>
      <c r="G394" s="2168"/>
      <c r="H394" s="2169" t="e">
        <f t="shared" si="40"/>
        <v>#DIV/0!</v>
      </c>
    </row>
    <row r="395" spans="1:8" ht="15" hidden="1" x14ac:dyDescent="0.2">
      <c r="A395" s="2165">
        <v>6223</v>
      </c>
      <c r="B395" s="2166">
        <v>5173</v>
      </c>
      <c r="C395" s="2170">
        <v>0</v>
      </c>
      <c r="D395" s="2167" t="s">
        <v>1211</v>
      </c>
      <c r="E395" s="2168"/>
      <c r="F395" s="2168"/>
      <c r="G395" s="2168"/>
      <c r="H395" s="2169">
        <v>0</v>
      </c>
    </row>
    <row r="396" spans="1:8" ht="15" hidden="1" x14ac:dyDescent="0.2">
      <c r="A396" s="2165">
        <v>3636</v>
      </c>
      <c r="B396" s="2166">
        <v>5173</v>
      </c>
      <c r="C396" s="2166">
        <v>38500881</v>
      </c>
      <c r="D396" s="2167" t="s">
        <v>1211</v>
      </c>
      <c r="E396" s="2168">
        <v>0</v>
      </c>
      <c r="F396" s="2168"/>
      <c r="G396" s="2168"/>
      <c r="H396" s="2169" t="e">
        <f t="shared" ref="H396:H402" si="41">G396/F396*100</f>
        <v>#DIV/0!</v>
      </c>
    </row>
    <row r="397" spans="1:8" ht="15" hidden="1" x14ac:dyDescent="0.2">
      <c r="A397" s="2165">
        <v>3636</v>
      </c>
      <c r="B397" s="2166">
        <v>5175</v>
      </c>
      <c r="C397" s="2166">
        <v>38100880</v>
      </c>
      <c r="D397" s="2167" t="s">
        <v>707</v>
      </c>
      <c r="E397" s="2168">
        <v>0</v>
      </c>
      <c r="F397" s="2168"/>
      <c r="G397" s="2168"/>
      <c r="H397" s="2169" t="e">
        <f t="shared" si="41"/>
        <v>#DIV/0!</v>
      </c>
    </row>
    <row r="398" spans="1:8" ht="15" hidden="1" x14ac:dyDescent="0.2">
      <c r="A398" s="2165">
        <v>3636</v>
      </c>
      <c r="B398" s="2166">
        <v>5175</v>
      </c>
      <c r="C398" s="2166">
        <v>38500881</v>
      </c>
      <c r="D398" s="2167" t="s">
        <v>707</v>
      </c>
      <c r="E398" s="2168">
        <v>0</v>
      </c>
      <c r="F398" s="2168"/>
      <c r="G398" s="2168"/>
      <c r="H398" s="2169" t="e">
        <f t="shared" si="41"/>
        <v>#DIV/0!</v>
      </c>
    </row>
    <row r="399" spans="1:8" ht="15" hidden="1" x14ac:dyDescent="0.2">
      <c r="A399" s="2165">
        <v>3636</v>
      </c>
      <c r="B399" s="2166">
        <v>5176</v>
      </c>
      <c r="C399" s="2166">
        <v>38100880</v>
      </c>
      <c r="D399" s="2167" t="s">
        <v>1309</v>
      </c>
      <c r="E399" s="2168">
        <v>0</v>
      </c>
      <c r="F399" s="2168"/>
      <c r="G399" s="2168"/>
      <c r="H399" s="2169" t="e">
        <f t="shared" si="41"/>
        <v>#DIV/0!</v>
      </c>
    </row>
    <row r="400" spans="1:8" ht="15" hidden="1" x14ac:dyDescent="0.2">
      <c r="A400" s="2165">
        <v>3636</v>
      </c>
      <c r="B400" s="2166">
        <v>5176</v>
      </c>
      <c r="C400" s="2166">
        <v>38500881</v>
      </c>
      <c r="D400" s="2167" t="s">
        <v>1309</v>
      </c>
      <c r="E400" s="2168">
        <v>0</v>
      </c>
      <c r="F400" s="2168"/>
      <c r="G400" s="2168"/>
      <c r="H400" s="2169" t="e">
        <f t="shared" si="41"/>
        <v>#DIV/0!</v>
      </c>
    </row>
    <row r="401" spans="1:8" ht="30" x14ac:dyDescent="0.2">
      <c r="A401" s="2165">
        <v>3122</v>
      </c>
      <c r="B401" s="2166">
        <v>6356</v>
      </c>
      <c r="C401" s="2166">
        <v>32133910</v>
      </c>
      <c r="D401" s="2167" t="s">
        <v>1927</v>
      </c>
      <c r="E401" s="2168">
        <v>0</v>
      </c>
      <c r="F401" s="2168">
        <v>85</v>
      </c>
      <c r="G401" s="2168">
        <v>0</v>
      </c>
      <c r="H401" s="2169">
        <f t="shared" si="41"/>
        <v>0</v>
      </c>
    </row>
    <row r="402" spans="1:8" ht="30.75" thickBot="1" x14ac:dyDescent="0.25">
      <c r="A402" s="2165">
        <v>3122</v>
      </c>
      <c r="B402" s="2166">
        <v>6356</v>
      </c>
      <c r="C402" s="2166">
        <v>32533910</v>
      </c>
      <c r="D402" s="2167" t="s">
        <v>1927</v>
      </c>
      <c r="E402" s="2168">
        <v>0</v>
      </c>
      <c r="F402" s="2168">
        <v>485</v>
      </c>
      <c r="G402" s="2168">
        <v>0</v>
      </c>
      <c r="H402" s="2171">
        <f t="shared" si="41"/>
        <v>0</v>
      </c>
    </row>
    <row r="403" spans="1:8" ht="16.5" thickTop="1" thickBot="1" x14ac:dyDescent="0.3">
      <c r="A403" s="2750" t="s">
        <v>802</v>
      </c>
      <c r="B403" s="2751"/>
      <c r="C403" s="2751"/>
      <c r="D403" s="2751"/>
      <c r="E403" s="1957">
        <f>SUM(E373:E402)</f>
        <v>0</v>
      </c>
      <c r="F403" s="1957">
        <f>SUM(F373:F402)</f>
        <v>986</v>
      </c>
      <c r="G403" s="1957">
        <f>SUM(G373:G402)</f>
        <v>415</v>
      </c>
      <c r="H403" s="1962">
        <v>0</v>
      </c>
    </row>
    <row r="404" spans="1:8" ht="13.5" thickTop="1" x14ac:dyDescent="0.2"/>
    <row r="405" spans="1:8" ht="12" customHeight="1" x14ac:dyDescent="0.25">
      <c r="A405" s="2744" t="s">
        <v>1934</v>
      </c>
      <c r="B405" s="2745"/>
      <c r="C405" s="2745"/>
      <c r="D405" s="2745"/>
      <c r="E405" s="2745"/>
      <c r="F405" s="2745"/>
      <c r="G405" s="2745"/>
      <c r="H405" s="2745"/>
    </row>
    <row r="406" spans="1:8" ht="15.75" thickBot="1" x14ac:dyDescent="0.3">
      <c r="A406" s="2132" t="s">
        <v>593</v>
      </c>
      <c r="B406" s="2146"/>
      <c r="C406" s="2146"/>
      <c r="E406" s="2147"/>
      <c r="F406" s="2147"/>
      <c r="G406" s="2147"/>
      <c r="H406" s="2148" t="s">
        <v>173</v>
      </c>
    </row>
    <row r="407" spans="1:8" ht="25.5" thickTop="1" thickBot="1" x14ac:dyDescent="0.25">
      <c r="A407" s="1943" t="s">
        <v>174</v>
      </c>
      <c r="B407" s="1944" t="s">
        <v>800</v>
      </c>
      <c r="C407" s="1944" t="s">
        <v>397</v>
      </c>
      <c r="D407" s="1945" t="s">
        <v>176</v>
      </c>
      <c r="E407" s="1976" t="s">
        <v>669</v>
      </c>
      <c r="F407" s="1976" t="s">
        <v>670</v>
      </c>
      <c r="G407" s="1977" t="s">
        <v>923</v>
      </c>
      <c r="H407" s="1978" t="s">
        <v>924</v>
      </c>
    </row>
    <row r="408" spans="1:8" ht="14.25" thickTop="1" thickBot="1" x14ac:dyDescent="0.25">
      <c r="A408" s="1740">
        <v>1</v>
      </c>
      <c r="B408" s="1739">
        <v>2</v>
      </c>
      <c r="C408" s="1739">
        <v>3</v>
      </c>
      <c r="D408" s="1739">
        <v>4</v>
      </c>
      <c r="E408" s="1738">
        <v>5</v>
      </c>
      <c r="F408" s="1738">
        <v>6</v>
      </c>
      <c r="G408" s="2028">
        <v>7</v>
      </c>
      <c r="H408" s="2054" t="s">
        <v>61</v>
      </c>
    </row>
    <row r="409" spans="1:8" ht="15.75" hidden="1" thickTop="1" x14ac:dyDescent="0.2">
      <c r="A409" s="2160">
        <v>3636</v>
      </c>
      <c r="B409" s="2161">
        <v>5011</v>
      </c>
      <c r="C409" s="2170">
        <v>0</v>
      </c>
      <c r="D409" s="2162" t="s">
        <v>219</v>
      </c>
      <c r="E409" s="2163">
        <v>0</v>
      </c>
      <c r="F409" s="2163">
        <v>0</v>
      </c>
      <c r="G409" s="2163">
        <v>0</v>
      </c>
      <c r="H409" s="2164" t="e">
        <f t="shared" ref="H409:H416" si="42">G409/F409*100</f>
        <v>#DIV/0!</v>
      </c>
    </row>
    <row r="410" spans="1:8" ht="15.75" hidden="1" thickTop="1" x14ac:dyDescent="0.2">
      <c r="A410" s="2165">
        <v>3636</v>
      </c>
      <c r="B410" s="2166">
        <v>5011</v>
      </c>
      <c r="C410" s="2166">
        <v>38500881</v>
      </c>
      <c r="D410" s="2167" t="s">
        <v>219</v>
      </c>
      <c r="E410" s="2168">
        <v>0</v>
      </c>
      <c r="F410" s="2168">
        <v>0</v>
      </c>
      <c r="G410" s="2168">
        <v>0</v>
      </c>
      <c r="H410" s="2169" t="e">
        <f t="shared" si="42"/>
        <v>#DIV/0!</v>
      </c>
    </row>
    <row r="411" spans="1:8" ht="30.75" thickTop="1" x14ac:dyDescent="0.2">
      <c r="A411" s="2165">
        <v>3122</v>
      </c>
      <c r="B411" s="2166">
        <v>5336</v>
      </c>
      <c r="C411" s="2170">
        <v>32133019</v>
      </c>
      <c r="D411" s="2167" t="s">
        <v>1325</v>
      </c>
      <c r="E411" s="2168">
        <v>0</v>
      </c>
      <c r="F411" s="2168">
        <f>5+64</f>
        <v>69</v>
      </c>
      <c r="G411" s="2168">
        <f>58+5</f>
        <v>63</v>
      </c>
      <c r="H411" s="2169">
        <f t="shared" si="42"/>
        <v>91.304347826086953</v>
      </c>
    </row>
    <row r="412" spans="1:8" ht="15" hidden="1" x14ac:dyDescent="0.2">
      <c r="A412" s="2165">
        <v>3636</v>
      </c>
      <c r="B412" s="2166">
        <v>5021</v>
      </c>
      <c r="C412" s="2166">
        <v>38500881</v>
      </c>
      <c r="D412" s="2167" t="s">
        <v>409</v>
      </c>
      <c r="E412" s="2168"/>
      <c r="F412" s="2168"/>
      <c r="G412" s="2168"/>
      <c r="H412" s="2169" t="e">
        <f t="shared" si="42"/>
        <v>#DIV/0!</v>
      </c>
    </row>
    <row r="413" spans="1:8" ht="30" hidden="1" x14ac:dyDescent="0.2">
      <c r="A413" s="2165">
        <v>3636</v>
      </c>
      <c r="B413" s="2166">
        <v>5031</v>
      </c>
      <c r="C413" s="2166">
        <v>38100880</v>
      </c>
      <c r="D413" s="2167" t="s">
        <v>1362</v>
      </c>
      <c r="E413" s="2168"/>
      <c r="F413" s="2168"/>
      <c r="G413" s="2168"/>
      <c r="H413" s="2169" t="e">
        <f t="shared" si="42"/>
        <v>#DIV/0!</v>
      </c>
    </row>
    <row r="414" spans="1:8" ht="30" hidden="1" x14ac:dyDescent="0.2">
      <c r="A414" s="2165">
        <v>3636</v>
      </c>
      <c r="B414" s="2166">
        <v>5031</v>
      </c>
      <c r="C414" s="2166">
        <v>38500881</v>
      </c>
      <c r="D414" s="2167" t="s">
        <v>1362</v>
      </c>
      <c r="E414" s="2168"/>
      <c r="F414" s="2168"/>
      <c r="G414" s="2168"/>
      <c r="H414" s="2169" t="e">
        <f t="shared" si="42"/>
        <v>#DIV/0!</v>
      </c>
    </row>
    <row r="415" spans="1:8" ht="30" hidden="1" x14ac:dyDescent="0.2">
      <c r="A415" s="2165">
        <v>3636</v>
      </c>
      <c r="B415" s="2166">
        <v>5032</v>
      </c>
      <c r="C415" s="2166">
        <v>38100880</v>
      </c>
      <c r="D415" s="2167" t="s">
        <v>1236</v>
      </c>
      <c r="E415" s="2168"/>
      <c r="F415" s="2168"/>
      <c r="G415" s="2168"/>
      <c r="H415" s="2169" t="e">
        <f t="shared" si="42"/>
        <v>#DIV/0!</v>
      </c>
    </row>
    <row r="416" spans="1:8" ht="30" hidden="1" x14ac:dyDescent="0.2">
      <c r="A416" s="2165">
        <v>3636</v>
      </c>
      <c r="B416" s="2166">
        <v>5032</v>
      </c>
      <c r="C416" s="2166">
        <v>38500881</v>
      </c>
      <c r="D416" s="2167" t="s">
        <v>1236</v>
      </c>
      <c r="E416" s="2168"/>
      <c r="F416" s="2168"/>
      <c r="G416" s="2168"/>
      <c r="H416" s="2169" t="e">
        <f t="shared" si="42"/>
        <v>#DIV/0!</v>
      </c>
    </row>
    <row r="417" spans="1:8" ht="15" hidden="1" x14ac:dyDescent="0.2">
      <c r="A417" s="2165">
        <v>3636</v>
      </c>
      <c r="B417" s="2166">
        <v>5139</v>
      </c>
      <c r="C417" s="2166">
        <v>38100880</v>
      </c>
      <c r="D417" s="2167" t="s">
        <v>284</v>
      </c>
      <c r="E417" s="2168"/>
      <c r="F417" s="2168"/>
      <c r="G417" s="2168"/>
      <c r="H417" s="2169">
        <v>0</v>
      </c>
    </row>
    <row r="418" spans="1:8" ht="15" hidden="1" x14ac:dyDescent="0.2">
      <c r="A418" s="2165">
        <v>3636</v>
      </c>
      <c r="B418" s="2166">
        <v>5139</v>
      </c>
      <c r="C418" s="2166">
        <v>38500881</v>
      </c>
      <c r="D418" s="2167" t="s">
        <v>284</v>
      </c>
      <c r="E418" s="2168"/>
      <c r="F418" s="2168"/>
      <c r="G418" s="2168"/>
      <c r="H418" s="2169" t="e">
        <f t="shared" ref="H418:H423" si="43">G418/F418*100</f>
        <v>#DIV/0!</v>
      </c>
    </row>
    <row r="419" spans="1:8" ht="15" hidden="1" x14ac:dyDescent="0.2">
      <c r="A419" s="2165">
        <v>3636</v>
      </c>
      <c r="B419" s="2166">
        <v>5162</v>
      </c>
      <c r="C419" s="2166">
        <v>38100880</v>
      </c>
      <c r="D419" s="2167" t="s">
        <v>904</v>
      </c>
      <c r="E419" s="2168"/>
      <c r="F419" s="2168"/>
      <c r="G419" s="2168"/>
      <c r="H419" s="2169" t="e">
        <f t="shared" si="43"/>
        <v>#DIV/0!</v>
      </c>
    </row>
    <row r="420" spans="1:8" ht="15" hidden="1" x14ac:dyDescent="0.2">
      <c r="A420" s="2165">
        <v>3636</v>
      </c>
      <c r="B420" s="2166">
        <v>5162</v>
      </c>
      <c r="C420" s="2166">
        <v>38500881</v>
      </c>
      <c r="D420" s="2167" t="s">
        <v>904</v>
      </c>
      <c r="E420" s="2168"/>
      <c r="F420" s="2168"/>
      <c r="G420" s="2168"/>
      <c r="H420" s="2169" t="e">
        <f t="shared" si="43"/>
        <v>#DIV/0!</v>
      </c>
    </row>
    <row r="421" spans="1:8" ht="15" hidden="1" x14ac:dyDescent="0.2">
      <c r="A421" s="2165">
        <v>3636</v>
      </c>
      <c r="B421" s="2166">
        <v>5164</v>
      </c>
      <c r="C421" s="2166">
        <v>38100880</v>
      </c>
      <c r="D421" s="2167" t="s">
        <v>182</v>
      </c>
      <c r="E421" s="2168"/>
      <c r="F421" s="2168"/>
      <c r="G421" s="2168"/>
      <c r="H421" s="2169" t="e">
        <f t="shared" si="43"/>
        <v>#DIV/0!</v>
      </c>
    </row>
    <row r="422" spans="1:8" ht="15" hidden="1" x14ac:dyDescent="0.2">
      <c r="A422" s="2165">
        <v>3636</v>
      </c>
      <c r="B422" s="2166">
        <v>5164</v>
      </c>
      <c r="C422" s="2166">
        <v>38500881</v>
      </c>
      <c r="D422" s="2167" t="s">
        <v>182</v>
      </c>
      <c r="E422" s="2168"/>
      <c r="F422" s="2168"/>
      <c r="G422" s="2168"/>
      <c r="H422" s="2169" t="e">
        <f t="shared" si="43"/>
        <v>#DIV/0!</v>
      </c>
    </row>
    <row r="423" spans="1:8" ht="30" x14ac:dyDescent="0.2">
      <c r="A423" s="2165">
        <v>3122</v>
      </c>
      <c r="B423" s="2166">
        <v>5336</v>
      </c>
      <c r="C423" s="2170">
        <v>32533019</v>
      </c>
      <c r="D423" s="2167" t="s">
        <v>1325</v>
      </c>
      <c r="E423" s="2168">
        <v>0</v>
      </c>
      <c r="F423" s="2168">
        <f>361+31</f>
        <v>392</v>
      </c>
      <c r="G423" s="2168">
        <f>327+28</f>
        <v>355</v>
      </c>
      <c r="H423" s="2169">
        <f t="shared" si="43"/>
        <v>90.561224489795919</v>
      </c>
    </row>
    <row r="424" spans="1:8" ht="15" hidden="1" x14ac:dyDescent="0.2">
      <c r="A424" s="2165">
        <v>6223</v>
      </c>
      <c r="B424" s="2166">
        <v>5166</v>
      </c>
      <c r="C424" s="2166">
        <v>41100880</v>
      </c>
      <c r="D424" s="2167" t="s">
        <v>646</v>
      </c>
      <c r="E424" s="2168"/>
      <c r="F424" s="2168"/>
      <c r="G424" s="2168"/>
      <c r="H424" s="2169" t="e">
        <f t="shared" ref="H424:H430" si="44">G424/F424*100</f>
        <v>#DIV/0!</v>
      </c>
    </row>
    <row r="425" spans="1:8" ht="15" hidden="1" x14ac:dyDescent="0.2">
      <c r="A425" s="2165">
        <v>6223</v>
      </c>
      <c r="B425" s="2166">
        <v>5166</v>
      </c>
      <c r="C425" s="2166">
        <v>41100882</v>
      </c>
      <c r="D425" s="2167" t="s">
        <v>646</v>
      </c>
      <c r="E425" s="2168"/>
      <c r="F425" s="2168"/>
      <c r="G425" s="2168"/>
      <c r="H425" s="2169" t="e">
        <f t="shared" si="44"/>
        <v>#DIV/0!</v>
      </c>
    </row>
    <row r="426" spans="1:8" ht="15" hidden="1" x14ac:dyDescent="0.2">
      <c r="A426" s="2165">
        <v>6223</v>
      </c>
      <c r="B426" s="2166">
        <v>5166</v>
      </c>
      <c r="C426" s="2166">
        <v>41500881</v>
      </c>
      <c r="D426" s="2167" t="s">
        <v>646</v>
      </c>
      <c r="E426" s="2168"/>
      <c r="F426" s="2168"/>
      <c r="G426" s="2168"/>
      <c r="H426" s="2169" t="e">
        <f t="shared" si="44"/>
        <v>#DIV/0!</v>
      </c>
    </row>
    <row r="427" spans="1:8" ht="15" hidden="1" x14ac:dyDescent="0.2">
      <c r="A427" s="2165">
        <v>3636</v>
      </c>
      <c r="B427" s="2166">
        <v>5167</v>
      </c>
      <c r="C427" s="2166">
        <v>38100880</v>
      </c>
      <c r="D427" s="2167" t="s">
        <v>937</v>
      </c>
      <c r="E427" s="2168"/>
      <c r="F427" s="2168"/>
      <c r="G427" s="2168"/>
      <c r="H427" s="2169" t="e">
        <f t="shared" si="44"/>
        <v>#DIV/0!</v>
      </c>
    </row>
    <row r="428" spans="1:8" ht="15" hidden="1" x14ac:dyDescent="0.2">
      <c r="A428" s="2165">
        <v>3636</v>
      </c>
      <c r="B428" s="2166">
        <v>5167</v>
      </c>
      <c r="C428" s="2166">
        <v>38500881</v>
      </c>
      <c r="D428" s="2167" t="s">
        <v>937</v>
      </c>
      <c r="E428" s="2168"/>
      <c r="F428" s="2168"/>
      <c r="G428" s="2168"/>
      <c r="H428" s="2169" t="e">
        <f t="shared" si="44"/>
        <v>#DIV/0!</v>
      </c>
    </row>
    <row r="429" spans="1:8" ht="15" hidden="1" x14ac:dyDescent="0.2">
      <c r="A429" s="2165">
        <v>3636</v>
      </c>
      <c r="B429" s="2166">
        <v>5169</v>
      </c>
      <c r="C429" s="2166">
        <v>38100880</v>
      </c>
      <c r="D429" s="2167" t="s">
        <v>892</v>
      </c>
      <c r="E429" s="2168"/>
      <c r="F429" s="2168"/>
      <c r="G429" s="2168"/>
      <c r="H429" s="2169" t="e">
        <f t="shared" si="44"/>
        <v>#DIV/0!</v>
      </c>
    </row>
    <row r="430" spans="1:8" ht="15" hidden="1" x14ac:dyDescent="0.2">
      <c r="A430" s="2165">
        <v>3636</v>
      </c>
      <c r="B430" s="2166">
        <v>5169</v>
      </c>
      <c r="C430" s="2166">
        <v>38500881</v>
      </c>
      <c r="D430" s="2167" t="s">
        <v>892</v>
      </c>
      <c r="E430" s="2168"/>
      <c r="F430" s="2168"/>
      <c r="G430" s="2168"/>
      <c r="H430" s="2169" t="e">
        <f t="shared" si="44"/>
        <v>#DIV/0!</v>
      </c>
    </row>
    <row r="431" spans="1:8" ht="15" hidden="1" x14ac:dyDescent="0.2">
      <c r="A431" s="2165">
        <v>6223</v>
      </c>
      <c r="B431" s="2166">
        <v>5173</v>
      </c>
      <c r="C431" s="2170">
        <v>0</v>
      </c>
      <c r="D431" s="2167" t="s">
        <v>1211</v>
      </c>
      <c r="E431" s="2168"/>
      <c r="F431" s="2168"/>
      <c r="G431" s="2168"/>
      <c r="H431" s="2169">
        <v>0</v>
      </c>
    </row>
    <row r="432" spans="1:8" ht="15" hidden="1" x14ac:dyDescent="0.2">
      <c r="A432" s="2165">
        <v>3636</v>
      </c>
      <c r="B432" s="2166">
        <v>5173</v>
      </c>
      <c r="C432" s="2166">
        <v>38500881</v>
      </c>
      <c r="D432" s="2167" t="s">
        <v>1211</v>
      </c>
      <c r="E432" s="2168">
        <v>0</v>
      </c>
      <c r="F432" s="2168"/>
      <c r="G432" s="2168"/>
      <c r="H432" s="2169" t="e">
        <f t="shared" ref="H432:H438" si="45">G432/F432*100</f>
        <v>#DIV/0!</v>
      </c>
    </row>
    <row r="433" spans="1:8" ht="15" hidden="1" x14ac:dyDescent="0.2">
      <c r="A433" s="2165">
        <v>3636</v>
      </c>
      <c r="B433" s="2166">
        <v>5175</v>
      </c>
      <c r="C433" s="2166">
        <v>38100880</v>
      </c>
      <c r="D433" s="2167" t="s">
        <v>707</v>
      </c>
      <c r="E433" s="2168">
        <v>0</v>
      </c>
      <c r="F433" s="2168"/>
      <c r="G433" s="2168"/>
      <c r="H433" s="2169" t="e">
        <f t="shared" si="45"/>
        <v>#DIV/0!</v>
      </c>
    </row>
    <row r="434" spans="1:8" ht="15" hidden="1" x14ac:dyDescent="0.2">
      <c r="A434" s="2165">
        <v>3636</v>
      </c>
      <c r="B434" s="2166">
        <v>5175</v>
      </c>
      <c r="C434" s="2166">
        <v>38500881</v>
      </c>
      <c r="D434" s="2167" t="s">
        <v>707</v>
      </c>
      <c r="E434" s="2168">
        <v>0</v>
      </c>
      <c r="F434" s="2168"/>
      <c r="G434" s="2168"/>
      <c r="H434" s="2169" t="e">
        <f t="shared" si="45"/>
        <v>#DIV/0!</v>
      </c>
    </row>
    <row r="435" spans="1:8" ht="15" hidden="1" x14ac:dyDescent="0.2">
      <c r="A435" s="2165">
        <v>3636</v>
      </c>
      <c r="B435" s="2166">
        <v>5176</v>
      </c>
      <c r="C435" s="2166">
        <v>38100880</v>
      </c>
      <c r="D435" s="2167" t="s">
        <v>1309</v>
      </c>
      <c r="E435" s="2168">
        <v>0</v>
      </c>
      <c r="F435" s="2168"/>
      <c r="G435" s="2168"/>
      <c r="H435" s="2169" t="e">
        <f t="shared" si="45"/>
        <v>#DIV/0!</v>
      </c>
    </row>
    <row r="436" spans="1:8" ht="15" hidden="1" x14ac:dyDescent="0.2">
      <c r="A436" s="2165">
        <v>3636</v>
      </c>
      <c r="B436" s="2166">
        <v>5176</v>
      </c>
      <c r="C436" s="2166">
        <v>38500881</v>
      </c>
      <c r="D436" s="2167" t="s">
        <v>1309</v>
      </c>
      <c r="E436" s="2168">
        <v>0</v>
      </c>
      <c r="F436" s="2168"/>
      <c r="G436" s="2168"/>
      <c r="H436" s="2169" t="e">
        <f t="shared" si="45"/>
        <v>#DIV/0!</v>
      </c>
    </row>
    <row r="437" spans="1:8" ht="30" x14ac:dyDescent="0.2">
      <c r="A437" s="2165">
        <v>3122</v>
      </c>
      <c r="B437" s="2166">
        <v>6356</v>
      </c>
      <c r="C437" s="2166">
        <v>32133910</v>
      </c>
      <c r="D437" s="2167" t="s">
        <v>1927</v>
      </c>
      <c r="E437" s="2168">
        <v>0</v>
      </c>
      <c r="F437" s="2168">
        <v>52</v>
      </c>
      <c r="G437" s="2168">
        <v>0</v>
      </c>
      <c r="H437" s="2169">
        <f t="shared" si="45"/>
        <v>0</v>
      </c>
    </row>
    <row r="438" spans="1:8" ht="30.75" thickBot="1" x14ac:dyDescent="0.25">
      <c r="A438" s="2165">
        <v>3122</v>
      </c>
      <c r="B438" s="2166">
        <v>6356</v>
      </c>
      <c r="C438" s="2166">
        <v>32533910</v>
      </c>
      <c r="D438" s="2167" t="s">
        <v>1927</v>
      </c>
      <c r="E438" s="2168">
        <v>0</v>
      </c>
      <c r="F438" s="2168">
        <v>298</v>
      </c>
      <c r="G438" s="2168">
        <v>0</v>
      </c>
      <c r="H438" s="2171">
        <f t="shared" si="45"/>
        <v>0</v>
      </c>
    </row>
    <row r="439" spans="1:8" ht="16.5" thickTop="1" thickBot="1" x14ac:dyDescent="0.3">
      <c r="A439" s="2750" t="s">
        <v>802</v>
      </c>
      <c r="B439" s="2751"/>
      <c r="C439" s="2751"/>
      <c r="D439" s="2751"/>
      <c r="E439" s="1957">
        <f>SUM(E409:E438)</f>
        <v>0</v>
      </c>
      <c r="F439" s="1957">
        <f>SUM(F409:F438)</f>
        <v>811</v>
      </c>
      <c r="G439" s="1957">
        <f>SUM(G409:G438)</f>
        <v>418</v>
      </c>
      <c r="H439" s="1962">
        <v>0</v>
      </c>
    </row>
    <row r="440" spans="1:8" ht="13.5" thickTop="1" x14ac:dyDescent="0.2"/>
    <row r="441" spans="1:8" ht="12" customHeight="1" x14ac:dyDescent="0.25">
      <c r="A441" s="2744" t="s">
        <v>1935</v>
      </c>
      <c r="B441" s="2745"/>
      <c r="C441" s="2745"/>
      <c r="D441" s="2745"/>
      <c r="E441" s="2745"/>
      <c r="F441" s="2745"/>
      <c r="G441" s="2745"/>
      <c r="H441" s="2745"/>
    </row>
    <row r="442" spans="1:8" ht="15.75" thickBot="1" x14ac:dyDescent="0.3">
      <c r="A442" s="2132" t="s">
        <v>1936</v>
      </c>
      <c r="B442" s="2146"/>
      <c r="C442" s="2146"/>
      <c r="E442" s="2147"/>
      <c r="F442" s="2147"/>
      <c r="G442" s="2147"/>
      <c r="H442" s="2148" t="s">
        <v>173</v>
      </c>
    </row>
    <row r="443" spans="1:8" ht="25.5" thickTop="1" thickBot="1" x14ac:dyDescent="0.25">
      <c r="A443" s="1943" t="s">
        <v>174</v>
      </c>
      <c r="B443" s="1944" t="s">
        <v>800</v>
      </c>
      <c r="C443" s="1944" t="s">
        <v>397</v>
      </c>
      <c r="D443" s="1945" t="s">
        <v>176</v>
      </c>
      <c r="E443" s="1976" t="s">
        <v>669</v>
      </c>
      <c r="F443" s="1976" t="s">
        <v>670</v>
      </c>
      <c r="G443" s="1977" t="s">
        <v>923</v>
      </c>
      <c r="H443" s="1978" t="s">
        <v>924</v>
      </c>
    </row>
    <row r="444" spans="1:8" ht="14.25" thickTop="1" thickBot="1" x14ac:dyDescent="0.25">
      <c r="A444" s="1740">
        <v>1</v>
      </c>
      <c r="B444" s="1739">
        <v>2</v>
      </c>
      <c r="C444" s="1739">
        <v>3</v>
      </c>
      <c r="D444" s="1739">
        <v>4</v>
      </c>
      <c r="E444" s="1738">
        <v>5</v>
      </c>
      <c r="F444" s="1738">
        <v>6</v>
      </c>
      <c r="G444" s="2028">
        <v>7</v>
      </c>
      <c r="H444" s="2054" t="s">
        <v>61</v>
      </c>
    </row>
    <row r="445" spans="1:8" ht="15.75" hidden="1" thickTop="1" x14ac:dyDescent="0.2">
      <c r="A445" s="2160">
        <v>3636</v>
      </c>
      <c r="B445" s="2161">
        <v>5011</v>
      </c>
      <c r="C445" s="2170">
        <v>0</v>
      </c>
      <c r="D445" s="2162" t="s">
        <v>219</v>
      </c>
      <c r="E445" s="2163">
        <v>0</v>
      </c>
      <c r="F445" s="2163">
        <v>0</v>
      </c>
      <c r="G445" s="2163">
        <v>0</v>
      </c>
      <c r="H445" s="2164" t="e">
        <f t="shared" ref="H445:H452" si="46">G445/F445*100</f>
        <v>#DIV/0!</v>
      </c>
    </row>
    <row r="446" spans="1:8" ht="15.75" hidden="1" thickTop="1" x14ac:dyDescent="0.2">
      <c r="A446" s="2165">
        <v>3636</v>
      </c>
      <c r="B446" s="2166">
        <v>5011</v>
      </c>
      <c r="C446" s="2166">
        <v>38500881</v>
      </c>
      <c r="D446" s="2167" t="s">
        <v>219</v>
      </c>
      <c r="E446" s="2168">
        <v>0</v>
      </c>
      <c r="F446" s="2168">
        <v>0</v>
      </c>
      <c r="G446" s="2168">
        <v>0</v>
      </c>
      <c r="H446" s="2169" t="e">
        <f t="shared" si="46"/>
        <v>#DIV/0!</v>
      </c>
    </row>
    <row r="447" spans="1:8" ht="30.75" thickTop="1" x14ac:dyDescent="0.2">
      <c r="A447" s="2165">
        <v>3123</v>
      </c>
      <c r="B447" s="2166">
        <v>5336</v>
      </c>
      <c r="C447" s="2170">
        <v>32133019</v>
      </c>
      <c r="D447" s="2167" t="s">
        <v>1325</v>
      </c>
      <c r="E447" s="2168">
        <v>0</v>
      </c>
      <c r="F447" s="2168">
        <f>72+12</f>
        <v>84</v>
      </c>
      <c r="G447" s="2168">
        <f>57+5</f>
        <v>62</v>
      </c>
      <c r="H447" s="2169">
        <f t="shared" si="46"/>
        <v>73.80952380952381</v>
      </c>
    </row>
    <row r="448" spans="1:8" ht="15" hidden="1" x14ac:dyDescent="0.2">
      <c r="A448" s="2165">
        <v>3636</v>
      </c>
      <c r="B448" s="2166">
        <v>5021</v>
      </c>
      <c r="C448" s="2166">
        <v>38500881</v>
      </c>
      <c r="D448" s="2167" t="s">
        <v>409</v>
      </c>
      <c r="E448" s="2168"/>
      <c r="F448" s="2168"/>
      <c r="G448" s="2168"/>
      <c r="H448" s="2169" t="e">
        <f t="shared" si="46"/>
        <v>#DIV/0!</v>
      </c>
    </row>
    <row r="449" spans="1:8" ht="30" hidden="1" x14ac:dyDescent="0.2">
      <c r="A449" s="2165">
        <v>3636</v>
      </c>
      <c r="B449" s="2166">
        <v>5031</v>
      </c>
      <c r="C449" s="2166">
        <v>38100880</v>
      </c>
      <c r="D449" s="2167" t="s">
        <v>1362</v>
      </c>
      <c r="E449" s="2168"/>
      <c r="F449" s="2168"/>
      <c r="G449" s="2168"/>
      <c r="H449" s="2169" t="e">
        <f t="shared" si="46"/>
        <v>#DIV/0!</v>
      </c>
    </row>
    <row r="450" spans="1:8" ht="30" hidden="1" x14ac:dyDescent="0.2">
      <c r="A450" s="2165">
        <v>3636</v>
      </c>
      <c r="B450" s="2166">
        <v>5031</v>
      </c>
      <c r="C450" s="2166">
        <v>38500881</v>
      </c>
      <c r="D450" s="2167" t="s">
        <v>1362</v>
      </c>
      <c r="E450" s="2168"/>
      <c r="F450" s="2168"/>
      <c r="G450" s="2168"/>
      <c r="H450" s="2169" t="e">
        <f t="shared" si="46"/>
        <v>#DIV/0!</v>
      </c>
    </row>
    <row r="451" spans="1:8" ht="30" hidden="1" x14ac:dyDescent="0.2">
      <c r="A451" s="2165">
        <v>3636</v>
      </c>
      <c r="B451" s="2166">
        <v>5032</v>
      </c>
      <c r="C451" s="2166">
        <v>38100880</v>
      </c>
      <c r="D451" s="2167" t="s">
        <v>1236</v>
      </c>
      <c r="E451" s="2168"/>
      <c r="F451" s="2168"/>
      <c r="G451" s="2168"/>
      <c r="H451" s="2169" t="e">
        <f t="shared" si="46"/>
        <v>#DIV/0!</v>
      </c>
    </row>
    <row r="452" spans="1:8" ht="30" hidden="1" x14ac:dyDescent="0.2">
      <c r="A452" s="2165">
        <v>3636</v>
      </c>
      <c r="B452" s="2166">
        <v>5032</v>
      </c>
      <c r="C452" s="2166">
        <v>38500881</v>
      </c>
      <c r="D452" s="2167" t="s">
        <v>1236</v>
      </c>
      <c r="E452" s="2168"/>
      <c r="F452" s="2168"/>
      <c r="G452" s="2168"/>
      <c r="H452" s="2169" t="e">
        <f t="shared" si="46"/>
        <v>#DIV/0!</v>
      </c>
    </row>
    <row r="453" spans="1:8" ht="15" hidden="1" x14ac:dyDescent="0.2">
      <c r="A453" s="2165">
        <v>3636</v>
      </c>
      <c r="B453" s="2166">
        <v>5139</v>
      </c>
      <c r="C453" s="2166">
        <v>38100880</v>
      </c>
      <c r="D453" s="2167" t="s">
        <v>284</v>
      </c>
      <c r="E453" s="2168"/>
      <c r="F453" s="2168"/>
      <c r="G453" s="2168"/>
      <c r="H453" s="2169">
        <v>0</v>
      </c>
    </row>
    <row r="454" spans="1:8" ht="15" hidden="1" x14ac:dyDescent="0.2">
      <c r="A454" s="2165">
        <v>3636</v>
      </c>
      <c r="B454" s="2166">
        <v>5139</v>
      </c>
      <c r="C454" s="2166">
        <v>38500881</v>
      </c>
      <c r="D454" s="2167" t="s">
        <v>284</v>
      </c>
      <c r="E454" s="2168"/>
      <c r="F454" s="2168"/>
      <c r="G454" s="2168"/>
      <c r="H454" s="2169" t="e">
        <f t="shared" ref="H454:H459" si="47">G454/F454*100</f>
        <v>#DIV/0!</v>
      </c>
    </row>
    <row r="455" spans="1:8" ht="15" hidden="1" x14ac:dyDescent="0.2">
      <c r="A455" s="2165">
        <v>3636</v>
      </c>
      <c r="B455" s="2166">
        <v>5162</v>
      </c>
      <c r="C455" s="2166">
        <v>38100880</v>
      </c>
      <c r="D455" s="2167" t="s">
        <v>904</v>
      </c>
      <c r="E455" s="2168"/>
      <c r="F455" s="2168"/>
      <c r="G455" s="2168"/>
      <c r="H455" s="2169" t="e">
        <f t="shared" si="47"/>
        <v>#DIV/0!</v>
      </c>
    </row>
    <row r="456" spans="1:8" ht="15" hidden="1" x14ac:dyDescent="0.2">
      <c r="A456" s="2165">
        <v>3636</v>
      </c>
      <c r="B456" s="2166">
        <v>5162</v>
      </c>
      <c r="C456" s="2166">
        <v>38500881</v>
      </c>
      <c r="D456" s="2167" t="s">
        <v>904</v>
      </c>
      <c r="E456" s="2168"/>
      <c r="F456" s="2168"/>
      <c r="G456" s="2168"/>
      <c r="H456" s="2169" t="e">
        <f t="shared" si="47"/>
        <v>#DIV/0!</v>
      </c>
    </row>
    <row r="457" spans="1:8" ht="15" hidden="1" x14ac:dyDescent="0.2">
      <c r="A457" s="2165">
        <v>3636</v>
      </c>
      <c r="B457" s="2166">
        <v>5164</v>
      </c>
      <c r="C457" s="2166">
        <v>38100880</v>
      </c>
      <c r="D457" s="2167" t="s">
        <v>182</v>
      </c>
      <c r="E457" s="2168"/>
      <c r="F457" s="2168"/>
      <c r="G457" s="2168"/>
      <c r="H457" s="2169" t="e">
        <f t="shared" si="47"/>
        <v>#DIV/0!</v>
      </c>
    </row>
    <row r="458" spans="1:8" ht="15" hidden="1" x14ac:dyDescent="0.2">
      <c r="A458" s="2165">
        <v>3636</v>
      </c>
      <c r="B458" s="2166">
        <v>5164</v>
      </c>
      <c r="C458" s="2166">
        <v>38500881</v>
      </c>
      <c r="D458" s="2167" t="s">
        <v>182</v>
      </c>
      <c r="E458" s="2168"/>
      <c r="F458" s="2168"/>
      <c r="G458" s="2168"/>
      <c r="H458" s="2169" t="e">
        <f t="shared" si="47"/>
        <v>#DIV/0!</v>
      </c>
    </row>
    <row r="459" spans="1:8" ht="30" x14ac:dyDescent="0.2">
      <c r="A459" s="2165">
        <v>3123</v>
      </c>
      <c r="B459" s="2166">
        <v>5336</v>
      </c>
      <c r="C459" s="2170">
        <v>32533019</v>
      </c>
      <c r="D459" s="2167" t="s">
        <v>1325</v>
      </c>
      <c r="E459" s="2168">
        <v>0</v>
      </c>
      <c r="F459" s="2168">
        <f>409+67</f>
        <v>476</v>
      </c>
      <c r="G459" s="2168">
        <f>321+27</f>
        <v>348</v>
      </c>
      <c r="H459" s="2169">
        <f t="shared" si="47"/>
        <v>73.109243697478988</v>
      </c>
    </row>
    <row r="460" spans="1:8" ht="15" hidden="1" x14ac:dyDescent="0.2">
      <c r="A460" s="2165">
        <v>3123</v>
      </c>
      <c r="B460" s="2166">
        <v>5166</v>
      </c>
      <c r="C460" s="2166">
        <v>41100880</v>
      </c>
      <c r="D460" s="2167" t="s">
        <v>646</v>
      </c>
      <c r="E460" s="2168"/>
      <c r="F460" s="2168"/>
      <c r="G460" s="2168"/>
      <c r="H460" s="2169" t="e">
        <f t="shared" ref="H460:H466" si="48">G460/F460*100</f>
        <v>#DIV/0!</v>
      </c>
    </row>
    <row r="461" spans="1:8" ht="15" hidden="1" x14ac:dyDescent="0.2">
      <c r="A461" s="2165">
        <v>3123</v>
      </c>
      <c r="B461" s="2166">
        <v>5166</v>
      </c>
      <c r="C461" s="2166">
        <v>41100882</v>
      </c>
      <c r="D461" s="2167" t="s">
        <v>646</v>
      </c>
      <c r="E461" s="2168"/>
      <c r="F461" s="2168"/>
      <c r="G461" s="2168"/>
      <c r="H461" s="2169" t="e">
        <f t="shared" si="48"/>
        <v>#DIV/0!</v>
      </c>
    </row>
    <row r="462" spans="1:8" ht="15" hidden="1" x14ac:dyDescent="0.2">
      <c r="A462" s="2165">
        <v>3123</v>
      </c>
      <c r="B462" s="2166">
        <v>5166</v>
      </c>
      <c r="C462" s="2166">
        <v>41500881</v>
      </c>
      <c r="D462" s="2167" t="s">
        <v>646</v>
      </c>
      <c r="E462" s="2168"/>
      <c r="F462" s="2168"/>
      <c r="G462" s="2168"/>
      <c r="H462" s="2169" t="e">
        <f t="shared" si="48"/>
        <v>#DIV/0!</v>
      </c>
    </row>
    <row r="463" spans="1:8" ht="15" hidden="1" x14ac:dyDescent="0.2">
      <c r="A463" s="2165">
        <v>3123</v>
      </c>
      <c r="B463" s="2166">
        <v>5167</v>
      </c>
      <c r="C463" s="2166">
        <v>38100880</v>
      </c>
      <c r="D463" s="2167" t="s">
        <v>937</v>
      </c>
      <c r="E463" s="2168"/>
      <c r="F463" s="2168"/>
      <c r="G463" s="2168"/>
      <c r="H463" s="2169" t="e">
        <f t="shared" si="48"/>
        <v>#DIV/0!</v>
      </c>
    </row>
    <row r="464" spans="1:8" ht="15" hidden="1" x14ac:dyDescent="0.2">
      <c r="A464" s="2165">
        <v>3123</v>
      </c>
      <c r="B464" s="2166">
        <v>5167</v>
      </c>
      <c r="C464" s="2166">
        <v>38500881</v>
      </c>
      <c r="D464" s="2167" t="s">
        <v>937</v>
      </c>
      <c r="E464" s="2168"/>
      <c r="F464" s="2168"/>
      <c r="G464" s="2168"/>
      <c r="H464" s="2169" t="e">
        <f t="shared" si="48"/>
        <v>#DIV/0!</v>
      </c>
    </row>
    <row r="465" spans="1:8" ht="15" hidden="1" x14ac:dyDescent="0.2">
      <c r="A465" s="2165">
        <v>3123</v>
      </c>
      <c r="B465" s="2166">
        <v>5169</v>
      </c>
      <c r="C465" s="2166">
        <v>38100880</v>
      </c>
      <c r="D465" s="2167" t="s">
        <v>892</v>
      </c>
      <c r="E465" s="2168"/>
      <c r="F465" s="2168"/>
      <c r="G465" s="2168"/>
      <c r="H465" s="2169" t="e">
        <f t="shared" si="48"/>
        <v>#DIV/0!</v>
      </c>
    </row>
    <row r="466" spans="1:8" ht="15" hidden="1" x14ac:dyDescent="0.2">
      <c r="A466" s="2165">
        <v>3123</v>
      </c>
      <c r="B466" s="2166">
        <v>5169</v>
      </c>
      <c r="C466" s="2166">
        <v>38500881</v>
      </c>
      <c r="D466" s="2167" t="s">
        <v>892</v>
      </c>
      <c r="E466" s="2168"/>
      <c r="F466" s="2168"/>
      <c r="G466" s="2168"/>
      <c r="H466" s="2169" t="e">
        <f t="shared" si="48"/>
        <v>#DIV/0!</v>
      </c>
    </row>
    <row r="467" spans="1:8" ht="15" hidden="1" x14ac:dyDescent="0.2">
      <c r="A467" s="2165">
        <v>3123</v>
      </c>
      <c r="B467" s="2166">
        <v>5173</v>
      </c>
      <c r="C467" s="2170">
        <v>0</v>
      </c>
      <c r="D467" s="2167" t="s">
        <v>1211</v>
      </c>
      <c r="E467" s="2168"/>
      <c r="F467" s="2168"/>
      <c r="G467" s="2168"/>
      <c r="H467" s="2169">
        <v>0</v>
      </c>
    </row>
    <row r="468" spans="1:8" ht="15" hidden="1" x14ac:dyDescent="0.2">
      <c r="A468" s="2165">
        <v>3123</v>
      </c>
      <c r="B468" s="2166">
        <v>5173</v>
      </c>
      <c r="C468" s="2166">
        <v>38500881</v>
      </c>
      <c r="D468" s="2167" t="s">
        <v>1211</v>
      </c>
      <c r="E468" s="2168">
        <v>0</v>
      </c>
      <c r="F468" s="2168"/>
      <c r="G468" s="2168"/>
      <c r="H468" s="2169" t="e">
        <f t="shared" ref="H468:H474" si="49">G468/F468*100</f>
        <v>#DIV/0!</v>
      </c>
    </row>
    <row r="469" spans="1:8" ht="15" hidden="1" x14ac:dyDescent="0.2">
      <c r="A469" s="2165">
        <v>3123</v>
      </c>
      <c r="B469" s="2166">
        <v>5175</v>
      </c>
      <c r="C469" s="2166">
        <v>38100880</v>
      </c>
      <c r="D469" s="2167" t="s">
        <v>707</v>
      </c>
      <c r="E469" s="2168">
        <v>0</v>
      </c>
      <c r="F469" s="2168"/>
      <c r="G469" s="2168"/>
      <c r="H469" s="2169" t="e">
        <f t="shared" si="49"/>
        <v>#DIV/0!</v>
      </c>
    </row>
    <row r="470" spans="1:8" ht="15" hidden="1" x14ac:dyDescent="0.2">
      <c r="A470" s="2165">
        <v>3123</v>
      </c>
      <c r="B470" s="2166">
        <v>5175</v>
      </c>
      <c r="C470" s="2166">
        <v>38500881</v>
      </c>
      <c r="D470" s="2167" t="s">
        <v>707</v>
      </c>
      <c r="E470" s="2168">
        <v>0</v>
      </c>
      <c r="F470" s="2168"/>
      <c r="G470" s="2168"/>
      <c r="H470" s="2169" t="e">
        <f t="shared" si="49"/>
        <v>#DIV/0!</v>
      </c>
    </row>
    <row r="471" spans="1:8" ht="15" hidden="1" x14ac:dyDescent="0.2">
      <c r="A471" s="2165">
        <v>3123</v>
      </c>
      <c r="B471" s="2166">
        <v>5176</v>
      </c>
      <c r="C471" s="2166">
        <v>38100880</v>
      </c>
      <c r="D471" s="2167" t="s">
        <v>1309</v>
      </c>
      <c r="E471" s="2168">
        <v>0</v>
      </c>
      <c r="F471" s="2168"/>
      <c r="G471" s="2168"/>
      <c r="H471" s="2169" t="e">
        <f t="shared" si="49"/>
        <v>#DIV/0!</v>
      </c>
    </row>
    <row r="472" spans="1:8" ht="15" hidden="1" x14ac:dyDescent="0.2">
      <c r="A472" s="2165">
        <v>3123</v>
      </c>
      <c r="B472" s="2166">
        <v>5176</v>
      </c>
      <c r="C472" s="2166">
        <v>38500881</v>
      </c>
      <c r="D472" s="2167" t="s">
        <v>1309</v>
      </c>
      <c r="E472" s="2168">
        <v>0</v>
      </c>
      <c r="F472" s="2168"/>
      <c r="G472" s="2168"/>
      <c r="H472" s="2169" t="e">
        <f t="shared" si="49"/>
        <v>#DIV/0!</v>
      </c>
    </row>
    <row r="473" spans="1:8" ht="30" x14ac:dyDescent="0.2">
      <c r="A473" s="2165">
        <v>3123</v>
      </c>
      <c r="B473" s="2166">
        <v>6356</v>
      </c>
      <c r="C473" s="2166">
        <v>32133910</v>
      </c>
      <c r="D473" s="2167" t="s">
        <v>1927</v>
      </c>
      <c r="E473" s="2168">
        <v>0</v>
      </c>
      <c r="F473" s="2168">
        <v>68</v>
      </c>
      <c r="G473" s="2168">
        <v>0</v>
      </c>
      <c r="H473" s="2169">
        <f t="shared" si="49"/>
        <v>0</v>
      </c>
    </row>
    <row r="474" spans="1:8" ht="30.75" thickBot="1" x14ac:dyDescent="0.25">
      <c r="A474" s="2165">
        <v>3123</v>
      </c>
      <c r="B474" s="2166">
        <v>6356</v>
      </c>
      <c r="C474" s="2166">
        <v>32533910</v>
      </c>
      <c r="D474" s="2167" t="s">
        <v>1927</v>
      </c>
      <c r="E474" s="2168">
        <v>0</v>
      </c>
      <c r="F474" s="2168">
        <v>384</v>
      </c>
      <c r="G474" s="2168">
        <v>0</v>
      </c>
      <c r="H474" s="2171">
        <f t="shared" si="49"/>
        <v>0</v>
      </c>
    </row>
    <row r="475" spans="1:8" ht="16.5" thickTop="1" thickBot="1" x14ac:dyDescent="0.3">
      <c r="A475" s="2750" t="s">
        <v>802</v>
      </c>
      <c r="B475" s="2751"/>
      <c r="C475" s="2751"/>
      <c r="D475" s="2751"/>
      <c r="E475" s="1957">
        <f>SUM(E445:E474)</f>
        <v>0</v>
      </c>
      <c r="F475" s="1957">
        <f>SUM(F445:F474)</f>
        <v>1012</v>
      </c>
      <c r="G475" s="1957">
        <f>SUM(G445:G474)</f>
        <v>410</v>
      </c>
      <c r="H475" s="1962">
        <v>0</v>
      </c>
    </row>
    <row r="476" spans="1:8" ht="13.5" thickTop="1" x14ac:dyDescent="0.2"/>
    <row r="477" spans="1:8" ht="12" customHeight="1" x14ac:dyDescent="0.25">
      <c r="A477" s="2744" t="s">
        <v>1937</v>
      </c>
      <c r="B477" s="2745"/>
      <c r="C477" s="2745"/>
      <c r="D477" s="2745"/>
      <c r="E477" s="2745"/>
      <c r="F477" s="2745"/>
      <c r="G477" s="2745"/>
      <c r="H477" s="2745"/>
    </row>
    <row r="478" spans="1:8" ht="15.75" thickBot="1" x14ac:dyDescent="0.3">
      <c r="A478" s="2132" t="s">
        <v>1938</v>
      </c>
      <c r="B478" s="2146"/>
      <c r="C478" s="2146"/>
      <c r="E478" s="2147"/>
      <c r="F478" s="2147"/>
      <c r="G478" s="2147"/>
      <c r="H478" s="2148" t="s">
        <v>173</v>
      </c>
    </row>
    <row r="479" spans="1:8" ht="25.5" thickTop="1" thickBot="1" x14ac:dyDescent="0.25">
      <c r="A479" s="1943" t="s">
        <v>174</v>
      </c>
      <c r="B479" s="1944" t="s">
        <v>800</v>
      </c>
      <c r="C479" s="1944" t="s">
        <v>397</v>
      </c>
      <c r="D479" s="1945" t="s">
        <v>176</v>
      </c>
      <c r="E479" s="1976" t="s">
        <v>669</v>
      </c>
      <c r="F479" s="1976" t="s">
        <v>670</v>
      </c>
      <c r="G479" s="1977" t="s">
        <v>923</v>
      </c>
      <c r="H479" s="1978" t="s">
        <v>924</v>
      </c>
    </row>
    <row r="480" spans="1:8" ht="14.25" thickTop="1" thickBot="1" x14ac:dyDescent="0.25">
      <c r="A480" s="1740">
        <v>1</v>
      </c>
      <c r="B480" s="1739">
        <v>2</v>
      </c>
      <c r="C480" s="1739">
        <v>3</v>
      </c>
      <c r="D480" s="1739">
        <v>4</v>
      </c>
      <c r="E480" s="1738">
        <v>5</v>
      </c>
      <c r="F480" s="1738">
        <v>6</v>
      </c>
      <c r="G480" s="2028">
        <v>7</v>
      </c>
      <c r="H480" s="2054" t="s">
        <v>61</v>
      </c>
    </row>
    <row r="481" spans="1:8" ht="15.75" hidden="1" thickTop="1" x14ac:dyDescent="0.2">
      <c r="A481" s="2160">
        <v>3636</v>
      </c>
      <c r="B481" s="2161">
        <v>5011</v>
      </c>
      <c r="C481" s="2170">
        <v>0</v>
      </c>
      <c r="D481" s="2162" t="s">
        <v>219</v>
      </c>
      <c r="E481" s="2163">
        <v>0</v>
      </c>
      <c r="F481" s="2163">
        <v>0</v>
      </c>
      <c r="G481" s="2163">
        <v>0</v>
      </c>
      <c r="H481" s="2164" t="e">
        <f t="shared" ref="H481:H488" si="50">G481/F481*100</f>
        <v>#DIV/0!</v>
      </c>
    </row>
    <row r="482" spans="1:8" ht="15.75" hidden="1" thickTop="1" x14ac:dyDescent="0.2">
      <c r="A482" s="2165">
        <v>3636</v>
      </c>
      <c r="B482" s="2166">
        <v>5011</v>
      </c>
      <c r="C482" s="2166">
        <v>38500881</v>
      </c>
      <c r="D482" s="2167" t="s">
        <v>219</v>
      </c>
      <c r="E482" s="2168">
        <v>0</v>
      </c>
      <c r="F482" s="2168">
        <v>0</v>
      </c>
      <c r="G482" s="2168">
        <v>0</v>
      </c>
      <c r="H482" s="2169" t="e">
        <f t="shared" si="50"/>
        <v>#DIV/0!</v>
      </c>
    </row>
    <row r="483" spans="1:8" ht="30.75" thickTop="1" x14ac:dyDescent="0.2">
      <c r="A483" s="2165">
        <v>3122</v>
      </c>
      <c r="B483" s="2166">
        <v>5336</v>
      </c>
      <c r="C483" s="2170">
        <v>32133019</v>
      </c>
      <c r="D483" s="2167" t="s">
        <v>1325</v>
      </c>
      <c r="E483" s="2168">
        <v>0</v>
      </c>
      <c r="F483" s="2168">
        <f>163+5</f>
        <v>168</v>
      </c>
      <c r="G483" s="2168">
        <f>116+5</f>
        <v>121</v>
      </c>
      <c r="H483" s="2169">
        <f t="shared" si="50"/>
        <v>72.023809523809518</v>
      </c>
    </row>
    <row r="484" spans="1:8" ht="15" hidden="1" x14ac:dyDescent="0.2">
      <c r="A484" s="2165">
        <v>3636</v>
      </c>
      <c r="B484" s="2166">
        <v>5021</v>
      </c>
      <c r="C484" s="2166">
        <v>38500881</v>
      </c>
      <c r="D484" s="2167" t="s">
        <v>409</v>
      </c>
      <c r="E484" s="2168"/>
      <c r="F484" s="2168"/>
      <c r="G484" s="2168"/>
      <c r="H484" s="2169" t="e">
        <f t="shared" si="50"/>
        <v>#DIV/0!</v>
      </c>
    </row>
    <row r="485" spans="1:8" ht="30" hidden="1" x14ac:dyDescent="0.2">
      <c r="A485" s="2165">
        <v>3636</v>
      </c>
      <c r="B485" s="2166">
        <v>5031</v>
      </c>
      <c r="C485" s="2166">
        <v>38100880</v>
      </c>
      <c r="D485" s="2167" t="s">
        <v>1362</v>
      </c>
      <c r="E485" s="2168"/>
      <c r="F485" s="2168"/>
      <c r="G485" s="2168"/>
      <c r="H485" s="2169" t="e">
        <f t="shared" si="50"/>
        <v>#DIV/0!</v>
      </c>
    </row>
    <row r="486" spans="1:8" ht="30" hidden="1" x14ac:dyDescent="0.2">
      <c r="A486" s="2165">
        <v>3636</v>
      </c>
      <c r="B486" s="2166">
        <v>5031</v>
      </c>
      <c r="C486" s="2166">
        <v>38500881</v>
      </c>
      <c r="D486" s="2167" t="s">
        <v>1362</v>
      </c>
      <c r="E486" s="2168"/>
      <c r="F486" s="2168"/>
      <c r="G486" s="2168"/>
      <c r="H486" s="2169" t="e">
        <f t="shared" si="50"/>
        <v>#DIV/0!</v>
      </c>
    </row>
    <row r="487" spans="1:8" ht="30" hidden="1" x14ac:dyDescent="0.2">
      <c r="A487" s="2165">
        <v>3636</v>
      </c>
      <c r="B487" s="2166">
        <v>5032</v>
      </c>
      <c r="C487" s="2166">
        <v>38100880</v>
      </c>
      <c r="D487" s="2167" t="s">
        <v>1236</v>
      </c>
      <c r="E487" s="2168"/>
      <c r="F487" s="2168"/>
      <c r="G487" s="2168"/>
      <c r="H487" s="2169" t="e">
        <f t="shared" si="50"/>
        <v>#DIV/0!</v>
      </c>
    </row>
    <row r="488" spans="1:8" ht="30" hidden="1" x14ac:dyDescent="0.2">
      <c r="A488" s="2165">
        <v>3636</v>
      </c>
      <c r="B488" s="2166">
        <v>5032</v>
      </c>
      <c r="C488" s="2166">
        <v>38500881</v>
      </c>
      <c r="D488" s="2167" t="s">
        <v>1236</v>
      </c>
      <c r="E488" s="2168"/>
      <c r="F488" s="2168"/>
      <c r="G488" s="2168"/>
      <c r="H488" s="2169" t="e">
        <f t="shared" si="50"/>
        <v>#DIV/0!</v>
      </c>
    </row>
    <row r="489" spans="1:8" ht="15" hidden="1" x14ac:dyDescent="0.2">
      <c r="A489" s="2165">
        <v>3636</v>
      </c>
      <c r="B489" s="2166">
        <v>5139</v>
      </c>
      <c r="C489" s="2166">
        <v>38100880</v>
      </c>
      <c r="D489" s="2167" t="s">
        <v>284</v>
      </c>
      <c r="E489" s="2168"/>
      <c r="F489" s="2168"/>
      <c r="G489" s="2168"/>
      <c r="H489" s="2169">
        <v>0</v>
      </c>
    </row>
    <row r="490" spans="1:8" ht="15" hidden="1" x14ac:dyDescent="0.2">
      <c r="A490" s="2165">
        <v>3636</v>
      </c>
      <c r="B490" s="2166">
        <v>5139</v>
      </c>
      <c r="C490" s="2166">
        <v>38500881</v>
      </c>
      <c r="D490" s="2167" t="s">
        <v>284</v>
      </c>
      <c r="E490" s="2168"/>
      <c r="F490" s="2168"/>
      <c r="G490" s="2168"/>
      <c r="H490" s="2169" t="e">
        <f t="shared" ref="H490:H495" si="51">G490/F490*100</f>
        <v>#DIV/0!</v>
      </c>
    </row>
    <row r="491" spans="1:8" ht="15" hidden="1" x14ac:dyDescent="0.2">
      <c r="A491" s="2165">
        <v>3636</v>
      </c>
      <c r="B491" s="2166">
        <v>5162</v>
      </c>
      <c r="C491" s="2166">
        <v>38100880</v>
      </c>
      <c r="D491" s="2167" t="s">
        <v>904</v>
      </c>
      <c r="E491" s="2168"/>
      <c r="F491" s="2168"/>
      <c r="G491" s="2168"/>
      <c r="H491" s="2169" t="e">
        <f t="shared" si="51"/>
        <v>#DIV/0!</v>
      </c>
    </row>
    <row r="492" spans="1:8" ht="15" hidden="1" x14ac:dyDescent="0.2">
      <c r="A492" s="2165">
        <v>3636</v>
      </c>
      <c r="B492" s="2166">
        <v>5162</v>
      </c>
      <c r="C492" s="2166">
        <v>38500881</v>
      </c>
      <c r="D492" s="2167" t="s">
        <v>904</v>
      </c>
      <c r="E492" s="2168"/>
      <c r="F492" s="2168"/>
      <c r="G492" s="2168"/>
      <c r="H492" s="2169" t="e">
        <f t="shared" si="51"/>
        <v>#DIV/0!</v>
      </c>
    </row>
    <row r="493" spans="1:8" ht="15" hidden="1" x14ac:dyDescent="0.2">
      <c r="A493" s="2165">
        <v>3636</v>
      </c>
      <c r="B493" s="2166">
        <v>5164</v>
      </c>
      <c r="C493" s="2166">
        <v>38100880</v>
      </c>
      <c r="D493" s="2167" t="s">
        <v>182</v>
      </c>
      <c r="E493" s="2168"/>
      <c r="F493" s="2168"/>
      <c r="G493" s="2168"/>
      <c r="H493" s="2169" t="e">
        <f t="shared" si="51"/>
        <v>#DIV/0!</v>
      </c>
    </row>
    <row r="494" spans="1:8" ht="15" hidden="1" x14ac:dyDescent="0.2">
      <c r="A494" s="2165">
        <v>3636</v>
      </c>
      <c r="B494" s="2166">
        <v>5164</v>
      </c>
      <c r="C494" s="2166">
        <v>38500881</v>
      </c>
      <c r="D494" s="2167" t="s">
        <v>182</v>
      </c>
      <c r="E494" s="2168"/>
      <c r="F494" s="2168"/>
      <c r="G494" s="2168"/>
      <c r="H494" s="2169" t="e">
        <f t="shared" si="51"/>
        <v>#DIV/0!</v>
      </c>
    </row>
    <row r="495" spans="1:8" ht="30" x14ac:dyDescent="0.2">
      <c r="A495" s="2165">
        <v>3122</v>
      </c>
      <c r="B495" s="2166">
        <v>5336</v>
      </c>
      <c r="C495" s="2170">
        <v>32533019</v>
      </c>
      <c r="D495" s="2167" t="s">
        <v>1325</v>
      </c>
      <c r="E495" s="2168">
        <v>0</v>
      </c>
      <c r="F495" s="2168">
        <f>922+28</f>
        <v>950</v>
      </c>
      <c r="G495" s="2168">
        <f>657+28</f>
        <v>685</v>
      </c>
      <c r="H495" s="2169">
        <f t="shared" si="51"/>
        <v>72.10526315789474</v>
      </c>
    </row>
    <row r="496" spans="1:8" ht="15" hidden="1" x14ac:dyDescent="0.2">
      <c r="A496" s="2165">
        <v>3122</v>
      </c>
      <c r="B496" s="2166">
        <v>5166</v>
      </c>
      <c r="C496" s="2166">
        <v>41100880</v>
      </c>
      <c r="D496" s="2167" t="s">
        <v>646</v>
      </c>
      <c r="E496" s="2168"/>
      <c r="F496" s="2168"/>
      <c r="G496" s="2168"/>
      <c r="H496" s="2169" t="e">
        <f t="shared" ref="H496:H502" si="52">G496/F496*100</f>
        <v>#DIV/0!</v>
      </c>
    </row>
    <row r="497" spans="1:8" ht="15" hidden="1" x14ac:dyDescent="0.2">
      <c r="A497" s="2165">
        <v>3122</v>
      </c>
      <c r="B497" s="2166">
        <v>5166</v>
      </c>
      <c r="C497" s="2166">
        <v>41100882</v>
      </c>
      <c r="D497" s="2167" t="s">
        <v>646</v>
      </c>
      <c r="E497" s="2168"/>
      <c r="F497" s="2168"/>
      <c r="G497" s="2168"/>
      <c r="H497" s="2169" t="e">
        <f t="shared" si="52"/>
        <v>#DIV/0!</v>
      </c>
    </row>
    <row r="498" spans="1:8" ht="15" hidden="1" x14ac:dyDescent="0.2">
      <c r="A498" s="2165">
        <v>3122</v>
      </c>
      <c r="B498" s="2166">
        <v>5166</v>
      </c>
      <c r="C498" s="2166">
        <v>41500881</v>
      </c>
      <c r="D498" s="2167" t="s">
        <v>646</v>
      </c>
      <c r="E498" s="2168"/>
      <c r="F498" s="2168"/>
      <c r="G498" s="2168"/>
      <c r="H498" s="2169" t="e">
        <f t="shared" si="52"/>
        <v>#DIV/0!</v>
      </c>
    </row>
    <row r="499" spans="1:8" ht="15" hidden="1" x14ac:dyDescent="0.2">
      <c r="A499" s="2165">
        <v>3122</v>
      </c>
      <c r="B499" s="2166">
        <v>5167</v>
      </c>
      <c r="C499" s="2166">
        <v>38100880</v>
      </c>
      <c r="D499" s="2167" t="s">
        <v>937</v>
      </c>
      <c r="E499" s="2168"/>
      <c r="F499" s="2168"/>
      <c r="G499" s="2168"/>
      <c r="H499" s="2169" t="e">
        <f t="shared" si="52"/>
        <v>#DIV/0!</v>
      </c>
    </row>
    <row r="500" spans="1:8" ht="15" hidden="1" x14ac:dyDescent="0.2">
      <c r="A500" s="2165">
        <v>3122</v>
      </c>
      <c r="B500" s="2166">
        <v>5167</v>
      </c>
      <c r="C500" s="2166">
        <v>38500881</v>
      </c>
      <c r="D500" s="2167" t="s">
        <v>937</v>
      </c>
      <c r="E500" s="2168"/>
      <c r="F500" s="2168"/>
      <c r="G500" s="2168"/>
      <c r="H500" s="2169" t="e">
        <f t="shared" si="52"/>
        <v>#DIV/0!</v>
      </c>
    </row>
    <row r="501" spans="1:8" ht="15" hidden="1" x14ac:dyDescent="0.2">
      <c r="A501" s="2165">
        <v>3122</v>
      </c>
      <c r="B501" s="2166">
        <v>5169</v>
      </c>
      <c r="C501" s="2166">
        <v>38100880</v>
      </c>
      <c r="D501" s="2167" t="s">
        <v>892</v>
      </c>
      <c r="E501" s="2168"/>
      <c r="F501" s="2168"/>
      <c r="G501" s="2168"/>
      <c r="H501" s="2169" t="e">
        <f t="shared" si="52"/>
        <v>#DIV/0!</v>
      </c>
    </row>
    <row r="502" spans="1:8" ht="15" hidden="1" x14ac:dyDescent="0.2">
      <c r="A502" s="2165">
        <v>3122</v>
      </c>
      <c r="B502" s="2166">
        <v>5169</v>
      </c>
      <c r="C502" s="2166">
        <v>38500881</v>
      </c>
      <c r="D502" s="2167" t="s">
        <v>892</v>
      </c>
      <c r="E502" s="2168"/>
      <c r="F502" s="2168"/>
      <c r="G502" s="2168"/>
      <c r="H502" s="2169" t="e">
        <f t="shared" si="52"/>
        <v>#DIV/0!</v>
      </c>
    </row>
    <row r="503" spans="1:8" ht="15" hidden="1" x14ac:dyDescent="0.2">
      <c r="A503" s="2165">
        <v>3122</v>
      </c>
      <c r="B503" s="2166">
        <v>5173</v>
      </c>
      <c r="C503" s="2170">
        <v>0</v>
      </c>
      <c r="D503" s="2167" t="s">
        <v>1211</v>
      </c>
      <c r="E503" s="2168"/>
      <c r="F503" s="2168"/>
      <c r="G503" s="2168"/>
      <c r="H503" s="2169">
        <v>0</v>
      </c>
    </row>
    <row r="504" spans="1:8" ht="15" hidden="1" x14ac:dyDescent="0.2">
      <c r="A504" s="2165">
        <v>3122</v>
      </c>
      <c r="B504" s="2166">
        <v>5173</v>
      </c>
      <c r="C504" s="2166">
        <v>38500881</v>
      </c>
      <c r="D504" s="2167" t="s">
        <v>1211</v>
      </c>
      <c r="E504" s="2168">
        <v>0</v>
      </c>
      <c r="F504" s="2168"/>
      <c r="G504" s="2168"/>
      <c r="H504" s="2169" t="e">
        <f t="shared" ref="H504:H510" si="53">G504/F504*100</f>
        <v>#DIV/0!</v>
      </c>
    </row>
    <row r="505" spans="1:8" ht="15" hidden="1" x14ac:dyDescent="0.2">
      <c r="A505" s="2165">
        <v>3122</v>
      </c>
      <c r="B505" s="2166">
        <v>5175</v>
      </c>
      <c r="C505" s="2166">
        <v>38100880</v>
      </c>
      <c r="D505" s="2167" t="s">
        <v>707</v>
      </c>
      <c r="E505" s="2168">
        <v>0</v>
      </c>
      <c r="F505" s="2168"/>
      <c r="G505" s="2168"/>
      <c r="H505" s="2169" t="e">
        <f t="shared" si="53"/>
        <v>#DIV/0!</v>
      </c>
    </row>
    <row r="506" spans="1:8" ht="15" hidden="1" x14ac:dyDescent="0.2">
      <c r="A506" s="2165">
        <v>3122</v>
      </c>
      <c r="B506" s="2166">
        <v>5175</v>
      </c>
      <c r="C506" s="2166">
        <v>38500881</v>
      </c>
      <c r="D506" s="2167" t="s">
        <v>707</v>
      </c>
      <c r="E506" s="2168">
        <v>0</v>
      </c>
      <c r="F506" s="2168"/>
      <c r="G506" s="2168"/>
      <c r="H506" s="2169" t="e">
        <f t="shared" si="53"/>
        <v>#DIV/0!</v>
      </c>
    </row>
    <row r="507" spans="1:8" ht="15" hidden="1" x14ac:dyDescent="0.2">
      <c r="A507" s="2165">
        <v>3122</v>
      </c>
      <c r="B507" s="2166">
        <v>5176</v>
      </c>
      <c r="C507" s="2166">
        <v>38100880</v>
      </c>
      <c r="D507" s="2167" t="s">
        <v>1309</v>
      </c>
      <c r="E507" s="2168">
        <v>0</v>
      </c>
      <c r="F507" s="2168"/>
      <c r="G507" s="2168"/>
      <c r="H507" s="2169" t="e">
        <f t="shared" si="53"/>
        <v>#DIV/0!</v>
      </c>
    </row>
    <row r="508" spans="1:8" ht="15" hidden="1" x14ac:dyDescent="0.2">
      <c r="A508" s="2165">
        <v>3122</v>
      </c>
      <c r="B508" s="2166">
        <v>5176</v>
      </c>
      <c r="C508" s="2166">
        <v>38500881</v>
      </c>
      <c r="D508" s="2167" t="s">
        <v>1309</v>
      </c>
      <c r="E508" s="2168">
        <v>0</v>
      </c>
      <c r="F508" s="2168"/>
      <c r="G508" s="2168"/>
      <c r="H508" s="2169" t="e">
        <f t="shared" si="53"/>
        <v>#DIV/0!</v>
      </c>
    </row>
    <row r="509" spans="1:8" ht="30" x14ac:dyDescent="0.2">
      <c r="A509" s="2165">
        <v>3122</v>
      </c>
      <c r="B509" s="2166">
        <v>6356</v>
      </c>
      <c r="C509" s="2166">
        <v>32133910</v>
      </c>
      <c r="D509" s="2167" t="s">
        <v>1927</v>
      </c>
      <c r="E509" s="2168">
        <v>0</v>
      </c>
      <c r="F509" s="2168">
        <v>60</v>
      </c>
      <c r="G509" s="2168">
        <v>0</v>
      </c>
      <c r="H509" s="2169">
        <f t="shared" si="53"/>
        <v>0</v>
      </c>
    </row>
    <row r="510" spans="1:8" ht="30.75" thickBot="1" x14ac:dyDescent="0.25">
      <c r="A510" s="2165">
        <v>3122</v>
      </c>
      <c r="B510" s="2166">
        <v>6356</v>
      </c>
      <c r="C510" s="2166">
        <v>32533910</v>
      </c>
      <c r="D510" s="2167" t="s">
        <v>1927</v>
      </c>
      <c r="E510" s="2168">
        <v>0</v>
      </c>
      <c r="F510" s="2168">
        <v>342</v>
      </c>
      <c r="G510" s="2168">
        <v>0</v>
      </c>
      <c r="H510" s="2171">
        <f t="shared" si="53"/>
        <v>0</v>
      </c>
    </row>
    <row r="511" spans="1:8" ht="16.5" thickTop="1" thickBot="1" x14ac:dyDescent="0.3">
      <c r="A511" s="2750" t="s">
        <v>802</v>
      </c>
      <c r="B511" s="2751"/>
      <c r="C511" s="2751"/>
      <c r="D511" s="2751"/>
      <c r="E511" s="1957">
        <f>SUM(E481:E510)</f>
        <v>0</v>
      </c>
      <c r="F511" s="1957">
        <f>SUM(F481:F510)</f>
        <v>1520</v>
      </c>
      <c r="G511" s="1957">
        <f>SUM(G481:G510)</f>
        <v>806</v>
      </c>
      <c r="H511" s="1962">
        <v>0</v>
      </c>
    </row>
    <row r="512" spans="1:8" ht="13.5" thickTop="1" x14ac:dyDescent="0.2"/>
    <row r="513" spans="1:8" ht="12" customHeight="1" x14ac:dyDescent="0.25">
      <c r="A513" s="2744" t="s">
        <v>548</v>
      </c>
      <c r="B513" s="2745"/>
      <c r="C513" s="2745"/>
      <c r="D513" s="2745"/>
      <c r="E513" s="2745"/>
      <c r="F513" s="2745"/>
      <c r="G513" s="2745"/>
      <c r="H513" s="2745"/>
    </row>
    <row r="514" spans="1:8" ht="15.75" thickBot="1" x14ac:dyDescent="0.3">
      <c r="A514" s="2132" t="s">
        <v>1684</v>
      </c>
      <c r="B514" s="2146"/>
      <c r="C514" s="2146"/>
      <c r="E514" s="2147"/>
      <c r="F514" s="2147"/>
      <c r="G514" s="2147"/>
      <c r="H514" s="2148" t="s">
        <v>173</v>
      </c>
    </row>
    <row r="515" spans="1:8" ht="25.5" thickTop="1" thickBot="1" x14ac:dyDescent="0.25">
      <c r="A515" s="1943" t="s">
        <v>174</v>
      </c>
      <c r="B515" s="1944" t="s">
        <v>800</v>
      </c>
      <c r="C515" s="1944" t="s">
        <v>397</v>
      </c>
      <c r="D515" s="1945" t="s">
        <v>176</v>
      </c>
      <c r="E515" s="1976" t="s">
        <v>669</v>
      </c>
      <c r="F515" s="1976" t="s">
        <v>670</v>
      </c>
      <c r="G515" s="1977" t="s">
        <v>923</v>
      </c>
      <c r="H515" s="1978" t="s">
        <v>924</v>
      </c>
    </row>
    <row r="516" spans="1:8" ht="14.25" thickTop="1" thickBot="1" x14ac:dyDescent="0.25">
      <c r="A516" s="1740">
        <v>1</v>
      </c>
      <c r="B516" s="1739">
        <v>2</v>
      </c>
      <c r="C516" s="1739">
        <v>3</v>
      </c>
      <c r="D516" s="1739">
        <v>4</v>
      </c>
      <c r="E516" s="1738">
        <v>5</v>
      </c>
      <c r="F516" s="1738">
        <v>6</v>
      </c>
      <c r="G516" s="2028">
        <v>7</v>
      </c>
      <c r="H516" s="2054" t="s">
        <v>61</v>
      </c>
    </row>
    <row r="517" spans="1:8" ht="15.75" hidden="1" thickTop="1" x14ac:dyDescent="0.2">
      <c r="A517" s="2160">
        <v>3636</v>
      </c>
      <c r="B517" s="2161">
        <v>5011</v>
      </c>
      <c r="C517" s="2170">
        <v>0</v>
      </c>
      <c r="D517" s="2162" t="s">
        <v>219</v>
      </c>
      <c r="E517" s="2163">
        <v>0</v>
      </c>
      <c r="F517" s="2163">
        <v>0</v>
      </c>
      <c r="G517" s="2163">
        <v>0</v>
      </c>
      <c r="H517" s="2164" t="e">
        <f t="shared" ref="H517:H524" si="54">G517/F517*100</f>
        <v>#DIV/0!</v>
      </c>
    </row>
    <row r="518" spans="1:8" ht="15.75" hidden="1" thickTop="1" x14ac:dyDescent="0.2">
      <c r="A518" s="2165">
        <v>3636</v>
      </c>
      <c r="B518" s="2166">
        <v>5011</v>
      </c>
      <c r="C518" s="2166">
        <v>38500881</v>
      </c>
      <c r="D518" s="2167" t="s">
        <v>219</v>
      </c>
      <c r="E518" s="2168">
        <v>0</v>
      </c>
      <c r="F518" s="2168">
        <v>0</v>
      </c>
      <c r="G518" s="2168">
        <v>0</v>
      </c>
      <c r="H518" s="2169" t="e">
        <f t="shared" si="54"/>
        <v>#DIV/0!</v>
      </c>
    </row>
    <row r="519" spans="1:8" ht="30.75" thickTop="1" x14ac:dyDescent="0.2">
      <c r="A519" s="2165">
        <v>3122</v>
      </c>
      <c r="B519" s="2166">
        <v>5336</v>
      </c>
      <c r="C519" s="2170">
        <v>32133019</v>
      </c>
      <c r="D519" s="2167" t="s">
        <v>1325</v>
      </c>
      <c r="E519" s="2168">
        <v>0</v>
      </c>
      <c r="F519" s="2168">
        <f>158+14</f>
        <v>172</v>
      </c>
      <c r="G519" s="2168">
        <f>158+14</f>
        <v>172</v>
      </c>
      <c r="H519" s="2169">
        <f t="shared" si="54"/>
        <v>100</v>
      </c>
    </row>
    <row r="520" spans="1:8" ht="15" hidden="1" x14ac:dyDescent="0.2">
      <c r="A520" s="2165">
        <v>3636</v>
      </c>
      <c r="B520" s="2166">
        <v>5021</v>
      </c>
      <c r="C520" s="2166">
        <v>38500881</v>
      </c>
      <c r="D520" s="2167" t="s">
        <v>409</v>
      </c>
      <c r="E520" s="2168"/>
      <c r="F520" s="2168"/>
      <c r="G520" s="2168"/>
      <c r="H520" s="2169" t="e">
        <f t="shared" si="54"/>
        <v>#DIV/0!</v>
      </c>
    </row>
    <row r="521" spans="1:8" ht="30" hidden="1" x14ac:dyDescent="0.2">
      <c r="A521" s="2165">
        <v>3636</v>
      </c>
      <c r="B521" s="2166">
        <v>5031</v>
      </c>
      <c r="C521" s="2166">
        <v>38100880</v>
      </c>
      <c r="D521" s="2167" t="s">
        <v>1362</v>
      </c>
      <c r="E521" s="2168"/>
      <c r="F521" s="2168"/>
      <c r="G521" s="2168"/>
      <c r="H521" s="2169" t="e">
        <f t="shared" si="54"/>
        <v>#DIV/0!</v>
      </c>
    </row>
    <row r="522" spans="1:8" ht="30" hidden="1" x14ac:dyDescent="0.2">
      <c r="A522" s="2165">
        <v>3636</v>
      </c>
      <c r="B522" s="2166">
        <v>5031</v>
      </c>
      <c r="C522" s="2166">
        <v>38500881</v>
      </c>
      <c r="D522" s="2167" t="s">
        <v>1362</v>
      </c>
      <c r="E522" s="2168"/>
      <c r="F522" s="2168"/>
      <c r="G522" s="2168"/>
      <c r="H522" s="2169" t="e">
        <f t="shared" si="54"/>
        <v>#DIV/0!</v>
      </c>
    </row>
    <row r="523" spans="1:8" ht="30" hidden="1" x14ac:dyDescent="0.2">
      <c r="A523" s="2165">
        <v>3636</v>
      </c>
      <c r="B523" s="2166">
        <v>5032</v>
      </c>
      <c r="C523" s="2166">
        <v>38100880</v>
      </c>
      <c r="D523" s="2167" t="s">
        <v>1236</v>
      </c>
      <c r="E523" s="2168"/>
      <c r="F523" s="2168"/>
      <c r="G523" s="2168"/>
      <c r="H523" s="2169" t="e">
        <f t="shared" si="54"/>
        <v>#DIV/0!</v>
      </c>
    </row>
    <row r="524" spans="1:8" ht="30" hidden="1" x14ac:dyDescent="0.2">
      <c r="A524" s="2165">
        <v>3636</v>
      </c>
      <c r="B524" s="2166">
        <v>5032</v>
      </c>
      <c r="C524" s="2166">
        <v>38500881</v>
      </c>
      <c r="D524" s="2167" t="s">
        <v>1236</v>
      </c>
      <c r="E524" s="2168"/>
      <c r="F524" s="2168"/>
      <c r="G524" s="2168"/>
      <c r="H524" s="2169" t="e">
        <f t="shared" si="54"/>
        <v>#DIV/0!</v>
      </c>
    </row>
    <row r="525" spans="1:8" ht="15" hidden="1" x14ac:dyDescent="0.2">
      <c r="A525" s="2165">
        <v>3636</v>
      </c>
      <c r="B525" s="2166">
        <v>5139</v>
      </c>
      <c r="C525" s="2166">
        <v>38100880</v>
      </c>
      <c r="D525" s="2167" t="s">
        <v>284</v>
      </c>
      <c r="E525" s="2168"/>
      <c r="F525" s="2168"/>
      <c r="G525" s="2168"/>
      <c r="H525" s="2169">
        <v>0</v>
      </c>
    </row>
    <row r="526" spans="1:8" ht="15" hidden="1" x14ac:dyDescent="0.2">
      <c r="A526" s="2165">
        <v>3636</v>
      </c>
      <c r="B526" s="2166">
        <v>5139</v>
      </c>
      <c r="C526" s="2166">
        <v>38500881</v>
      </c>
      <c r="D526" s="2167" t="s">
        <v>284</v>
      </c>
      <c r="E526" s="2168"/>
      <c r="F526" s="2168"/>
      <c r="G526" s="2168"/>
      <c r="H526" s="2169" t="e">
        <f t="shared" ref="H526:H531" si="55">G526/F526*100</f>
        <v>#DIV/0!</v>
      </c>
    </row>
    <row r="527" spans="1:8" ht="15" hidden="1" x14ac:dyDescent="0.2">
      <c r="A527" s="2165">
        <v>3636</v>
      </c>
      <c r="B527" s="2166">
        <v>5162</v>
      </c>
      <c r="C527" s="2166">
        <v>38100880</v>
      </c>
      <c r="D527" s="2167" t="s">
        <v>904</v>
      </c>
      <c r="E527" s="2168"/>
      <c r="F527" s="2168"/>
      <c r="G527" s="2168"/>
      <c r="H527" s="2169" t="e">
        <f t="shared" si="55"/>
        <v>#DIV/0!</v>
      </c>
    </row>
    <row r="528" spans="1:8" ht="15" hidden="1" x14ac:dyDescent="0.2">
      <c r="A528" s="2165">
        <v>3636</v>
      </c>
      <c r="B528" s="2166">
        <v>5162</v>
      </c>
      <c r="C528" s="2166">
        <v>38500881</v>
      </c>
      <c r="D528" s="2167" t="s">
        <v>904</v>
      </c>
      <c r="E528" s="2168"/>
      <c r="F528" s="2168"/>
      <c r="G528" s="2168"/>
      <c r="H528" s="2169" t="e">
        <f t="shared" si="55"/>
        <v>#DIV/0!</v>
      </c>
    </row>
    <row r="529" spans="1:8" ht="15" hidden="1" x14ac:dyDescent="0.2">
      <c r="A529" s="2165">
        <v>3636</v>
      </c>
      <c r="B529" s="2166">
        <v>5164</v>
      </c>
      <c r="C529" s="2166">
        <v>38100880</v>
      </c>
      <c r="D529" s="2167" t="s">
        <v>182</v>
      </c>
      <c r="E529" s="2168"/>
      <c r="F529" s="2168"/>
      <c r="G529" s="2168"/>
      <c r="H529" s="2169" t="e">
        <f t="shared" si="55"/>
        <v>#DIV/0!</v>
      </c>
    </row>
    <row r="530" spans="1:8" ht="15" hidden="1" x14ac:dyDescent="0.2">
      <c r="A530" s="2165">
        <v>3636</v>
      </c>
      <c r="B530" s="2166">
        <v>5164</v>
      </c>
      <c r="C530" s="2166">
        <v>38500881</v>
      </c>
      <c r="D530" s="2167" t="s">
        <v>182</v>
      </c>
      <c r="E530" s="2168"/>
      <c r="F530" s="2168"/>
      <c r="G530" s="2168"/>
      <c r="H530" s="2169" t="e">
        <f t="shared" si="55"/>
        <v>#DIV/0!</v>
      </c>
    </row>
    <row r="531" spans="1:8" ht="30" x14ac:dyDescent="0.2">
      <c r="A531" s="2165">
        <v>3122</v>
      </c>
      <c r="B531" s="2166">
        <v>5336</v>
      </c>
      <c r="C531" s="2170">
        <v>32533019</v>
      </c>
      <c r="D531" s="2167" t="s">
        <v>1325</v>
      </c>
      <c r="E531" s="2168">
        <v>0</v>
      </c>
      <c r="F531" s="2168">
        <f>898+76</f>
        <v>974</v>
      </c>
      <c r="G531" s="2168">
        <f>898+76</f>
        <v>974</v>
      </c>
      <c r="H531" s="2169">
        <f t="shared" si="55"/>
        <v>100</v>
      </c>
    </row>
    <row r="532" spans="1:8" ht="15" hidden="1" x14ac:dyDescent="0.2">
      <c r="A532" s="2165">
        <v>3122</v>
      </c>
      <c r="B532" s="2166">
        <v>5166</v>
      </c>
      <c r="C532" s="2166">
        <v>41100880</v>
      </c>
      <c r="D532" s="2167" t="s">
        <v>646</v>
      </c>
      <c r="E532" s="2168"/>
      <c r="F532" s="2168"/>
      <c r="G532" s="2168"/>
      <c r="H532" s="2169" t="e">
        <f t="shared" ref="H532:H538" si="56">G532/F532*100</f>
        <v>#DIV/0!</v>
      </c>
    </row>
    <row r="533" spans="1:8" ht="15" hidden="1" x14ac:dyDescent="0.2">
      <c r="A533" s="2165">
        <v>3122</v>
      </c>
      <c r="B533" s="2166">
        <v>5166</v>
      </c>
      <c r="C533" s="2166">
        <v>41100882</v>
      </c>
      <c r="D533" s="2167" t="s">
        <v>646</v>
      </c>
      <c r="E533" s="2168"/>
      <c r="F533" s="2168"/>
      <c r="G533" s="2168"/>
      <c r="H533" s="2169" t="e">
        <f t="shared" si="56"/>
        <v>#DIV/0!</v>
      </c>
    </row>
    <row r="534" spans="1:8" ht="15" hidden="1" x14ac:dyDescent="0.2">
      <c r="A534" s="2165">
        <v>3122</v>
      </c>
      <c r="B534" s="2166">
        <v>5166</v>
      </c>
      <c r="C534" s="2166">
        <v>41500881</v>
      </c>
      <c r="D534" s="2167" t="s">
        <v>646</v>
      </c>
      <c r="E534" s="2168"/>
      <c r="F534" s="2168"/>
      <c r="G534" s="2168"/>
      <c r="H534" s="2169" t="e">
        <f t="shared" si="56"/>
        <v>#DIV/0!</v>
      </c>
    </row>
    <row r="535" spans="1:8" ht="15" hidden="1" x14ac:dyDescent="0.2">
      <c r="A535" s="2165">
        <v>3122</v>
      </c>
      <c r="B535" s="2166">
        <v>5167</v>
      </c>
      <c r="C535" s="2166">
        <v>38100880</v>
      </c>
      <c r="D535" s="2167" t="s">
        <v>937</v>
      </c>
      <c r="E535" s="2168"/>
      <c r="F535" s="2168"/>
      <c r="G535" s="2168"/>
      <c r="H535" s="2169" t="e">
        <f t="shared" si="56"/>
        <v>#DIV/0!</v>
      </c>
    </row>
    <row r="536" spans="1:8" ht="15" hidden="1" x14ac:dyDescent="0.2">
      <c r="A536" s="2165">
        <v>3122</v>
      </c>
      <c r="B536" s="2166">
        <v>5167</v>
      </c>
      <c r="C536" s="2166">
        <v>38500881</v>
      </c>
      <c r="D536" s="2167" t="s">
        <v>937</v>
      </c>
      <c r="E536" s="2168"/>
      <c r="F536" s="2168"/>
      <c r="G536" s="2168"/>
      <c r="H536" s="2169" t="e">
        <f t="shared" si="56"/>
        <v>#DIV/0!</v>
      </c>
    </row>
    <row r="537" spans="1:8" ht="15" hidden="1" x14ac:dyDescent="0.2">
      <c r="A537" s="2165">
        <v>3122</v>
      </c>
      <c r="B537" s="2166">
        <v>5169</v>
      </c>
      <c r="C537" s="2166">
        <v>38100880</v>
      </c>
      <c r="D537" s="2167" t="s">
        <v>892</v>
      </c>
      <c r="E537" s="2168"/>
      <c r="F537" s="2168"/>
      <c r="G537" s="2168"/>
      <c r="H537" s="2169" t="e">
        <f t="shared" si="56"/>
        <v>#DIV/0!</v>
      </c>
    </row>
    <row r="538" spans="1:8" ht="15" hidden="1" x14ac:dyDescent="0.2">
      <c r="A538" s="2165">
        <v>3122</v>
      </c>
      <c r="B538" s="2166">
        <v>5169</v>
      </c>
      <c r="C538" s="2166">
        <v>38500881</v>
      </c>
      <c r="D538" s="2167" t="s">
        <v>892</v>
      </c>
      <c r="E538" s="2168"/>
      <c r="F538" s="2168"/>
      <c r="G538" s="2168"/>
      <c r="H538" s="2169" t="e">
        <f t="shared" si="56"/>
        <v>#DIV/0!</v>
      </c>
    </row>
    <row r="539" spans="1:8" ht="15" hidden="1" x14ac:dyDescent="0.2">
      <c r="A539" s="2165">
        <v>3122</v>
      </c>
      <c r="B539" s="2166">
        <v>5173</v>
      </c>
      <c r="C539" s="2170">
        <v>0</v>
      </c>
      <c r="D539" s="2167" t="s">
        <v>1211</v>
      </c>
      <c r="E539" s="2168"/>
      <c r="F539" s="2168"/>
      <c r="G539" s="2168"/>
      <c r="H539" s="2169">
        <v>0</v>
      </c>
    </row>
    <row r="540" spans="1:8" ht="15" hidden="1" x14ac:dyDescent="0.2">
      <c r="A540" s="2165">
        <v>3122</v>
      </c>
      <c r="B540" s="2166">
        <v>5173</v>
      </c>
      <c r="C540" s="2166">
        <v>38500881</v>
      </c>
      <c r="D540" s="2167" t="s">
        <v>1211</v>
      </c>
      <c r="E540" s="2168">
        <v>0</v>
      </c>
      <c r="F540" s="2168"/>
      <c r="G540" s="2168"/>
      <c r="H540" s="2169" t="e">
        <f t="shared" ref="H540:H547" si="57">G540/F540*100</f>
        <v>#DIV/0!</v>
      </c>
    </row>
    <row r="541" spans="1:8" ht="15" hidden="1" x14ac:dyDescent="0.2">
      <c r="A541" s="2165">
        <v>3122</v>
      </c>
      <c r="B541" s="2166">
        <v>5175</v>
      </c>
      <c r="C541" s="2166">
        <v>38100880</v>
      </c>
      <c r="D541" s="2167" t="s">
        <v>707</v>
      </c>
      <c r="E541" s="2168">
        <v>0</v>
      </c>
      <c r="F541" s="2168"/>
      <c r="G541" s="2168"/>
      <c r="H541" s="2169" t="e">
        <f t="shared" si="57"/>
        <v>#DIV/0!</v>
      </c>
    </row>
    <row r="542" spans="1:8" ht="15" hidden="1" x14ac:dyDescent="0.2">
      <c r="A542" s="2165">
        <v>3122</v>
      </c>
      <c r="B542" s="2166">
        <v>5175</v>
      </c>
      <c r="C542" s="2166">
        <v>38500881</v>
      </c>
      <c r="D542" s="2167" t="s">
        <v>707</v>
      </c>
      <c r="E542" s="2168">
        <v>0</v>
      </c>
      <c r="F542" s="2168"/>
      <c r="G542" s="2168"/>
      <c r="H542" s="2169" t="e">
        <f t="shared" si="57"/>
        <v>#DIV/0!</v>
      </c>
    </row>
    <row r="543" spans="1:8" ht="15" hidden="1" x14ac:dyDescent="0.2">
      <c r="A543" s="2165">
        <v>3122</v>
      </c>
      <c r="B543" s="2166">
        <v>5176</v>
      </c>
      <c r="C543" s="2166">
        <v>38100880</v>
      </c>
      <c r="D543" s="2167" t="s">
        <v>1309</v>
      </c>
      <c r="E543" s="2168">
        <v>0</v>
      </c>
      <c r="F543" s="2168"/>
      <c r="G543" s="2168"/>
      <c r="H543" s="2169" t="e">
        <f t="shared" si="57"/>
        <v>#DIV/0!</v>
      </c>
    </row>
    <row r="544" spans="1:8" ht="15" hidden="1" x14ac:dyDescent="0.2">
      <c r="A544" s="2165">
        <v>3122</v>
      </c>
      <c r="B544" s="2166">
        <v>5176</v>
      </c>
      <c r="C544" s="2166">
        <v>38500881</v>
      </c>
      <c r="D544" s="2167" t="s">
        <v>1309</v>
      </c>
      <c r="E544" s="2168">
        <v>0</v>
      </c>
      <c r="F544" s="2168"/>
      <c r="G544" s="2168"/>
      <c r="H544" s="2169" t="e">
        <f t="shared" si="57"/>
        <v>#DIV/0!</v>
      </c>
    </row>
    <row r="545" spans="1:8" ht="30" x14ac:dyDescent="0.2">
      <c r="A545" s="2165">
        <v>3122</v>
      </c>
      <c r="B545" s="2166">
        <v>6356</v>
      </c>
      <c r="C545" s="2166">
        <v>32133910</v>
      </c>
      <c r="D545" s="2167" t="s">
        <v>1927</v>
      </c>
      <c r="E545" s="2168">
        <v>0</v>
      </c>
      <c r="F545" s="2168">
        <v>9</v>
      </c>
      <c r="G545" s="2168">
        <v>9</v>
      </c>
      <c r="H545" s="2169">
        <f t="shared" si="57"/>
        <v>100</v>
      </c>
    </row>
    <row r="546" spans="1:8" ht="30.75" thickBot="1" x14ac:dyDescent="0.25">
      <c r="A546" s="2165">
        <v>3122</v>
      </c>
      <c r="B546" s="2166">
        <v>6356</v>
      </c>
      <c r="C546" s="2166">
        <v>32533910</v>
      </c>
      <c r="D546" s="2167" t="s">
        <v>1927</v>
      </c>
      <c r="E546" s="2168">
        <v>0</v>
      </c>
      <c r="F546" s="2168">
        <v>50</v>
      </c>
      <c r="G546" s="2168">
        <v>50</v>
      </c>
      <c r="H546" s="2171">
        <f t="shared" si="57"/>
        <v>100</v>
      </c>
    </row>
    <row r="547" spans="1:8" ht="16.5" thickTop="1" thickBot="1" x14ac:dyDescent="0.3">
      <c r="A547" s="2750" t="s">
        <v>802</v>
      </c>
      <c r="B547" s="2751"/>
      <c r="C547" s="2751"/>
      <c r="D547" s="2751"/>
      <c r="E547" s="1957">
        <f>SUM(E517:E546)</f>
        <v>0</v>
      </c>
      <c r="F547" s="1957">
        <f>SUM(F517:F546)</f>
        <v>1205</v>
      </c>
      <c r="G547" s="1957">
        <f>SUM(G517:G546)</f>
        <v>1205</v>
      </c>
      <c r="H547" s="2171">
        <f t="shared" si="57"/>
        <v>100</v>
      </c>
    </row>
    <row r="548" spans="1:8" ht="13.5" thickTop="1" x14ac:dyDescent="0.2"/>
    <row r="549" spans="1:8" ht="12" customHeight="1" x14ac:dyDescent="0.25">
      <c r="A549" s="2744" t="s">
        <v>1939</v>
      </c>
      <c r="B549" s="2745"/>
      <c r="C549" s="2745"/>
      <c r="D549" s="2745"/>
      <c r="E549" s="2745"/>
      <c r="F549" s="2745"/>
      <c r="G549" s="2745"/>
      <c r="H549" s="2745"/>
    </row>
    <row r="550" spans="1:8" ht="15.75" thickBot="1" x14ac:dyDescent="0.3">
      <c r="A550" s="2132" t="s">
        <v>1940</v>
      </c>
      <c r="B550" s="2146"/>
      <c r="C550" s="2146"/>
      <c r="E550" s="2147"/>
      <c r="F550" s="2147"/>
      <c r="G550" s="2147"/>
      <c r="H550" s="2148" t="s">
        <v>173</v>
      </c>
    </row>
    <row r="551" spans="1:8" ht="25.5" thickTop="1" thickBot="1" x14ac:dyDescent="0.25">
      <c r="A551" s="1943" t="s">
        <v>174</v>
      </c>
      <c r="B551" s="1944" t="s">
        <v>800</v>
      </c>
      <c r="C551" s="1944" t="s">
        <v>397</v>
      </c>
      <c r="D551" s="1945" t="s">
        <v>176</v>
      </c>
      <c r="E551" s="1976" t="s">
        <v>669</v>
      </c>
      <c r="F551" s="1976" t="s">
        <v>670</v>
      </c>
      <c r="G551" s="1977" t="s">
        <v>923</v>
      </c>
      <c r="H551" s="1978" t="s">
        <v>924</v>
      </c>
    </row>
    <row r="552" spans="1:8" ht="14.25" thickTop="1" thickBot="1" x14ac:dyDescent="0.25">
      <c r="A552" s="1740">
        <v>1</v>
      </c>
      <c r="B552" s="1739">
        <v>2</v>
      </c>
      <c r="C552" s="1739">
        <v>3</v>
      </c>
      <c r="D552" s="1739">
        <v>4</v>
      </c>
      <c r="E552" s="1738">
        <v>5</v>
      </c>
      <c r="F552" s="1738">
        <v>6</v>
      </c>
      <c r="G552" s="2028">
        <v>7</v>
      </c>
      <c r="H552" s="2054" t="s">
        <v>61</v>
      </c>
    </row>
    <row r="553" spans="1:8" ht="15.75" hidden="1" thickTop="1" x14ac:dyDescent="0.2">
      <c r="A553" s="2160">
        <v>3636</v>
      </c>
      <c r="B553" s="2161">
        <v>5011</v>
      </c>
      <c r="C553" s="2170">
        <v>0</v>
      </c>
      <c r="D553" s="2162" t="s">
        <v>219</v>
      </c>
      <c r="E553" s="2163">
        <v>0</v>
      </c>
      <c r="F553" s="2163">
        <v>0</v>
      </c>
      <c r="G553" s="2163">
        <v>0</v>
      </c>
      <c r="H553" s="2164" t="e">
        <f t="shared" ref="H553:H560" si="58">G553/F553*100</f>
        <v>#DIV/0!</v>
      </c>
    </row>
    <row r="554" spans="1:8" ht="15.75" hidden="1" thickTop="1" x14ac:dyDescent="0.2">
      <c r="A554" s="2165">
        <v>3636</v>
      </c>
      <c r="B554" s="2166">
        <v>5011</v>
      </c>
      <c r="C554" s="2166">
        <v>38500881</v>
      </c>
      <c r="D554" s="2167" t="s">
        <v>219</v>
      </c>
      <c r="E554" s="2168">
        <v>0</v>
      </c>
      <c r="F554" s="2168">
        <v>0</v>
      </c>
      <c r="G554" s="2168">
        <v>0</v>
      </c>
      <c r="H554" s="2169" t="e">
        <f t="shared" si="58"/>
        <v>#DIV/0!</v>
      </c>
    </row>
    <row r="555" spans="1:8" ht="30.75" thickTop="1" x14ac:dyDescent="0.2">
      <c r="A555" s="2165">
        <v>3123</v>
      </c>
      <c r="B555" s="2166">
        <v>5336</v>
      </c>
      <c r="C555" s="2170">
        <v>32133019</v>
      </c>
      <c r="D555" s="2167" t="s">
        <v>1325</v>
      </c>
      <c r="E555" s="2168">
        <v>0</v>
      </c>
      <c r="F555" s="2168">
        <f>5+56</f>
        <v>61</v>
      </c>
      <c r="G555" s="2168">
        <f>56+5</f>
        <v>61</v>
      </c>
      <c r="H555" s="2169">
        <f t="shared" si="58"/>
        <v>100</v>
      </c>
    </row>
    <row r="556" spans="1:8" ht="15" hidden="1" x14ac:dyDescent="0.2">
      <c r="A556" s="2165">
        <v>3636</v>
      </c>
      <c r="B556" s="2166">
        <v>5021</v>
      </c>
      <c r="C556" s="2166">
        <v>38500881</v>
      </c>
      <c r="D556" s="2167" t="s">
        <v>409</v>
      </c>
      <c r="E556" s="2168"/>
      <c r="F556" s="2168"/>
      <c r="G556" s="2168"/>
      <c r="H556" s="2169" t="e">
        <f t="shared" si="58"/>
        <v>#DIV/0!</v>
      </c>
    </row>
    <row r="557" spans="1:8" ht="30" hidden="1" x14ac:dyDescent="0.2">
      <c r="A557" s="2165">
        <v>3636</v>
      </c>
      <c r="B557" s="2166">
        <v>5031</v>
      </c>
      <c r="C557" s="2166">
        <v>38100880</v>
      </c>
      <c r="D557" s="2167" t="s">
        <v>1362</v>
      </c>
      <c r="E557" s="2168"/>
      <c r="F557" s="2168"/>
      <c r="G557" s="2168"/>
      <c r="H557" s="2169" t="e">
        <f t="shared" si="58"/>
        <v>#DIV/0!</v>
      </c>
    </row>
    <row r="558" spans="1:8" ht="30" hidden="1" x14ac:dyDescent="0.2">
      <c r="A558" s="2165">
        <v>3636</v>
      </c>
      <c r="B558" s="2166">
        <v>5031</v>
      </c>
      <c r="C558" s="2166">
        <v>38500881</v>
      </c>
      <c r="D558" s="2167" t="s">
        <v>1362</v>
      </c>
      <c r="E558" s="2168"/>
      <c r="F558" s="2168"/>
      <c r="G558" s="2168"/>
      <c r="H558" s="2169" t="e">
        <f t="shared" si="58"/>
        <v>#DIV/0!</v>
      </c>
    </row>
    <row r="559" spans="1:8" ht="30" hidden="1" x14ac:dyDescent="0.2">
      <c r="A559" s="2165">
        <v>3636</v>
      </c>
      <c r="B559" s="2166">
        <v>5032</v>
      </c>
      <c r="C559" s="2166">
        <v>38100880</v>
      </c>
      <c r="D559" s="2167" t="s">
        <v>1236</v>
      </c>
      <c r="E559" s="2168"/>
      <c r="F559" s="2168"/>
      <c r="G559" s="2168"/>
      <c r="H559" s="2169" t="e">
        <f t="shared" si="58"/>
        <v>#DIV/0!</v>
      </c>
    </row>
    <row r="560" spans="1:8" ht="30" hidden="1" x14ac:dyDescent="0.2">
      <c r="A560" s="2165">
        <v>3636</v>
      </c>
      <c r="B560" s="2166">
        <v>5032</v>
      </c>
      <c r="C560" s="2166">
        <v>38500881</v>
      </c>
      <c r="D560" s="2167" t="s">
        <v>1236</v>
      </c>
      <c r="E560" s="2168"/>
      <c r="F560" s="2168"/>
      <c r="G560" s="2168"/>
      <c r="H560" s="2169" t="e">
        <f t="shared" si="58"/>
        <v>#DIV/0!</v>
      </c>
    </row>
    <row r="561" spans="1:8" ht="15" hidden="1" x14ac:dyDescent="0.2">
      <c r="A561" s="2165">
        <v>3636</v>
      </c>
      <c r="B561" s="2166">
        <v>5139</v>
      </c>
      <c r="C561" s="2166">
        <v>38100880</v>
      </c>
      <c r="D561" s="2167" t="s">
        <v>284</v>
      </c>
      <c r="E561" s="2168"/>
      <c r="F561" s="2168"/>
      <c r="G561" s="2168"/>
      <c r="H561" s="2169">
        <v>0</v>
      </c>
    </row>
    <row r="562" spans="1:8" ht="15" hidden="1" x14ac:dyDescent="0.2">
      <c r="A562" s="2165">
        <v>3636</v>
      </c>
      <c r="B562" s="2166">
        <v>5139</v>
      </c>
      <c r="C562" s="2166">
        <v>38500881</v>
      </c>
      <c r="D562" s="2167" t="s">
        <v>284</v>
      </c>
      <c r="E562" s="2168"/>
      <c r="F562" s="2168"/>
      <c r="G562" s="2168"/>
      <c r="H562" s="2169" t="e">
        <f t="shared" ref="H562:H567" si="59">G562/F562*100</f>
        <v>#DIV/0!</v>
      </c>
    </row>
    <row r="563" spans="1:8" ht="15" hidden="1" x14ac:dyDescent="0.2">
      <c r="A563" s="2165">
        <v>3636</v>
      </c>
      <c r="B563" s="2166">
        <v>5162</v>
      </c>
      <c r="C563" s="2166">
        <v>38100880</v>
      </c>
      <c r="D563" s="2167" t="s">
        <v>904</v>
      </c>
      <c r="E563" s="2168"/>
      <c r="F563" s="2168"/>
      <c r="G563" s="2168"/>
      <c r="H563" s="2169" t="e">
        <f t="shared" si="59"/>
        <v>#DIV/0!</v>
      </c>
    </row>
    <row r="564" spans="1:8" ht="15" hidden="1" x14ac:dyDescent="0.2">
      <c r="A564" s="2165">
        <v>3636</v>
      </c>
      <c r="B564" s="2166">
        <v>5162</v>
      </c>
      <c r="C564" s="2166">
        <v>38500881</v>
      </c>
      <c r="D564" s="2167" t="s">
        <v>904</v>
      </c>
      <c r="E564" s="2168"/>
      <c r="F564" s="2168"/>
      <c r="G564" s="2168"/>
      <c r="H564" s="2169" t="e">
        <f t="shared" si="59"/>
        <v>#DIV/0!</v>
      </c>
    </row>
    <row r="565" spans="1:8" ht="15" hidden="1" x14ac:dyDescent="0.2">
      <c r="A565" s="2165">
        <v>3636</v>
      </c>
      <c r="B565" s="2166">
        <v>5164</v>
      </c>
      <c r="C565" s="2166">
        <v>38100880</v>
      </c>
      <c r="D565" s="2167" t="s">
        <v>182</v>
      </c>
      <c r="E565" s="2168"/>
      <c r="F565" s="2168"/>
      <c r="G565" s="2168"/>
      <c r="H565" s="2169" t="e">
        <f t="shared" si="59"/>
        <v>#DIV/0!</v>
      </c>
    </row>
    <row r="566" spans="1:8" ht="15" hidden="1" x14ac:dyDescent="0.2">
      <c r="A566" s="2165">
        <v>3636</v>
      </c>
      <c r="B566" s="2166">
        <v>5164</v>
      </c>
      <c r="C566" s="2166">
        <v>38500881</v>
      </c>
      <c r="D566" s="2167" t="s">
        <v>182</v>
      </c>
      <c r="E566" s="2168"/>
      <c r="F566" s="2168"/>
      <c r="G566" s="2168"/>
      <c r="H566" s="2169" t="e">
        <f t="shared" si="59"/>
        <v>#DIV/0!</v>
      </c>
    </row>
    <row r="567" spans="1:8" ht="30.75" thickBot="1" x14ac:dyDescent="0.25">
      <c r="A567" s="2165">
        <v>3123</v>
      </c>
      <c r="B567" s="2166">
        <v>5336</v>
      </c>
      <c r="C567" s="2170">
        <v>32533019</v>
      </c>
      <c r="D567" s="2167" t="s">
        <v>1325</v>
      </c>
      <c r="E567" s="2168">
        <v>0</v>
      </c>
      <c r="F567" s="2168">
        <f>317+27</f>
        <v>344</v>
      </c>
      <c r="G567" s="2168">
        <f>317+27</f>
        <v>344</v>
      </c>
      <c r="H567" s="2169">
        <f t="shared" si="59"/>
        <v>100</v>
      </c>
    </row>
    <row r="568" spans="1:8" ht="15.75" hidden="1" thickBot="1" x14ac:dyDescent="0.25">
      <c r="A568" s="2165">
        <v>3123</v>
      </c>
      <c r="B568" s="2166">
        <v>5166</v>
      </c>
      <c r="C568" s="2166">
        <v>41100880</v>
      </c>
      <c r="D568" s="2167" t="s">
        <v>646</v>
      </c>
      <c r="E568" s="2168"/>
      <c r="F568" s="2168"/>
      <c r="G568" s="2168"/>
      <c r="H568" s="2169" t="e">
        <f t="shared" ref="H568:H574" si="60">G568/F568*100</f>
        <v>#DIV/0!</v>
      </c>
    </row>
    <row r="569" spans="1:8" ht="15.75" hidden="1" thickBot="1" x14ac:dyDescent="0.25">
      <c r="A569" s="2165">
        <v>3123</v>
      </c>
      <c r="B569" s="2166">
        <v>5166</v>
      </c>
      <c r="C569" s="2166">
        <v>41100882</v>
      </c>
      <c r="D569" s="2167" t="s">
        <v>646</v>
      </c>
      <c r="E569" s="2168"/>
      <c r="F569" s="2168"/>
      <c r="G569" s="2168"/>
      <c r="H569" s="2169" t="e">
        <f t="shared" si="60"/>
        <v>#DIV/0!</v>
      </c>
    </row>
    <row r="570" spans="1:8" ht="15.75" hidden="1" thickBot="1" x14ac:dyDescent="0.25">
      <c r="A570" s="2165">
        <v>3123</v>
      </c>
      <c r="B570" s="2166">
        <v>5166</v>
      </c>
      <c r="C570" s="2166">
        <v>41500881</v>
      </c>
      <c r="D570" s="2167" t="s">
        <v>646</v>
      </c>
      <c r="E570" s="2168"/>
      <c r="F570" s="2168"/>
      <c r="G570" s="2168"/>
      <c r="H570" s="2169" t="e">
        <f t="shared" si="60"/>
        <v>#DIV/0!</v>
      </c>
    </row>
    <row r="571" spans="1:8" ht="15.75" hidden="1" thickBot="1" x14ac:dyDescent="0.25">
      <c r="A571" s="2165">
        <v>3123</v>
      </c>
      <c r="B571" s="2166">
        <v>5167</v>
      </c>
      <c r="C571" s="2166">
        <v>38100880</v>
      </c>
      <c r="D571" s="2167" t="s">
        <v>937</v>
      </c>
      <c r="E571" s="2168"/>
      <c r="F571" s="2168"/>
      <c r="G571" s="2168"/>
      <c r="H571" s="2169" t="e">
        <f t="shared" si="60"/>
        <v>#DIV/0!</v>
      </c>
    </row>
    <row r="572" spans="1:8" ht="15.75" hidden="1" thickBot="1" x14ac:dyDescent="0.25">
      <c r="A572" s="2165">
        <v>3123</v>
      </c>
      <c r="B572" s="2166">
        <v>5167</v>
      </c>
      <c r="C572" s="2166">
        <v>38500881</v>
      </c>
      <c r="D572" s="2167" t="s">
        <v>937</v>
      </c>
      <c r="E572" s="2168"/>
      <c r="F572" s="2168"/>
      <c r="G572" s="2168"/>
      <c r="H572" s="2169" t="e">
        <f t="shared" si="60"/>
        <v>#DIV/0!</v>
      </c>
    </row>
    <row r="573" spans="1:8" ht="15.75" hidden="1" thickBot="1" x14ac:dyDescent="0.25">
      <c r="A573" s="2165">
        <v>3123</v>
      </c>
      <c r="B573" s="2166">
        <v>5169</v>
      </c>
      <c r="C573" s="2166">
        <v>38100880</v>
      </c>
      <c r="D573" s="2167" t="s">
        <v>892</v>
      </c>
      <c r="E573" s="2168"/>
      <c r="F573" s="2168"/>
      <c r="G573" s="2168"/>
      <c r="H573" s="2169" t="e">
        <f t="shared" si="60"/>
        <v>#DIV/0!</v>
      </c>
    </row>
    <row r="574" spans="1:8" ht="15.75" hidden="1" thickBot="1" x14ac:dyDescent="0.25">
      <c r="A574" s="2165">
        <v>3123</v>
      </c>
      <c r="B574" s="2166">
        <v>5169</v>
      </c>
      <c r="C574" s="2166">
        <v>38500881</v>
      </c>
      <c r="D574" s="2167" t="s">
        <v>892</v>
      </c>
      <c r="E574" s="2168"/>
      <c r="F574" s="2168"/>
      <c r="G574" s="2168"/>
      <c r="H574" s="2169" t="e">
        <f t="shared" si="60"/>
        <v>#DIV/0!</v>
      </c>
    </row>
    <row r="575" spans="1:8" ht="15.75" hidden="1" thickBot="1" x14ac:dyDescent="0.25">
      <c r="A575" s="2165">
        <v>3123</v>
      </c>
      <c r="B575" s="2166">
        <v>5173</v>
      </c>
      <c r="C575" s="2170">
        <v>0</v>
      </c>
      <c r="D575" s="2167" t="s">
        <v>1211</v>
      </c>
      <c r="E575" s="2168"/>
      <c r="F575" s="2168"/>
      <c r="G575" s="2168"/>
      <c r="H575" s="2169">
        <v>0</v>
      </c>
    </row>
    <row r="576" spans="1:8" ht="15.75" hidden="1" thickBot="1" x14ac:dyDescent="0.25">
      <c r="A576" s="2165">
        <v>3123</v>
      </c>
      <c r="B576" s="2166">
        <v>5173</v>
      </c>
      <c r="C576" s="2166">
        <v>38500881</v>
      </c>
      <c r="D576" s="2167" t="s">
        <v>1211</v>
      </c>
      <c r="E576" s="2168">
        <v>0</v>
      </c>
      <c r="F576" s="2168"/>
      <c r="G576" s="2168"/>
      <c r="H576" s="2169" t="e">
        <f t="shared" ref="H576:H582" si="61">G576/F576*100</f>
        <v>#DIV/0!</v>
      </c>
    </row>
    <row r="577" spans="1:8" ht="15.75" hidden="1" thickBot="1" x14ac:dyDescent="0.25">
      <c r="A577" s="2165">
        <v>3123</v>
      </c>
      <c r="B577" s="2166">
        <v>5175</v>
      </c>
      <c r="C577" s="2166">
        <v>38100880</v>
      </c>
      <c r="D577" s="2167" t="s">
        <v>707</v>
      </c>
      <c r="E577" s="2168">
        <v>0</v>
      </c>
      <c r="F577" s="2168"/>
      <c r="G577" s="2168"/>
      <c r="H577" s="2169" t="e">
        <f t="shared" si="61"/>
        <v>#DIV/0!</v>
      </c>
    </row>
    <row r="578" spans="1:8" ht="15.75" hidden="1" thickBot="1" x14ac:dyDescent="0.25">
      <c r="A578" s="2165">
        <v>3123</v>
      </c>
      <c r="B578" s="2166">
        <v>5175</v>
      </c>
      <c r="C578" s="2166">
        <v>38500881</v>
      </c>
      <c r="D578" s="2167" t="s">
        <v>707</v>
      </c>
      <c r="E578" s="2168">
        <v>0</v>
      </c>
      <c r="F578" s="2168"/>
      <c r="G578" s="2168"/>
      <c r="H578" s="2169" t="e">
        <f t="shared" si="61"/>
        <v>#DIV/0!</v>
      </c>
    </row>
    <row r="579" spans="1:8" ht="15.75" hidden="1" thickBot="1" x14ac:dyDescent="0.25">
      <c r="A579" s="2165">
        <v>3123</v>
      </c>
      <c r="B579" s="2166">
        <v>5176</v>
      </c>
      <c r="C579" s="2166">
        <v>38100880</v>
      </c>
      <c r="D579" s="2167" t="s">
        <v>1309</v>
      </c>
      <c r="E579" s="2168">
        <v>0</v>
      </c>
      <c r="F579" s="2168"/>
      <c r="G579" s="2168"/>
      <c r="H579" s="2169" t="e">
        <f t="shared" si="61"/>
        <v>#DIV/0!</v>
      </c>
    </row>
    <row r="580" spans="1:8" ht="15.75" hidden="1" thickBot="1" x14ac:dyDescent="0.25">
      <c r="A580" s="2165">
        <v>3123</v>
      </c>
      <c r="B580" s="2166">
        <v>5176</v>
      </c>
      <c r="C580" s="2166">
        <v>38500881</v>
      </c>
      <c r="D580" s="2167" t="s">
        <v>1309</v>
      </c>
      <c r="E580" s="2168">
        <v>0</v>
      </c>
      <c r="F580" s="2168"/>
      <c r="G580" s="2168"/>
      <c r="H580" s="2169" t="e">
        <f t="shared" si="61"/>
        <v>#DIV/0!</v>
      </c>
    </row>
    <row r="581" spans="1:8" ht="30.75" hidden="1" thickBot="1" x14ac:dyDescent="0.25">
      <c r="A581" s="2165">
        <v>3123</v>
      </c>
      <c r="B581" s="2166">
        <v>6356</v>
      </c>
      <c r="C581" s="2166">
        <v>32133910</v>
      </c>
      <c r="D581" s="2167" t="s">
        <v>1927</v>
      </c>
      <c r="E581" s="2168">
        <v>0</v>
      </c>
      <c r="F581" s="2168">
        <v>0</v>
      </c>
      <c r="G581" s="2168">
        <v>0</v>
      </c>
      <c r="H581" s="2169" t="e">
        <f t="shared" si="61"/>
        <v>#DIV/0!</v>
      </c>
    </row>
    <row r="582" spans="1:8" ht="30.75" hidden="1" thickBot="1" x14ac:dyDescent="0.25">
      <c r="A582" s="2165">
        <v>3123</v>
      </c>
      <c r="B582" s="2166">
        <v>6356</v>
      </c>
      <c r="C582" s="2166">
        <v>32533910</v>
      </c>
      <c r="D582" s="2167" t="s">
        <v>1927</v>
      </c>
      <c r="E582" s="2168">
        <v>0</v>
      </c>
      <c r="F582" s="2168">
        <v>0</v>
      </c>
      <c r="G582" s="2168">
        <v>0</v>
      </c>
      <c r="H582" s="2171" t="e">
        <f t="shared" si="61"/>
        <v>#DIV/0!</v>
      </c>
    </row>
    <row r="583" spans="1:8" ht="16.5" thickTop="1" thickBot="1" x14ac:dyDescent="0.3">
      <c r="A583" s="2750" t="s">
        <v>802</v>
      </c>
      <c r="B583" s="2751"/>
      <c r="C583" s="2751"/>
      <c r="D583" s="2751"/>
      <c r="E583" s="1957">
        <f>SUM(E553:E582)</f>
        <v>0</v>
      </c>
      <c r="F583" s="1957">
        <f>SUM(F553:F582)</f>
        <v>405</v>
      </c>
      <c r="G583" s="1957">
        <f>SUM(G553:G582)</f>
        <v>405</v>
      </c>
      <c r="H583" s="1962">
        <v>0</v>
      </c>
    </row>
    <row r="584" spans="1:8" ht="13.5" thickTop="1" x14ac:dyDescent="0.2"/>
    <row r="585" spans="1:8" ht="12" customHeight="1" x14ac:dyDescent="0.25">
      <c r="A585" s="2744" t="s">
        <v>1755</v>
      </c>
      <c r="B585" s="2745"/>
      <c r="C585" s="2745"/>
      <c r="D585" s="2745"/>
      <c r="E585" s="2745"/>
      <c r="F585" s="2745"/>
      <c r="G585" s="2745"/>
      <c r="H585" s="2745"/>
    </row>
    <row r="586" spans="1:8" ht="15.75" thickBot="1" x14ac:dyDescent="0.3">
      <c r="A586" s="2132" t="s">
        <v>1669</v>
      </c>
      <c r="B586" s="2146"/>
      <c r="C586" s="2146"/>
      <c r="E586" s="2147"/>
      <c r="F586" s="2147"/>
      <c r="G586" s="2147"/>
      <c r="H586" s="2148" t="s">
        <v>173</v>
      </c>
    </row>
    <row r="587" spans="1:8" ht="25.5" thickTop="1" thickBot="1" x14ac:dyDescent="0.25">
      <c r="A587" s="1943" t="s">
        <v>174</v>
      </c>
      <c r="B587" s="1944" t="s">
        <v>800</v>
      </c>
      <c r="C587" s="1944" t="s">
        <v>397</v>
      </c>
      <c r="D587" s="1945" t="s">
        <v>176</v>
      </c>
      <c r="E587" s="1976" t="s">
        <v>669</v>
      </c>
      <c r="F587" s="1976" t="s">
        <v>670</v>
      </c>
      <c r="G587" s="1977" t="s">
        <v>923</v>
      </c>
      <c r="H587" s="1978" t="s">
        <v>924</v>
      </c>
    </row>
    <row r="588" spans="1:8" ht="14.25" thickTop="1" thickBot="1" x14ac:dyDescent="0.25">
      <c r="A588" s="1740">
        <v>1</v>
      </c>
      <c r="B588" s="1739">
        <v>2</v>
      </c>
      <c r="C588" s="1739">
        <v>3</v>
      </c>
      <c r="D588" s="1739">
        <v>4</v>
      </c>
      <c r="E588" s="1738">
        <v>5</v>
      </c>
      <c r="F588" s="1738">
        <v>6</v>
      </c>
      <c r="G588" s="2028">
        <v>7</v>
      </c>
      <c r="H588" s="2054" t="s">
        <v>61</v>
      </c>
    </row>
    <row r="589" spans="1:8" ht="15.75" hidden="1" thickTop="1" x14ac:dyDescent="0.2">
      <c r="A589" s="2160">
        <v>3636</v>
      </c>
      <c r="B589" s="2161">
        <v>5011</v>
      </c>
      <c r="C589" s="2170">
        <v>0</v>
      </c>
      <c r="D589" s="2162" t="s">
        <v>219</v>
      </c>
      <c r="E589" s="2163">
        <v>0</v>
      </c>
      <c r="F589" s="2163">
        <v>0</v>
      </c>
      <c r="G589" s="2163">
        <v>0</v>
      </c>
      <c r="H589" s="2164" t="e">
        <f t="shared" ref="H589:H596" si="62">G589/F589*100</f>
        <v>#DIV/0!</v>
      </c>
    </row>
    <row r="590" spans="1:8" ht="15.75" hidden="1" thickTop="1" x14ac:dyDescent="0.2">
      <c r="A590" s="2165">
        <v>3636</v>
      </c>
      <c r="B590" s="2166">
        <v>5011</v>
      </c>
      <c r="C590" s="2166">
        <v>38500881</v>
      </c>
      <c r="D590" s="2167" t="s">
        <v>219</v>
      </c>
      <c r="E590" s="2168">
        <v>0</v>
      </c>
      <c r="F590" s="2168">
        <v>0</v>
      </c>
      <c r="G590" s="2168">
        <v>0</v>
      </c>
      <c r="H590" s="2169" t="e">
        <f t="shared" si="62"/>
        <v>#DIV/0!</v>
      </c>
    </row>
    <row r="591" spans="1:8" ht="30.75" thickTop="1" x14ac:dyDescent="0.2">
      <c r="A591" s="2165">
        <v>3123</v>
      </c>
      <c r="B591" s="2166">
        <v>5336</v>
      </c>
      <c r="C591" s="2170">
        <v>32133019</v>
      </c>
      <c r="D591" s="2167" t="s">
        <v>1325</v>
      </c>
      <c r="E591" s="2168">
        <v>0</v>
      </c>
      <c r="F591" s="2168">
        <f>57+5</f>
        <v>62</v>
      </c>
      <c r="G591" s="2168">
        <f>57+5</f>
        <v>62</v>
      </c>
      <c r="H591" s="2169">
        <f t="shared" si="62"/>
        <v>100</v>
      </c>
    </row>
    <row r="592" spans="1:8" ht="15" hidden="1" x14ac:dyDescent="0.2">
      <c r="A592" s="2165">
        <v>3636</v>
      </c>
      <c r="B592" s="2166">
        <v>5021</v>
      </c>
      <c r="C592" s="2166">
        <v>38500881</v>
      </c>
      <c r="D592" s="2167" t="s">
        <v>409</v>
      </c>
      <c r="E592" s="2168"/>
      <c r="F592" s="2168"/>
      <c r="G592" s="2168"/>
      <c r="H592" s="2169" t="e">
        <f t="shared" si="62"/>
        <v>#DIV/0!</v>
      </c>
    </row>
    <row r="593" spans="1:8" ht="30" hidden="1" x14ac:dyDescent="0.2">
      <c r="A593" s="2165">
        <v>3636</v>
      </c>
      <c r="B593" s="2166">
        <v>5031</v>
      </c>
      <c r="C593" s="2166">
        <v>38100880</v>
      </c>
      <c r="D593" s="2167" t="s">
        <v>1362</v>
      </c>
      <c r="E593" s="2168"/>
      <c r="F593" s="2168"/>
      <c r="G593" s="2168"/>
      <c r="H593" s="2169" t="e">
        <f t="shared" si="62"/>
        <v>#DIV/0!</v>
      </c>
    </row>
    <row r="594" spans="1:8" ht="30" hidden="1" x14ac:dyDescent="0.2">
      <c r="A594" s="2165">
        <v>3636</v>
      </c>
      <c r="B594" s="2166">
        <v>5031</v>
      </c>
      <c r="C594" s="2166">
        <v>38500881</v>
      </c>
      <c r="D594" s="2167" t="s">
        <v>1362</v>
      </c>
      <c r="E594" s="2168"/>
      <c r="F594" s="2168"/>
      <c r="G594" s="2168"/>
      <c r="H594" s="2169" t="e">
        <f t="shared" si="62"/>
        <v>#DIV/0!</v>
      </c>
    </row>
    <row r="595" spans="1:8" ht="30" hidden="1" x14ac:dyDescent="0.2">
      <c r="A595" s="2165">
        <v>3636</v>
      </c>
      <c r="B595" s="2166">
        <v>5032</v>
      </c>
      <c r="C595" s="2166">
        <v>38100880</v>
      </c>
      <c r="D595" s="2167" t="s">
        <v>1236</v>
      </c>
      <c r="E595" s="2168"/>
      <c r="F595" s="2168"/>
      <c r="G595" s="2168"/>
      <c r="H595" s="2169" t="e">
        <f t="shared" si="62"/>
        <v>#DIV/0!</v>
      </c>
    </row>
    <row r="596" spans="1:8" ht="30" hidden="1" x14ac:dyDescent="0.2">
      <c r="A596" s="2165">
        <v>3636</v>
      </c>
      <c r="B596" s="2166">
        <v>5032</v>
      </c>
      <c r="C596" s="2166">
        <v>38500881</v>
      </c>
      <c r="D596" s="2167" t="s">
        <v>1236</v>
      </c>
      <c r="E596" s="2168"/>
      <c r="F596" s="2168"/>
      <c r="G596" s="2168"/>
      <c r="H596" s="2169" t="e">
        <f t="shared" si="62"/>
        <v>#DIV/0!</v>
      </c>
    </row>
    <row r="597" spans="1:8" ht="15" hidden="1" x14ac:dyDescent="0.2">
      <c r="A597" s="2165">
        <v>3636</v>
      </c>
      <c r="B597" s="2166">
        <v>5139</v>
      </c>
      <c r="C597" s="2166">
        <v>38100880</v>
      </c>
      <c r="D597" s="2167" t="s">
        <v>284</v>
      </c>
      <c r="E597" s="2168"/>
      <c r="F597" s="2168"/>
      <c r="G597" s="2168"/>
      <c r="H597" s="2169">
        <v>0</v>
      </c>
    </row>
    <row r="598" spans="1:8" ht="15" hidden="1" x14ac:dyDescent="0.2">
      <c r="A598" s="2165">
        <v>3636</v>
      </c>
      <c r="B598" s="2166">
        <v>5139</v>
      </c>
      <c r="C598" s="2166">
        <v>38500881</v>
      </c>
      <c r="D598" s="2167" t="s">
        <v>284</v>
      </c>
      <c r="E598" s="2168"/>
      <c r="F598" s="2168"/>
      <c r="G598" s="2168"/>
      <c r="H598" s="2169" t="e">
        <f t="shared" ref="H598:H603" si="63">G598/F598*100</f>
        <v>#DIV/0!</v>
      </c>
    </row>
    <row r="599" spans="1:8" ht="15" hidden="1" x14ac:dyDescent="0.2">
      <c r="A599" s="2165">
        <v>3636</v>
      </c>
      <c r="B599" s="2166">
        <v>5162</v>
      </c>
      <c r="C599" s="2166">
        <v>38100880</v>
      </c>
      <c r="D599" s="2167" t="s">
        <v>904</v>
      </c>
      <c r="E599" s="2168"/>
      <c r="F599" s="2168"/>
      <c r="G599" s="2168"/>
      <c r="H599" s="2169" t="e">
        <f t="shared" si="63"/>
        <v>#DIV/0!</v>
      </c>
    </row>
    <row r="600" spans="1:8" ht="15" hidden="1" x14ac:dyDescent="0.2">
      <c r="A600" s="2165">
        <v>3636</v>
      </c>
      <c r="B600" s="2166">
        <v>5162</v>
      </c>
      <c r="C600" s="2166">
        <v>38500881</v>
      </c>
      <c r="D600" s="2167" t="s">
        <v>904</v>
      </c>
      <c r="E600" s="2168"/>
      <c r="F600" s="2168"/>
      <c r="G600" s="2168"/>
      <c r="H600" s="2169" t="e">
        <f t="shared" si="63"/>
        <v>#DIV/0!</v>
      </c>
    </row>
    <row r="601" spans="1:8" ht="15" hidden="1" x14ac:dyDescent="0.2">
      <c r="A601" s="2165">
        <v>3636</v>
      </c>
      <c r="B601" s="2166">
        <v>5164</v>
      </c>
      <c r="C601" s="2166">
        <v>38100880</v>
      </c>
      <c r="D601" s="2167" t="s">
        <v>182</v>
      </c>
      <c r="E601" s="2168"/>
      <c r="F601" s="2168"/>
      <c r="G601" s="2168"/>
      <c r="H601" s="2169" t="e">
        <f t="shared" si="63"/>
        <v>#DIV/0!</v>
      </c>
    </row>
    <row r="602" spans="1:8" ht="15" hidden="1" x14ac:dyDescent="0.2">
      <c r="A602" s="2165">
        <v>3636</v>
      </c>
      <c r="B602" s="2166">
        <v>5164</v>
      </c>
      <c r="C602" s="2166">
        <v>38500881</v>
      </c>
      <c r="D602" s="2167" t="s">
        <v>182</v>
      </c>
      <c r="E602" s="2168"/>
      <c r="F602" s="2168"/>
      <c r="G602" s="2168"/>
      <c r="H602" s="2169" t="e">
        <f t="shared" si="63"/>
        <v>#DIV/0!</v>
      </c>
    </row>
    <row r="603" spans="1:8" ht="30.75" thickBot="1" x14ac:dyDescent="0.25">
      <c r="A603" s="2165">
        <v>3123</v>
      </c>
      <c r="B603" s="2166">
        <v>5336</v>
      </c>
      <c r="C603" s="2170">
        <v>32533019</v>
      </c>
      <c r="D603" s="2167" t="s">
        <v>1325</v>
      </c>
      <c r="E603" s="2168">
        <v>0</v>
      </c>
      <c r="F603" s="2168">
        <f>320+27</f>
        <v>347</v>
      </c>
      <c r="G603" s="2168">
        <f>320+27</f>
        <v>347</v>
      </c>
      <c r="H603" s="2169">
        <f t="shared" si="63"/>
        <v>100</v>
      </c>
    </row>
    <row r="604" spans="1:8" ht="15.75" hidden="1" thickBot="1" x14ac:dyDescent="0.25">
      <c r="A604" s="2165">
        <v>6223</v>
      </c>
      <c r="B604" s="2166">
        <v>5166</v>
      </c>
      <c r="C604" s="2166">
        <v>41100880</v>
      </c>
      <c r="D604" s="2167" t="s">
        <v>646</v>
      </c>
      <c r="E604" s="2168"/>
      <c r="F604" s="2168"/>
      <c r="G604" s="2168"/>
      <c r="H604" s="2169" t="e">
        <f t="shared" ref="H604:H610" si="64">G604/F604*100</f>
        <v>#DIV/0!</v>
      </c>
    </row>
    <row r="605" spans="1:8" ht="15.75" hidden="1" thickBot="1" x14ac:dyDescent="0.25">
      <c r="A605" s="2165">
        <v>6223</v>
      </c>
      <c r="B605" s="2166">
        <v>5166</v>
      </c>
      <c r="C605" s="2166">
        <v>41100882</v>
      </c>
      <c r="D605" s="2167" t="s">
        <v>646</v>
      </c>
      <c r="E605" s="2168"/>
      <c r="F605" s="2168"/>
      <c r="G605" s="2168"/>
      <c r="H605" s="2169" t="e">
        <f t="shared" si="64"/>
        <v>#DIV/0!</v>
      </c>
    </row>
    <row r="606" spans="1:8" ht="15.75" hidden="1" thickBot="1" x14ac:dyDescent="0.25">
      <c r="A606" s="2165">
        <v>6223</v>
      </c>
      <c r="B606" s="2166">
        <v>5166</v>
      </c>
      <c r="C606" s="2166">
        <v>41500881</v>
      </c>
      <c r="D606" s="2167" t="s">
        <v>646</v>
      </c>
      <c r="E606" s="2168"/>
      <c r="F606" s="2168"/>
      <c r="G606" s="2168"/>
      <c r="H606" s="2169" t="e">
        <f t="shared" si="64"/>
        <v>#DIV/0!</v>
      </c>
    </row>
    <row r="607" spans="1:8" ht="15.75" hidden="1" thickBot="1" x14ac:dyDescent="0.25">
      <c r="A607" s="2165">
        <v>3636</v>
      </c>
      <c r="B607" s="2166">
        <v>5167</v>
      </c>
      <c r="C607" s="2166">
        <v>38100880</v>
      </c>
      <c r="D607" s="2167" t="s">
        <v>937</v>
      </c>
      <c r="E607" s="2168"/>
      <c r="F607" s="2168"/>
      <c r="G607" s="2168"/>
      <c r="H607" s="2169" t="e">
        <f t="shared" si="64"/>
        <v>#DIV/0!</v>
      </c>
    </row>
    <row r="608" spans="1:8" ht="15.75" hidden="1" thickBot="1" x14ac:dyDescent="0.25">
      <c r="A608" s="2165">
        <v>3636</v>
      </c>
      <c r="B608" s="2166">
        <v>5167</v>
      </c>
      <c r="C608" s="2166">
        <v>38500881</v>
      </c>
      <c r="D608" s="2167" t="s">
        <v>937</v>
      </c>
      <c r="E608" s="2168"/>
      <c r="F608" s="2168"/>
      <c r="G608" s="2168"/>
      <c r="H608" s="2169" t="e">
        <f t="shared" si="64"/>
        <v>#DIV/0!</v>
      </c>
    </row>
    <row r="609" spans="1:8" ht="15.75" hidden="1" thickBot="1" x14ac:dyDescent="0.25">
      <c r="A609" s="2165">
        <v>3636</v>
      </c>
      <c r="B609" s="2166">
        <v>5169</v>
      </c>
      <c r="C609" s="2166">
        <v>38100880</v>
      </c>
      <c r="D609" s="2167" t="s">
        <v>892</v>
      </c>
      <c r="E609" s="2168"/>
      <c r="F609" s="2168"/>
      <c r="G609" s="2168"/>
      <c r="H609" s="2169" t="e">
        <f t="shared" si="64"/>
        <v>#DIV/0!</v>
      </c>
    </row>
    <row r="610" spans="1:8" ht="15.75" hidden="1" thickBot="1" x14ac:dyDescent="0.25">
      <c r="A610" s="2165">
        <v>3636</v>
      </c>
      <c r="B610" s="2166">
        <v>5169</v>
      </c>
      <c r="C610" s="2166">
        <v>38500881</v>
      </c>
      <c r="D610" s="2167" t="s">
        <v>892</v>
      </c>
      <c r="E610" s="2168"/>
      <c r="F610" s="2168"/>
      <c r="G610" s="2168"/>
      <c r="H610" s="2169" t="e">
        <f t="shared" si="64"/>
        <v>#DIV/0!</v>
      </c>
    </row>
    <row r="611" spans="1:8" ht="15.75" hidden="1" thickBot="1" x14ac:dyDescent="0.25">
      <c r="A611" s="2165">
        <v>6223</v>
      </c>
      <c r="B611" s="2166">
        <v>5173</v>
      </c>
      <c r="C611" s="2170">
        <v>0</v>
      </c>
      <c r="D611" s="2167" t="s">
        <v>1211</v>
      </c>
      <c r="E611" s="2168"/>
      <c r="F611" s="2168"/>
      <c r="G611" s="2168"/>
      <c r="H611" s="2169">
        <v>0</v>
      </c>
    </row>
    <row r="612" spans="1:8" ht="15.75" hidden="1" thickBot="1" x14ac:dyDescent="0.25">
      <c r="A612" s="2165">
        <v>3636</v>
      </c>
      <c r="B612" s="2166">
        <v>5173</v>
      </c>
      <c r="C612" s="2166">
        <v>38500881</v>
      </c>
      <c r="D612" s="2167" t="s">
        <v>1211</v>
      </c>
      <c r="E612" s="2168">
        <v>0</v>
      </c>
      <c r="F612" s="2168"/>
      <c r="G612" s="2168"/>
      <c r="H612" s="2169" t="e">
        <f t="shared" ref="H612:H618" si="65">G612/F612*100</f>
        <v>#DIV/0!</v>
      </c>
    </row>
    <row r="613" spans="1:8" ht="15.75" hidden="1" thickBot="1" x14ac:dyDescent="0.25">
      <c r="A613" s="2165">
        <v>3636</v>
      </c>
      <c r="B613" s="2166">
        <v>5175</v>
      </c>
      <c r="C613" s="2166">
        <v>38100880</v>
      </c>
      <c r="D613" s="2167" t="s">
        <v>707</v>
      </c>
      <c r="E613" s="2168">
        <v>0</v>
      </c>
      <c r="F613" s="2168"/>
      <c r="G613" s="2168"/>
      <c r="H613" s="2169" t="e">
        <f t="shared" si="65"/>
        <v>#DIV/0!</v>
      </c>
    </row>
    <row r="614" spans="1:8" ht="15.75" hidden="1" thickBot="1" x14ac:dyDescent="0.25">
      <c r="A614" s="2165">
        <v>3636</v>
      </c>
      <c r="B614" s="2166">
        <v>5175</v>
      </c>
      <c r="C614" s="2166">
        <v>38500881</v>
      </c>
      <c r="D614" s="2167" t="s">
        <v>707</v>
      </c>
      <c r="E614" s="2168">
        <v>0</v>
      </c>
      <c r="F614" s="2168"/>
      <c r="G614" s="2168"/>
      <c r="H614" s="2169" t="e">
        <f t="shared" si="65"/>
        <v>#DIV/0!</v>
      </c>
    </row>
    <row r="615" spans="1:8" ht="15.75" hidden="1" thickBot="1" x14ac:dyDescent="0.25">
      <c r="A615" s="2165">
        <v>3636</v>
      </c>
      <c r="B615" s="2166">
        <v>5176</v>
      </c>
      <c r="C615" s="2166">
        <v>38100880</v>
      </c>
      <c r="D615" s="2167" t="s">
        <v>1309</v>
      </c>
      <c r="E615" s="2168">
        <v>0</v>
      </c>
      <c r="F615" s="2168"/>
      <c r="G615" s="2168"/>
      <c r="H615" s="2169" t="e">
        <f t="shared" si="65"/>
        <v>#DIV/0!</v>
      </c>
    </row>
    <row r="616" spans="1:8" ht="15.75" hidden="1" thickBot="1" x14ac:dyDescent="0.25">
      <c r="A616" s="2165">
        <v>3636</v>
      </c>
      <c r="B616" s="2166">
        <v>5176</v>
      </c>
      <c r="C616" s="2166">
        <v>38500881</v>
      </c>
      <c r="D616" s="2167" t="s">
        <v>1309</v>
      </c>
      <c r="E616" s="2168">
        <v>0</v>
      </c>
      <c r="F616" s="2168"/>
      <c r="G616" s="2168"/>
      <c r="H616" s="2169" t="e">
        <f t="shared" si="65"/>
        <v>#DIV/0!</v>
      </c>
    </row>
    <row r="617" spans="1:8" ht="15.75" hidden="1" thickBot="1" x14ac:dyDescent="0.25">
      <c r="A617" s="2165">
        <v>3636</v>
      </c>
      <c r="B617" s="2166">
        <v>6901</v>
      </c>
      <c r="C617" s="2166">
        <v>38100880</v>
      </c>
      <c r="D617" s="2167" t="s">
        <v>449</v>
      </c>
      <c r="E617" s="2168">
        <v>0</v>
      </c>
      <c r="F617" s="2168">
        <v>0</v>
      </c>
      <c r="G617" s="2168">
        <v>0</v>
      </c>
      <c r="H617" s="2169" t="e">
        <f t="shared" si="65"/>
        <v>#DIV/0!</v>
      </c>
    </row>
    <row r="618" spans="1:8" ht="15.75" hidden="1" thickBot="1" x14ac:dyDescent="0.25">
      <c r="A618" s="2165">
        <v>3636</v>
      </c>
      <c r="B618" s="2166">
        <v>5363</v>
      </c>
      <c r="C618" s="2166">
        <v>38500881</v>
      </c>
      <c r="D618" s="2167" t="s">
        <v>585</v>
      </c>
      <c r="E618" s="2168">
        <v>0</v>
      </c>
      <c r="F618" s="2168">
        <v>0</v>
      </c>
      <c r="G618" s="2168">
        <v>0</v>
      </c>
      <c r="H618" s="2171" t="e">
        <f t="shared" si="65"/>
        <v>#DIV/0!</v>
      </c>
    </row>
    <row r="619" spans="1:8" ht="16.5" thickTop="1" thickBot="1" x14ac:dyDescent="0.3">
      <c r="A619" s="2750" t="s">
        <v>802</v>
      </c>
      <c r="B619" s="2751"/>
      <c r="C619" s="2751"/>
      <c r="D619" s="2751"/>
      <c r="E619" s="1957">
        <f>SUM(E589:E618)</f>
        <v>0</v>
      </c>
      <c r="F619" s="1957">
        <f>SUM(F589:F618)</f>
        <v>409</v>
      </c>
      <c r="G619" s="1957">
        <f>SUM(G589:G618)</f>
        <v>409</v>
      </c>
      <c r="H619" s="1962">
        <v>0</v>
      </c>
    </row>
    <row r="620" spans="1:8" ht="13.5" thickTop="1" x14ac:dyDescent="0.2"/>
    <row r="621" spans="1:8" ht="12" customHeight="1" x14ac:dyDescent="0.25">
      <c r="A621" s="2744" t="s">
        <v>1740</v>
      </c>
      <c r="B621" s="2745"/>
      <c r="C621" s="2745"/>
      <c r="D621" s="2745"/>
      <c r="E621" s="2745"/>
      <c r="F621" s="2745"/>
      <c r="G621" s="2745"/>
      <c r="H621" s="2745"/>
    </row>
    <row r="622" spans="1:8" ht="15.75" thickBot="1" x14ac:dyDescent="0.3">
      <c r="A622" s="2132" t="s">
        <v>1338</v>
      </c>
      <c r="B622" s="2146"/>
      <c r="C622" s="2146"/>
      <c r="E622" s="2147"/>
      <c r="F622" s="2147"/>
      <c r="G622" s="2147"/>
      <c r="H622" s="2148" t="s">
        <v>173</v>
      </c>
    </row>
    <row r="623" spans="1:8" ht="25.5" thickTop="1" thickBot="1" x14ac:dyDescent="0.25">
      <c r="A623" s="1943" t="s">
        <v>174</v>
      </c>
      <c r="B623" s="1944" t="s">
        <v>800</v>
      </c>
      <c r="C623" s="1944" t="s">
        <v>397</v>
      </c>
      <c r="D623" s="1945" t="s">
        <v>176</v>
      </c>
      <c r="E623" s="1976" t="s">
        <v>669</v>
      </c>
      <c r="F623" s="1976" t="s">
        <v>670</v>
      </c>
      <c r="G623" s="1977" t="s">
        <v>923</v>
      </c>
      <c r="H623" s="1978" t="s">
        <v>924</v>
      </c>
    </row>
    <row r="624" spans="1:8" ht="14.25" thickTop="1" thickBot="1" x14ac:dyDescent="0.25">
      <c r="A624" s="1740">
        <v>1</v>
      </c>
      <c r="B624" s="1739">
        <v>2</v>
      </c>
      <c r="C624" s="1739">
        <v>3</v>
      </c>
      <c r="D624" s="1739">
        <v>4</v>
      </c>
      <c r="E624" s="1738">
        <v>5</v>
      </c>
      <c r="F624" s="1738">
        <v>6</v>
      </c>
      <c r="G624" s="2028">
        <v>7</v>
      </c>
      <c r="H624" s="2054" t="s">
        <v>61</v>
      </c>
    </row>
    <row r="625" spans="1:8" ht="15.75" hidden="1" thickTop="1" x14ac:dyDescent="0.2">
      <c r="A625" s="2160">
        <v>3636</v>
      </c>
      <c r="B625" s="2161">
        <v>5011</v>
      </c>
      <c r="C625" s="2170">
        <v>0</v>
      </c>
      <c r="D625" s="2162" t="s">
        <v>219</v>
      </c>
      <c r="E625" s="2163">
        <v>0</v>
      </c>
      <c r="F625" s="2163">
        <v>0</v>
      </c>
      <c r="G625" s="2163">
        <v>0</v>
      </c>
      <c r="H625" s="2164" t="e">
        <f t="shared" ref="H625:H632" si="66">G625/F625*100</f>
        <v>#DIV/0!</v>
      </c>
    </row>
    <row r="626" spans="1:8" ht="15.75" hidden="1" thickTop="1" x14ac:dyDescent="0.2">
      <c r="A626" s="2165">
        <v>3636</v>
      </c>
      <c r="B626" s="2166">
        <v>5011</v>
      </c>
      <c r="C626" s="2166">
        <v>38500881</v>
      </c>
      <c r="D626" s="2167" t="s">
        <v>219</v>
      </c>
      <c r="E626" s="2168">
        <v>0</v>
      </c>
      <c r="F626" s="2168">
        <v>0</v>
      </c>
      <c r="G626" s="2168">
        <v>0</v>
      </c>
      <c r="H626" s="2169" t="e">
        <f t="shared" si="66"/>
        <v>#DIV/0!</v>
      </c>
    </row>
    <row r="627" spans="1:8" ht="30.75" thickTop="1" x14ac:dyDescent="0.2">
      <c r="A627" s="2165">
        <v>3122</v>
      </c>
      <c r="B627" s="2166">
        <v>5336</v>
      </c>
      <c r="C627" s="2170">
        <v>32133019</v>
      </c>
      <c r="D627" s="2167" t="s">
        <v>1325</v>
      </c>
      <c r="E627" s="2168">
        <v>0</v>
      </c>
      <c r="F627" s="2168">
        <f>174+7</f>
        <v>181</v>
      </c>
      <c r="G627" s="2168">
        <f>59+5</f>
        <v>64</v>
      </c>
      <c r="H627" s="2169">
        <f t="shared" si="66"/>
        <v>35.359116022099442</v>
      </c>
    </row>
    <row r="628" spans="1:8" ht="15" hidden="1" x14ac:dyDescent="0.2">
      <c r="A628" s="2165">
        <v>3636</v>
      </c>
      <c r="B628" s="2166">
        <v>5021</v>
      </c>
      <c r="C628" s="2166">
        <v>38500881</v>
      </c>
      <c r="D628" s="2167" t="s">
        <v>409</v>
      </c>
      <c r="E628" s="2168"/>
      <c r="F628" s="2168"/>
      <c r="G628" s="2168"/>
      <c r="H628" s="2169" t="e">
        <f t="shared" si="66"/>
        <v>#DIV/0!</v>
      </c>
    </row>
    <row r="629" spans="1:8" ht="30" hidden="1" x14ac:dyDescent="0.2">
      <c r="A629" s="2165">
        <v>3636</v>
      </c>
      <c r="B629" s="2166">
        <v>5031</v>
      </c>
      <c r="C629" s="2166">
        <v>38100880</v>
      </c>
      <c r="D629" s="2167" t="s">
        <v>1362</v>
      </c>
      <c r="E629" s="2168"/>
      <c r="F629" s="2168"/>
      <c r="G629" s="2168"/>
      <c r="H629" s="2169" t="e">
        <f t="shared" si="66"/>
        <v>#DIV/0!</v>
      </c>
    </row>
    <row r="630" spans="1:8" ht="30" hidden="1" x14ac:dyDescent="0.2">
      <c r="A630" s="2165">
        <v>3636</v>
      </c>
      <c r="B630" s="2166">
        <v>5031</v>
      </c>
      <c r="C630" s="2166">
        <v>38500881</v>
      </c>
      <c r="D630" s="2167" t="s">
        <v>1362</v>
      </c>
      <c r="E630" s="2168"/>
      <c r="F630" s="2168"/>
      <c r="G630" s="2168"/>
      <c r="H630" s="2169" t="e">
        <f t="shared" si="66"/>
        <v>#DIV/0!</v>
      </c>
    </row>
    <row r="631" spans="1:8" ht="30" hidden="1" x14ac:dyDescent="0.2">
      <c r="A631" s="2165">
        <v>3636</v>
      </c>
      <c r="B631" s="2166">
        <v>5032</v>
      </c>
      <c r="C631" s="2166">
        <v>38100880</v>
      </c>
      <c r="D631" s="2167" t="s">
        <v>1236</v>
      </c>
      <c r="E631" s="2168"/>
      <c r="F631" s="2168"/>
      <c r="G631" s="2168"/>
      <c r="H631" s="2169" t="e">
        <f t="shared" si="66"/>
        <v>#DIV/0!</v>
      </c>
    </row>
    <row r="632" spans="1:8" ht="30" hidden="1" x14ac:dyDescent="0.2">
      <c r="A632" s="2165">
        <v>3636</v>
      </c>
      <c r="B632" s="2166">
        <v>5032</v>
      </c>
      <c r="C632" s="2166">
        <v>38500881</v>
      </c>
      <c r="D632" s="2167" t="s">
        <v>1236</v>
      </c>
      <c r="E632" s="2168"/>
      <c r="F632" s="2168"/>
      <c r="G632" s="2168"/>
      <c r="H632" s="2169" t="e">
        <f t="shared" si="66"/>
        <v>#DIV/0!</v>
      </c>
    </row>
    <row r="633" spans="1:8" ht="15" hidden="1" x14ac:dyDescent="0.2">
      <c r="A633" s="2165">
        <v>3636</v>
      </c>
      <c r="B633" s="2166">
        <v>5139</v>
      </c>
      <c r="C633" s="2166">
        <v>38100880</v>
      </c>
      <c r="D633" s="2167" t="s">
        <v>284</v>
      </c>
      <c r="E633" s="2168"/>
      <c r="F633" s="2168"/>
      <c r="G633" s="2168"/>
      <c r="H633" s="2169">
        <v>0</v>
      </c>
    </row>
    <row r="634" spans="1:8" ht="15" hidden="1" x14ac:dyDescent="0.2">
      <c r="A634" s="2165">
        <v>3636</v>
      </c>
      <c r="B634" s="2166">
        <v>5139</v>
      </c>
      <c r="C634" s="2166">
        <v>38500881</v>
      </c>
      <c r="D634" s="2167" t="s">
        <v>284</v>
      </c>
      <c r="E634" s="2168"/>
      <c r="F634" s="2168"/>
      <c r="G634" s="2168"/>
      <c r="H634" s="2169" t="e">
        <f t="shared" ref="H634:H639" si="67">G634/F634*100</f>
        <v>#DIV/0!</v>
      </c>
    </row>
    <row r="635" spans="1:8" ht="15" hidden="1" x14ac:dyDescent="0.2">
      <c r="A635" s="2165">
        <v>3636</v>
      </c>
      <c r="B635" s="2166">
        <v>5162</v>
      </c>
      <c r="C635" s="2166">
        <v>38100880</v>
      </c>
      <c r="D635" s="2167" t="s">
        <v>904</v>
      </c>
      <c r="E635" s="2168"/>
      <c r="F635" s="2168"/>
      <c r="G635" s="2168"/>
      <c r="H635" s="2169" t="e">
        <f t="shared" si="67"/>
        <v>#DIV/0!</v>
      </c>
    </row>
    <row r="636" spans="1:8" ht="15" hidden="1" x14ac:dyDescent="0.2">
      <c r="A636" s="2165">
        <v>3636</v>
      </c>
      <c r="B636" s="2166">
        <v>5162</v>
      </c>
      <c r="C636" s="2166">
        <v>38500881</v>
      </c>
      <c r="D636" s="2167" t="s">
        <v>904</v>
      </c>
      <c r="E636" s="2168"/>
      <c r="F636" s="2168"/>
      <c r="G636" s="2168"/>
      <c r="H636" s="2169" t="e">
        <f t="shared" si="67"/>
        <v>#DIV/0!</v>
      </c>
    </row>
    <row r="637" spans="1:8" ht="15" hidden="1" x14ac:dyDescent="0.2">
      <c r="A637" s="2165">
        <v>3636</v>
      </c>
      <c r="B637" s="2166">
        <v>5164</v>
      </c>
      <c r="C637" s="2166">
        <v>38100880</v>
      </c>
      <c r="D637" s="2167" t="s">
        <v>182</v>
      </c>
      <c r="E637" s="2168"/>
      <c r="F637" s="2168"/>
      <c r="G637" s="2168"/>
      <c r="H637" s="2169" t="e">
        <f t="shared" si="67"/>
        <v>#DIV/0!</v>
      </c>
    </row>
    <row r="638" spans="1:8" ht="15" hidden="1" x14ac:dyDescent="0.2">
      <c r="A638" s="2165">
        <v>3636</v>
      </c>
      <c r="B638" s="2166">
        <v>5164</v>
      </c>
      <c r="C638" s="2166">
        <v>38500881</v>
      </c>
      <c r="D638" s="2167" t="s">
        <v>182</v>
      </c>
      <c r="E638" s="2168"/>
      <c r="F638" s="2168"/>
      <c r="G638" s="2168"/>
      <c r="H638" s="2169" t="e">
        <f t="shared" si="67"/>
        <v>#DIV/0!</v>
      </c>
    </row>
    <row r="639" spans="1:8" ht="30" x14ac:dyDescent="0.2">
      <c r="A639" s="2165">
        <v>3122</v>
      </c>
      <c r="B639" s="2166">
        <v>5336</v>
      </c>
      <c r="C639" s="2170">
        <v>32533019</v>
      </c>
      <c r="D639" s="2167" t="s">
        <v>1325</v>
      </c>
      <c r="E639" s="2168">
        <v>0</v>
      </c>
      <c r="F639" s="2168">
        <f>984+42</f>
        <v>1026</v>
      </c>
      <c r="G639" s="2168">
        <f>336+29</f>
        <v>365</v>
      </c>
      <c r="H639" s="2169">
        <f t="shared" si="67"/>
        <v>35.575048732943472</v>
      </c>
    </row>
    <row r="640" spans="1:8" ht="15" hidden="1" x14ac:dyDescent="0.2">
      <c r="A640" s="2165">
        <v>3122</v>
      </c>
      <c r="B640" s="2166">
        <v>5166</v>
      </c>
      <c r="C640" s="2166">
        <v>41100880</v>
      </c>
      <c r="D640" s="2167" t="s">
        <v>646</v>
      </c>
      <c r="E640" s="2168"/>
      <c r="F640" s="2168"/>
      <c r="G640" s="2168"/>
      <c r="H640" s="2169" t="e">
        <f t="shared" ref="H640:H646" si="68">G640/F640*100</f>
        <v>#DIV/0!</v>
      </c>
    </row>
    <row r="641" spans="1:8" ht="15" hidden="1" x14ac:dyDescent="0.2">
      <c r="A641" s="2165">
        <v>3122</v>
      </c>
      <c r="B641" s="2166">
        <v>5166</v>
      </c>
      <c r="C641" s="2166">
        <v>41100882</v>
      </c>
      <c r="D641" s="2167" t="s">
        <v>646</v>
      </c>
      <c r="E641" s="2168"/>
      <c r="F641" s="2168"/>
      <c r="G641" s="2168"/>
      <c r="H641" s="2169" t="e">
        <f t="shared" si="68"/>
        <v>#DIV/0!</v>
      </c>
    </row>
    <row r="642" spans="1:8" ht="15" hidden="1" x14ac:dyDescent="0.2">
      <c r="A642" s="2165">
        <v>3122</v>
      </c>
      <c r="B642" s="2166">
        <v>5166</v>
      </c>
      <c r="C642" s="2166">
        <v>41500881</v>
      </c>
      <c r="D642" s="2167" t="s">
        <v>646</v>
      </c>
      <c r="E642" s="2168"/>
      <c r="F642" s="2168"/>
      <c r="G642" s="2168"/>
      <c r="H642" s="2169" t="e">
        <f t="shared" si="68"/>
        <v>#DIV/0!</v>
      </c>
    </row>
    <row r="643" spans="1:8" ht="15" hidden="1" x14ac:dyDescent="0.2">
      <c r="A643" s="2165">
        <v>3122</v>
      </c>
      <c r="B643" s="2166">
        <v>5167</v>
      </c>
      <c r="C643" s="2166">
        <v>38100880</v>
      </c>
      <c r="D643" s="2167" t="s">
        <v>937</v>
      </c>
      <c r="E643" s="2168"/>
      <c r="F643" s="2168"/>
      <c r="G643" s="2168"/>
      <c r="H643" s="2169" t="e">
        <f t="shared" si="68"/>
        <v>#DIV/0!</v>
      </c>
    </row>
    <row r="644" spans="1:8" ht="15" hidden="1" x14ac:dyDescent="0.2">
      <c r="A644" s="2165">
        <v>3122</v>
      </c>
      <c r="B644" s="2166">
        <v>5167</v>
      </c>
      <c r="C644" s="2166">
        <v>38500881</v>
      </c>
      <c r="D644" s="2167" t="s">
        <v>937</v>
      </c>
      <c r="E644" s="2168"/>
      <c r="F644" s="2168"/>
      <c r="G644" s="2168"/>
      <c r="H644" s="2169" t="e">
        <f t="shared" si="68"/>
        <v>#DIV/0!</v>
      </c>
    </row>
    <row r="645" spans="1:8" ht="15" hidden="1" x14ac:dyDescent="0.2">
      <c r="A645" s="2165">
        <v>3122</v>
      </c>
      <c r="B645" s="2166">
        <v>5169</v>
      </c>
      <c r="C645" s="2166">
        <v>38100880</v>
      </c>
      <c r="D645" s="2167" t="s">
        <v>892</v>
      </c>
      <c r="E645" s="2168"/>
      <c r="F645" s="2168"/>
      <c r="G645" s="2168"/>
      <c r="H645" s="2169" t="e">
        <f t="shared" si="68"/>
        <v>#DIV/0!</v>
      </c>
    </row>
    <row r="646" spans="1:8" ht="15" hidden="1" x14ac:dyDescent="0.2">
      <c r="A646" s="2165">
        <v>3122</v>
      </c>
      <c r="B646" s="2166">
        <v>5169</v>
      </c>
      <c r="C646" s="2166">
        <v>38500881</v>
      </c>
      <c r="D646" s="2167" t="s">
        <v>892</v>
      </c>
      <c r="E646" s="2168"/>
      <c r="F646" s="2168"/>
      <c r="G646" s="2168"/>
      <c r="H646" s="2169" t="e">
        <f t="shared" si="68"/>
        <v>#DIV/0!</v>
      </c>
    </row>
    <row r="647" spans="1:8" ht="15" hidden="1" x14ac:dyDescent="0.2">
      <c r="A647" s="2165">
        <v>3122</v>
      </c>
      <c r="B647" s="2166">
        <v>5173</v>
      </c>
      <c r="C647" s="2170">
        <v>0</v>
      </c>
      <c r="D647" s="2167" t="s">
        <v>1211</v>
      </c>
      <c r="E647" s="2168"/>
      <c r="F647" s="2168"/>
      <c r="G647" s="2168"/>
      <c r="H647" s="2169">
        <v>0</v>
      </c>
    </row>
    <row r="648" spans="1:8" ht="15" hidden="1" x14ac:dyDescent="0.2">
      <c r="A648" s="2165">
        <v>3122</v>
      </c>
      <c r="B648" s="2166">
        <v>5173</v>
      </c>
      <c r="C648" s="2166">
        <v>38500881</v>
      </c>
      <c r="D648" s="2167" t="s">
        <v>1211</v>
      </c>
      <c r="E648" s="2168">
        <v>0</v>
      </c>
      <c r="F648" s="2168"/>
      <c r="G648" s="2168"/>
      <c r="H648" s="2169" t="e">
        <f t="shared" ref="H648:H654" si="69">G648/F648*100</f>
        <v>#DIV/0!</v>
      </c>
    </row>
    <row r="649" spans="1:8" ht="15" hidden="1" x14ac:dyDescent="0.2">
      <c r="A649" s="2165">
        <v>3122</v>
      </c>
      <c r="B649" s="2166">
        <v>5175</v>
      </c>
      <c r="C649" s="2166">
        <v>38100880</v>
      </c>
      <c r="D649" s="2167" t="s">
        <v>707</v>
      </c>
      <c r="E649" s="2168">
        <v>0</v>
      </c>
      <c r="F649" s="2168"/>
      <c r="G649" s="2168"/>
      <c r="H649" s="2169" t="e">
        <f t="shared" si="69"/>
        <v>#DIV/0!</v>
      </c>
    </row>
    <row r="650" spans="1:8" ht="15" hidden="1" x14ac:dyDescent="0.2">
      <c r="A650" s="2165">
        <v>3122</v>
      </c>
      <c r="B650" s="2166">
        <v>5175</v>
      </c>
      <c r="C650" s="2166">
        <v>38500881</v>
      </c>
      <c r="D650" s="2167" t="s">
        <v>707</v>
      </c>
      <c r="E650" s="2168">
        <v>0</v>
      </c>
      <c r="F650" s="2168"/>
      <c r="G650" s="2168"/>
      <c r="H650" s="2169" t="e">
        <f t="shared" si="69"/>
        <v>#DIV/0!</v>
      </c>
    </row>
    <row r="651" spans="1:8" ht="15" hidden="1" x14ac:dyDescent="0.2">
      <c r="A651" s="2165">
        <v>3122</v>
      </c>
      <c r="B651" s="2166">
        <v>5176</v>
      </c>
      <c r="C651" s="2166">
        <v>38100880</v>
      </c>
      <c r="D651" s="2167" t="s">
        <v>1309</v>
      </c>
      <c r="E651" s="2168">
        <v>0</v>
      </c>
      <c r="F651" s="2168"/>
      <c r="G651" s="2168"/>
      <c r="H651" s="2169" t="e">
        <f t="shared" si="69"/>
        <v>#DIV/0!</v>
      </c>
    </row>
    <row r="652" spans="1:8" ht="15" hidden="1" x14ac:dyDescent="0.2">
      <c r="A652" s="2165">
        <v>3122</v>
      </c>
      <c r="B652" s="2166">
        <v>5176</v>
      </c>
      <c r="C652" s="2166">
        <v>38500881</v>
      </c>
      <c r="D652" s="2167" t="s">
        <v>1309</v>
      </c>
      <c r="E652" s="2168">
        <v>0</v>
      </c>
      <c r="F652" s="2168"/>
      <c r="G652" s="2168"/>
      <c r="H652" s="2169" t="e">
        <f t="shared" si="69"/>
        <v>#DIV/0!</v>
      </c>
    </row>
    <row r="653" spans="1:8" ht="30" x14ac:dyDescent="0.2">
      <c r="A653" s="2165">
        <v>3122</v>
      </c>
      <c r="B653" s="2166">
        <v>6356</v>
      </c>
      <c r="C653" s="2166">
        <v>32133910</v>
      </c>
      <c r="D653" s="2167" t="s">
        <v>1927</v>
      </c>
      <c r="E653" s="2168">
        <v>0</v>
      </c>
      <c r="F653" s="2168">
        <v>15</v>
      </c>
      <c r="G653" s="2168">
        <v>0</v>
      </c>
      <c r="H653" s="2169">
        <f t="shared" si="69"/>
        <v>0</v>
      </c>
    </row>
    <row r="654" spans="1:8" ht="30.75" thickBot="1" x14ac:dyDescent="0.25">
      <c r="A654" s="2165">
        <v>3122</v>
      </c>
      <c r="B654" s="2166">
        <v>6356</v>
      </c>
      <c r="C654" s="2166">
        <v>32533910</v>
      </c>
      <c r="D654" s="2167" t="s">
        <v>1927</v>
      </c>
      <c r="E654" s="2168">
        <v>0</v>
      </c>
      <c r="F654" s="2168">
        <v>85</v>
      </c>
      <c r="G654" s="2168">
        <v>0</v>
      </c>
      <c r="H654" s="2171">
        <f t="shared" si="69"/>
        <v>0</v>
      </c>
    </row>
    <row r="655" spans="1:8" ht="16.5" thickTop="1" thickBot="1" x14ac:dyDescent="0.3">
      <c r="A655" s="2750" t="s">
        <v>802</v>
      </c>
      <c r="B655" s="2751"/>
      <c r="C655" s="2751"/>
      <c r="D655" s="2751"/>
      <c r="E655" s="1957">
        <f>SUM(E625:E654)</f>
        <v>0</v>
      </c>
      <c r="F655" s="1957">
        <f>SUM(F625:F654)</f>
        <v>1307</v>
      </c>
      <c r="G655" s="1957">
        <f>SUM(G625:G654)</f>
        <v>429</v>
      </c>
      <c r="H655" s="1962">
        <v>0</v>
      </c>
    </row>
    <row r="656" spans="1:8" ht="13.5" thickTop="1" x14ac:dyDescent="0.2"/>
    <row r="657" spans="1:8" ht="12" customHeight="1" x14ac:dyDescent="0.25">
      <c r="A657" s="2744" t="s">
        <v>597</v>
      </c>
      <c r="B657" s="2745"/>
      <c r="C657" s="2745"/>
      <c r="D657" s="2745"/>
      <c r="E657" s="2745"/>
      <c r="F657" s="2745"/>
      <c r="G657" s="2745"/>
      <c r="H657" s="2745"/>
    </row>
    <row r="658" spans="1:8" ht="15.75" thickBot="1" x14ac:dyDescent="0.3">
      <c r="A658" s="2132" t="s">
        <v>598</v>
      </c>
      <c r="B658" s="2146"/>
      <c r="C658" s="2146"/>
      <c r="E658" s="2147"/>
      <c r="F658" s="2147"/>
      <c r="G658" s="2147"/>
      <c r="H658" s="2148" t="s">
        <v>173</v>
      </c>
    </row>
    <row r="659" spans="1:8" ht="25.5" thickTop="1" thickBot="1" x14ac:dyDescent="0.25">
      <c r="A659" s="1943" t="s">
        <v>174</v>
      </c>
      <c r="B659" s="1944" t="s">
        <v>800</v>
      </c>
      <c r="C659" s="1944" t="s">
        <v>397</v>
      </c>
      <c r="D659" s="1945" t="s">
        <v>176</v>
      </c>
      <c r="E659" s="1976" t="s">
        <v>669</v>
      </c>
      <c r="F659" s="1976" t="s">
        <v>670</v>
      </c>
      <c r="G659" s="1977" t="s">
        <v>923</v>
      </c>
      <c r="H659" s="1978" t="s">
        <v>924</v>
      </c>
    </row>
    <row r="660" spans="1:8" ht="14.25" thickTop="1" thickBot="1" x14ac:dyDescent="0.25">
      <c r="A660" s="1740">
        <v>1</v>
      </c>
      <c r="B660" s="1739">
        <v>2</v>
      </c>
      <c r="C660" s="1739">
        <v>3</v>
      </c>
      <c r="D660" s="1739">
        <v>4</v>
      </c>
      <c r="E660" s="1738">
        <v>5</v>
      </c>
      <c r="F660" s="1738">
        <v>6</v>
      </c>
      <c r="G660" s="2028">
        <v>7</v>
      </c>
      <c r="H660" s="2054" t="s">
        <v>61</v>
      </c>
    </row>
    <row r="661" spans="1:8" ht="15.75" hidden="1" thickTop="1" x14ac:dyDescent="0.2">
      <c r="A661" s="2160">
        <v>3636</v>
      </c>
      <c r="B661" s="2161">
        <v>5011</v>
      </c>
      <c r="C661" s="2170">
        <v>0</v>
      </c>
      <c r="D661" s="2162" t="s">
        <v>219</v>
      </c>
      <c r="E661" s="2163">
        <v>0</v>
      </c>
      <c r="F661" s="2163">
        <v>0</v>
      </c>
      <c r="G661" s="2163">
        <v>0</v>
      </c>
      <c r="H661" s="2164" t="e">
        <f t="shared" ref="H661:H668" si="70">G661/F661*100</f>
        <v>#DIV/0!</v>
      </c>
    </row>
    <row r="662" spans="1:8" ht="15.75" hidden="1" thickTop="1" x14ac:dyDescent="0.2">
      <c r="A662" s="2165">
        <v>3636</v>
      </c>
      <c r="B662" s="2166">
        <v>5011</v>
      </c>
      <c r="C662" s="2166">
        <v>38500881</v>
      </c>
      <c r="D662" s="2167" t="s">
        <v>219</v>
      </c>
      <c r="E662" s="2168">
        <v>0</v>
      </c>
      <c r="F662" s="2168">
        <v>0</v>
      </c>
      <c r="G662" s="2168">
        <v>0</v>
      </c>
      <c r="H662" s="2169" t="e">
        <f t="shared" si="70"/>
        <v>#DIV/0!</v>
      </c>
    </row>
    <row r="663" spans="1:8" ht="30.75" thickTop="1" x14ac:dyDescent="0.2">
      <c r="A663" s="2165">
        <v>3123</v>
      </c>
      <c r="B663" s="2166">
        <v>5336</v>
      </c>
      <c r="C663" s="2170">
        <v>32133019</v>
      </c>
      <c r="D663" s="2167" t="s">
        <v>1325</v>
      </c>
      <c r="E663" s="2168">
        <v>0</v>
      </c>
      <c r="F663" s="2168">
        <f>59+5</f>
        <v>64</v>
      </c>
      <c r="G663" s="2168">
        <f>59+5</f>
        <v>64</v>
      </c>
      <c r="H663" s="2169">
        <f t="shared" si="70"/>
        <v>100</v>
      </c>
    </row>
    <row r="664" spans="1:8" ht="15" hidden="1" x14ac:dyDescent="0.2">
      <c r="A664" s="2165">
        <v>3636</v>
      </c>
      <c r="B664" s="2166">
        <v>5021</v>
      </c>
      <c r="C664" s="2166">
        <v>38500881</v>
      </c>
      <c r="D664" s="2167" t="s">
        <v>409</v>
      </c>
      <c r="E664" s="2168"/>
      <c r="F664" s="2168"/>
      <c r="G664" s="2168"/>
      <c r="H664" s="2169" t="e">
        <f t="shared" si="70"/>
        <v>#DIV/0!</v>
      </c>
    </row>
    <row r="665" spans="1:8" ht="30" hidden="1" x14ac:dyDescent="0.2">
      <c r="A665" s="2165">
        <v>3636</v>
      </c>
      <c r="B665" s="2166">
        <v>5031</v>
      </c>
      <c r="C665" s="2166">
        <v>38100880</v>
      </c>
      <c r="D665" s="2167" t="s">
        <v>1362</v>
      </c>
      <c r="E665" s="2168"/>
      <c r="F665" s="2168"/>
      <c r="G665" s="2168"/>
      <c r="H665" s="2169" t="e">
        <f t="shared" si="70"/>
        <v>#DIV/0!</v>
      </c>
    </row>
    <row r="666" spans="1:8" ht="30" hidden="1" x14ac:dyDescent="0.2">
      <c r="A666" s="2165">
        <v>3636</v>
      </c>
      <c r="B666" s="2166">
        <v>5031</v>
      </c>
      <c r="C666" s="2166">
        <v>38500881</v>
      </c>
      <c r="D666" s="2167" t="s">
        <v>1362</v>
      </c>
      <c r="E666" s="2168"/>
      <c r="F666" s="2168"/>
      <c r="G666" s="2168"/>
      <c r="H666" s="2169" t="e">
        <f t="shared" si="70"/>
        <v>#DIV/0!</v>
      </c>
    </row>
    <row r="667" spans="1:8" ht="30" hidden="1" x14ac:dyDescent="0.2">
      <c r="A667" s="2165">
        <v>3636</v>
      </c>
      <c r="B667" s="2166">
        <v>5032</v>
      </c>
      <c r="C667" s="2166">
        <v>38100880</v>
      </c>
      <c r="D667" s="2167" t="s">
        <v>1236</v>
      </c>
      <c r="E667" s="2168"/>
      <c r="F667" s="2168"/>
      <c r="G667" s="2168"/>
      <c r="H667" s="2169" t="e">
        <f t="shared" si="70"/>
        <v>#DIV/0!</v>
      </c>
    </row>
    <row r="668" spans="1:8" ht="30" hidden="1" x14ac:dyDescent="0.2">
      <c r="A668" s="2165">
        <v>3636</v>
      </c>
      <c r="B668" s="2166">
        <v>5032</v>
      </c>
      <c r="C668" s="2166">
        <v>38500881</v>
      </c>
      <c r="D668" s="2167" t="s">
        <v>1236</v>
      </c>
      <c r="E668" s="2168"/>
      <c r="F668" s="2168"/>
      <c r="G668" s="2168"/>
      <c r="H668" s="2169" t="e">
        <f t="shared" si="70"/>
        <v>#DIV/0!</v>
      </c>
    </row>
    <row r="669" spans="1:8" ht="15" hidden="1" x14ac:dyDescent="0.2">
      <c r="A669" s="2165">
        <v>3636</v>
      </c>
      <c r="B669" s="2166">
        <v>5139</v>
      </c>
      <c r="C669" s="2166">
        <v>38100880</v>
      </c>
      <c r="D669" s="2167" t="s">
        <v>284</v>
      </c>
      <c r="E669" s="2168"/>
      <c r="F669" s="2168"/>
      <c r="G669" s="2168"/>
      <c r="H669" s="2169">
        <v>0</v>
      </c>
    </row>
    <row r="670" spans="1:8" ht="15" hidden="1" x14ac:dyDescent="0.2">
      <c r="A670" s="2165">
        <v>3636</v>
      </c>
      <c r="B670" s="2166">
        <v>5139</v>
      </c>
      <c r="C670" s="2166">
        <v>38500881</v>
      </c>
      <c r="D670" s="2167" t="s">
        <v>284</v>
      </c>
      <c r="E670" s="2168"/>
      <c r="F670" s="2168"/>
      <c r="G670" s="2168"/>
      <c r="H670" s="2169" t="e">
        <f t="shared" ref="H670:H675" si="71">G670/F670*100</f>
        <v>#DIV/0!</v>
      </c>
    </row>
    <row r="671" spans="1:8" ht="15" hidden="1" x14ac:dyDescent="0.2">
      <c r="A671" s="2165">
        <v>3636</v>
      </c>
      <c r="B671" s="2166">
        <v>5162</v>
      </c>
      <c r="C671" s="2166">
        <v>38100880</v>
      </c>
      <c r="D671" s="2167" t="s">
        <v>904</v>
      </c>
      <c r="E671" s="2168"/>
      <c r="F671" s="2168"/>
      <c r="G671" s="2168"/>
      <c r="H671" s="2169" t="e">
        <f t="shared" si="71"/>
        <v>#DIV/0!</v>
      </c>
    </row>
    <row r="672" spans="1:8" ht="15" hidden="1" x14ac:dyDescent="0.2">
      <c r="A672" s="2165">
        <v>3636</v>
      </c>
      <c r="B672" s="2166">
        <v>5162</v>
      </c>
      <c r="C672" s="2166">
        <v>38500881</v>
      </c>
      <c r="D672" s="2167" t="s">
        <v>904</v>
      </c>
      <c r="E672" s="2168"/>
      <c r="F672" s="2168"/>
      <c r="G672" s="2168"/>
      <c r="H672" s="2169" t="e">
        <f t="shared" si="71"/>
        <v>#DIV/0!</v>
      </c>
    </row>
    <row r="673" spans="1:8" ht="15" hidden="1" x14ac:dyDescent="0.2">
      <c r="A673" s="2165">
        <v>3636</v>
      </c>
      <c r="B673" s="2166">
        <v>5164</v>
      </c>
      <c r="C673" s="2166">
        <v>38100880</v>
      </c>
      <c r="D673" s="2167" t="s">
        <v>182</v>
      </c>
      <c r="E673" s="2168"/>
      <c r="F673" s="2168"/>
      <c r="G673" s="2168"/>
      <c r="H673" s="2169" t="e">
        <f t="shared" si="71"/>
        <v>#DIV/0!</v>
      </c>
    </row>
    <row r="674" spans="1:8" ht="15" hidden="1" x14ac:dyDescent="0.2">
      <c r="A674" s="2165">
        <v>3636</v>
      </c>
      <c r="B674" s="2166">
        <v>5164</v>
      </c>
      <c r="C674" s="2166">
        <v>38500881</v>
      </c>
      <c r="D674" s="2167" t="s">
        <v>182</v>
      </c>
      <c r="E674" s="2168"/>
      <c r="F674" s="2168"/>
      <c r="G674" s="2168"/>
      <c r="H674" s="2169" t="e">
        <f t="shared" si="71"/>
        <v>#DIV/0!</v>
      </c>
    </row>
    <row r="675" spans="1:8" ht="30.75" thickBot="1" x14ac:dyDescent="0.25">
      <c r="A675" s="2165">
        <v>3122</v>
      </c>
      <c r="B675" s="2166">
        <v>5336</v>
      </c>
      <c r="C675" s="2170">
        <v>32533019</v>
      </c>
      <c r="D675" s="2167" t="s">
        <v>1325</v>
      </c>
      <c r="E675" s="2168">
        <v>0</v>
      </c>
      <c r="F675" s="2168">
        <f>333+28</f>
        <v>361</v>
      </c>
      <c r="G675" s="2168">
        <f>333+28</f>
        <v>361</v>
      </c>
      <c r="H675" s="2169">
        <f t="shared" si="71"/>
        <v>100</v>
      </c>
    </row>
    <row r="676" spans="1:8" ht="15.75" hidden="1" thickBot="1" x14ac:dyDescent="0.25">
      <c r="A676" s="2165">
        <v>6223</v>
      </c>
      <c r="B676" s="2166">
        <v>5166</v>
      </c>
      <c r="C676" s="2166">
        <v>41100880</v>
      </c>
      <c r="D676" s="2167" t="s">
        <v>646</v>
      </c>
      <c r="E676" s="2168"/>
      <c r="F676" s="2168"/>
      <c r="G676" s="2168"/>
      <c r="H676" s="2169" t="e">
        <f t="shared" ref="H676:H682" si="72">G676/F676*100</f>
        <v>#DIV/0!</v>
      </c>
    </row>
    <row r="677" spans="1:8" ht="15.75" hidden="1" thickBot="1" x14ac:dyDescent="0.25">
      <c r="A677" s="2165">
        <v>6223</v>
      </c>
      <c r="B677" s="2166">
        <v>5166</v>
      </c>
      <c r="C677" s="2166">
        <v>41100882</v>
      </c>
      <c r="D677" s="2167" t="s">
        <v>646</v>
      </c>
      <c r="E677" s="2168"/>
      <c r="F677" s="2168"/>
      <c r="G677" s="2168"/>
      <c r="H677" s="2169" t="e">
        <f t="shared" si="72"/>
        <v>#DIV/0!</v>
      </c>
    </row>
    <row r="678" spans="1:8" ht="15.75" hidden="1" thickBot="1" x14ac:dyDescent="0.25">
      <c r="A678" s="2165">
        <v>6223</v>
      </c>
      <c r="B678" s="2166">
        <v>5166</v>
      </c>
      <c r="C678" s="2166">
        <v>41500881</v>
      </c>
      <c r="D678" s="2167" t="s">
        <v>646</v>
      </c>
      <c r="E678" s="2168"/>
      <c r="F678" s="2168"/>
      <c r="G678" s="2168"/>
      <c r="H678" s="2169" t="e">
        <f t="shared" si="72"/>
        <v>#DIV/0!</v>
      </c>
    </row>
    <row r="679" spans="1:8" ht="15.75" hidden="1" thickBot="1" x14ac:dyDescent="0.25">
      <c r="A679" s="2165">
        <v>3636</v>
      </c>
      <c r="B679" s="2166">
        <v>5167</v>
      </c>
      <c r="C679" s="2166">
        <v>38100880</v>
      </c>
      <c r="D679" s="2167" t="s">
        <v>937</v>
      </c>
      <c r="E679" s="2168"/>
      <c r="F679" s="2168"/>
      <c r="G679" s="2168"/>
      <c r="H679" s="2169" t="e">
        <f t="shared" si="72"/>
        <v>#DIV/0!</v>
      </c>
    </row>
    <row r="680" spans="1:8" ht="15.75" hidden="1" thickBot="1" x14ac:dyDescent="0.25">
      <c r="A680" s="2165">
        <v>3636</v>
      </c>
      <c r="B680" s="2166">
        <v>5167</v>
      </c>
      <c r="C680" s="2166">
        <v>38500881</v>
      </c>
      <c r="D680" s="2167" t="s">
        <v>937</v>
      </c>
      <c r="E680" s="2168"/>
      <c r="F680" s="2168"/>
      <c r="G680" s="2168"/>
      <c r="H680" s="2169" t="e">
        <f t="shared" si="72"/>
        <v>#DIV/0!</v>
      </c>
    </row>
    <row r="681" spans="1:8" ht="15.75" hidden="1" thickBot="1" x14ac:dyDescent="0.25">
      <c r="A681" s="2165">
        <v>3636</v>
      </c>
      <c r="B681" s="2166">
        <v>5169</v>
      </c>
      <c r="C681" s="2166">
        <v>38100880</v>
      </c>
      <c r="D681" s="2167" t="s">
        <v>892</v>
      </c>
      <c r="E681" s="2168"/>
      <c r="F681" s="2168"/>
      <c r="G681" s="2168"/>
      <c r="H681" s="2169" t="e">
        <f t="shared" si="72"/>
        <v>#DIV/0!</v>
      </c>
    </row>
    <row r="682" spans="1:8" ht="15.75" hidden="1" thickBot="1" x14ac:dyDescent="0.25">
      <c r="A682" s="2165">
        <v>3636</v>
      </c>
      <c r="B682" s="2166">
        <v>5169</v>
      </c>
      <c r="C682" s="2166">
        <v>38500881</v>
      </c>
      <c r="D682" s="2167" t="s">
        <v>892</v>
      </c>
      <c r="E682" s="2168"/>
      <c r="F682" s="2168"/>
      <c r="G682" s="2168"/>
      <c r="H682" s="2169" t="e">
        <f t="shared" si="72"/>
        <v>#DIV/0!</v>
      </c>
    </row>
    <row r="683" spans="1:8" ht="15.75" hidden="1" thickBot="1" x14ac:dyDescent="0.25">
      <c r="A683" s="2165">
        <v>6223</v>
      </c>
      <c r="B683" s="2166">
        <v>5173</v>
      </c>
      <c r="C683" s="2170">
        <v>0</v>
      </c>
      <c r="D683" s="2167" t="s">
        <v>1211</v>
      </c>
      <c r="E683" s="2168"/>
      <c r="F683" s="2168"/>
      <c r="G683" s="2168"/>
      <c r="H683" s="2169">
        <v>0</v>
      </c>
    </row>
    <row r="684" spans="1:8" ht="15.75" hidden="1" thickBot="1" x14ac:dyDescent="0.25">
      <c r="A684" s="2165">
        <v>3636</v>
      </c>
      <c r="B684" s="2166">
        <v>5173</v>
      </c>
      <c r="C684" s="2166">
        <v>38500881</v>
      </c>
      <c r="D684" s="2167" t="s">
        <v>1211</v>
      </c>
      <c r="E684" s="2168">
        <v>0</v>
      </c>
      <c r="F684" s="2168"/>
      <c r="G684" s="2168"/>
      <c r="H684" s="2169" t="e">
        <f t="shared" ref="H684:H690" si="73">G684/F684*100</f>
        <v>#DIV/0!</v>
      </c>
    </row>
    <row r="685" spans="1:8" ht="15.75" hidden="1" thickBot="1" x14ac:dyDescent="0.25">
      <c r="A685" s="2165">
        <v>3636</v>
      </c>
      <c r="B685" s="2166">
        <v>5175</v>
      </c>
      <c r="C685" s="2166">
        <v>38100880</v>
      </c>
      <c r="D685" s="2167" t="s">
        <v>707</v>
      </c>
      <c r="E685" s="2168">
        <v>0</v>
      </c>
      <c r="F685" s="2168"/>
      <c r="G685" s="2168"/>
      <c r="H685" s="2169" t="e">
        <f t="shared" si="73"/>
        <v>#DIV/0!</v>
      </c>
    </row>
    <row r="686" spans="1:8" ht="15.75" hidden="1" thickBot="1" x14ac:dyDescent="0.25">
      <c r="A686" s="2165">
        <v>3636</v>
      </c>
      <c r="B686" s="2166">
        <v>5175</v>
      </c>
      <c r="C686" s="2166">
        <v>38500881</v>
      </c>
      <c r="D686" s="2167" t="s">
        <v>707</v>
      </c>
      <c r="E686" s="2168">
        <v>0</v>
      </c>
      <c r="F686" s="2168"/>
      <c r="G686" s="2168"/>
      <c r="H686" s="2169" t="e">
        <f t="shared" si="73"/>
        <v>#DIV/0!</v>
      </c>
    </row>
    <row r="687" spans="1:8" ht="15.75" hidden="1" thickBot="1" x14ac:dyDescent="0.25">
      <c r="A687" s="2165">
        <v>3636</v>
      </c>
      <c r="B687" s="2166">
        <v>5176</v>
      </c>
      <c r="C687" s="2166">
        <v>38100880</v>
      </c>
      <c r="D687" s="2167" t="s">
        <v>1309</v>
      </c>
      <c r="E687" s="2168">
        <v>0</v>
      </c>
      <c r="F687" s="2168"/>
      <c r="G687" s="2168"/>
      <c r="H687" s="2169" t="e">
        <f t="shared" si="73"/>
        <v>#DIV/0!</v>
      </c>
    </row>
    <row r="688" spans="1:8" ht="15.75" hidden="1" thickBot="1" x14ac:dyDescent="0.25">
      <c r="A688" s="2165">
        <v>3636</v>
      </c>
      <c r="B688" s="2166">
        <v>5176</v>
      </c>
      <c r="C688" s="2166">
        <v>38500881</v>
      </c>
      <c r="D688" s="2167" t="s">
        <v>1309</v>
      </c>
      <c r="E688" s="2168">
        <v>0</v>
      </c>
      <c r="F688" s="2168"/>
      <c r="G688" s="2168"/>
      <c r="H688" s="2169" t="e">
        <f t="shared" si="73"/>
        <v>#DIV/0!</v>
      </c>
    </row>
    <row r="689" spans="1:8" ht="15.75" hidden="1" thickBot="1" x14ac:dyDescent="0.25">
      <c r="A689" s="2165">
        <v>3636</v>
      </c>
      <c r="B689" s="2166">
        <v>6901</v>
      </c>
      <c r="C689" s="2166">
        <v>38100880</v>
      </c>
      <c r="D689" s="2167" t="s">
        <v>449</v>
      </c>
      <c r="E689" s="2168">
        <v>0</v>
      </c>
      <c r="F689" s="2168">
        <v>0</v>
      </c>
      <c r="G689" s="2168">
        <v>0</v>
      </c>
      <c r="H689" s="2169" t="e">
        <f t="shared" si="73"/>
        <v>#DIV/0!</v>
      </c>
    </row>
    <row r="690" spans="1:8" ht="15.75" hidden="1" thickBot="1" x14ac:dyDescent="0.25">
      <c r="A690" s="2165">
        <v>3636</v>
      </c>
      <c r="B690" s="2166">
        <v>5363</v>
      </c>
      <c r="C690" s="2166">
        <v>38500881</v>
      </c>
      <c r="D690" s="2167" t="s">
        <v>585</v>
      </c>
      <c r="E690" s="2168">
        <v>0</v>
      </c>
      <c r="F690" s="2168">
        <v>0</v>
      </c>
      <c r="G690" s="2168">
        <v>0</v>
      </c>
      <c r="H690" s="2171" t="e">
        <f t="shared" si="73"/>
        <v>#DIV/0!</v>
      </c>
    </row>
    <row r="691" spans="1:8" ht="16.5" thickTop="1" thickBot="1" x14ac:dyDescent="0.3">
      <c r="A691" s="2750" t="s">
        <v>802</v>
      </c>
      <c r="B691" s="2751"/>
      <c r="C691" s="2751"/>
      <c r="D691" s="2751"/>
      <c r="E691" s="1957">
        <f>SUM(E661:E690)</f>
        <v>0</v>
      </c>
      <c r="F691" s="1957">
        <f>SUM(F661:F690)</f>
        <v>425</v>
      </c>
      <c r="G691" s="1957">
        <f>SUM(G661:G690)</f>
        <v>425</v>
      </c>
      <c r="H691" s="1962">
        <v>0</v>
      </c>
    </row>
    <row r="692" spans="1:8" ht="13.5" thickTop="1" x14ac:dyDescent="0.2"/>
    <row r="693" spans="1:8" ht="12" customHeight="1" x14ac:dyDescent="0.25">
      <c r="A693" s="2744" t="s">
        <v>1941</v>
      </c>
      <c r="B693" s="2745"/>
      <c r="C693" s="2745"/>
      <c r="D693" s="2745"/>
      <c r="E693" s="2745"/>
      <c r="F693" s="2745"/>
      <c r="G693" s="2745"/>
      <c r="H693" s="2745"/>
    </row>
    <row r="694" spans="1:8" ht="15.75" thickBot="1" x14ac:dyDescent="0.3">
      <c r="A694" s="2132" t="s">
        <v>1942</v>
      </c>
      <c r="B694" s="2146"/>
      <c r="C694" s="2146"/>
      <c r="E694" s="2147"/>
      <c r="F694" s="2147"/>
      <c r="G694" s="2147"/>
      <c r="H694" s="2148" t="s">
        <v>173</v>
      </c>
    </row>
    <row r="695" spans="1:8" ht="25.5" thickTop="1" thickBot="1" x14ac:dyDescent="0.25">
      <c r="A695" s="1943" t="s">
        <v>174</v>
      </c>
      <c r="B695" s="1944" t="s">
        <v>800</v>
      </c>
      <c r="C695" s="1944" t="s">
        <v>397</v>
      </c>
      <c r="D695" s="1945" t="s">
        <v>176</v>
      </c>
      <c r="E695" s="1976" t="s">
        <v>669</v>
      </c>
      <c r="F695" s="1976" t="s">
        <v>670</v>
      </c>
      <c r="G695" s="1977" t="s">
        <v>923</v>
      </c>
      <c r="H695" s="1978" t="s">
        <v>924</v>
      </c>
    </row>
    <row r="696" spans="1:8" ht="14.25" thickTop="1" thickBot="1" x14ac:dyDescent="0.25">
      <c r="A696" s="1740">
        <v>1</v>
      </c>
      <c r="B696" s="1739">
        <v>2</v>
      </c>
      <c r="C696" s="1739">
        <v>3</v>
      </c>
      <c r="D696" s="1739">
        <v>4</v>
      </c>
      <c r="E696" s="1738">
        <v>5</v>
      </c>
      <c r="F696" s="1738">
        <v>6</v>
      </c>
      <c r="G696" s="2028">
        <v>7</v>
      </c>
      <c r="H696" s="2054" t="s">
        <v>61</v>
      </c>
    </row>
    <row r="697" spans="1:8" ht="15.75" hidden="1" thickTop="1" x14ac:dyDescent="0.2">
      <c r="A697" s="2160">
        <v>3636</v>
      </c>
      <c r="B697" s="2161">
        <v>5011</v>
      </c>
      <c r="C697" s="2170">
        <v>0</v>
      </c>
      <c r="D697" s="2162" t="s">
        <v>219</v>
      </c>
      <c r="E697" s="2163">
        <v>0</v>
      </c>
      <c r="F697" s="2163">
        <v>0</v>
      </c>
      <c r="G697" s="2163">
        <v>0</v>
      </c>
      <c r="H697" s="2164" t="e">
        <f t="shared" ref="H697:H704" si="74">G697/F697*100</f>
        <v>#DIV/0!</v>
      </c>
    </row>
    <row r="698" spans="1:8" ht="15.75" hidden="1" thickTop="1" x14ac:dyDescent="0.2">
      <c r="A698" s="2165">
        <v>3636</v>
      </c>
      <c r="B698" s="2166">
        <v>5011</v>
      </c>
      <c r="C698" s="2166">
        <v>38500881</v>
      </c>
      <c r="D698" s="2167" t="s">
        <v>219</v>
      </c>
      <c r="E698" s="2168">
        <v>0</v>
      </c>
      <c r="F698" s="2168">
        <v>0</v>
      </c>
      <c r="G698" s="2168">
        <v>0</v>
      </c>
      <c r="H698" s="2169" t="e">
        <f t="shared" si="74"/>
        <v>#DIV/0!</v>
      </c>
    </row>
    <row r="699" spans="1:8" ht="30.75" thickTop="1" x14ac:dyDescent="0.2">
      <c r="A699" s="2165">
        <v>3123</v>
      </c>
      <c r="B699" s="2166">
        <v>5336</v>
      </c>
      <c r="C699" s="2170">
        <v>32133019</v>
      </c>
      <c r="D699" s="2167" t="s">
        <v>1325</v>
      </c>
      <c r="E699" s="2168">
        <v>0</v>
      </c>
      <c r="F699" s="2168">
        <f>112+10</f>
        <v>122</v>
      </c>
      <c r="G699" s="2168">
        <f>57+5</f>
        <v>62</v>
      </c>
      <c r="H699" s="2169">
        <f t="shared" si="74"/>
        <v>50.819672131147541</v>
      </c>
    </row>
    <row r="700" spans="1:8" ht="15" hidden="1" x14ac:dyDescent="0.2">
      <c r="A700" s="2165">
        <v>3636</v>
      </c>
      <c r="B700" s="2166">
        <v>5021</v>
      </c>
      <c r="C700" s="2166">
        <v>38500881</v>
      </c>
      <c r="D700" s="2167" t="s">
        <v>409</v>
      </c>
      <c r="E700" s="2168"/>
      <c r="F700" s="2168"/>
      <c r="G700" s="2168"/>
      <c r="H700" s="2169" t="e">
        <f t="shared" si="74"/>
        <v>#DIV/0!</v>
      </c>
    </row>
    <row r="701" spans="1:8" ht="30" hidden="1" x14ac:dyDescent="0.2">
      <c r="A701" s="2165">
        <v>3636</v>
      </c>
      <c r="B701" s="2166">
        <v>5031</v>
      </c>
      <c r="C701" s="2166">
        <v>38100880</v>
      </c>
      <c r="D701" s="2167" t="s">
        <v>1362</v>
      </c>
      <c r="E701" s="2168"/>
      <c r="F701" s="2168"/>
      <c r="G701" s="2168"/>
      <c r="H701" s="2169" t="e">
        <f t="shared" si="74"/>
        <v>#DIV/0!</v>
      </c>
    </row>
    <row r="702" spans="1:8" ht="30" hidden="1" x14ac:dyDescent="0.2">
      <c r="A702" s="2165">
        <v>3636</v>
      </c>
      <c r="B702" s="2166">
        <v>5031</v>
      </c>
      <c r="C702" s="2166">
        <v>38500881</v>
      </c>
      <c r="D702" s="2167" t="s">
        <v>1362</v>
      </c>
      <c r="E702" s="2168"/>
      <c r="F702" s="2168"/>
      <c r="G702" s="2168"/>
      <c r="H702" s="2169" t="e">
        <f t="shared" si="74"/>
        <v>#DIV/0!</v>
      </c>
    </row>
    <row r="703" spans="1:8" ht="30" hidden="1" x14ac:dyDescent="0.2">
      <c r="A703" s="2165">
        <v>3636</v>
      </c>
      <c r="B703" s="2166">
        <v>5032</v>
      </c>
      <c r="C703" s="2166">
        <v>38100880</v>
      </c>
      <c r="D703" s="2167" t="s">
        <v>1236</v>
      </c>
      <c r="E703" s="2168"/>
      <c r="F703" s="2168"/>
      <c r="G703" s="2168"/>
      <c r="H703" s="2169" t="e">
        <f t="shared" si="74"/>
        <v>#DIV/0!</v>
      </c>
    </row>
    <row r="704" spans="1:8" ht="30" hidden="1" x14ac:dyDescent="0.2">
      <c r="A704" s="2165">
        <v>3636</v>
      </c>
      <c r="B704" s="2166">
        <v>5032</v>
      </c>
      <c r="C704" s="2166">
        <v>38500881</v>
      </c>
      <c r="D704" s="2167" t="s">
        <v>1236</v>
      </c>
      <c r="E704" s="2168"/>
      <c r="F704" s="2168"/>
      <c r="G704" s="2168"/>
      <c r="H704" s="2169" t="e">
        <f t="shared" si="74"/>
        <v>#DIV/0!</v>
      </c>
    </row>
    <row r="705" spans="1:8" ht="15" hidden="1" x14ac:dyDescent="0.2">
      <c r="A705" s="2165">
        <v>3636</v>
      </c>
      <c r="B705" s="2166">
        <v>5139</v>
      </c>
      <c r="C705" s="2166">
        <v>38100880</v>
      </c>
      <c r="D705" s="2167" t="s">
        <v>284</v>
      </c>
      <c r="E705" s="2168"/>
      <c r="F705" s="2168"/>
      <c r="G705" s="2168"/>
      <c r="H705" s="2169">
        <v>0</v>
      </c>
    </row>
    <row r="706" spans="1:8" ht="15" hidden="1" x14ac:dyDescent="0.2">
      <c r="A706" s="2165">
        <v>3636</v>
      </c>
      <c r="B706" s="2166">
        <v>5139</v>
      </c>
      <c r="C706" s="2166">
        <v>38500881</v>
      </c>
      <c r="D706" s="2167" t="s">
        <v>284</v>
      </c>
      <c r="E706" s="2168"/>
      <c r="F706" s="2168"/>
      <c r="G706" s="2168"/>
      <c r="H706" s="2169" t="e">
        <f t="shared" ref="H706:H711" si="75">G706/F706*100</f>
        <v>#DIV/0!</v>
      </c>
    </row>
    <row r="707" spans="1:8" ht="15" hidden="1" x14ac:dyDescent="0.2">
      <c r="A707" s="2165">
        <v>3636</v>
      </c>
      <c r="B707" s="2166">
        <v>5162</v>
      </c>
      <c r="C707" s="2166">
        <v>38100880</v>
      </c>
      <c r="D707" s="2167" t="s">
        <v>904</v>
      </c>
      <c r="E707" s="2168"/>
      <c r="F707" s="2168"/>
      <c r="G707" s="2168"/>
      <c r="H707" s="2169" t="e">
        <f t="shared" si="75"/>
        <v>#DIV/0!</v>
      </c>
    </row>
    <row r="708" spans="1:8" ht="15" hidden="1" x14ac:dyDescent="0.2">
      <c r="A708" s="2165">
        <v>3636</v>
      </c>
      <c r="B708" s="2166">
        <v>5162</v>
      </c>
      <c r="C708" s="2166">
        <v>38500881</v>
      </c>
      <c r="D708" s="2167" t="s">
        <v>904</v>
      </c>
      <c r="E708" s="2168"/>
      <c r="F708" s="2168"/>
      <c r="G708" s="2168"/>
      <c r="H708" s="2169" t="e">
        <f t="shared" si="75"/>
        <v>#DIV/0!</v>
      </c>
    </row>
    <row r="709" spans="1:8" ht="15" hidden="1" x14ac:dyDescent="0.2">
      <c r="A709" s="2165">
        <v>3636</v>
      </c>
      <c r="B709" s="2166">
        <v>5164</v>
      </c>
      <c r="C709" s="2166">
        <v>38100880</v>
      </c>
      <c r="D709" s="2167" t="s">
        <v>182</v>
      </c>
      <c r="E709" s="2168"/>
      <c r="F709" s="2168"/>
      <c r="G709" s="2168"/>
      <c r="H709" s="2169" t="e">
        <f t="shared" si="75"/>
        <v>#DIV/0!</v>
      </c>
    </row>
    <row r="710" spans="1:8" ht="15" hidden="1" x14ac:dyDescent="0.2">
      <c r="A710" s="2165">
        <v>3636</v>
      </c>
      <c r="B710" s="2166">
        <v>5164</v>
      </c>
      <c r="C710" s="2166">
        <v>38500881</v>
      </c>
      <c r="D710" s="2167" t="s">
        <v>182</v>
      </c>
      <c r="E710" s="2168"/>
      <c r="F710" s="2168"/>
      <c r="G710" s="2168"/>
      <c r="H710" s="2169" t="e">
        <f t="shared" si="75"/>
        <v>#DIV/0!</v>
      </c>
    </row>
    <row r="711" spans="1:8" ht="30.75" thickBot="1" x14ac:dyDescent="0.25">
      <c r="A711" s="2165">
        <v>3123</v>
      </c>
      <c r="B711" s="2166">
        <v>5336</v>
      </c>
      <c r="C711" s="2170">
        <v>32533019</v>
      </c>
      <c r="D711" s="2167" t="s">
        <v>1325</v>
      </c>
      <c r="E711" s="2168">
        <v>0</v>
      </c>
      <c r="F711" s="2168">
        <f>634+54</f>
        <v>688</v>
      </c>
      <c r="G711" s="2168">
        <f>327+28</f>
        <v>355</v>
      </c>
      <c r="H711" s="2169">
        <f t="shared" si="75"/>
        <v>51.598837209302332</v>
      </c>
    </row>
    <row r="712" spans="1:8" ht="15.75" hidden="1" thickBot="1" x14ac:dyDescent="0.25">
      <c r="A712" s="2165">
        <v>6223</v>
      </c>
      <c r="B712" s="2166">
        <v>5166</v>
      </c>
      <c r="C712" s="2166">
        <v>41100880</v>
      </c>
      <c r="D712" s="2167" t="s">
        <v>646</v>
      </c>
      <c r="E712" s="2168"/>
      <c r="F712" s="2168"/>
      <c r="G712" s="2168"/>
      <c r="H712" s="2169" t="e">
        <f t="shared" ref="H712:H718" si="76">G712/F712*100</f>
        <v>#DIV/0!</v>
      </c>
    </row>
    <row r="713" spans="1:8" ht="15.75" hidden="1" thickBot="1" x14ac:dyDescent="0.25">
      <c r="A713" s="2165">
        <v>6223</v>
      </c>
      <c r="B713" s="2166">
        <v>5166</v>
      </c>
      <c r="C713" s="2166">
        <v>41100882</v>
      </c>
      <c r="D713" s="2167" t="s">
        <v>646</v>
      </c>
      <c r="E713" s="2168"/>
      <c r="F713" s="2168"/>
      <c r="G713" s="2168"/>
      <c r="H713" s="2169" t="e">
        <f t="shared" si="76"/>
        <v>#DIV/0!</v>
      </c>
    </row>
    <row r="714" spans="1:8" ht="15.75" hidden="1" thickBot="1" x14ac:dyDescent="0.25">
      <c r="A714" s="2165">
        <v>6223</v>
      </c>
      <c r="B714" s="2166">
        <v>5166</v>
      </c>
      <c r="C714" s="2166">
        <v>41500881</v>
      </c>
      <c r="D714" s="2167" t="s">
        <v>646</v>
      </c>
      <c r="E714" s="2168"/>
      <c r="F714" s="2168"/>
      <c r="G714" s="2168"/>
      <c r="H714" s="2169" t="e">
        <f t="shared" si="76"/>
        <v>#DIV/0!</v>
      </c>
    </row>
    <row r="715" spans="1:8" ht="15.75" hidden="1" thickBot="1" x14ac:dyDescent="0.25">
      <c r="A715" s="2165">
        <v>3636</v>
      </c>
      <c r="B715" s="2166">
        <v>5167</v>
      </c>
      <c r="C715" s="2166">
        <v>38100880</v>
      </c>
      <c r="D715" s="2167" t="s">
        <v>937</v>
      </c>
      <c r="E715" s="2168"/>
      <c r="F715" s="2168"/>
      <c r="G715" s="2168"/>
      <c r="H715" s="2169" t="e">
        <f t="shared" si="76"/>
        <v>#DIV/0!</v>
      </c>
    </row>
    <row r="716" spans="1:8" ht="15.75" hidden="1" thickBot="1" x14ac:dyDescent="0.25">
      <c r="A716" s="2165">
        <v>3636</v>
      </c>
      <c r="B716" s="2166">
        <v>5167</v>
      </c>
      <c r="C716" s="2166">
        <v>38500881</v>
      </c>
      <c r="D716" s="2167" t="s">
        <v>937</v>
      </c>
      <c r="E716" s="2168"/>
      <c r="F716" s="2168"/>
      <c r="G716" s="2168"/>
      <c r="H716" s="2169" t="e">
        <f t="shared" si="76"/>
        <v>#DIV/0!</v>
      </c>
    </row>
    <row r="717" spans="1:8" ht="15.75" hidden="1" thickBot="1" x14ac:dyDescent="0.25">
      <c r="A717" s="2165">
        <v>3636</v>
      </c>
      <c r="B717" s="2166">
        <v>5169</v>
      </c>
      <c r="C717" s="2166">
        <v>38100880</v>
      </c>
      <c r="D717" s="2167" t="s">
        <v>892</v>
      </c>
      <c r="E717" s="2168"/>
      <c r="F717" s="2168"/>
      <c r="G717" s="2168"/>
      <c r="H717" s="2169" t="e">
        <f t="shared" si="76"/>
        <v>#DIV/0!</v>
      </c>
    </row>
    <row r="718" spans="1:8" ht="15.75" hidden="1" thickBot="1" x14ac:dyDescent="0.25">
      <c r="A718" s="2165">
        <v>3636</v>
      </c>
      <c r="B718" s="2166">
        <v>5169</v>
      </c>
      <c r="C718" s="2166">
        <v>38500881</v>
      </c>
      <c r="D718" s="2167" t="s">
        <v>892</v>
      </c>
      <c r="E718" s="2168"/>
      <c r="F718" s="2168"/>
      <c r="G718" s="2168"/>
      <c r="H718" s="2169" t="e">
        <f t="shared" si="76"/>
        <v>#DIV/0!</v>
      </c>
    </row>
    <row r="719" spans="1:8" ht="15.75" hidden="1" thickBot="1" x14ac:dyDescent="0.25">
      <c r="A719" s="2165">
        <v>6223</v>
      </c>
      <c r="B719" s="2166">
        <v>5173</v>
      </c>
      <c r="C719" s="2170">
        <v>0</v>
      </c>
      <c r="D719" s="2167" t="s">
        <v>1211</v>
      </c>
      <c r="E719" s="2168"/>
      <c r="F719" s="2168"/>
      <c r="G719" s="2168"/>
      <c r="H719" s="2169">
        <v>0</v>
      </c>
    </row>
    <row r="720" spans="1:8" ht="15.75" hidden="1" thickBot="1" x14ac:dyDescent="0.25">
      <c r="A720" s="2165">
        <v>3636</v>
      </c>
      <c r="B720" s="2166">
        <v>5173</v>
      </c>
      <c r="C720" s="2166">
        <v>38500881</v>
      </c>
      <c r="D720" s="2167" t="s">
        <v>1211</v>
      </c>
      <c r="E720" s="2168">
        <v>0</v>
      </c>
      <c r="F720" s="2168"/>
      <c r="G720" s="2168"/>
      <c r="H720" s="2169" t="e">
        <f t="shared" ref="H720:H726" si="77">G720/F720*100</f>
        <v>#DIV/0!</v>
      </c>
    </row>
    <row r="721" spans="1:8" ht="15.75" hidden="1" thickBot="1" x14ac:dyDescent="0.25">
      <c r="A721" s="2165">
        <v>3636</v>
      </c>
      <c r="B721" s="2166">
        <v>5175</v>
      </c>
      <c r="C721" s="2166">
        <v>38100880</v>
      </c>
      <c r="D721" s="2167" t="s">
        <v>707</v>
      </c>
      <c r="E721" s="2168">
        <v>0</v>
      </c>
      <c r="F721" s="2168"/>
      <c r="G721" s="2168"/>
      <c r="H721" s="2169" t="e">
        <f t="shared" si="77"/>
        <v>#DIV/0!</v>
      </c>
    </row>
    <row r="722" spans="1:8" ht="15.75" hidden="1" thickBot="1" x14ac:dyDescent="0.25">
      <c r="A722" s="2165">
        <v>3636</v>
      </c>
      <c r="B722" s="2166">
        <v>5175</v>
      </c>
      <c r="C722" s="2166">
        <v>38500881</v>
      </c>
      <c r="D722" s="2167" t="s">
        <v>707</v>
      </c>
      <c r="E722" s="2168">
        <v>0</v>
      </c>
      <c r="F722" s="2168"/>
      <c r="G722" s="2168"/>
      <c r="H722" s="2169" t="e">
        <f t="shared" si="77"/>
        <v>#DIV/0!</v>
      </c>
    </row>
    <row r="723" spans="1:8" ht="15.75" hidden="1" thickBot="1" x14ac:dyDescent="0.25">
      <c r="A723" s="2165">
        <v>3636</v>
      </c>
      <c r="B723" s="2166">
        <v>5176</v>
      </c>
      <c r="C723" s="2166">
        <v>38100880</v>
      </c>
      <c r="D723" s="2167" t="s">
        <v>1309</v>
      </c>
      <c r="E723" s="2168">
        <v>0</v>
      </c>
      <c r="F723" s="2168"/>
      <c r="G723" s="2168"/>
      <c r="H723" s="2169" t="e">
        <f t="shared" si="77"/>
        <v>#DIV/0!</v>
      </c>
    </row>
    <row r="724" spans="1:8" ht="15.75" hidden="1" thickBot="1" x14ac:dyDescent="0.25">
      <c r="A724" s="2165">
        <v>3636</v>
      </c>
      <c r="B724" s="2166">
        <v>5176</v>
      </c>
      <c r="C724" s="2166">
        <v>38500881</v>
      </c>
      <c r="D724" s="2167" t="s">
        <v>1309</v>
      </c>
      <c r="E724" s="2168">
        <v>0</v>
      </c>
      <c r="F724" s="2168"/>
      <c r="G724" s="2168"/>
      <c r="H724" s="2169" t="e">
        <f t="shared" si="77"/>
        <v>#DIV/0!</v>
      </c>
    </row>
    <row r="725" spans="1:8" ht="15.75" hidden="1" thickBot="1" x14ac:dyDescent="0.25">
      <c r="A725" s="2165">
        <v>3636</v>
      </c>
      <c r="B725" s="2166">
        <v>6901</v>
      </c>
      <c r="C725" s="2166">
        <v>38100880</v>
      </c>
      <c r="D725" s="2167" t="s">
        <v>449</v>
      </c>
      <c r="E725" s="2168">
        <v>0</v>
      </c>
      <c r="F725" s="2168">
        <v>0</v>
      </c>
      <c r="G725" s="2168">
        <v>0</v>
      </c>
      <c r="H725" s="2169" t="e">
        <f t="shared" si="77"/>
        <v>#DIV/0!</v>
      </c>
    </row>
    <row r="726" spans="1:8" ht="15.75" hidden="1" thickBot="1" x14ac:dyDescent="0.25">
      <c r="A726" s="2165">
        <v>3636</v>
      </c>
      <c r="B726" s="2166">
        <v>5363</v>
      </c>
      <c r="C726" s="2166">
        <v>38500881</v>
      </c>
      <c r="D726" s="2167" t="s">
        <v>585</v>
      </c>
      <c r="E726" s="2168">
        <v>0</v>
      </c>
      <c r="F726" s="2168">
        <v>0</v>
      </c>
      <c r="G726" s="2168">
        <v>0</v>
      </c>
      <c r="H726" s="2171" t="e">
        <f t="shared" si="77"/>
        <v>#DIV/0!</v>
      </c>
    </row>
    <row r="727" spans="1:8" ht="16.5" thickTop="1" thickBot="1" x14ac:dyDescent="0.3">
      <c r="A727" s="2750" t="s">
        <v>802</v>
      </c>
      <c r="B727" s="2751"/>
      <c r="C727" s="2751"/>
      <c r="D727" s="2751"/>
      <c r="E727" s="1957">
        <f>SUM(E697:E726)</f>
        <v>0</v>
      </c>
      <c r="F727" s="1957">
        <f>SUM(F697:F726)</f>
        <v>810</v>
      </c>
      <c r="G727" s="1957">
        <f>SUM(G697:G726)</f>
        <v>417</v>
      </c>
      <c r="H727" s="1962">
        <v>0</v>
      </c>
    </row>
    <row r="728" spans="1:8" ht="13.5" thickTop="1" x14ac:dyDescent="0.2"/>
    <row r="729" spans="1:8" ht="12" customHeight="1" x14ac:dyDescent="0.25">
      <c r="A729" s="2744" t="s">
        <v>1752</v>
      </c>
      <c r="B729" s="2745"/>
      <c r="C729" s="2745"/>
      <c r="D729" s="2745"/>
      <c r="E729" s="2745"/>
      <c r="F729" s="2745"/>
      <c r="G729" s="2745"/>
      <c r="H729" s="2745"/>
    </row>
    <row r="730" spans="1:8" ht="15.75" thickBot="1" x14ac:dyDescent="0.3">
      <c r="A730" s="2132" t="s">
        <v>908</v>
      </c>
      <c r="B730" s="2146"/>
      <c r="C730" s="2146"/>
      <c r="E730" s="2147"/>
      <c r="F730" s="2147"/>
      <c r="G730" s="2147"/>
      <c r="H730" s="2148" t="s">
        <v>173</v>
      </c>
    </row>
    <row r="731" spans="1:8" ht="25.5" thickTop="1" thickBot="1" x14ac:dyDescent="0.25">
      <c r="A731" s="1943" t="s">
        <v>174</v>
      </c>
      <c r="B731" s="1944" t="s">
        <v>800</v>
      </c>
      <c r="C731" s="1944" t="s">
        <v>397</v>
      </c>
      <c r="D731" s="1945" t="s">
        <v>176</v>
      </c>
      <c r="E731" s="1976" t="s">
        <v>669</v>
      </c>
      <c r="F731" s="1976" t="s">
        <v>670</v>
      </c>
      <c r="G731" s="1977" t="s">
        <v>923</v>
      </c>
      <c r="H731" s="1978" t="s">
        <v>924</v>
      </c>
    </row>
    <row r="732" spans="1:8" ht="14.25" thickTop="1" thickBot="1" x14ac:dyDescent="0.25">
      <c r="A732" s="1740">
        <v>1</v>
      </c>
      <c r="B732" s="1739">
        <v>2</v>
      </c>
      <c r="C732" s="1739">
        <v>3</v>
      </c>
      <c r="D732" s="1739">
        <v>4</v>
      </c>
      <c r="E732" s="1738">
        <v>5</v>
      </c>
      <c r="F732" s="1738">
        <v>6</v>
      </c>
      <c r="G732" s="2028">
        <v>7</v>
      </c>
      <c r="H732" s="2054" t="s">
        <v>61</v>
      </c>
    </row>
    <row r="733" spans="1:8" ht="15.75" hidden="1" thickTop="1" x14ac:dyDescent="0.2">
      <c r="A733" s="2160">
        <v>3636</v>
      </c>
      <c r="B733" s="2161">
        <v>5011</v>
      </c>
      <c r="C733" s="2170">
        <v>0</v>
      </c>
      <c r="D733" s="2162" t="s">
        <v>219</v>
      </c>
      <c r="E733" s="2163">
        <v>0</v>
      </c>
      <c r="F733" s="2163">
        <v>0</v>
      </c>
      <c r="G733" s="2163">
        <v>0</v>
      </c>
      <c r="H733" s="2164" t="e">
        <f t="shared" ref="H733:H740" si="78">G733/F733*100</f>
        <v>#DIV/0!</v>
      </c>
    </row>
    <row r="734" spans="1:8" ht="15.75" hidden="1" thickTop="1" x14ac:dyDescent="0.2">
      <c r="A734" s="2165">
        <v>3636</v>
      </c>
      <c r="B734" s="2166">
        <v>5011</v>
      </c>
      <c r="C734" s="2166">
        <v>38500881</v>
      </c>
      <c r="D734" s="2167" t="s">
        <v>219</v>
      </c>
      <c r="E734" s="2168">
        <v>0</v>
      </c>
      <c r="F734" s="2168">
        <v>0</v>
      </c>
      <c r="G734" s="2168">
        <v>0</v>
      </c>
      <c r="H734" s="2169" t="e">
        <f t="shared" si="78"/>
        <v>#DIV/0!</v>
      </c>
    </row>
    <row r="735" spans="1:8" ht="30.75" thickTop="1" x14ac:dyDescent="0.2">
      <c r="A735" s="2165">
        <v>3123</v>
      </c>
      <c r="B735" s="2166">
        <v>5336</v>
      </c>
      <c r="C735" s="2170">
        <v>32133019</v>
      </c>
      <c r="D735" s="2167" t="s">
        <v>1325</v>
      </c>
      <c r="E735" s="2168">
        <v>0</v>
      </c>
      <c r="F735" s="2168">
        <f>78+7</f>
        <v>85</v>
      </c>
      <c r="G735" s="2168">
        <f>56+4</f>
        <v>60</v>
      </c>
      <c r="H735" s="2169">
        <f t="shared" si="78"/>
        <v>70.588235294117652</v>
      </c>
    </row>
    <row r="736" spans="1:8" ht="15" hidden="1" x14ac:dyDescent="0.2">
      <c r="A736" s="2165">
        <v>3636</v>
      </c>
      <c r="B736" s="2166">
        <v>5021</v>
      </c>
      <c r="C736" s="2166">
        <v>38500881</v>
      </c>
      <c r="D736" s="2167" t="s">
        <v>409</v>
      </c>
      <c r="E736" s="2168"/>
      <c r="F736" s="2168"/>
      <c r="G736" s="2168"/>
      <c r="H736" s="2169" t="e">
        <f t="shared" si="78"/>
        <v>#DIV/0!</v>
      </c>
    </row>
    <row r="737" spans="1:8" ht="30" hidden="1" x14ac:dyDescent="0.2">
      <c r="A737" s="2165">
        <v>3636</v>
      </c>
      <c r="B737" s="2166">
        <v>5031</v>
      </c>
      <c r="C737" s="2166">
        <v>38100880</v>
      </c>
      <c r="D737" s="2167" t="s">
        <v>1362</v>
      </c>
      <c r="E737" s="2168"/>
      <c r="F737" s="2168"/>
      <c r="G737" s="2168"/>
      <c r="H737" s="2169" t="e">
        <f t="shared" si="78"/>
        <v>#DIV/0!</v>
      </c>
    </row>
    <row r="738" spans="1:8" ht="30" hidden="1" x14ac:dyDescent="0.2">
      <c r="A738" s="2165">
        <v>3636</v>
      </c>
      <c r="B738" s="2166">
        <v>5031</v>
      </c>
      <c r="C738" s="2166">
        <v>38500881</v>
      </c>
      <c r="D738" s="2167" t="s">
        <v>1362</v>
      </c>
      <c r="E738" s="2168"/>
      <c r="F738" s="2168"/>
      <c r="G738" s="2168"/>
      <c r="H738" s="2169" t="e">
        <f t="shared" si="78"/>
        <v>#DIV/0!</v>
      </c>
    </row>
    <row r="739" spans="1:8" ht="30" hidden="1" x14ac:dyDescent="0.2">
      <c r="A739" s="2165">
        <v>3636</v>
      </c>
      <c r="B739" s="2166">
        <v>5032</v>
      </c>
      <c r="C739" s="2166">
        <v>38100880</v>
      </c>
      <c r="D739" s="2167" t="s">
        <v>1236</v>
      </c>
      <c r="E739" s="2168"/>
      <c r="F739" s="2168"/>
      <c r="G739" s="2168"/>
      <c r="H739" s="2169" t="e">
        <f t="shared" si="78"/>
        <v>#DIV/0!</v>
      </c>
    </row>
    <row r="740" spans="1:8" ht="30" hidden="1" x14ac:dyDescent="0.2">
      <c r="A740" s="2165">
        <v>3636</v>
      </c>
      <c r="B740" s="2166">
        <v>5032</v>
      </c>
      <c r="C740" s="2166">
        <v>38500881</v>
      </c>
      <c r="D740" s="2167" t="s">
        <v>1236</v>
      </c>
      <c r="E740" s="2168"/>
      <c r="F740" s="2168"/>
      <c r="G740" s="2168"/>
      <c r="H740" s="2169" t="e">
        <f t="shared" si="78"/>
        <v>#DIV/0!</v>
      </c>
    </row>
    <row r="741" spans="1:8" ht="15" hidden="1" x14ac:dyDescent="0.2">
      <c r="A741" s="2165">
        <v>3636</v>
      </c>
      <c r="B741" s="2166">
        <v>5139</v>
      </c>
      <c r="C741" s="2166">
        <v>38100880</v>
      </c>
      <c r="D741" s="2167" t="s">
        <v>284</v>
      </c>
      <c r="E741" s="2168"/>
      <c r="F741" s="2168"/>
      <c r="G741" s="2168"/>
      <c r="H741" s="2169">
        <v>0</v>
      </c>
    </row>
    <row r="742" spans="1:8" ht="15" hidden="1" x14ac:dyDescent="0.2">
      <c r="A742" s="2165">
        <v>3636</v>
      </c>
      <c r="B742" s="2166">
        <v>5139</v>
      </c>
      <c r="C742" s="2166">
        <v>38500881</v>
      </c>
      <c r="D742" s="2167" t="s">
        <v>284</v>
      </c>
      <c r="E742" s="2168"/>
      <c r="F742" s="2168"/>
      <c r="G742" s="2168"/>
      <c r="H742" s="2169" t="e">
        <f t="shared" ref="H742:H747" si="79">G742/F742*100</f>
        <v>#DIV/0!</v>
      </c>
    </row>
    <row r="743" spans="1:8" ht="15" hidden="1" x14ac:dyDescent="0.2">
      <c r="A743" s="2165">
        <v>3636</v>
      </c>
      <c r="B743" s="2166">
        <v>5162</v>
      </c>
      <c r="C743" s="2166">
        <v>38100880</v>
      </c>
      <c r="D743" s="2167" t="s">
        <v>904</v>
      </c>
      <c r="E743" s="2168"/>
      <c r="F743" s="2168"/>
      <c r="G743" s="2168"/>
      <c r="H743" s="2169" t="e">
        <f t="shared" si="79"/>
        <v>#DIV/0!</v>
      </c>
    </row>
    <row r="744" spans="1:8" ht="15" hidden="1" x14ac:dyDescent="0.2">
      <c r="A744" s="2165">
        <v>3636</v>
      </c>
      <c r="B744" s="2166">
        <v>5162</v>
      </c>
      <c r="C744" s="2166">
        <v>38500881</v>
      </c>
      <c r="D744" s="2167" t="s">
        <v>904</v>
      </c>
      <c r="E744" s="2168"/>
      <c r="F744" s="2168"/>
      <c r="G744" s="2168"/>
      <c r="H744" s="2169" t="e">
        <f t="shared" si="79"/>
        <v>#DIV/0!</v>
      </c>
    </row>
    <row r="745" spans="1:8" ht="15" hidden="1" x14ac:dyDescent="0.2">
      <c r="A745" s="2165">
        <v>3636</v>
      </c>
      <c r="B745" s="2166">
        <v>5164</v>
      </c>
      <c r="C745" s="2166">
        <v>38100880</v>
      </c>
      <c r="D745" s="2167" t="s">
        <v>182</v>
      </c>
      <c r="E745" s="2168"/>
      <c r="F745" s="2168"/>
      <c r="G745" s="2168"/>
      <c r="H745" s="2169" t="e">
        <f t="shared" si="79"/>
        <v>#DIV/0!</v>
      </c>
    </row>
    <row r="746" spans="1:8" ht="15" hidden="1" x14ac:dyDescent="0.2">
      <c r="A746" s="2165">
        <v>3636</v>
      </c>
      <c r="B746" s="2166">
        <v>5164</v>
      </c>
      <c r="C746" s="2166">
        <v>38500881</v>
      </c>
      <c r="D746" s="2167" t="s">
        <v>182</v>
      </c>
      <c r="E746" s="2168"/>
      <c r="F746" s="2168"/>
      <c r="G746" s="2168"/>
      <c r="H746" s="2169" t="e">
        <f t="shared" si="79"/>
        <v>#DIV/0!</v>
      </c>
    </row>
    <row r="747" spans="1:8" ht="30" x14ac:dyDescent="0.2">
      <c r="A747" s="2165">
        <v>3123</v>
      </c>
      <c r="B747" s="2166">
        <v>5336</v>
      </c>
      <c r="C747" s="2170">
        <v>32533019</v>
      </c>
      <c r="D747" s="2167" t="s">
        <v>1325</v>
      </c>
      <c r="E747" s="2168">
        <v>0</v>
      </c>
      <c r="F747" s="2168">
        <f>38+443</f>
        <v>481</v>
      </c>
      <c r="G747" s="2168">
        <f>319+27</f>
        <v>346</v>
      </c>
      <c r="H747" s="2169">
        <f t="shared" si="79"/>
        <v>71.933471933471935</v>
      </c>
    </row>
    <row r="748" spans="1:8" ht="15" hidden="1" x14ac:dyDescent="0.2">
      <c r="A748" s="2165">
        <v>3123</v>
      </c>
      <c r="B748" s="2166">
        <v>5166</v>
      </c>
      <c r="C748" s="2166">
        <v>41100880</v>
      </c>
      <c r="D748" s="2167" t="s">
        <v>646</v>
      </c>
      <c r="E748" s="2168"/>
      <c r="F748" s="2168"/>
      <c r="G748" s="2168"/>
      <c r="H748" s="2169" t="e">
        <f t="shared" ref="H748:H754" si="80">G748/F748*100</f>
        <v>#DIV/0!</v>
      </c>
    </row>
    <row r="749" spans="1:8" ht="15" hidden="1" x14ac:dyDescent="0.2">
      <c r="A749" s="2165">
        <v>3123</v>
      </c>
      <c r="B749" s="2166">
        <v>5166</v>
      </c>
      <c r="C749" s="2166">
        <v>41100882</v>
      </c>
      <c r="D749" s="2167" t="s">
        <v>646</v>
      </c>
      <c r="E749" s="2168"/>
      <c r="F749" s="2168"/>
      <c r="G749" s="2168"/>
      <c r="H749" s="2169" t="e">
        <f t="shared" si="80"/>
        <v>#DIV/0!</v>
      </c>
    </row>
    <row r="750" spans="1:8" ht="15" hidden="1" x14ac:dyDescent="0.2">
      <c r="A750" s="2165">
        <v>3123</v>
      </c>
      <c r="B750" s="2166">
        <v>5166</v>
      </c>
      <c r="C750" s="2166">
        <v>41500881</v>
      </c>
      <c r="D750" s="2167" t="s">
        <v>646</v>
      </c>
      <c r="E750" s="2168"/>
      <c r="F750" s="2168"/>
      <c r="G750" s="2168"/>
      <c r="H750" s="2169" t="e">
        <f t="shared" si="80"/>
        <v>#DIV/0!</v>
      </c>
    </row>
    <row r="751" spans="1:8" ht="15" hidden="1" x14ac:dyDescent="0.2">
      <c r="A751" s="2165">
        <v>3123</v>
      </c>
      <c r="B751" s="2166">
        <v>5167</v>
      </c>
      <c r="C751" s="2166">
        <v>38100880</v>
      </c>
      <c r="D751" s="2167" t="s">
        <v>937</v>
      </c>
      <c r="E751" s="2168"/>
      <c r="F751" s="2168"/>
      <c r="G751" s="2168"/>
      <c r="H751" s="2169" t="e">
        <f t="shared" si="80"/>
        <v>#DIV/0!</v>
      </c>
    </row>
    <row r="752" spans="1:8" ht="15" hidden="1" x14ac:dyDescent="0.2">
      <c r="A752" s="2165">
        <v>3123</v>
      </c>
      <c r="B752" s="2166">
        <v>5167</v>
      </c>
      <c r="C752" s="2166">
        <v>38500881</v>
      </c>
      <c r="D752" s="2167" t="s">
        <v>937</v>
      </c>
      <c r="E752" s="2168"/>
      <c r="F752" s="2168"/>
      <c r="G752" s="2168"/>
      <c r="H752" s="2169" t="e">
        <f t="shared" si="80"/>
        <v>#DIV/0!</v>
      </c>
    </row>
    <row r="753" spans="1:8" ht="15" hidden="1" x14ac:dyDescent="0.2">
      <c r="A753" s="2165">
        <v>3123</v>
      </c>
      <c r="B753" s="2166">
        <v>5169</v>
      </c>
      <c r="C753" s="2166">
        <v>38100880</v>
      </c>
      <c r="D753" s="2167" t="s">
        <v>892</v>
      </c>
      <c r="E753" s="2168"/>
      <c r="F753" s="2168"/>
      <c r="G753" s="2168"/>
      <c r="H753" s="2169" t="e">
        <f t="shared" si="80"/>
        <v>#DIV/0!</v>
      </c>
    </row>
    <row r="754" spans="1:8" ht="15" hidden="1" x14ac:dyDescent="0.2">
      <c r="A754" s="2165">
        <v>3123</v>
      </c>
      <c r="B754" s="2166">
        <v>5169</v>
      </c>
      <c r="C754" s="2166">
        <v>38500881</v>
      </c>
      <c r="D754" s="2167" t="s">
        <v>892</v>
      </c>
      <c r="E754" s="2168"/>
      <c r="F754" s="2168"/>
      <c r="G754" s="2168"/>
      <c r="H754" s="2169" t="e">
        <f t="shared" si="80"/>
        <v>#DIV/0!</v>
      </c>
    </row>
    <row r="755" spans="1:8" ht="15" hidden="1" x14ac:dyDescent="0.2">
      <c r="A755" s="2165">
        <v>3123</v>
      </c>
      <c r="B755" s="2166">
        <v>5173</v>
      </c>
      <c r="C755" s="2170">
        <v>0</v>
      </c>
      <c r="D755" s="2167" t="s">
        <v>1211</v>
      </c>
      <c r="E755" s="2168"/>
      <c r="F755" s="2168"/>
      <c r="G755" s="2168"/>
      <c r="H755" s="2169">
        <v>0</v>
      </c>
    </row>
    <row r="756" spans="1:8" ht="15" hidden="1" x14ac:dyDescent="0.2">
      <c r="A756" s="2165">
        <v>3123</v>
      </c>
      <c r="B756" s="2166">
        <v>5173</v>
      </c>
      <c r="C756" s="2166">
        <v>38500881</v>
      </c>
      <c r="D756" s="2167" t="s">
        <v>1211</v>
      </c>
      <c r="E756" s="2168">
        <v>0</v>
      </c>
      <c r="F756" s="2168"/>
      <c r="G756" s="2168"/>
      <c r="H756" s="2169" t="e">
        <f t="shared" ref="H756:H762" si="81">G756/F756*100</f>
        <v>#DIV/0!</v>
      </c>
    </row>
    <row r="757" spans="1:8" ht="15" hidden="1" x14ac:dyDescent="0.2">
      <c r="A757" s="2165">
        <v>3123</v>
      </c>
      <c r="B757" s="2166">
        <v>5175</v>
      </c>
      <c r="C757" s="2166">
        <v>38100880</v>
      </c>
      <c r="D757" s="2167" t="s">
        <v>707</v>
      </c>
      <c r="E757" s="2168">
        <v>0</v>
      </c>
      <c r="F757" s="2168"/>
      <c r="G757" s="2168"/>
      <c r="H757" s="2169" t="e">
        <f t="shared" si="81"/>
        <v>#DIV/0!</v>
      </c>
    </row>
    <row r="758" spans="1:8" ht="15" hidden="1" x14ac:dyDescent="0.2">
      <c r="A758" s="2165">
        <v>3123</v>
      </c>
      <c r="B758" s="2166">
        <v>5175</v>
      </c>
      <c r="C758" s="2166">
        <v>38500881</v>
      </c>
      <c r="D758" s="2167" t="s">
        <v>707</v>
      </c>
      <c r="E758" s="2168">
        <v>0</v>
      </c>
      <c r="F758" s="2168"/>
      <c r="G758" s="2168"/>
      <c r="H758" s="2169" t="e">
        <f t="shared" si="81"/>
        <v>#DIV/0!</v>
      </c>
    </row>
    <row r="759" spans="1:8" ht="15" hidden="1" x14ac:dyDescent="0.2">
      <c r="A759" s="2165">
        <v>3123</v>
      </c>
      <c r="B759" s="2166">
        <v>5176</v>
      </c>
      <c r="C759" s="2166">
        <v>38100880</v>
      </c>
      <c r="D759" s="2167" t="s">
        <v>1309</v>
      </c>
      <c r="E759" s="2168">
        <v>0</v>
      </c>
      <c r="F759" s="2168"/>
      <c r="G759" s="2168"/>
      <c r="H759" s="2169" t="e">
        <f t="shared" si="81"/>
        <v>#DIV/0!</v>
      </c>
    </row>
    <row r="760" spans="1:8" ht="15" hidden="1" x14ac:dyDescent="0.2">
      <c r="A760" s="2165">
        <v>3123</v>
      </c>
      <c r="B760" s="2166">
        <v>5176</v>
      </c>
      <c r="C760" s="2166">
        <v>38500881</v>
      </c>
      <c r="D760" s="2167" t="s">
        <v>1309</v>
      </c>
      <c r="E760" s="2168">
        <v>0</v>
      </c>
      <c r="F760" s="2168"/>
      <c r="G760" s="2168"/>
      <c r="H760" s="2169" t="e">
        <f t="shared" si="81"/>
        <v>#DIV/0!</v>
      </c>
    </row>
    <row r="761" spans="1:8" ht="30" x14ac:dyDescent="0.2">
      <c r="A761" s="2165">
        <v>3123</v>
      </c>
      <c r="B761" s="2166">
        <v>6356</v>
      </c>
      <c r="C761" s="2166">
        <v>32133910</v>
      </c>
      <c r="D761" s="2167" t="s">
        <v>1927</v>
      </c>
      <c r="E761" s="2168">
        <v>0</v>
      </c>
      <c r="F761" s="2168">
        <v>104</v>
      </c>
      <c r="G761" s="2168">
        <v>0</v>
      </c>
      <c r="H761" s="2169">
        <f t="shared" si="81"/>
        <v>0</v>
      </c>
    </row>
    <row r="762" spans="1:8" ht="30.75" thickBot="1" x14ac:dyDescent="0.25">
      <c r="A762" s="2165">
        <v>3123</v>
      </c>
      <c r="B762" s="2166">
        <v>6356</v>
      </c>
      <c r="C762" s="2166">
        <v>32533910</v>
      </c>
      <c r="D762" s="2167" t="s">
        <v>1927</v>
      </c>
      <c r="E762" s="2168">
        <v>0</v>
      </c>
      <c r="F762" s="2168">
        <v>588</v>
      </c>
      <c r="G762" s="2168">
        <v>0</v>
      </c>
      <c r="H762" s="2171">
        <f t="shared" si="81"/>
        <v>0</v>
      </c>
    </row>
    <row r="763" spans="1:8" ht="16.5" thickTop="1" thickBot="1" x14ac:dyDescent="0.3">
      <c r="A763" s="2750" t="s">
        <v>802</v>
      </c>
      <c r="B763" s="2751"/>
      <c r="C763" s="2751"/>
      <c r="D763" s="2751"/>
      <c r="E763" s="1957">
        <f>SUM(E733:E762)</f>
        <v>0</v>
      </c>
      <c r="F763" s="1957">
        <f>SUM(F733:F762)</f>
        <v>1258</v>
      </c>
      <c r="G763" s="1957">
        <f>SUM(G733:G762)</f>
        <v>406</v>
      </c>
      <c r="H763" s="1962">
        <v>0</v>
      </c>
    </row>
    <row r="764" spans="1:8" ht="13.5" thickTop="1" x14ac:dyDescent="0.2"/>
    <row r="765" spans="1:8" ht="12" customHeight="1" x14ac:dyDescent="0.25">
      <c r="A765" s="2744" t="s">
        <v>1943</v>
      </c>
      <c r="B765" s="2745"/>
      <c r="C765" s="2745"/>
      <c r="D765" s="2745"/>
      <c r="E765" s="2745"/>
      <c r="F765" s="2745"/>
      <c r="G765" s="2745"/>
      <c r="H765" s="2745"/>
    </row>
    <row r="766" spans="1:8" ht="15.75" thickBot="1" x14ac:dyDescent="0.3">
      <c r="A766" s="2132" t="s">
        <v>1944</v>
      </c>
      <c r="B766" s="2146"/>
      <c r="C766" s="2146"/>
      <c r="E766" s="2147"/>
      <c r="F766" s="2147"/>
      <c r="G766" s="2147"/>
      <c r="H766" s="2148" t="s">
        <v>173</v>
      </c>
    </row>
    <row r="767" spans="1:8" ht="25.5" thickTop="1" thickBot="1" x14ac:dyDescent="0.25">
      <c r="A767" s="1943" t="s">
        <v>174</v>
      </c>
      <c r="B767" s="1944" t="s">
        <v>800</v>
      </c>
      <c r="C767" s="1944" t="s">
        <v>397</v>
      </c>
      <c r="D767" s="1945" t="s">
        <v>176</v>
      </c>
      <c r="E767" s="1976" t="s">
        <v>669</v>
      </c>
      <c r="F767" s="1976" t="s">
        <v>670</v>
      </c>
      <c r="G767" s="1977" t="s">
        <v>923</v>
      </c>
      <c r="H767" s="1978" t="s">
        <v>924</v>
      </c>
    </row>
    <row r="768" spans="1:8" ht="14.25" thickTop="1" thickBot="1" x14ac:dyDescent="0.25">
      <c r="A768" s="1740">
        <v>1</v>
      </c>
      <c r="B768" s="1739">
        <v>2</v>
      </c>
      <c r="C768" s="1739">
        <v>3</v>
      </c>
      <c r="D768" s="1739">
        <v>4</v>
      </c>
      <c r="E768" s="1738">
        <v>5</v>
      </c>
      <c r="F768" s="1738">
        <v>6</v>
      </c>
      <c r="G768" s="2028">
        <v>7</v>
      </c>
      <c r="H768" s="2054" t="s">
        <v>61</v>
      </c>
    </row>
    <row r="769" spans="1:8" ht="15.75" hidden="1" thickTop="1" x14ac:dyDescent="0.2">
      <c r="A769" s="2160">
        <v>3636</v>
      </c>
      <c r="B769" s="2161">
        <v>5011</v>
      </c>
      <c r="C769" s="2170">
        <v>0</v>
      </c>
      <c r="D769" s="2162" t="s">
        <v>219</v>
      </c>
      <c r="E769" s="2163">
        <v>0</v>
      </c>
      <c r="F769" s="2163">
        <v>0</v>
      </c>
      <c r="G769" s="2163">
        <v>0</v>
      </c>
      <c r="H769" s="2164" t="e">
        <f t="shared" ref="H769:H776" si="82">G769/F769*100</f>
        <v>#DIV/0!</v>
      </c>
    </row>
    <row r="770" spans="1:8" ht="15.75" hidden="1" thickTop="1" x14ac:dyDescent="0.2">
      <c r="A770" s="2165">
        <v>3636</v>
      </c>
      <c r="B770" s="2166">
        <v>5011</v>
      </c>
      <c r="C770" s="2166">
        <v>38500881</v>
      </c>
      <c r="D770" s="2167" t="s">
        <v>219</v>
      </c>
      <c r="E770" s="2168">
        <v>0</v>
      </c>
      <c r="F770" s="2168">
        <v>0</v>
      </c>
      <c r="G770" s="2168">
        <v>0</v>
      </c>
      <c r="H770" s="2169" t="e">
        <f t="shared" si="82"/>
        <v>#DIV/0!</v>
      </c>
    </row>
    <row r="771" spans="1:8" ht="30.75" thickTop="1" x14ac:dyDescent="0.2">
      <c r="A771" s="2165">
        <v>3123</v>
      </c>
      <c r="B771" s="2166">
        <v>5336</v>
      </c>
      <c r="C771" s="2170">
        <v>32133019</v>
      </c>
      <c r="D771" s="2167" t="s">
        <v>1325</v>
      </c>
      <c r="E771" s="2168">
        <v>0</v>
      </c>
      <c r="F771" s="2168">
        <f>9+103</f>
        <v>112</v>
      </c>
      <c r="G771" s="2168">
        <f>5+58</f>
        <v>63</v>
      </c>
      <c r="H771" s="2169">
        <f t="shared" si="82"/>
        <v>56.25</v>
      </c>
    </row>
    <row r="772" spans="1:8" ht="15" hidden="1" x14ac:dyDescent="0.2">
      <c r="A772" s="2165">
        <v>3636</v>
      </c>
      <c r="B772" s="2166">
        <v>5021</v>
      </c>
      <c r="C772" s="2166">
        <v>38500881</v>
      </c>
      <c r="D772" s="2167" t="s">
        <v>409</v>
      </c>
      <c r="E772" s="2168"/>
      <c r="F772" s="2168"/>
      <c r="G772" s="2168"/>
      <c r="H772" s="2169" t="e">
        <f t="shared" si="82"/>
        <v>#DIV/0!</v>
      </c>
    </row>
    <row r="773" spans="1:8" ht="30" hidden="1" x14ac:dyDescent="0.2">
      <c r="A773" s="2165">
        <v>3636</v>
      </c>
      <c r="B773" s="2166">
        <v>5031</v>
      </c>
      <c r="C773" s="2166">
        <v>38100880</v>
      </c>
      <c r="D773" s="2167" t="s">
        <v>1362</v>
      </c>
      <c r="E773" s="2168"/>
      <c r="F773" s="2168"/>
      <c r="G773" s="2168"/>
      <c r="H773" s="2169" t="e">
        <f t="shared" si="82"/>
        <v>#DIV/0!</v>
      </c>
    </row>
    <row r="774" spans="1:8" ht="30" hidden="1" x14ac:dyDescent="0.2">
      <c r="A774" s="2165">
        <v>3636</v>
      </c>
      <c r="B774" s="2166">
        <v>5031</v>
      </c>
      <c r="C774" s="2166">
        <v>38500881</v>
      </c>
      <c r="D774" s="2167" t="s">
        <v>1362</v>
      </c>
      <c r="E774" s="2168"/>
      <c r="F774" s="2168"/>
      <c r="G774" s="2168"/>
      <c r="H774" s="2169" t="e">
        <f t="shared" si="82"/>
        <v>#DIV/0!</v>
      </c>
    </row>
    <row r="775" spans="1:8" ht="30" hidden="1" x14ac:dyDescent="0.2">
      <c r="A775" s="2165">
        <v>3636</v>
      </c>
      <c r="B775" s="2166">
        <v>5032</v>
      </c>
      <c r="C775" s="2166">
        <v>38100880</v>
      </c>
      <c r="D775" s="2167" t="s">
        <v>1236</v>
      </c>
      <c r="E775" s="2168"/>
      <c r="F775" s="2168"/>
      <c r="G775" s="2168"/>
      <c r="H775" s="2169" t="e">
        <f t="shared" si="82"/>
        <v>#DIV/0!</v>
      </c>
    </row>
    <row r="776" spans="1:8" ht="30" hidden="1" x14ac:dyDescent="0.2">
      <c r="A776" s="2165">
        <v>3636</v>
      </c>
      <c r="B776" s="2166">
        <v>5032</v>
      </c>
      <c r="C776" s="2166">
        <v>38500881</v>
      </c>
      <c r="D776" s="2167" t="s">
        <v>1236</v>
      </c>
      <c r="E776" s="2168"/>
      <c r="F776" s="2168"/>
      <c r="G776" s="2168"/>
      <c r="H776" s="2169" t="e">
        <f t="shared" si="82"/>
        <v>#DIV/0!</v>
      </c>
    </row>
    <row r="777" spans="1:8" ht="15" hidden="1" x14ac:dyDescent="0.2">
      <c r="A777" s="2165">
        <v>3636</v>
      </c>
      <c r="B777" s="2166">
        <v>5139</v>
      </c>
      <c r="C777" s="2166">
        <v>38100880</v>
      </c>
      <c r="D777" s="2167" t="s">
        <v>284</v>
      </c>
      <c r="E777" s="2168"/>
      <c r="F777" s="2168"/>
      <c r="G777" s="2168"/>
      <c r="H777" s="2169">
        <v>0</v>
      </c>
    </row>
    <row r="778" spans="1:8" ht="15" hidden="1" x14ac:dyDescent="0.2">
      <c r="A778" s="2165">
        <v>3636</v>
      </c>
      <c r="B778" s="2166">
        <v>5139</v>
      </c>
      <c r="C778" s="2166">
        <v>38500881</v>
      </c>
      <c r="D778" s="2167" t="s">
        <v>284</v>
      </c>
      <c r="E778" s="2168"/>
      <c r="F778" s="2168"/>
      <c r="G778" s="2168"/>
      <c r="H778" s="2169" t="e">
        <f t="shared" ref="H778:H783" si="83">G778/F778*100</f>
        <v>#DIV/0!</v>
      </c>
    </row>
    <row r="779" spans="1:8" ht="15" hidden="1" x14ac:dyDescent="0.2">
      <c r="A779" s="2165">
        <v>3636</v>
      </c>
      <c r="B779" s="2166">
        <v>5162</v>
      </c>
      <c r="C779" s="2166">
        <v>38100880</v>
      </c>
      <c r="D779" s="2167" t="s">
        <v>904</v>
      </c>
      <c r="E779" s="2168"/>
      <c r="F779" s="2168"/>
      <c r="G779" s="2168"/>
      <c r="H779" s="2169" t="e">
        <f t="shared" si="83"/>
        <v>#DIV/0!</v>
      </c>
    </row>
    <row r="780" spans="1:8" ht="15" hidden="1" x14ac:dyDescent="0.2">
      <c r="A780" s="2165">
        <v>3636</v>
      </c>
      <c r="B780" s="2166">
        <v>5162</v>
      </c>
      <c r="C780" s="2166">
        <v>38500881</v>
      </c>
      <c r="D780" s="2167" t="s">
        <v>904</v>
      </c>
      <c r="E780" s="2168"/>
      <c r="F780" s="2168"/>
      <c r="G780" s="2168"/>
      <c r="H780" s="2169" t="e">
        <f t="shared" si="83"/>
        <v>#DIV/0!</v>
      </c>
    </row>
    <row r="781" spans="1:8" ht="15" hidden="1" x14ac:dyDescent="0.2">
      <c r="A781" s="2165">
        <v>3636</v>
      </c>
      <c r="B781" s="2166">
        <v>5164</v>
      </c>
      <c r="C781" s="2166">
        <v>38100880</v>
      </c>
      <c r="D781" s="2167" t="s">
        <v>182</v>
      </c>
      <c r="E781" s="2168"/>
      <c r="F781" s="2168"/>
      <c r="G781" s="2168"/>
      <c r="H781" s="2169" t="e">
        <f t="shared" si="83"/>
        <v>#DIV/0!</v>
      </c>
    </row>
    <row r="782" spans="1:8" ht="15" hidden="1" x14ac:dyDescent="0.2">
      <c r="A782" s="2165">
        <v>3636</v>
      </c>
      <c r="B782" s="2166">
        <v>5164</v>
      </c>
      <c r="C782" s="2166">
        <v>38500881</v>
      </c>
      <c r="D782" s="2167" t="s">
        <v>182</v>
      </c>
      <c r="E782" s="2168"/>
      <c r="F782" s="2168"/>
      <c r="G782" s="2168"/>
      <c r="H782" s="2169" t="e">
        <f t="shared" si="83"/>
        <v>#DIV/0!</v>
      </c>
    </row>
    <row r="783" spans="1:8" ht="30" x14ac:dyDescent="0.2">
      <c r="A783" s="2165">
        <v>3123</v>
      </c>
      <c r="B783" s="2166">
        <v>5336</v>
      </c>
      <c r="C783" s="2170">
        <v>32533019</v>
      </c>
      <c r="D783" s="2167" t="s">
        <v>1325</v>
      </c>
      <c r="E783" s="2168">
        <v>0</v>
      </c>
      <c r="F783" s="2168">
        <f>584+50</f>
        <v>634</v>
      </c>
      <c r="G783" s="2168">
        <f>328+28</f>
        <v>356</v>
      </c>
      <c r="H783" s="2169">
        <f t="shared" si="83"/>
        <v>56.151419558359613</v>
      </c>
    </row>
    <row r="784" spans="1:8" ht="15" hidden="1" x14ac:dyDescent="0.2">
      <c r="A784" s="2165">
        <v>3123</v>
      </c>
      <c r="B784" s="2166">
        <v>5166</v>
      </c>
      <c r="C784" s="2166">
        <v>41100880</v>
      </c>
      <c r="D784" s="2167" t="s">
        <v>646</v>
      </c>
      <c r="E784" s="2168"/>
      <c r="F784" s="2168"/>
      <c r="G784" s="2168"/>
      <c r="H784" s="2169" t="e">
        <f t="shared" ref="H784:H790" si="84">G784/F784*100</f>
        <v>#DIV/0!</v>
      </c>
    </row>
    <row r="785" spans="1:8" ht="15" hidden="1" x14ac:dyDescent="0.2">
      <c r="A785" s="2165">
        <v>3123</v>
      </c>
      <c r="B785" s="2166">
        <v>5166</v>
      </c>
      <c r="C785" s="2166">
        <v>41100882</v>
      </c>
      <c r="D785" s="2167" t="s">
        <v>646</v>
      </c>
      <c r="E785" s="2168"/>
      <c r="F785" s="2168"/>
      <c r="G785" s="2168"/>
      <c r="H785" s="2169" t="e">
        <f t="shared" si="84"/>
        <v>#DIV/0!</v>
      </c>
    </row>
    <row r="786" spans="1:8" ht="15" hidden="1" x14ac:dyDescent="0.2">
      <c r="A786" s="2165">
        <v>3123</v>
      </c>
      <c r="B786" s="2166">
        <v>5166</v>
      </c>
      <c r="C786" s="2166">
        <v>41500881</v>
      </c>
      <c r="D786" s="2167" t="s">
        <v>646</v>
      </c>
      <c r="E786" s="2168"/>
      <c r="F786" s="2168"/>
      <c r="G786" s="2168"/>
      <c r="H786" s="2169" t="e">
        <f t="shared" si="84"/>
        <v>#DIV/0!</v>
      </c>
    </row>
    <row r="787" spans="1:8" ht="15" hidden="1" x14ac:dyDescent="0.2">
      <c r="A787" s="2165">
        <v>3123</v>
      </c>
      <c r="B787" s="2166">
        <v>5167</v>
      </c>
      <c r="C787" s="2166">
        <v>38100880</v>
      </c>
      <c r="D787" s="2167" t="s">
        <v>937</v>
      </c>
      <c r="E787" s="2168"/>
      <c r="F787" s="2168"/>
      <c r="G787" s="2168"/>
      <c r="H787" s="2169" t="e">
        <f t="shared" si="84"/>
        <v>#DIV/0!</v>
      </c>
    </row>
    <row r="788" spans="1:8" ht="15" hidden="1" x14ac:dyDescent="0.2">
      <c r="A788" s="2165">
        <v>3123</v>
      </c>
      <c r="B788" s="2166">
        <v>5167</v>
      </c>
      <c r="C788" s="2166">
        <v>38500881</v>
      </c>
      <c r="D788" s="2167" t="s">
        <v>937</v>
      </c>
      <c r="E788" s="2168"/>
      <c r="F788" s="2168"/>
      <c r="G788" s="2168"/>
      <c r="H788" s="2169" t="e">
        <f t="shared" si="84"/>
        <v>#DIV/0!</v>
      </c>
    </row>
    <row r="789" spans="1:8" ht="15" hidden="1" x14ac:dyDescent="0.2">
      <c r="A789" s="2165">
        <v>3123</v>
      </c>
      <c r="B789" s="2166">
        <v>5169</v>
      </c>
      <c r="C789" s="2166">
        <v>38100880</v>
      </c>
      <c r="D789" s="2167" t="s">
        <v>892</v>
      </c>
      <c r="E789" s="2168"/>
      <c r="F789" s="2168"/>
      <c r="G789" s="2168"/>
      <c r="H789" s="2169" t="e">
        <f t="shared" si="84"/>
        <v>#DIV/0!</v>
      </c>
    </row>
    <row r="790" spans="1:8" ht="15" hidden="1" x14ac:dyDescent="0.2">
      <c r="A790" s="2165">
        <v>3123</v>
      </c>
      <c r="B790" s="2166">
        <v>5169</v>
      </c>
      <c r="C790" s="2166">
        <v>38500881</v>
      </c>
      <c r="D790" s="2167" t="s">
        <v>892</v>
      </c>
      <c r="E790" s="2168"/>
      <c r="F790" s="2168"/>
      <c r="G790" s="2168"/>
      <c r="H790" s="2169" t="e">
        <f t="shared" si="84"/>
        <v>#DIV/0!</v>
      </c>
    </row>
    <row r="791" spans="1:8" ht="15" hidden="1" x14ac:dyDescent="0.2">
      <c r="A791" s="2165">
        <v>3123</v>
      </c>
      <c r="B791" s="2166">
        <v>5173</v>
      </c>
      <c r="C791" s="2170">
        <v>0</v>
      </c>
      <c r="D791" s="2167" t="s">
        <v>1211</v>
      </c>
      <c r="E791" s="2168"/>
      <c r="F791" s="2168"/>
      <c r="G791" s="2168"/>
      <c r="H791" s="2169">
        <v>0</v>
      </c>
    </row>
    <row r="792" spans="1:8" ht="15" hidden="1" x14ac:dyDescent="0.2">
      <c r="A792" s="2165">
        <v>3123</v>
      </c>
      <c r="B792" s="2166">
        <v>5173</v>
      </c>
      <c r="C792" s="2166">
        <v>38500881</v>
      </c>
      <c r="D792" s="2167" t="s">
        <v>1211</v>
      </c>
      <c r="E792" s="2168">
        <v>0</v>
      </c>
      <c r="F792" s="2168"/>
      <c r="G792" s="2168"/>
      <c r="H792" s="2169" t="e">
        <f t="shared" ref="H792:H798" si="85">G792/F792*100</f>
        <v>#DIV/0!</v>
      </c>
    </row>
    <row r="793" spans="1:8" ht="15" hidden="1" x14ac:dyDescent="0.2">
      <c r="A793" s="2165">
        <v>3123</v>
      </c>
      <c r="B793" s="2166">
        <v>5175</v>
      </c>
      <c r="C793" s="2166">
        <v>38100880</v>
      </c>
      <c r="D793" s="2167" t="s">
        <v>707</v>
      </c>
      <c r="E793" s="2168">
        <v>0</v>
      </c>
      <c r="F793" s="2168"/>
      <c r="G793" s="2168"/>
      <c r="H793" s="2169" t="e">
        <f t="shared" si="85"/>
        <v>#DIV/0!</v>
      </c>
    </row>
    <row r="794" spans="1:8" ht="15" hidden="1" x14ac:dyDescent="0.2">
      <c r="A794" s="2165">
        <v>3123</v>
      </c>
      <c r="B794" s="2166">
        <v>5175</v>
      </c>
      <c r="C794" s="2166">
        <v>38500881</v>
      </c>
      <c r="D794" s="2167" t="s">
        <v>707</v>
      </c>
      <c r="E794" s="2168">
        <v>0</v>
      </c>
      <c r="F794" s="2168"/>
      <c r="G794" s="2168"/>
      <c r="H794" s="2169" t="e">
        <f t="shared" si="85"/>
        <v>#DIV/0!</v>
      </c>
    </row>
    <row r="795" spans="1:8" ht="15" hidden="1" x14ac:dyDescent="0.2">
      <c r="A795" s="2165">
        <v>3123</v>
      </c>
      <c r="B795" s="2166">
        <v>5176</v>
      </c>
      <c r="C795" s="2166">
        <v>38100880</v>
      </c>
      <c r="D795" s="2167" t="s">
        <v>1309</v>
      </c>
      <c r="E795" s="2168">
        <v>0</v>
      </c>
      <c r="F795" s="2168"/>
      <c r="G795" s="2168"/>
      <c r="H795" s="2169" t="e">
        <f t="shared" si="85"/>
        <v>#DIV/0!</v>
      </c>
    </row>
    <row r="796" spans="1:8" ht="15" hidden="1" x14ac:dyDescent="0.2">
      <c r="A796" s="2165">
        <v>3123</v>
      </c>
      <c r="B796" s="2166">
        <v>5176</v>
      </c>
      <c r="C796" s="2166">
        <v>38500881</v>
      </c>
      <c r="D796" s="2167" t="s">
        <v>1309</v>
      </c>
      <c r="E796" s="2168">
        <v>0</v>
      </c>
      <c r="F796" s="2168"/>
      <c r="G796" s="2168"/>
      <c r="H796" s="2169" t="e">
        <f t="shared" si="85"/>
        <v>#DIV/0!</v>
      </c>
    </row>
    <row r="797" spans="1:8" ht="30" x14ac:dyDescent="0.2">
      <c r="A797" s="2165">
        <v>3123</v>
      </c>
      <c r="B797" s="2166">
        <v>6356</v>
      </c>
      <c r="C797" s="2166">
        <v>32133910</v>
      </c>
      <c r="D797" s="2167" t="s">
        <v>1927</v>
      </c>
      <c r="E797" s="2168">
        <v>0</v>
      </c>
      <c r="F797" s="2168">
        <v>22</v>
      </c>
      <c r="G797" s="2168">
        <v>0</v>
      </c>
      <c r="H797" s="2169">
        <f t="shared" si="85"/>
        <v>0</v>
      </c>
    </row>
    <row r="798" spans="1:8" ht="30.75" thickBot="1" x14ac:dyDescent="0.25">
      <c r="A798" s="2165">
        <v>3123</v>
      </c>
      <c r="B798" s="2166">
        <v>6356</v>
      </c>
      <c r="C798" s="2166">
        <v>32533910</v>
      </c>
      <c r="D798" s="2167" t="s">
        <v>1927</v>
      </c>
      <c r="E798" s="2168">
        <v>0</v>
      </c>
      <c r="F798" s="2168">
        <v>128</v>
      </c>
      <c r="G798" s="2168">
        <v>0</v>
      </c>
      <c r="H798" s="2171">
        <f t="shared" si="85"/>
        <v>0</v>
      </c>
    </row>
    <row r="799" spans="1:8" ht="16.5" thickTop="1" thickBot="1" x14ac:dyDescent="0.3">
      <c r="A799" s="2750" t="s">
        <v>802</v>
      </c>
      <c r="B799" s="2751"/>
      <c r="C799" s="2751"/>
      <c r="D799" s="2751"/>
      <c r="E799" s="1957">
        <f>SUM(E769:E798)</f>
        <v>0</v>
      </c>
      <c r="F799" s="1957">
        <f>SUM(F769:F798)</f>
        <v>896</v>
      </c>
      <c r="G799" s="1957">
        <f>SUM(G769:G798)</f>
        <v>419</v>
      </c>
      <c r="H799" s="1962">
        <v>0</v>
      </c>
    </row>
    <row r="800" spans="1:8" ht="13.5" thickTop="1" x14ac:dyDescent="0.2"/>
    <row r="801" spans="1:8" ht="12" customHeight="1" x14ac:dyDescent="0.25">
      <c r="A801" s="2744" t="s">
        <v>1533</v>
      </c>
      <c r="B801" s="2745"/>
      <c r="C801" s="2745"/>
      <c r="D801" s="2745"/>
      <c r="E801" s="2745"/>
      <c r="F801" s="2745"/>
      <c r="G801" s="2745"/>
      <c r="H801" s="2745"/>
    </row>
    <row r="802" spans="1:8" ht="15.75" thickBot="1" x14ac:dyDescent="0.3">
      <c r="A802" s="2132" t="s">
        <v>1670</v>
      </c>
      <c r="B802" s="2146"/>
      <c r="C802" s="2146"/>
      <c r="E802" s="2147"/>
      <c r="F802" s="2147"/>
      <c r="G802" s="2147"/>
      <c r="H802" s="2148" t="s">
        <v>173</v>
      </c>
    </row>
    <row r="803" spans="1:8" ht="25.5" thickTop="1" thickBot="1" x14ac:dyDescent="0.25">
      <c r="A803" s="1943" t="s">
        <v>174</v>
      </c>
      <c r="B803" s="1944" t="s">
        <v>800</v>
      </c>
      <c r="C803" s="1944" t="s">
        <v>397</v>
      </c>
      <c r="D803" s="1945" t="s">
        <v>176</v>
      </c>
      <c r="E803" s="1976" t="s">
        <v>669</v>
      </c>
      <c r="F803" s="1976" t="s">
        <v>670</v>
      </c>
      <c r="G803" s="1977" t="s">
        <v>923</v>
      </c>
      <c r="H803" s="1978" t="s">
        <v>924</v>
      </c>
    </row>
    <row r="804" spans="1:8" ht="14.25" thickTop="1" thickBot="1" x14ac:dyDescent="0.25">
      <c r="A804" s="1740">
        <v>1</v>
      </c>
      <c r="B804" s="1739">
        <v>2</v>
      </c>
      <c r="C804" s="1739">
        <v>3</v>
      </c>
      <c r="D804" s="1739">
        <v>4</v>
      </c>
      <c r="E804" s="1738">
        <v>5</v>
      </c>
      <c r="F804" s="1738">
        <v>6</v>
      </c>
      <c r="G804" s="2028">
        <v>7</v>
      </c>
      <c r="H804" s="2054" t="s">
        <v>61</v>
      </c>
    </row>
    <row r="805" spans="1:8" ht="15.75" hidden="1" thickTop="1" x14ac:dyDescent="0.2">
      <c r="A805" s="2160">
        <v>3636</v>
      </c>
      <c r="B805" s="2161">
        <v>5011</v>
      </c>
      <c r="C805" s="2170">
        <v>0</v>
      </c>
      <c r="D805" s="2162" t="s">
        <v>219</v>
      </c>
      <c r="E805" s="2163">
        <v>0</v>
      </c>
      <c r="F805" s="2163">
        <v>0</v>
      </c>
      <c r="G805" s="2163">
        <v>0</v>
      </c>
      <c r="H805" s="2164" t="e">
        <f t="shared" ref="H805:H812" si="86">G805/F805*100</f>
        <v>#DIV/0!</v>
      </c>
    </row>
    <row r="806" spans="1:8" ht="15.75" hidden="1" thickTop="1" x14ac:dyDescent="0.2">
      <c r="A806" s="2165">
        <v>3636</v>
      </c>
      <c r="B806" s="2166">
        <v>5011</v>
      </c>
      <c r="C806" s="2166">
        <v>38500881</v>
      </c>
      <c r="D806" s="2167" t="s">
        <v>219</v>
      </c>
      <c r="E806" s="2168">
        <v>0</v>
      </c>
      <c r="F806" s="2168">
        <v>0</v>
      </c>
      <c r="G806" s="2168">
        <v>0</v>
      </c>
      <c r="H806" s="2169" t="e">
        <f t="shared" si="86"/>
        <v>#DIV/0!</v>
      </c>
    </row>
    <row r="807" spans="1:8" ht="30.75" thickTop="1" x14ac:dyDescent="0.2">
      <c r="A807" s="2165">
        <v>3122</v>
      </c>
      <c r="B807" s="2166">
        <v>5336</v>
      </c>
      <c r="C807" s="2170">
        <v>32133019</v>
      </c>
      <c r="D807" s="2167" t="s">
        <v>1325</v>
      </c>
      <c r="E807" s="2168">
        <v>0</v>
      </c>
      <c r="F807" s="2168">
        <f>93+5</f>
        <v>98</v>
      </c>
      <c r="G807" s="2168">
        <f>57+5</f>
        <v>62</v>
      </c>
      <c r="H807" s="2169">
        <f t="shared" si="86"/>
        <v>63.265306122448983</v>
      </c>
    </row>
    <row r="808" spans="1:8" ht="15" hidden="1" x14ac:dyDescent="0.2">
      <c r="A808" s="2165">
        <v>3636</v>
      </c>
      <c r="B808" s="2166">
        <v>5021</v>
      </c>
      <c r="C808" s="2166">
        <v>38500881</v>
      </c>
      <c r="D808" s="2167" t="s">
        <v>409</v>
      </c>
      <c r="E808" s="2168"/>
      <c r="F808" s="2168"/>
      <c r="G808" s="2168"/>
      <c r="H808" s="2169" t="e">
        <f t="shared" si="86"/>
        <v>#DIV/0!</v>
      </c>
    </row>
    <row r="809" spans="1:8" ht="30" hidden="1" x14ac:dyDescent="0.2">
      <c r="A809" s="2165">
        <v>3636</v>
      </c>
      <c r="B809" s="2166">
        <v>5031</v>
      </c>
      <c r="C809" s="2166">
        <v>38100880</v>
      </c>
      <c r="D809" s="2167" t="s">
        <v>1362</v>
      </c>
      <c r="E809" s="2168"/>
      <c r="F809" s="2168"/>
      <c r="G809" s="2168"/>
      <c r="H809" s="2169" t="e">
        <f t="shared" si="86"/>
        <v>#DIV/0!</v>
      </c>
    </row>
    <row r="810" spans="1:8" ht="30" hidden="1" x14ac:dyDescent="0.2">
      <c r="A810" s="2165">
        <v>3636</v>
      </c>
      <c r="B810" s="2166">
        <v>5031</v>
      </c>
      <c r="C810" s="2166">
        <v>38500881</v>
      </c>
      <c r="D810" s="2167" t="s">
        <v>1362</v>
      </c>
      <c r="E810" s="2168"/>
      <c r="F810" s="2168"/>
      <c r="G810" s="2168"/>
      <c r="H810" s="2169" t="e">
        <f t="shared" si="86"/>
        <v>#DIV/0!</v>
      </c>
    </row>
    <row r="811" spans="1:8" ht="30" hidden="1" x14ac:dyDescent="0.2">
      <c r="A811" s="2165">
        <v>3636</v>
      </c>
      <c r="B811" s="2166">
        <v>5032</v>
      </c>
      <c r="C811" s="2166">
        <v>38100880</v>
      </c>
      <c r="D811" s="2167" t="s">
        <v>1236</v>
      </c>
      <c r="E811" s="2168"/>
      <c r="F811" s="2168"/>
      <c r="G811" s="2168"/>
      <c r="H811" s="2169" t="e">
        <f t="shared" si="86"/>
        <v>#DIV/0!</v>
      </c>
    </row>
    <row r="812" spans="1:8" ht="30" hidden="1" x14ac:dyDescent="0.2">
      <c r="A812" s="2165">
        <v>3636</v>
      </c>
      <c r="B812" s="2166">
        <v>5032</v>
      </c>
      <c r="C812" s="2166">
        <v>38500881</v>
      </c>
      <c r="D812" s="2167" t="s">
        <v>1236</v>
      </c>
      <c r="E812" s="2168"/>
      <c r="F812" s="2168"/>
      <c r="G812" s="2168"/>
      <c r="H812" s="2169" t="e">
        <f t="shared" si="86"/>
        <v>#DIV/0!</v>
      </c>
    </row>
    <row r="813" spans="1:8" ht="15" hidden="1" x14ac:dyDescent="0.2">
      <c r="A813" s="2165">
        <v>3636</v>
      </c>
      <c r="B813" s="2166">
        <v>5139</v>
      </c>
      <c r="C813" s="2166">
        <v>38100880</v>
      </c>
      <c r="D813" s="2167" t="s">
        <v>284</v>
      </c>
      <c r="E813" s="2168"/>
      <c r="F813" s="2168"/>
      <c r="G813" s="2168"/>
      <c r="H813" s="2169">
        <v>0</v>
      </c>
    </row>
    <row r="814" spans="1:8" ht="15" hidden="1" x14ac:dyDescent="0.2">
      <c r="A814" s="2165">
        <v>3636</v>
      </c>
      <c r="B814" s="2166">
        <v>5139</v>
      </c>
      <c r="C814" s="2166">
        <v>38500881</v>
      </c>
      <c r="D814" s="2167" t="s">
        <v>284</v>
      </c>
      <c r="E814" s="2168"/>
      <c r="F814" s="2168"/>
      <c r="G814" s="2168"/>
      <c r="H814" s="2169" t="e">
        <f t="shared" ref="H814:H819" si="87">G814/F814*100</f>
        <v>#DIV/0!</v>
      </c>
    </row>
    <row r="815" spans="1:8" ht="15" hidden="1" x14ac:dyDescent="0.2">
      <c r="A815" s="2165">
        <v>3636</v>
      </c>
      <c r="B815" s="2166">
        <v>5162</v>
      </c>
      <c r="C815" s="2166">
        <v>38100880</v>
      </c>
      <c r="D815" s="2167" t="s">
        <v>904</v>
      </c>
      <c r="E815" s="2168"/>
      <c r="F815" s="2168"/>
      <c r="G815" s="2168"/>
      <c r="H815" s="2169" t="e">
        <f t="shared" si="87"/>
        <v>#DIV/0!</v>
      </c>
    </row>
    <row r="816" spans="1:8" ht="15" hidden="1" x14ac:dyDescent="0.2">
      <c r="A816" s="2165">
        <v>3636</v>
      </c>
      <c r="B816" s="2166">
        <v>5162</v>
      </c>
      <c r="C816" s="2166">
        <v>38500881</v>
      </c>
      <c r="D816" s="2167" t="s">
        <v>904</v>
      </c>
      <c r="E816" s="2168"/>
      <c r="F816" s="2168"/>
      <c r="G816" s="2168"/>
      <c r="H816" s="2169" t="e">
        <f t="shared" si="87"/>
        <v>#DIV/0!</v>
      </c>
    </row>
    <row r="817" spans="1:8" ht="15" hidden="1" x14ac:dyDescent="0.2">
      <c r="A817" s="2165">
        <v>3636</v>
      </c>
      <c r="B817" s="2166">
        <v>5164</v>
      </c>
      <c r="C817" s="2166">
        <v>38100880</v>
      </c>
      <c r="D817" s="2167" t="s">
        <v>182</v>
      </c>
      <c r="E817" s="2168"/>
      <c r="F817" s="2168"/>
      <c r="G817" s="2168"/>
      <c r="H817" s="2169" t="e">
        <f t="shared" si="87"/>
        <v>#DIV/0!</v>
      </c>
    </row>
    <row r="818" spans="1:8" ht="15" hidden="1" x14ac:dyDescent="0.2">
      <c r="A818" s="2165">
        <v>3636</v>
      </c>
      <c r="B818" s="2166">
        <v>5164</v>
      </c>
      <c r="C818" s="2166">
        <v>38500881</v>
      </c>
      <c r="D818" s="2167" t="s">
        <v>182</v>
      </c>
      <c r="E818" s="2168"/>
      <c r="F818" s="2168"/>
      <c r="G818" s="2168"/>
      <c r="H818" s="2169" t="e">
        <f t="shared" si="87"/>
        <v>#DIV/0!</v>
      </c>
    </row>
    <row r="819" spans="1:8" ht="30" x14ac:dyDescent="0.2">
      <c r="A819" s="2165">
        <v>3122</v>
      </c>
      <c r="B819" s="2166">
        <v>5336</v>
      </c>
      <c r="C819" s="2170">
        <v>32533019</v>
      </c>
      <c r="D819" s="2167" t="s">
        <v>1325</v>
      </c>
      <c r="E819" s="2168">
        <v>0</v>
      </c>
      <c r="F819" s="2168">
        <f>525+28</f>
        <v>553</v>
      </c>
      <c r="G819" s="2168">
        <f>325+28</f>
        <v>353</v>
      </c>
      <c r="H819" s="2169">
        <f t="shared" si="87"/>
        <v>63.833634719710673</v>
      </c>
    </row>
    <row r="820" spans="1:8" ht="15" hidden="1" x14ac:dyDescent="0.2">
      <c r="A820" s="2165">
        <v>3122</v>
      </c>
      <c r="B820" s="2166">
        <v>5166</v>
      </c>
      <c r="C820" s="2166">
        <v>41100880</v>
      </c>
      <c r="D820" s="2167" t="s">
        <v>646</v>
      </c>
      <c r="E820" s="2168"/>
      <c r="F820" s="2168"/>
      <c r="G820" s="2168"/>
      <c r="H820" s="2169" t="e">
        <f t="shared" ref="H820:H826" si="88">G820/F820*100</f>
        <v>#DIV/0!</v>
      </c>
    </row>
    <row r="821" spans="1:8" ht="15" hidden="1" x14ac:dyDescent="0.2">
      <c r="A821" s="2165">
        <v>3122</v>
      </c>
      <c r="B821" s="2166">
        <v>5166</v>
      </c>
      <c r="C821" s="2166">
        <v>41100882</v>
      </c>
      <c r="D821" s="2167" t="s">
        <v>646</v>
      </c>
      <c r="E821" s="2168"/>
      <c r="F821" s="2168"/>
      <c r="G821" s="2168"/>
      <c r="H821" s="2169" t="e">
        <f t="shared" si="88"/>
        <v>#DIV/0!</v>
      </c>
    </row>
    <row r="822" spans="1:8" ht="15" hidden="1" x14ac:dyDescent="0.2">
      <c r="A822" s="2165">
        <v>3122</v>
      </c>
      <c r="B822" s="2166">
        <v>5166</v>
      </c>
      <c r="C822" s="2166">
        <v>41500881</v>
      </c>
      <c r="D822" s="2167" t="s">
        <v>646</v>
      </c>
      <c r="E822" s="2168"/>
      <c r="F822" s="2168"/>
      <c r="G822" s="2168"/>
      <c r="H822" s="2169" t="e">
        <f t="shared" si="88"/>
        <v>#DIV/0!</v>
      </c>
    </row>
    <row r="823" spans="1:8" ht="15" hidden="1" x14ac:dyDescent="0.2">
      <c r="A823" s="2165">
        <v>3122</v>
      </c>
      <c r="B823" s="2166">
        <v>5167</v>
      </c>
      <c r="C823" s="2166">
        <v>38100880</v>
      </c>
      <c r="D823" s="2167" t="s">
        <v>937</v>
      </c>
      <c r="E823" s="2168"/>
      <c r="F823" s="2168"/>
      <c r="G823" s="2168"/>
      <c r="H823" s="2169" t="e">
        <f t="shared" si="88"/>
        <v>#DIV/0!</v>
      </c>
    </row>
    <row r="824" spans="1:8" ht="15" hidden="1" x14ac:dyDescent="0.2">
      <c r="A824" s="2165">
        <v>3122</v>
      </c>
      <c r="B824" s="2166">
        <v>5167</v>
      </c>
      <c r="C824" s="2166">
        <v>38500881</v>
      </c>
      <c r="D824" s="2167" t="s">
        <v>937</v>
      </c>
      <c r="E824" s="2168"/>
      <c r="F824" s="2168"/>
      <c r="G824" s="2168"/>
      <c r="H824" s="2169" t="e">
        <f t="shared" si="88"/>
        <v>#DIV/0!</v>
      </c>
    </row>
    <row r="825" spans="1:8" ht="15" hidden="1" x14ac:dyDescent="0.2">
      <c r="A825" s="2165">
        <v>3122</v>
      </c>
      <c r="B825" s="2166">
        <v>5169</v>
      </c>
      <c r="C825" s="2166">
        <v>38100880</v>
      </c>
      <c r="D825" s="2167" t="s">
        <v>892</v>
      </c>
      <c r="E825" s="2168"/>
      <c r="F825" s="2168"/>
      <c r="G825" s="2168"/>
      <c r="H825" s="2169" t="e">
        <f t="shared" si="88"/>
        <v>#DIV/0!</v>
      </c>
    </row>
    <row r="826" spans="1:8" ht="15" hidden="1" x14ac:dyDescent="0.2">
      <c r="A826" s="2165">
        <v>3122</v>
      </c>
      <c r="B826" s="2166">
        <v>5169</v>
      </c>
      <c r="C826" s="2166">
        <v>38500881</v>
      </c>
      <c r="D826" s="2167" t="s">
        <v>892</v>
      </c>
      <c r="E826" s="2168"/>
      <c r="F826" s="2168"/>
      <c r="G826" s="2168"/>
      <c r="H826" s="2169" t="e">
        <f t="shared" si="88"/>
        <v>#DIV/0!</v>
      </c>
    </row>
    <row r="827" spans="1:8" ht="15" hidden="1" x14ac:dyDescent="0.2">
      <c r="A827" s="2165">
        <v>3122</v>
      </c>
      <c r="B827" s="2166">
        <v>5173</v>
      </c>
      <c r="C827" s="2170">
        <v>0</v>
      </c>
      <c r="D827" s="2167" t="s">
        <v>1211</v>
      </c>
      <c r="E827" s="2168"/>
      <c r="F827" s="2168"/>
      <c r="G827" s="2168"/>
      <c r="H827" s="2169">
        <v>0</v>
      </c>
    </row>
    <row r="828" spans="1:8" ht="15" hidden="1" x14ac:dyDescent="0.2">
      <c r="A828" s="2165">
        <v>3122</v>
      </c>
      <c r="B828" s="2166">
        <v>5173</v>
      </c>
      <c r="C828" s="2166">
        <v>38500881</v>
      </c>
      <c r="D828" s="2167" t="s">
        <v>1211</v>
      </c>
      <c r="E828" s="2168">
        <v>0</v>
      </c>
      <c r="F828" s="2168"/>
      <c r="G828" s="2168"/>
      <c r="H828" s="2169" t="e">
        <f t="shared" ref="H828:H834" si="89">G828/F828*100</f>
        <v>#DIV/0!</v>
      </c>
    </row>
    <row r="829" spans="1:8" ht="15" hidden="1" x14ac:dyDescent="0.2">
      <c r="A829" s="2165">
        <v>3122</v>
      </c>
      <c r="B829" s="2166">
        <v>5175</v>
      </c>
      <c r="C829" s="2166">
        <v>38100880</v>
      </c>
      <c r="D829" s="2167" t="s">
        <v>707</v>
      </c>
      <c r="E829" s="2168">
        <v>0</v>
      </c>
      <c r="F829" s="2168"/>
      <c r="G829" s="2168"/>
      <c r="H829" s="2169" t="e">
        <f t="shared" si="89"/>
        <v>#DIV/0!</v>
      </c>
    </row>
    <row r="830" spans="1:8" ht="15" hidden="1" x14ac:dyDescent="0.2">
      <c r="A830" s="2165">
        <v>3122</v>
      </c>
      <c r="B830" s="2166">
        <v>5175</v>
      </c>
      <c r="C830" s="2166">
        <v>38500881</v>
      </c>
      <c r="D830" s="2167" t="s">
        <v>707</v>
      </c>
      <c r="E830" s="2168">
        <v>0</v>
      </c>
      <c r="F830" s="2168"/>
      <c r="G830" s="2168"/>
      <c r="H830" s="2169" t="e">
        <f t="shared" si="89"/>
        <v>#DIV/0!</v>
      </c>
    </row>
    <row r="831" spans="1:8" ht="15" hidden="1" x14ac:dyDescent="0.2">
      <c r="A831" s="2165">
        <v>3122</v>
      </c>
      <c r="B831" s="2166">
        <v>5176</v>
      </c>
      <c r="C831" s="2166">
        <v>38100880</v>
      </c>
      <c r="D831" s="2167" t="s">
        <v>1309</v>
      </c>
      <c r="E831" s="2168">
        <v>0</v>
      </c>
      <c r="F831" s="2168"/>
      <c r="G831" s="2168"/>
      <c r="H831" s="2169" t="e">
        <f t="shared" si="89"/>
        <v>#DIV/0!</v>
      </c>
    </row>
    <row r="832" spans="1:8" ht="15" hidden="1" x14ac:dyDescent="0.2">
      <c r="A832" s="2165">
        <v>3122</v>
      </c>
      <c r="B832" s="2166">
        <v>5176</v>
      </c>
      <c r="C832" s="2166">
        <v>38500881</v>
      </c>
      <c r="D832" s="2167" t="s">
        <v>1309</v>
      </c>
      <c r="E832" s="2168">
        <v>0</v>
      </c>
      <c r="F832" s="2168"/>
      <c r="G832" s="2168"/>
      <c r="H832" s="2169" t="e">
        <f t="shared" si="89"/>
        <v>#DIV/0!</v>
      </c>
    </row>
    <row r="833" spans="1:8" ht="30" x14ac:dyDescent="0.2">
      <c r="A833" s="2165">
        <v>3122</v>
      </c>
      <c r="B833" s="2166">
        <v>6356</v>
      </c>
      <c r="C833" s="2166">
        <v>32133910</v>
      </c>
      <c r="D833" s="2167" t="s">
        <v>1927</v>
      </c>
      <c r="E833" s="2168">
        <v>0</v>
      </c>
      <c r="F833" s="2168">
        <v>21</v>
      </c>
      <c r="G833" s="2168">
        <v>0</v>
      </c>
      <c r="H833" s="2169">
        <f t="shared" si="89"/>
        <v>0</v>
      </c>
    </row>
    <row r="834" spans="1:8" ht="30.75" thickBot="1" x14ac:dyDescent="0.25">
      <c r="A834" s="2165">
        <v>3122</v>
      </c>
      <c r="B834" s="2166">
        <v>6356</v>
      </c>
      <c r="C834" s="2166">
        <v>32533910</v>
      </c>
      <c r="D834" s="2167" t="s">
        <v>1927</v>
      </c>
      <c r="E834" s="2168">
        <v>0</v>
      </c>
      <c r="F834" s="2168">
        <v>117</v>
      </c>
      <c r="G834" s="2168">
        <v>0</v>
      </c>
      <c r="H834" s="2171">
        <f t="shared" si="89"/>
        <v>0</v>
      </c>
    </row>
    <row r="835" spans="1:8" ht="16.5" thickTop="1" thickBot="1" x14ac:dyDescent="0.3">
      <c r="A835" s="2750" t="s">
        <v>802</v>
      </c>
      <c r="B835" s="2751"/>
      <c r="C835" s="2751"/>
      <c r="D835" s="2751"/>
      <c r="E835" s="1957">
        <f>SUM(E805:E834)</f>
        <v>0</v>
      </c>
      <c r="F835" s="1957">
        <f>SUM(F805:F834)</f>
        <v>789</v>
      </c>
      <c r="G835" s="1957">
        <f>SUM(G805:G834)</f>
        <v>415</v>
      </c>
      <c r="H835" s="1962">
        <v>0</v>
      </c>
    </row>
    <row r="836" spans="1:8" ht="13.5" thickTop="1" x14ac:dyDescent="0.2"/>
    <row r="837" spans="1:8" ht="12" customHeight="1" x14ac:dyDescent="0.25">
      <c r="A837" s="2744" t="s">
        <v>334</v>
      </c>
      <c r="B837" s="2745"/>
      <c r="C837" s="2745"/>
      <c r="D837" s="2745"/>
      <c r="E837" s="2745"/>
      <c r="F837" s="2745"/>
      <c r="G837" s="2745"/>
      <c r="H837" s="2745"/>
    </row>
    <row r="838" spans="1:8" ht="15.75" thickBot="1" x14ac:dyDescent="0.3">
      <c r="A838" s="2132" t="s">
        <v>599</v>
      </c>
      <c r="B838" s="2146"/>
      <c r="C838" s="2146"/>
      <c r="E838" s="2147"/>
      <c r="F838" s="2147"/>
      <c r="G838" s="2147"/>
      <c r="H838" s="2148" t="s">
        <v>173</v>
      </c>
    </row>
    <row r="839" spans="1:8" ht="25.5" thickTop="1" thickBot="1" x14ac:dyDescent="0.25">
      <c r="A839" s="1943" t="s">
        <v>174</v>
      </c>
      <c r="B839" s="1944" t="s">
        <v>800</v>
      </c>
      <c r="C839" s="1944" t="s">
        <v>397</v>
      </c>
      <c r="D839" s="1945" t="s">
        <v>176</v>
      </c>
      <c r="E839" s="1976" t="s">
        <v>669</v>
      </c>
      <c r="F839" s="1976" t="s">
        <v>670</v>
      </c>
      <c r="G839" s="1977" t="s">
        <v>923</v>
      </c>
      <c r="H839" s="1978" t="s">
        <v>924</v>
      </c>
    </row>
    <row r="840" spans="1:8" ht="14.25" thickTop="1" thickBot="1" x14ac:dyDescent="0.25">
      <c r="A840" s="1740">
        <v>1</v>
      </c>
      <c r="B840" s="1739">
        <v>2</v>
      </c>
      <c r="C840" s="1739">
        <v>3</v>
      </c>
      <c r="D840" s="1739">
        <v>4</v>
      </c>
      <c r="E840" s="1738">
        <v>5</v>
      </c>
      <c r="F840" s="1738">
        <v>6</v>
      </c>
      <c r="G840" s="2028">
        <v>7</v>
      </c>
      <c r="H840" s="2054" t="s">
        <v>61</v>
      </c>
    </row>
    <row r="841" spans="1:8" ht="15.75" hidden="1" thickTop="1" x14ac:dyDescent="0.2">
      <c r="A841" s="2160">
        <v>3636</v>
      </c>
      <c r="B841" s="2161">
        <v>5011</v>
      </c>
      <c r="C841" s="2170">
        <v>0</v>
      </c>
      <c r="D841" s="2162" t="s">
        <v>219</v>
      </c>
      <c r="E841" s="2163">
        <v>0</v>
      </c>
      <c r="F841" s="2163">
        <v>0</v>
      </c>
      <c r="G841" s="2163">
        <v>0</v>
      </c>
      <c r="H841" s="2164" t="e">
        <f t="shared" ref="H841:H848" si="90">G841/F841*100</f>
        <v>#DIV/0!</v>
      </c>
    </row>
    <row r="842" spans="1:8" ht="15.75" hidden="1" thickTop="1" x14ac:dyDescent="0.2">
      <c r="A842" s="2165">
        <v>3636</v>
      </c>
      <c r="B842" s="2166">
        <v>5011</v>
      </c>
      <c r="C842" s="2166">
        <v>38500881</v>
      </c>
      <c r="D842" s="2167" t="s">
        <v>219</v>
      </c>
      <c r="E842" s="2168">
        <v>0</v>
      </c>
      <c r="F842" s="2168">
        <v>0</v>
      </c>
      <c r="G842" s="2168">
        <v>0</v>
      </c>
      <c r="H842" s="2169" t="e">
        <f t="shared" si="90"/>
        <v>#DIV/0!</v>
      </c>
    </row>
    <row r="843" spans="1:8" ht="30.75" thickTop="1" x14ac:dyDescent="0.2">
      <c r="A843" s="2165">
        <v>3123</v>
      </c>
      <c r="B843" s="2166">
        <v>5336</v>
      </c>
      <c r="C843" s="2170">
        <v>32133019</v>
      </c>
      <c r="D843" s="2167" t="s">
        <v>1325</v>
      </c>
      <c r="E843" s="2168">
        <v>0</v>
      </c>
      <c r="F843" s="2168">
        <f>5+56</f>
        <v>61</v>
      </c>
      <c r="G843" s="2168">
        <f>56+5</f>
        <v>61</v>
      </c>
      <c r="H843" s="2169">
        <f t="shared" si="90"/>
        <v>100</v>
      </c>
    </row>
    <row r="844" spans="1:8" ht="15" hidden="1" x14ac:dyDescent="0.2">
      <c r="A844" s="2165">
        <v>3636</v>
      </c>
      <c r="B844" s="2166">
        <v>5021</v>
      </c>
      <c r="C844" s="2166">
        <v>38500881</v>
      </c>
      <c r="D844" s="2167" t="s">
        <v>409</v>
      </c>
      <c r="E844" s="2168"/>
      <c r="F844" s="2168"/>
      <c r="G844" s="2168"/>
      <c r="H844" s="2169" t="e">
        <f t="shared" si="90"/>
        <v>#DIV/0!</v>
      </c>
    </row>
    <row r="845" spans="1:8" ht="30" hidden="1" x14ac:dyDescent="0.2">
      <c r="A845" s="2165">
        <v>3636</v>
      </c>
      <c r="B845" s="2166">
        <v>5031</v>
      </c>
      <c r="C845" s="2166">
        <v>38100880</v>
      </c>
      <c r="D845" s="2167" t="s">
        <v>1362</v>
      </c>
      <c r="E845" s="2168"/>
      <c r="F845" s="2168"/>
      <c r="G845" s="2168"/>
      <c r="H845" s="2169" t="e">
        <f t="shared" si="90"/>
        <v>#DIV/0!</v>
      </c>
    </row>
    <row r="846" spans="1:8" ht="30" hidden="1" x14ac:dyDescent="0.2">
      <c r="A846" s="2165">
        <v>3636</v>
      </c>
      <c r="B846" s="2166">
        <v>5031</v>
      </c>
      <c r="C846" s="2166">
        <v>38500881</v>
      </c>
      <c r="D846" s="2167" t="s">
        <v>1362</v>
      </c>
      <c r="E846" s="2168"/>
      <c r="F846" s="2168"/>
      <c r="G846" s="2168"/>
      <c r="H846" s="2169" t="e">
        <f t="shared" si="90"/>
        <v>#DIV/0!</v>
      </c>
    </row>
    <row r="847" spans="1:8" ht="30" hidden="1" x14ac:dyDescent="0.2">
      <c r="A847" s="2165">
        <v>3636</v>
      </c>
      <c r="B847" s="2166">
        <v>5032</v>
      </c>
      <c r="C847" s="2166">
        <v>38100880</v>
      </c>
      <c r="D847" s="2167" t="s">
        <v>1236</v>
      </c>
      <c r="E847" s="2168"/>
      <c r="F847" s="2168"/>
      <c r="G847" s="2168"/>
      <c r="H847" s="2169" t="e">
        <f t="shared" si="90"/>
        <v>#DIV/0!</v>
      </c>
    </row>
    <row r="848" spans="1:8" ht="30" hidden="1" x14ac:dyDescent="0.2">
      <c r="A848" s="2165">
        <v>3636</v>
      </c>
      <c r="B848" s="2166">
        <v>5032</v>
      </c>
      <c r="C848" s="2166">
        <v>38500881</v>
      </c>
      <c r="D848" s="2167" t="s">
        <v>1236</v>
      </c>
      <c r="E848" s="2168"/>
      <c r="F848" s="2168"/>
      <c r="G848" s="2168"/>
      <c r="H848" s="2169" t="e">
        <f t="shared" si="90"/>
        <v>#DIV/0!</v>
      </c>
    </row>
    <row r="849" spans="1:8" ht="15" hidden="1" x14ac:dyDescent="0.2">
      <c r="A849" s="2165">
        <v>3636</v>
      </c>
      <c r="B849" s="2166">
        <v>5139</v>
      </c>
      <c r="C849" s="2166">
        <v>38100880</v>
      </c>
      <c r="D849" s="2167" t="s">
        <v>284</v>
      </c>
      <c r="E849" s="2168"/>
      <c r="F849" s="2168"/>
      <c r="G849" s="2168"/>
      <c r="H849" s="2169">
        <v>0</v>
      </c>
    </row>
    <row r="850" spans="1:8" ht="15" hidden="1" x14ac:dyDescent="0.2">
      <c r="A850" s="2165">
        <v>3636</v>
      </c>
      <c r="B850" s="2166">
        <v>5139</v>
      </c>
      <c r="C850" s="2166">
        <v>38500881</v>
      </c>
      <c r="D850" s="2167" t="s">
        <v>284</v>
      </c>
      <c r="E850" s="2168"/>
      <c r="F850" s="2168"/>
      <c r="G850" s="2168"/>
      <c r="H850" s="2169" t="e">
        <f t="shared" ref="H850:H855" si="91">G850/F850*100</f>
        <v>#DIV/0!</v>
      </c>
    </row>
    <row r="851" spans="1:8" ht="15" hidden="1" x14ac:dyDescent="0.2">
      <c r="A851" s="2165">
        <v>3636</v>
      </c>
      <c r="B851" s="2166">
        <v>5162</v>
      </c>
      <c r="C851" s="2166">
        <v>38100880</v>
      </c>
      <c r="D851" s="2167" t="s">
        <v>904</v>
      </c>
      <c r="E851" s="2168"/>
      <c r="F851" s="2168"/>
      <c r="G851" s="2168"/>
      <c r="H851" s="2169" t="e">
        <f t="shared" si="91"/>
        <v>#DIV/0!</v>
      </c>
    </row>
    <row r="852" spans="1:8" ht="15" hidden="1" x14ac:dyDescent="0.2">
      <c r="A852" s="2165">
        <v>3636</v>
      </c>
      <c r="B852" s="2166">
        <v>5162</v>
      </c>
      <c r="C852" s="2166">
        <v>38500881</v>
      </c>
      <c r="D852" s="2167" t="s">
        <v>904</v>
      </c>
      <c r="E852" s="2168"/>
      <c r="F852" s="2168"/>
      <c r="G852" s="2168"/>
      <c r="H852" s="2169" t="e">
        <f t="shared" si="91"/>
        <v>#DIV/0!</v>
      </c>
    </row>
    <row r="853" spans="1:8" ht="15" hidden="1" x14ac:dyDescent="0.2">
      <c r="A853" s="2165">
        <v>3636</v>
      </c>
      <c r="B853" s="2166">
        <v>5164</v>
      </c>
      <c r="C853" s="2166">
        <v>38100880</v>
      </c>
      <c r="D853" s="2167" t="s">
        <v>182</v>
      </c>
      <c r="E853" s="2168"/>
      <c r="F853" s="2168"/>
      <c r="G853" s="2168"/>
      <c r="H853" s="2169" t="e">
        <f t="shared" si="91"/>
        <v>#DIV/0!</v>
      </c>
    </row>
    <row r="854" spans="1:8" ht="15" hidden="1" x14ac:dyDescent="0.2">
      <c r="A854" s="2165">
        <v>3636</v>
      </c>
      <c r="B854" s="2166">
        <v>5164</v>
      </c>
      <c r="C854" s="2166">
        <v>38500881</v>
      </c>
      <c r="D854" s="2167" t="s">
        <v>182</v>
      </c>
      <c r="E854" s="2168"/>
      <c r="F854" s="2168"/>
      <c r="G854" s="2168"/>
      <c r="H854" s="2169" t="e">
        <f t="shared" si="91"/>
        <v>#DIV/0!</v>
      </c>
    </row>
    <row r="855" spans="1:8" ht="30.75" thickBot="1" x14ac:dyDescent="0.25">
      <c r="A855" s="2165">
        <v>3123</v>
      </c>
      <c r="B855" s="2166">
        <v>5336</v>
      </c>
      <c r="C855" s="2170">
        <v>32533019</v>
      </c>
      <c r="D855" s="2167" t="s">
        <v>1325</v>
      </c>
      <c r="E855" s="2168">
        <v>0</v>
      </c>
      <c r="F855" s="2168">
        <f>317+27</f>
        <v>344</v>
      </c>
      <c r="G855" s="2168">
        <f>317+27</f>
        <v>344</v>
      </c>
      <c r="H855" s="2169">
        <f t="shared" si="91"/>
        <v>100</v>
      </c>
    </row>
    <row r="856" spans="1:8" ht="15.75" hidden="1" thickBot="1" x14ac:dyDescent="0.25">
      <c r="A856" s="2165">
        <v>6223</v>
      </c>
      <c r="B856" s="2166">
        <v>5166</v>
      </c>
      <c r="C856" s="2166">
        <v>41100880</v>
      </c>
      <c r="D856" s="2167" t="s">
        <v>646</v>
      </c>
      <c r="E856" s="2168"/>
      <c r="F856" s="2168"/>
      <c r="G856" s="2168"/>
      <c r="H856" s="2169" t="e">
        <f t="shared" ref="H856:H862" si="92">G856/F856*100</f>
        <v>#DIV/0!</v>
      </c>
    </row>
    <row r="857" spans="1:8" ht="15.75" hidden="1" thickBot="1" x14ac:dyDescent="0.25">
      <c r="A857" s="2165">
        <v>6223</v>
      </c>
      <c r="B857" s="2166">
        <v>5166</v>
      </c>
      <c r="C857" s="2166">
        <v>41100882</v>
      </c>
      <c r="D857" s="2167" t="s">
        <v>646</v>
      </c>
      <c r="E857" s="2168"/>
      <c r="F857" s="2168"/>
      <c r="G857" s="2168"/>
      <c r="H857" s="2169" t="e">
        <f t="shared" si="92"/>
        <v>#DIV/0!</v>
      </c>
    </row>
    <row r="858" spans="1:8" ht="15.75" hidden="1" thickBot="1" x14ac:dyDescent="0.25">
      <c r="A858" s="2165">
        <v>6223</v>
      </c>
      <c r="B858" s="2166">
        <v>5166</v>
      </c>
      <c r="C858" s="2166">
        <v>41500881</v>
      </c>
      <c r="D858" s="2167" t="s">
        <v>646</v>
      </c>
      <c r="E858" s="2168"/>
      <c r="F858" s="2168"/>
      <c r="G858" s="2168"/>
      <c r="H858" s="2169" t="e">
        <f t="shared" si="92"/>
        <v>#DIV/0!</v>
      </c>
    </row>
    <row r="859" spans="1:8" ht="15.75" hidden="1" thickBot="1" x14ac:dyDescent="0.25">
      <c r="A859" s="2165">
        <v>3636</v>
      </c>
      <c r="B859" s="2166">
        <v>5167</v>
      </c>
      <c r="C859" s="2166">
        <v>38100880</v>
      </c>
      <c r="D859" s="2167" t="s">
        <v>937</v>
      </c>
      <c r="E859" s="2168"/>
      <c r="F859" s="2168"/>
      <c r="G859" s="2168"/>
      <c r="H859" s="2169" t="e">
        <f t="shared" si="92"/>
        <v>#DIV/0!</v>
      </c>
    </row>
    <row r="860" spans="1:8" ht="15.75" hidden="1" thickBot="1" x14ac:dyDescent="0.25">
      <c r="A860" s="2165">
        <v>3636</v>
      </c>
      <c r="B860" s="2166">
        <v>5167</v>
      </c>
      <c r="C860" s="2166">
        <v>38500881</v>
      </c>
      <c r="D860" s="2167" t="s">
        <v>937</v>
      </c>
      <c r="E860" s="2168"/>
      <c r="F860" s="2168"/>
      <c r="G860" s="2168"/>
      <c r="H860" s="2169" t="e">
        <f t="shared" si="92"/>
        <v>#DIV/0!</v>
      </c>
    </row>
    <row r="861" spans="1:8" ht="15.75" hidden="1" thickBot="1" x14ac:dyDescent="0.25">
      <c r="A861" s="2165">
        <v>3636</v>
      </c>
      <c r="B861" s="2166">
        <v>5169</v>
      </c>
      <c r="C861" s="2166">
        <v>38100880</v>
      </c>
      <c r="D861" s="2167" t="s">
        <v>892</v>
      </c>
      <c r="E861" s="2168"/>
      <c r="F861" s="2168"/>
      <c r="G861" s="2168"/>
      <c r="H861" s="2169" t="e">
        <f t="shared" si="92"/>
        <v>#DIV/0!</v>
      </c>
    </row>
    <row r="862" spans="1:8" ht="15.75" hidden="1" thickBot="1" x14ac:dyDescent="0.25">
      <c r="A862" s="2165">
        <v>3636</v>
      </c>
      <c r="B862" s="2166">
        <v>5169</v>
      </c>
      <c r="C862" s="2166">
        <v>38500881</v>
      </c>
      <c r="D862" s="2167" t="s">
        <v>892</v>
      </c>
      <c r="E862" s="2168"/>
      <c r="F862" s="2168"/>
      <c r="G862" s="2168"/>
      <c r="H862" s="2169" t="e">
        <f t="shared" si="92"/>
        <v>#DIV/0!</v>
      </c>
    </row>
    <row r="863" spans="1:8" ht="15.75" hidden="1" thickBot="1" x14ac:dyDescent="0.25">
      <c r="A863" s="2165">
        <v>6223</v>
      </c>
      <c r="B863" s="2166">
        <v>5173</v>
      </c>
      <c r="C863" s="2170">
        <v>0</v>
      </c>
      <c r="D863" s="2167" t="s">
        <v>1211</v>
      </c>
      <c r="E863" s="2168"/>
      <c r="F863" s="2168"/>
      <c r="G863" s="2168"/>
      <c r="H863" s="2169">
        <v>0</v>
      </c>
    </row>
    <row r="864" spans="1:8" ht="15.75" hidden="1" thickBot="1" x14ac:dyDescent="0.25">
      <c r="A864" s="2165">
        <v>3636</v>
      </c>
      <c r="B864" s="2166">
        <v>5173</v>
      </c>
      <c r="C864" s="2166">
        <v>38500881</v>
      </c>
      <c r="D864" s="2167" t="s">
        <v>1211</v>
      </c>
      <c r="E864" s="2168">
        <v>0</v>
      </c>
      <c r="F864" s="2168"/>
      <c r="G864" s="2168"/>
      <c r="H864" s="2169" t="e">
        <f t="shared" ref="H864:H870" si="93">G864/F864*100</f>
        <v>#DIV/0!</v>
      </c>
    </row>
    <row r="865" spans="1:8" ht="15.75" hidden="1" thickBot="1" x14ac:dyDescent="0.25">
      <c r="A865" s="2165">
        <v>3636</v>
      </c>
      <c r="B865" s="2166">
        <v>5175</v>
      </c>
      <c r="C865" s="2166">
        <v>38100880</v>
      </c>
      <c r="D865" s="2167" t="s">
        <v>707</v>
      </c>
      <c r="E865" s="2168">
        <v>0</v>
      </c>
      <c r="F865" s="2168"/>
      <c r="G865" s="2168"/>
      <c r="H865" s="2169" t="e">
        <f t="shared" si="93"/>
        <v>#DIV/0!</v>
      </c>
    </row>
    <row r="866" spans="1:8" ht="15.75" hidden="1" thickBot="1" x14ac:dyDescent="0.25">
      <c r="A866" s="2165">
        <v>3636</v>
      </c>
      <c r="B866" s="2166">
        <v>5175</v>
      </c>
      <c r="C866" s="2166">
        <v>38500881</v>
      </c>
      <c r="D866" s="2167" t="s">
        <v>707</v>
      </c>
      <c r="E866" s="2168">
        <v>0</v>
      </c>
      <c r="F866" s="2168"/>
      <c r="G866" s="2168"/>
      <c r="H866" s="2169" t="e">
        <f t="shared" si="93"/>
        <v>#DIV/0!</v>
      </c>
    </row>
    <row r="867" spans="1:8" ht="15.75" hidden="1" thickBot="1" x14ac:dyDescent="0.25">
      <c r="A867" s="2165">
        <v>3636</v>
      </c>
      <c r="B867" s="2166">
        <v>5176</v>
      </c>
      <c r="C867" s="2166">
        <v>38100880</v>
      </c>
      <c r="D867" s="2167" t="s">
        <v>1309</v>
      </c>
      <c r="E867" s="2168">
        <v>0</v>
      </c>
      <c r="F867" s="2168"/>
      <c r="G867" s="2168"/>
      <c r="H867" s="2169" t="e">
        <f t="shared" si="93"/>
        <v>#DIV/0!</v>
      </c>
    </row>
    <row r="868" spans="1:8" ht="15.75" hidden="1" thickBot="1" x14ac:dyDescent="0.25">
      <c r="A868" s="2165">
        <v>3636</v>
      </c>
      <c r="B868" s="2166">
        <v>5176</v>
      </c>
      <c r="C868" s="2166">
        <v>38500881</v>
      </c>
      <c r="D868" s="2167" t="s">
        <v>1309</v>
      </c>
      <c r="E868" s="2168">
        <v>0</v>
      </c>
      <c r="F868" s="2168"/>
      <c r="G868" s="2168"/>
      <c r="H868" s="2169" t="e">
        <f t="shared" si="93"/>
        <v>#DIV/0!</v>
      </c>
    </row>
    <row r="869" spans="1:8" ht="15.75" hidden="1" thickBot="1" x14ac:dyDescent="0.25">
      <c r="A869" s="2165">
        <v>3636</v>
      </c>
      <c r="B869" s="2166">
        <v>6901</v>
      </c>
      <c r="C869" s="2166">
        <v>38100880</v>
      </c>
      <c r="D869" s="2167" t="s">
        <v>449</v>
      </c>
      <c r="E869" s="2168">
        <v>0</v>
      </c>
      <c r="F869" s="2168">
        <v>0</v>
      </c>
      <c r="G869" s="2168">
        <v>0</v>
      </c>
      <c r="H869" s="2169" t="e">
        <f t="shared" si="93"/>
        <v>#DIV/0!</v>
      </c>
    </row>
    <row r="870" spans="1:8" ht="15.75" hidden="1" thickBot="1" x14ac:dyDescent="0.25">
      <c r="A870" s="2165">
        <v>3636</v>
      </c>
      <c r="B870" s="2166">
        <v>5363</v>
      </c>
      <c r="C870" s="2166">
        <v>38500881</v>
      </c>
      <c r="D870" s="2167" t="s">
        <v>585</v>
      </c>
      <c r="E870" s="2168">
        <v>0</v>
      </c>
      <c r="F870" s="2168">
        <v>0</v>
      </c>
      <c r="G870" s="2168">
        <v>0</v>
      </c>
      <c r="H870" s="2171" t="e">
        <f t="shared" si="93"/>
        <v>#DIV/0!</v>
      </c>
    </row>
    <row r="871" spans="1:8" ht="16.5" thickTop="1" thickBot="1" x14ac:dyDescent="0.3">
      <c r="A871" s="2750" t="s">
        <v>802</v>
      </c>
      <c r="B871" s="2751"/>
      <c r="C871" s="2751"/>
      <c r="D871" s="2751"/>
      <c r="E871" s="1957">
        <f>SUM(E841:E870)</f>
        <v>0</v>
      </c>
      <c r="F871" s="1957">
        <f>SUM(F841:F870)</f>
        <v>405</v>
      </c>
      <c r="G871" s="1957">
        <f>SUM(G841:G870)</f>
        <v>405</v>
      </c>
      <c r="H871" s="1962">
        <v>0</v>
      </c>
    </row>
    <row r="872" spans="1:8" ht="13.5" thickTop="1" x14ac:dyDescent="0.2"/>
    <row r="873" spans="1:8" ht="12" customHeight="1" x14ac:dyDescent="0.25">
      <c r="A873" s="2744" t="s">
        <v>1945</v>
      </c>
      <c r="B873" s="2745"/>
      <c r="C873" s="2745"/>
      <c r="D873" s="2745"/>
      <c r="E873" s="2745"/>
      <c r="F873" s="2745"/>
      <c r="G873" s="2745"/>
      <c r="H873" s="2745"/>
    </row>
    <row r="874" spans="1:8" ht="15.75" thickBot="1" x14ac:dyDescent="0.3">
      <c r="A874" s="2132" t="s">
        <v>601</v>
      </c>
      <c r="B874" s="2146"/>
      <c r="C874" s="2146"/>
      <c r="E874" s="2147"/>
      <c r="F874" s="2147"/>
      <c r="G874" s="2147"/>
      <c r="H874" s="2148" t="s">
        <v>173</v>
      </c>
    </row>
    <row r="875" spans="1:8" ht="25.5" thickTop="1" thickBot="1" x14ac:dyDescent="0.25">
      <c r="A875" s="1943" t="s">
        <v>174</v>
      </c>
      <c r="B875" s="1944" t="s">
        <v>800</v>
      </c>
      <c r="C875" s="1944" t="s">
        <v>397</v>
      </c>
      <c r="D875" s="1945" t="s">
        <v>176</v>
      </c>
      <c r="E875" s="1976" t="s">
        <v>669</v>
      </c>
      <c r="F875" s="1976" t="s">
        <v>670</v>
      </c>
      <c r="G875" s="1977" t="s">
        <v>923</v>
      </c>
      <c r="H875" s="1978" t="s">
        <v>924</v>
      </c>
    </row>
    <row r="876" spans="1:8" ht="14.25" thickTop="1" thickBot="1" x14ac:dyDescent="0.25">
      <c r="A876" s="1740">
        <v>1</v>
      </c>
      <c r="B876" s="1739">
        <v>2</v>
      </c>
      <c r="C876" s="1739">
        <v>3</v>
      </c>
      <c r="D876" s="1739">
        <v>4</v>
      </c>
      <c r="E876" s="1738">
        <v>5</v>
      </c>
      <c r="F876" s="1738">
        <v>6</v>
      </c>
      <c r="G876" s="2028">
        <v>7</v>
      </c>
      <c r="H876" s="2054" t="s">
        <v>61</v>
      </c>
    </row>
    <row r="877" spans="1:8" ht="15.75" hidden="1" thickTop="1" x14ac:dyDescent="0.2">
      <c r="A877" s="2160">
        <v>3636</v>
      </c>
      <c r="B877" s="2161">
        <v>5011</v>
      </c>
      <c r="C877" s="2170">
        <v>0</v>
      </c>
      <c r="D877" s="2162" t="s">
        <v>219</v>
      </c>
      <c r="E877" s="2163">
        <v>0</v>
      </c>
      <c r="F877" s="2163">
        <v>0</v>
      </c>
      <c r="G877" s="2163">
        <v>0</v>
      </c>
      <c r="H877" s="2164" t="e">
        <f t="shared" ref="H877:H884" si="94">G877/F877*100</f>
        <v>#DIV/0!</v>
      </c>
    </row>
    <row r="878" spans="1:8" ht="15.75" hidden="1" thickTop="1" x14ac:dyDescent="0.2">
      <c r="A878" s="2165">
        <v>3636</v>
      </c>
      <c r="B878" s="2166">
        <v>5011</v>
      </c>
      <c r="C878" s="2166">
        <v>38500881</v>
      </c>
      <c r="D878" s="2167" t="s">
        <v>219</v>
      </c>
      <c r="E878" s="2168">
        <v>0</v>
      </c>
      <c r="F878" s="2168">
        <v>0</v>
      </c>
      <c r="G878" s="2168">
        <v>0</v>
      </c>
      <c r="H878" s="2169" t="e">
        <f t="shared" si="94"/>
        <v>#DIV/0!</v>
      </c>
    </row>
    <row r="879" spans="1:8" ht="30.75" thickTop="1" x14ac:dyDescent="0.2">
      <c r="A879" s="2165">
        <v>3123</v>
      </c>
      <c r="B879" s="2166">
        <v>5336</v>
      </c>
      <c r="C879" s="2170">
        <v>32133019</v>
      </c>
      <c r="D879" s="2167" t="s">
        <v>1325</v>
      </c>
      <c r="E879" s="2168">
        <v>0</v>
      </c>
      <c r="F879" s="2168">
        <f>114+10</f>
        <v>124</v>
      </c>
      <c r="G879" s="2168">
        <f>56+4</f>
        <v>60</v>
      </c>
      <c r="H879" s="2169">
        <f t="shared" si="94"/>
        <v>48.387096774193552</v>
      </c>
    </row>
    <row r="880" spans="1:8" ht="15" hidden="1" x14ac:dyDescent="0.2">
      <c r="A880" s="2165">
        <v>3636</v>
      </c>
      <c r="B880" s="2166">
        <v>5021</v>
      </c>
      <c r="C880" s="2166">
        <v>38500881</v>
      </c>
      <c r="D880" s="2167" t="s">
        <v>409</v>
      </c>
      <c r="E880" s="2168"/>
      <c r="F880" s="2168"/>
      <c r="G880" s="2168"/>
      <c r="H880" s="2169" t="e">
        <f t="shared" si="94"/>
        <v>#DIV/0!</v>
      </c>
    </row>
    <row r="881" spans="1:8" ht="30" hidden="1" x14ac:dyDescent="0.2">
      <c r="A881" s="2165">
        <v>3636</v>
      </c>
      <c r="B881" s="2166">
        <v>5031</v>
      </c>
      <c r="C881" s="2166">
        <v>38100880</v>
      </c>
      <c r="D881" s="2167" t="s">
        <v>1362</v>
      </c>
      <c r="E881" s="2168"/>
      <c r="F881" s="2168"/>
      <c r="G881" s="2168"/>
      <c r="H881" s="2169" t="e">
        <f t="shared" si="94"/>
        <v>#DIV/0!</v>
      </c>
    </row>
    <row r="882" spans="1:8" ht="30" hidden="1" x14ac:dyDescent="0.2">
      <c r="A882" s="2165">
        <v>3636</v>
      </c>
      <c r="B882" s="2166">
        <v>5031</v>
      </c>
      <c r="C882" s="2166">
        <v>38500881</v>
      </c>
      <c r="D882" s="2167" t="s">
        <v>1362</v>
      </c>
      <c r="E882" s="2168"/>
      <c r="F882" s="2168"/>
      <c r="G882" s="2168"/>
      <c r="H882" s="2169" t="e">
        <f t="shared" si="94"/>
        <v>#DIV/0!</v>
      </c>
    </row>
    <row r="883" spans="1:8" ht="30" hidden="1" x14ac:dyDescent="0.2">
      <c r="A883" s="2165">
        <v>3636</v>
      </c>
      <c r="B883" s="2166">
        <v>5032</v>
      </c>
      <c r="C883" s="2166">
        <v>38100880</v>
      </c>
      <c r="D883" s="2167" t="s">
        <v>1236</v>
      </c>
      <c r="E883" s="2168"/>
      <c r="F883" s="2168"/>
      <c r="G883" s="2168"/>
      <c r="H883" s="2169" t="e">
        <f t="shared" si="94"/>
        <v>#DIV/0!</v>
      </c>
    </row>
    <row r="884" spans="1:8" ht="30" hidden="1" x14ac:dyDescent="0.2">
      <c r="A884" s="2165">
        <v>3636</v>
      </c>
      <c r="B884" s="2166">
        <v>5032</v>
      </c>
      <c r="C884" s="2166">
        <v>38500881</v>
      </c>
      <c r="D884" s="2167" t="s">
        <v>1236</v>
      </c>
      <c r="E884" s="2168"/>
      <c r="F884" s="2168"/>
      <c r="G884" s="2168"/>
      <c r="H884" s="2169" t="e">
        <f t="shared" si="94"/>
        <v>#DIV/0!</v>
      </c>
    </row>
    <row r="885" spans="1:8" ht="15" hidden="1" x14ac:dyDescent="0.2">
      <c r="A885" s="2165">
        <v>3636</v>
      </c>
      <c r="B885" s="2166">
        <v>5139</v>
      </c>
      <c r="C885" s="2166">
        <v>38100880</v>
      </c>
      <c r="D885" s="2167" t="s">
        <v>284</v>
      </c>
      <c r="E885" s="2168"/>
      <c r="F885" s="2168"/>
      <c r="G885" s="2168"/>
      <c r="H885" s="2169">
        <v>0</v>
      </c>
    </row>
    <row r="886" spans="1:8" ht="15" hidden="1" x14ac:dyDescent="0.2">
      <c r="A886" s="2165">
        <v>3636</v>
      </c>
      <c r="B886" s="2166">
        <v>5139</v>
      </c>
      <c r="C886" s="2166">
        <v>38500881</v>
      </c>
      <c r="D886" s="2167" t="s">
        <v>284</v>
      </c>
      <c r="E886" s="2168"/>
      <c r="F886" s="2168"/>
      <c r="G886" s="2168"/>
      <c r="H886" s="2169" t="e">
        <f t="shared" ref="H886:H891" si="95">G886/F886*100</f>
        <v>#DIV/0!</v>
      </c>
    </row>
    <row r="887" spans="1:8" ht="15" hidden="1" x14ac:dyDescent="0.2">
      <c r="A887" s="2165">
        <v>3636</v>
      </c>
      <c r="B887" s="2166">
        <v>5162</v>
      </c>
      <c r="C887" s="2166">
        <v>38100880</v>
      </c>
      <c r="D887" s="2167" t="s">
        <v>904</v>
      </c>
      <c r="E887" s="2168"/>
      <c r="F887" s="2168"/>
      <c r="G887" s="2168"/>
      <c r="H887" s="2169" t="e">
        <f t="shared" si="95"/>
        <v>#DIV/0!</v>
      </c>
    </row>
    <row r="888" spans="1:8" ht="15" hidden="1" x14ac:dyDescent="0.2">
      <c r="A888" s="2165">
        <v>3636</v>
      </c>
      <c r="B888" s="2166">
        <v>5162</v>
      </c>
      <c r="C888" s="2166">
        <v>38500881</v>
      </c>
      <c r="D888" s="2167" t="s">
        <v>904</v>
      </c>
      <c r="E888" s="2168"/>
      <c r="F888" s="2168"/>
      <c r="G888" s="2168"/>
      <c r="H888" s="2169" t="e">
        <f t="shared" si="95"/>
        <v>#DIV/0!</v>
      </c>
    </row>
    <row r="889" spans="1:8" ht="15" hidden="1" x14ac:dyDescent="0.2">
      <c r="A889" s="2165">
        <v>3636</v>
      </c>
      <c r="B889" s="2166">
        <v>5164</v>
      </c>
      <c r="C889" s="2166">
        <v>38100880</v>
      </c>
      <c r="D889" s="2167" t="s">
        <v>182</v>
      </c>
      <c r="E889" s="2168"/>
      <c r="F889" s="2168"/>
      <c r="G889" s="2168"/>
      <c r="H889" s="2169" t="e">
        <f t="shared" si="95"/>
        <v>#DIV/0!</v>
      </c>
    </row>
    <row r="890" spans="1:8" ht="15" hidden="1" x14ac:dyDescent="0.2">
      <c r="A890" s="2165">
        <v>3636</v>
      </c>
      <c r="B890" s="2166">
        <v>5164</v>
      </c>
      <c r="C890" s="2166">
        <v>38500881</v>
      </c>
      <c r="D890" s="2167" t="s">
        <v>182</v>
      </c>
      <c r="E890" s="2168"/>
      <c r="F890" s="2168"/>
      <c r="G890" s="2168"/>
      <c r="H890" s="2169" t="e">
        <f t="shared" si="95"/>
        <v>#DIV/0!</v>
      </c>
    </row>
    <row r="891" spans="1:8" ht="30" x14ac:dyDescent="0.2">
      <c r="A891" s="2165">
        <v>3123</v>
      </c>
      <c r="B891" s="2166">
        <v>5336</v>
      </c>
      <c r="C891" s="2170">
        <v>32533019</v>
      </c>
      <c r="D891" s="2167" t="s">
        <v>1325</v>
      </c>
      <c r="E891" s="2168">
        <v>0</v>
      </c>
      <c r="F891" s="2168">
        <f>647+55</f>
        <v>702</v>
      </c>
      <c r="G891" s="2168">
        <f>320+27</f>
        <v>347</v>
      </c>
      <c r="H891" s="2169">
        <f t="shared" si="95"/>
        <v>49.43019943019943</v>
      </c>
    </row>
    <row r="892" spans="1:8" ht="15" hidden="1" x14ac:dyDescent="0.2">
      <c r="A892" s="2165">
        <v>3123</v>
      </c>
      <c r="B892" s="2166">
        <v>5166</v>
      </c>
      <c r="C892" s="2166">
        <v>41100880</v>
      </c>
      <c r="D892" s="2167" t="s">
        <v>646</v>
      </c>
      <c r="E892" s="2168"/>
      <c r="F892" s="2168"/>
      <c r="G892" s="2168"/>
      <c r="H892" s="2169" t="e">
        <f t="shared" ref="H892:H898" si="96">G892/F892*100</f>
        <v>#DIV/0!</v>
      </c>
    </row>
    <row r="893" spans="1:8" ht="15" hidden="1" x14ac:dyDescent="0.2">
      <c r="A893" s="2165">
        <v>3123</v>
      </c>
      <c r="B893" s="2166">
        <v>5166</v>
      </c>
      <c r="C893" s="2166">
        <v>41100882</v>
      </c>
      <c r="D893" s="2167" t="s">
        <v>646</v>
      </c>
      <c r="E893" s="2168"/>
      <c r="F893" s="2168"/>
      <c r="G893" s="2168"/>
      <c r="H893" s="2169" t="e">
        <f t="shared" si="96"/>
        <v>#DIV/0!</v>
      </c>
    </row>
    <row r="894" spans="1:8" ht="15" hidden="1" x14ac:dyDescent="0.2">
      <c r="A894" s="2165">
        <v>3123</v>
      </c>
      <c r="B894" s="2166">
        <v>5166</v>
      </c>
      <c r="C894" s="2166">
        <v>41500881</v>
      </c>
      <c r="D894" s="2167" t="s">
        <v>646</v>
      </c>
      <c r="E894" s="2168"/>
      <c r="F894" s="2168"/>
      <c r="G894" s="2168"/>
      <c r="H894" s="2169" t="e">
        <f t="shared" si="96"/>
        <v>#DIV/0!</v>
      </c>
    </row>
    <row r="895" spans="1:8" ht="15" hidden="1" x14ac:dyDescent="0.2">
      <c r="A895" s="2165">
        <v>3123</v>
      </c>
      <c r="B895" s="2166">
        <v>5167</v>
      </c>
      <c r="C895" s="2166">
        <v>38100880</v>
      </c>
      <c r="D895" s="2167" t="s">
        <v>937</v>
      </c>
      <c r="E895" s="2168"/>
      <c r="F895" s="2168"/>
      <c r="G895" s="2168"/>
      <c r="H895" s="2169" t="e">
        <f t="shared" si="96"/>
        <v>#DIV/0!</v>
      </c>
    </row>
    <row r="896" spans="1:8" ht="15" hidden="1" x14ac:dyDescent="0.2">
      <c r="A896" s="2165">
        <v>3123</v>
      </c>
      <c r="B896" s="2166">
        <v>5167</v>
      </c>
      <c r="C896" s="2166">
        <v>38500881</v>
      </c>
      <c r="D896" s="2167" t="s">
        <v>937</v>
      </c>
      <c r="E896" s="2168"/>
      <c r="F896" s="2168"/>
      <c r="G896" s="2168"/>
      <c r="H896" s="2169" t="e">
        <f t="shared" si="96"/>
        <v>#DIV/0!</v>
      </c>
    </row>
    <row r="897" spans="1:8" ht="15" hidden="1" x14ac:dyDescent="0.2">
      <c r="A897" s="2165">
        <v>3123</v>
      </c>
      <c r="B897" s="2166">
        <v>5169</v>
      </c>
      <c r="C897" s="2166">
        <v>38100880</v>
      </c>
      <c r="D897" s="2167" t="s">
        <v>892</v>
      </c>
      <c r="E897" s="2168"/>
      <c r="F897" s="2168"/>
      <c r="G897" s="2168"/>
      <c r="H897" s="2169" t="e">
        <f t="shared" si="96"/>
        <v>#DIV/0!</v>
      </c>
    </row>
    <row r="898" spans="1:8" ht="15" hidden="1" x14ac:dyDescent="0.2">
      <c r="A898" s="2165">
        <v>3123</v>
      </c>
      <c r="B898" s="2166">
        <v>5169</v>
      </c>
      <c r="C898" s="2166">
        <v>38500881</v>
      </c>
      <c r="D898" s="2167" t="s">
        <v>892</v>
      </c>
      <c r="E898" s="2168"/>
      <c r="F898" s="2168"/>
      <c r="G898" s="2168"/>
      <c r="H898" s="2169" t="e">
        <f t="shared" si="96"/>
        <v>#DIV/0!</v>
      </c>
    </row>
    <row r="899" spans="1:8" ht="15" hidden="1" x14ac:dyDescent="0.2">
      <c r="A899" s="2165">
        <v>3123</v>
      </c>
      <c r="B899" s="2166">
        <v>5173</v>
      </c>
      <c r="C899" s="2170">
        <v>0</v>
      </c>
      <c r="D899" s="2167" t="s">
        <v>1211</v>
      </c>
      <c r="E899" s="2168"/>
      <c r="F899" s="2168"/>
      <c r="G899" s="2168"/>
      <c r="H899" s="2169">
        <v>0</v>
      </c>
    </row>
    <row r="900" spans="1:8" ht="15" hidden="1" x14ac:dyDescent="0.2">
      <c r="A900" s="2165">
        <v>3123</v>
      </c>
      <c r="B900" s="2166">
        <v>5173</v>
      </c>
      <c r="C900" s="2166">
        <v>38500881</v>
      </c>
      <c r="D900" s="2167" t="s">
        <v>1211</v>
      </c>
      <c r="E900" s="2168">
        <v>0</v>
      </c>
      <c r="F900" s="2168"/>
      <c r="G900" s="2168"/>
      <c r="H900" s="2169" t="e">
        <f t="shared" ref="H900:H906" si="97">G900/F900*100</f>
        <v>#DIV/0!</v>
      </c>
    </row>
    <row r="901" spans="1:8" ht="15" hidden="1" x14ac:dyDescent="0.2">
      <c r="A901" s="2165">
        <v>3123</v>
      </c>
      <c r="B901" s="2166">
        <v>5175</v>
      </c>
      <c r="C901" s="2166">
        <v>38100880</v>
      </c>
      <c r="D901" s="2167" t="s">
        <v>707</v>
      </c>
      <c r="E901" s="2168">
        <v>0</v>
      </c>
      <c r="F901" s="2168"/>
      <c r="G901" s="2168"/>
      <c r="H901" s="2169" t="e">
        <f t="shared" si="97"/>
        <v>#DIV/0!</v>
      </c>
    </row>
    <row r="902" spans="1:8" ht="15" hidden="1" x14ac:dyDescent="0.2">
      <c r="A902" s="2165">
        <v>3123</v>
      </c>
      <c r="B902" s="2166">
        <v>5175</v>
      </c>
      <c r="C902" s="2166">
        <v>38500881</v>
      </c>
      <c r="D902" s="2167" t="s">
        <v>707</v>
      </c>
      <c r="E902" s="2168">
        <v>0</v>
      </c>
      <c r="F902" s="2168"/>
      <c r="G902" s="2168"/>
      <c r="H902" s="2169" t="e">
        <f t="shared" si="97"/>
        <v>#DIV/0!</v>
      </c>
    </row>
    <row r="903" spans="1:8" ht="15" hidden="1" x14ac:dyDescent="0.2">
      <c r="A903" s="2165">
        <v>3123</v>
      </c>
      <c r="B903" s="2166">
        <v>5176</v>
      </c>
      <c r="C903" s="2166">
        <v>38100880</v>
      </c>
      <c r="D903" s="2167" t="s">
        <v>1309</v>
      </c>
      <c r="E903" s="2168">
        <v>0</v>
      </c>
      <c r="F903" s="2168"/>
      <c r="G903" s="2168"/>
      <c r="H903" s="2169" t="e">
        <f t="shared" si="97"/>
        <v>#DIV/0!</v>
      </c>
    </row>
    <row r="904" spans="1:8" ht="15" hidden="1" x14ac:dyDescent="0.2">
      <c r="A904" s="2165">
        <v>3123</v>
      </c>
      <c r="B904" s="2166">
        <v>5176</v>
      </c>
      <c r="C904" s="2166">
        <v>38500881</v>
      </c>
      <c r="D904" s="2167" t="s">
        <v>1309</v>
      </c>
      <c r="E904" s="2168">
        <v>0</v>
      </c>
      <c r="F904" s="2168"/>
      <c r="G904" s="2168"/>
      <c r="H904" s="2169" t="e">
        <f t="shared" si="97"/>
        <v>#DIV/0!</v>
      </c>
    </row>
    <row r="905" spans="1:8" ht="30" x14ac:dyDescent="0.2">
      <c r="A905" s="2165">
        <v>3123</v>
      </c>
      <c r="B905" s="2166">
        <v>6356</v>
      </c>
      <c r="C905" s="2166">
        <v>32133910</v>
      </c>
      <c r="D905" s="2167" t="s">
        <v>1927</v>
      </c>
      <c r="E905" s="2168">
        <v>0</v>
      </c>
      <c r="F905" s="2168">
        <v>99</v>
      </c>
      <c r="G905" s="2168">
        <v>0</v>
      </c>
      <c r="H905" s="2169">
        <f t="shared" si="97"/>
        <v>0</v>
      </c>
    </row>
    <row r="906" spans="1:8" ht="30.75" thickBot="1" x14ac:dyDescent="0.25">
      <c r="A906" s="2165">
        <v>3123</v>
      </c>
      <c r="B906" s="2166">
        <v>6356</v>
      </c>
      <c r="C906" s="2166">
        <v>32533910</v>
      </c>
      <c r="D906" s="2167" t="s">
        <v>1927</v>
      </c>
      <c r="E906" s="2168">
        <v>0</v>
      </c>
      <c r="F906" s="2168">
        <v>563</v>
      </c>
      <c r="G906" s="2168">
        <v>0</v>
      </c>
      <c r="H906" s="2171">
        <f t="shared" si="97"/>
        <v>0</v>
      </c>
    </row>
    <row r="907" spans="1:8" ht="16.5" thickTop="1" thickBot="1" x14ac:dyDescent="0.3">
      <c r="A907" s="2750" t="s">
        <v>802</v>
      </c>
      <c r="B907" s="2751"/>
      <c r="C907" s="2751"/>
      <c r="D907" s="2751"/>
      <c r="E907" s="1957">
        <f>SUM(E877:E906)</f>
        <v>0</v>
      </c>
      <c r="F907" s="1957">
        <f>SUM(F877:F906)</f>
        <v>1488</v>
      </c>
      <c r="G907" s="1957">
        <f>SUM(G877:G906)</f>
        <v>407</v>
      </c>
      <c r="H907" s="1962">
        <v>0</v>
      </c>
    </row>
    <row r="908" spans="1:8" ht="13.5" thickTop="1" x14ac:dyDescent="0.2"/>
    <row r="909" spans="1:8" ht="12" customHeight="1" x14ac:dyDescent="0.25">
      <c r="A909" s="2744" t="s">
        <v>1946</v>
      </c>
      <c r="B909" s="2745"/>
      <c r="C909" s="2745"/>
      <c r="D909" s="2745"/>
      <c r="E909" s="2745"/>
      <c r="F909" s="2745"/>
      <c r="G909" s="2745"/>
      <c r="H909" s="2745"/>
    </row>
    <row r="910" spans="1:8" ht="15.75" thickBot="1" x14ac:dyDescent="0.3">
      <c r="A910" s="2132" t="s">
        <v>1947</v>
      </c>
      <c r="B910" s="2146"/>
      <c r="C910" s="2146"/>
      <c r="E910" s="2147"/>
      <c r="F910" s="2147"/>
      <c r="G910" s="2147"/>
      <c r="H910" s="2148" t="s">
        <v>173</v>
      </c>
    </row>
    <row r="911" spans="1:8" ht="25.5" thickTop="1" thickBot="1" x14ac:dyDescent="0.25">
      <c r="A911" s="1943" t="s">
        <v>174</v>
      </c>
      <c r="B911" s="1944" t="s">
        <v>800</v>
      </c>
      <c r="C911" s="1944" t="s">
        <v>397</v>
      </c>
      <c r="D911" s="1945" t="s">
        <v>176</v>
      </c>
      <c r="E911" s="1976" t="s">
        <v>669</v>
      </c>
      <c r="F911" s="1976" t="s">
        <v>670</v>
      </c>
      <c r="G911" s="1977" t="s">
        <v>923</v>
      </c>
      <c r="H911" s="1978" t="s">
        <v>924</v>
      </c>
    </row>
    <row r="912" spans="1:8" ht="14.25" thickTop="1" thickBot="1" x14ac:dyDescent="0.25">
      <c r="A912" s="1740">
        <v>1</v>
      </c>
      <c r="B912" s="1739">
        <v>2</v>
      </c>
      <c r="C912" s="1739">
        <v>3</v>
      </c>
      <c r="D912" s="1739">
        <v>4</v>
      </c>
      <c r="E912" s="1738">
        <v>5</v>
      </c>
      <c r="F912" s="1738">
        <v>6</v>
      </c>
      <c r="G912" s="2028">
        <v>7</v>
      </c>
      <c r="H912" s="2054" t="s">
        <v>61</v>
      </c>
    </row>
    <row r="913" spans="1:8" ht="15.75" hidden="1" thickTop="1" x14ac:dyDescent="0.2">
      <c r="A913" s="2160">
        <v>3636</v>
      </c>
      <c r="B913" s="2161">
        <v>5011</v>
      </c>
      <c r="C913" s="2170">
        <v>0</v>
      </c>
      <c r="D913" s="2162" t="s">
        <v>219</v>
      </c>
      <c r="E913" s="2163">
        <v>0</v>
      </c>
      <c r="F913" s="2163">
        <v>0</v>
      </c>
      <c r="G913" s="2163">
        <v>0</v>
      </c>
      <c r="H913" s="2164" t="e">
        <f>G913/F913*100</f>
        <v>#DIV/0!</v>
      </c>
    </row>
    <row r="914" spans="1:8" ht="15.75" hidden="1" thickTop="1" x14ac:dyDescent="0.2">
      <c r="A914" s="2165">
        <v>3636</v>
      </c>
      <c r="B914" s="2166">
        <v>5011</v>
      </c>
      <c r="C914" s="2166">
        <v>38500881</v>
      </c>
      <c r="D914" s="2167" t="s">
        <v>219</v>
      </c>
      <c r="E914" s="2168">
        <v>0</v>
      </c>
      <c r="F914" s="2168">
        <v>0</v>
      </c>
      <c r="G914" s="2168">
        <v>0</v>
      </c>
      <c r="H914" s="2169" t="e">
        <f>G914/F914*100</f>
        <v>#DIV/0!</v>
      </c>
    </row>
    <row r="915" spans="1:8" ht="30.75" thickTop="1" x14ac:dyDescent="0.2">
      <c r="A915" s="2165">
        <v>3123</v>
      </c>
      <c r="B915" s="2166">
        <v>5336</v>
      </c>
      <c r="C915" s="2170">
        <v>32133019</v>
      </c>
      <c r="D915" s="2167" t="s">
        <v>1325</v>
      </c>
      <c r="E915" s="2168">
        <v>0</v>
      </c>
      <c r="F915" s="2168">
        <v>0</v>
      </c>
      <c r="G915" s="2168">
        <v>0</v>
      </c>
      <c r="H915" s="2169">
        <v>0</v>
      </c>
    </row>
    <row r="916" spans="1:8" ht="15" hidden="1" x14ac:dyDescent="0.2">
      <c r="A916" s="2165">
        <v>3636</v>
      </c>
      <c r="B916" s="2166">
        <v>5021</v>
      </c>
      <c r="C916" s="2166">
        <v>38500881</v>
      </c>
      <c r="D916" s="2167" t="s">
        <v>409</v>
      </c>
      <c r="E916" s="2168"/>
      <c r="F916" s="2168"/>
      <c r="G916" s="2168"/>
      <c r="H916" s="2169" t="e">
        <f>G916/F916*100</f>
        <v>#DIV/0!</v>
      </c>
    </row>
    <row r="917" spans="1:8" ht="30" hidden="1" x14ac:dyDescent="0.2">
      <c r="A917" s="2165">
        <v>3636</v>
      </c>
      <c r="B917" s="2166">
        <v>5031</v>
      </c>
      <c r="C917" s="2166">
        <v>38100880</v>
      </c>
      <c r="D917" s="2167" t="s">
        <v>1362</v>
      </c>
      <c r="E917" s="2168"/>
      <c r="F917" s="2168"/>
      <c r="G917" s="2168"/>
      <c r="H917" s="2169" t="e">
        <f>G917/F917*100</f>
        <v>#DIV/0!</v>
      </c>
    </row>
    <row r="918" spans="1:8" ht="30" hidden="1" x14ac:dyDescent="0.2">
      <c r="A918" s="2165">
        <v>3636</v>
      </c>
      <c r="B918" s="2166">
        <v>5031</v>
      </c>
      <c r="C918" s="2166">
        <v>38500881</v>
      </c>
      <c r="D918" s="2167" t="s">
        <v>1362</v>
      </c>
      <c r="E918" s="2168"/>
      <c r="F918" s="2168"/>
      <c r="G918" s="2168"/>
      <c r="H918" s="2169" t="e">
        <f>G918/F918*100</f>
        <v>#DIV/0!</v>
      </c>
    </row>
    <row r="919" spans="1:8" ht="30" hidden="1" x14ac:dyDescent="0.2">
      <c r="A919" s="2165">
        <v>3636</v>
      </c>
      <c r="B919" s="2166">
        <v>5032</v>
      </c>
      <c r="C919" s="2166">
        <v>38100880</v>
      </c>
      <c r="D919" s="2167" t="s">
        <v>1236</v>
      </c>
      <c r="E919" s="2168"/>
      <c r="F919" s="2168"/>
      <c r="G919" s="2168"/>
      <c r="H919" s="2169" t="e">
        <f>G919/F919*100</f>
        <v>#DIV/0!</v>
      </c>
    </row>
    <row r="920" spans="1:8" ht="30" hidden="1" x14ac:dyDescent="0.2">
      <c r="A920" s="2165">
        <v>3636</v>
      </c>
      <c r="B920" s="2166">
        <v>5032</v>
      </c>
      <c r="C920" s="2166">
        <v>38500881</v>
      </c>
      <c r="D920" s="2167" t="s">
        <v>1236</v>
      </c>
      <c r="E920" s="2168"/>
      <c r="F920" s="2168"/>
      <c r="G920" s="2168"/>
      <c r="H920" s="2169" t="e">
        <f>G920/F920*100</f>
        <v>#DIV/0!</v>
      </c>
    </row>
    <row r="921" spans="1:8" ht="15" hidden="1" x14ac:dyDescent="0.2">
      <c r="A921" s="2165">
        <v>3636</v>
      </c>
      <c r="B921" s="2166">
        <v>5139</v>
      </c>
      <c r="C921" s="2166">
        <v>38100880</v>
      </c>
      <c r="D921" s="2167" t="s">
        <v>284</v>
      </c>
      <c r="E921" s="2168"/>
      <c r="F921" s="2168"/>
      <c r="G921" s="2168"/>
      <c r="H921" s="2169">
        <v>0</v>
      </c>
    </row>
    <row r="922" spans="1:8" ht="15" hidden="1" x14ac:dyDescent="0.2">
      <c r="A922" s="2165">
        <v>3636</v>
      </c>
      <c r="B922" s="2166">
        <v>5139</v>
      </c>
      <c r="C922" s="2166">
        <v>38500881</v>
      </c>
      <c r="D922" s="2167" t="s">
        <v>284</v>
      </c>
      <c r="E922" s="2168"/>
      <c r="F922" s="2168"/>
      <c r="G922" s="2168"/>
      <c r="H922" s="2169" t="e">
        <f t="shared" ref="H922:H927" si="98">G922/F922*100</f>
        <v>#DIV/0!</v>
      </c>
    </row>
    <row r="923" spans="1:8" ht="15" hidden="1" x14ac:dyDescent="0.2">
      <c r="A923" s="2165">
        <v>3636</v>
      </c>
      <c r="B923" s="2166">
        <v>5162</v>
      </c>
      <c r="C923" s="2166">
        <v>38100880</v>
      </c>
      <c r="D923" s="2167" t="s">
        <v>904</v>
      </c>
      <c r="E923" s="2168"/>
      <c r="F923" s="2168"/>
      <c r="G923" s="2168"/>
      <c r="H923" s="2169" t="e">
        <f t="shared" si="98"/>
        <v>#DIV/0!</v>
      </c>
    </row>
    <row r="924" spans="1:8" ht="15" hidden="1" x14ac:dyDescent="0.2">
      <c r="A924" s="2165">
        <v>3636</v>
      </c>
      <c r="B924" s="2166">
        <v>5162</v>
      </c>
      <c r="C924" s="2166">
        <v>38500881</v>
      </c>
      <c r="D924" s="2167" t="s">
        <v>904</v>
      </c>
      <c r="E924" s="2168"/>
      <c r="F924" s="2168"/>
      <c r="G924" s="2168"/>
      <c r="H924" s="2169" t="e">
        <f t="shared" si="98"/>
        <v>#DIV/0!</v>
      </c>
    </row>
    <row r="925" spans="1:8" ht="15" hidden="1" x14ac:dyDescent="0.2">
      <c r="A925" s="2165">
        <v>3636</v>
      </c>
      <c r="B925" s="2166">
        <v>5164</v>
      </c>
      <c r="C925" s="2166">
        <v>38100880</v>
      </c>
      <c r="D925" s="2167" t="s">
        <v>182</v>
      </c>
      <c r="E925" s="2168"/>
      <c r="F925" s="2168"/>
      <c r="G925" s="2168"/>
      <c r="H925" s="2169" t="e">
        <f t="shared" si="98"/>
        <v>#DIV/0!</v>
      </c>
    </row>
    <row r="926" spans="1:8" ht="15" hidden="1" x14ac:dyDescent="0.2">
      <c r="A926" s="2165">
        <v>3636</v>
      </c>
      <c r="B926" s="2166">
        <v>5164</v>
      </c>
      <c r="C926" s="2166">
        <v>38500881</v>
      </c>
      <c r="D926" s="2167" t="s">
        <v>182</v>
      </c>
      <c r="E926" s="2168"/>
      <c r="F926" s="2168"/>
      <c r="G926" s="2168"/>
      <c r="H926" s="2169" t="e">
        <f t="shared" si="98"/>
        <v>#DIV/0!</v>
      </c>
    </row>
    <row r="927" spans="1:8" ht="30.75" thickBot="1" x14ac:dyDescent="0.25">
      <c r="A927" s="2165">
        <v>3123</v>
      </c>
      <c r="B927" s="2166">
        <v>5336</v>
      </c>
      <c r="C927" s="2170">
        <v>32533019</v>
      </c>
      <c r="D927" s="2167" t="s">
        <v>1325</v>
      </c>
      <c r="E927" s="2168">
        <v>0</v>
      </c>
      <c r="F927" s="2168">
        <v>10</v>
      </c>
      <c r="G927" s="2168">
        <v>0</v>
      </c>
      <c r="H927" s="2169">
        <f t="shared" si="98"/>
        <v>0</v>
      </c>
    </row>
    <row r="928" spans="1:8" ht="15.75" hidden="1" thickBot="1" x14ac:dyDescent="0.25">
      <c r="A928" s="2165">
        <v>6223</v>
      </c>
      <c r="B928" s="2166">
        <v>5166</v>
      </c>
      <c r="C928" s="2166">
        <v>41100880</v>
      </c>
      <c r="D928" s="2167" t="s">
        <v>646</v>
      </c>
      <c r="E928" s="2168"/>
      <c r="F928" s="2168"/>
      <c r="G928" s="2168"/>
      <c r="H928" s="2169" t="e">
        <f t="shared" ref="H928:H934" si="99">G928/F928*100</f>
        <v>#DIV/0!</v>
      </c>
    </row>
    <row r="929" spans="1:8" ht="15.75" hidden="1" thickBot="1" x14ac:dyDescent="0.25">
      <c r="A929" s="2165">
        <v>6223</v>
      </c>
      <c r="B929" s="2166">
        <v>5166</v>
      </c>
      <c r="C929" s="2166">
        <v>41100882</v>
      </c>
      <c r="D929" s="2167" t="s">
        <v>646</v>
      </c>
      <c r="E929" s="2168"/>
      <c r="F929" s="2168"/>
      <c r="G929" s="2168"/>
      <c r="H929" s="2169" t="e">
        <f t="shared" si="99"/>
        <v>#DIV/0!</v>
      </c>
    </row>
    <row r="930" spans="1:8" ht="15.75" hidden="1" thickBot="1" x14ac:dyDescent="0.25">
      <c r="A930" s="2165">
        <v>6223</v>
      </c>
      <c r="B930" s="2166">
        <v>5166</v>
      </c>
      <c r="C930" s="2166">
        <v>41500881</v>
      </c>
      <c r="D930" s="2167" t="s">
        <v>646</v>
      </c>
      <c r="E930" s="2168"/>
      <c r="F930" s="2168"/>
      <c r="G930" s="2168"/>
      <c r="H930" s="2169" t="e">
        <f t="shared" si="99"/>
        <v>#DIV/0!</v>
      </c>
    </row>
    <row r="931" spans="1:8" ht="15.75" hidden="1" thickBot="1" x14ac:dyDescent="0.25">
      <c r="A931" s="2165">
        <v>3636</v>
      </c>
      <c r="B931" s="2166">
        <v>5167</v>
      </c>
      <c r="C931" s="2166">
        <v>38100880</v>
      </c>
      <c r="D931" s="2167" t="s">
        <v>937</v>
      </c>
      <c r="E931" s="2168"/>
      <c r="F931" s="2168"/>
      <c r="G931" s="2168"/>
      <c r="H931" s="2169" t="e">
        <f t="shared" si="99"/>
        <v>#DIV/0!</v>
      </c>
    </row>
    <row r="932" spans="1:8" ht="15.75" hidden="1" thickBot="1" x14ac:dyDescent="0.25">
      <c r="A932" s="2165">
        <v>3636</v>
      </c>
      <c r="B932" s="2166">
        <v>5167</v>
      </c>
      <c r="C932" s="2166">
        <v>38500881</v>
      </c>
      <c r="D932" s="2167" t="s">
        <v>937</v>
      </c>
      <c r="E932" s="2168"/>
      <c r="F932" s="2168"/>
      <c r="G932" s="2168"/>
      <c r="H932" s="2169" t="e">
        <f t="shared" si="99"/>
        <v>#DIV/0!</v>
      </c>
    </row>
    <row r="933" spans="1:8" ht="15.75" hidden="1" thickBot="1" x14ac:dyDescent="0.25">
      <c r="A933" s="2165">
        <v>3636</v>
      </c>
      <c r="B933" s="2166">
        <v>5169</v>
      </c>
      <c r="C933" s="2166">
        <v>38100880</v>
      </c>
      <c r="D933" s="2167" t="s">
        <v>892</v>
      </c>
      <c r="E933" s="2168"/>
      <c r="F933" s="2168"/>
      <c r="G933" s="2168"/>
      <c r="H933" s="2169" t="e">
        <f t="shared" si="99"/>
        <v>#DIV/0!</v>
      </c>
    </row>
    <row r="934" spans="1:8" ht="15.75" hidden="1" thickBot="1" x14ac:dyDescent="0.25">
      <c r="A934" s="2165">
        <v>3636</v>
      </c>
      <c r="B934" s="2166">
        <v>5169</v>
      </c>
      <c r="C934" s="2166">
        <v>38500881</v>
      </c>
      <c r="D934" s="2167" t="s">
        <v>892</v>
      </c>
      <c r="E934" s="2168"/>
      <c r="F934" s="2168"/>
      <c r="G934" s="2168"/>
      <c r="H934" s="2169" t="e">
        <f t="shared" si="99"/>
        <v>#DIV/0!</v>
      </c>
    </row>
    <row r="935" spans="1:8" ht="15.75" hidden="1" thickBot="1" x14ac:dyDescent="0.25">
      <c r="A935" s="2165">
        <v>6223</v>
      </c>
      <c r="B935" s="2166">
        <v>5173</v>
      </c>
      <c r="C935" s="2170">
        <v>0</v>
      </c>
      <c r="D935" s="2167" t="s">
        <v>1211</v>
      </c>
      <c r="E935" s="2168"/>
      <c r="F935" s="2168"/>
      <c r="G935" s="2168"/>
      <c r="H935" s="2169">
        <v>0</v>
      </c>
    </row>
    <row r="936" spans="1:8" ht="15.75" hidden="1" thickBot="1" x14ac:dyDescent="0.25">
      <c r="A936" s="2165">
        <v>3636</v>
      </c>
      <c r="B936" s="2166">
        <v>5173</v>
      </c>
      <c r="C936" s="2166">
        <v>38500881</v>
      </c>
      <c r="D936" s="2167" t="s">
        <v>1211</v>
      </c>
      <c r="E936" s="2168">
        <v>0</v>
      </c>
      <c r="F936" s="2168"/>
      <c r="G936" s="2168"/>
      <c r="H936" s="2169" t="e">
        <f t="shared" ref="H936:H942" si="100">G936/F936*100</f>
        <v>#DIV/0!</v>
      </c>
    </row>
    <row r="937" spans="1:8" ht="15.75" hidden="1" thickBot="1" x14ac:dyDescent="0.25">
      <c r="A937" s="2165">
        <v>3636</v>
      </c>
      <c r="B937" s="2166">
        <v>5175</v>
      </c>
      <c r="C937" s="2166">
        <v>38100880</v>
      </c>
      <c r="D937" s="2167" t="s">
        <v>707</v>
      </c>
      <c r="E937" s="2168">
        <v>0</v>
      </c>
      <c r="F937" s="2168"/>
      <c r="G937" s="2168"/>
      <c r="H937" s="2169" t="e">
        <f t="shared" si="100"/>
        <v>#DIV/0!</v>
      </c>
    </row>
    <row r="938" spans="1:8" ht="15.75" hidden="1" thickBot="1" x14ac:dyDescent="0.25">
      <c r="A938" s="2165">
        <v>3636</v>
      </c>
      <c r="B938" s="2166">
        <v>5175</v>
      </c>
      <c r="C938" s="2166">
        <v>38500881</v>
      </c>
      <c r="D938" s="2167" t="s">
        <v>707</v>
      </c>
      <c r="E938" s="2168">
        <v>0</v>
      </c>
      <c r="F938" s="2168"/>
      <c r="G938" s="2168"/>
      <c r="H938" s="2169" t="e">
        <f t="shared" si="100"/>
        <v>#DIV/0!</v>
      </c>
    </row>
    <row r="939" spans="1:8" ht="15.75" hidden="1" thickBot="1" x14ac:dyDescent="0.25">
      <c r="A939" s="2165">
        <v>3636</v>
      </c>
      <c r="B939" s="2166">
        <v>5176</v>
      </c>
      <c r="C939" s="2166">
        <v>38100880</v>
      </c>
      <c r="D939" s="2167" t="s">
        <v>1309</v>
      </c>
      <c r="E939" s="2168">
        <v>0</v>
      </c>
      <c r="F939" s="2168"/>
      <c r="G939" s="2168"/>
      <c r="H939" s="2169" t="e">
        <f t="shared" si="100"/>
        <v>#DIV/0!</v>
      </c>
    </row>
    <row r="940" spans="1:8" ht="15.75" hidden="1" thickBot="1" x14ac:dyDescent="0.25">
      <c r="A940" s="2165">
        <v>3636</v>
      </c>
      <c r="B940" s="2166">
        <v>5176</v>
      </c>
      <c r="C940" s="2166">
        <v>38500881</v>
      </c>
      <c r="D940" s="2167" t="s">
        <v>1309</v>
      </c>
      <c r="E940" s="2168">
        <v>0</v>
      </c>
      <c r="F940" s="2168"/>
      <c r="G940" s="2168"/>
      <c r="H940" s="2169" t="e">
        <f t="shared" si="100"/>
        <v>#DIV/0!</v>
      </c>
    </row>
    <row r="941" spans="1:8" ht="15.75" hidden="1" thickBot="1" x14ac:dyDescent="0.25">
      <c r="A941" s="2165">
        <v>3636</v>
      </c>
      <c r="B941" s="2166">
        <v>6901</v>
      </c>
      <c r="C941" s="2166">
        <v>38100880</v>
      </c>
      <c r="D941" s="2167" t="s">
        <v>449</v>
      </c>
      <c r="E941" s="2168">
        <v>0</v>
      </c>
      <c r="F941" s="2168">
        <v>0</v>
      </c>
      <c r="G941" s="2168">
        <v>0</v>
      </c>
      <c r="H941" s="2169" t="e">
        <f t="shared" si="100"/>
        <v>#DIV/0!</v>
      </c>
    </row>
    <row r="942" spans="1:8" ht="15.75" hidden="1" thickBot="1" x14ac:dyDescent="0.25">
      <c r="A942" s="2165">
        <v>3636</v>
      </c>
      <c r="B942" s="2166">
        <v>5363</v>
      </c>
      <c r="C942" s="2166">
        <v>38500881</v>
      </c>
      <c r="D942" s="2167" t="s">
        <v>585</v>
      </c>
      <c r="E942" s="2168">
        <v>0</v>
      </c>
      <c r="F942" s="2168">
        <v>0</v>
      </c>
      <c r="G942" s="2168">
        <v>0</v>
      </c>
      <c r="H942" s="2171" t="e">
        <f t="shared" si="100"/>
        <v>#DIV/0!</v>
      </c>
    </row>
    <row r="943" spans="1:8" ht="16.5" thickTop="1" thickBot="1" x14ac:dyDescent="0.3">
      <c r="A943" s="2750" t="s">
        <v>802</v>
      </c>
      <c r="B943" s="2751"/>
      <c r="C943" s="2751"/>
      <c r="D943" s="2751"/>
      <c r="E943" s="1957">
        <f>SUM(E913:E942)</f>
        <v>0</v>
      </c>
      <c r="F943" s="1957">
        <f>SUM(F913:F942)</f>
        <v>10</v>
      </c>
      <c r="G943" s="1957">
        <f>SUM(G913:G942)</f>
        <v>0</v>
      </c>
      <c r="H943" s="1962">
        <v>0</v>
      </c>
    </row>
    <row r="944" spans="1:8" ht="13.5" thickTop="1" x14ac:dyDescent="0.2"/>
    <row r="945" spans="1:8" ht="12" customHeight="1" x14ac:dyDescent="0.25">
      <c r="A945" s="2744" t="s">
        <v>337</v>
      </c>
      <c r="B945" s="2745"/>
      <c r="C945" s="2745"/>
      <c r="D945" s="2745"/>
      <c r="E945" s="2745"/>
      <c r="F945" s="2745"/>
      <c r="G945" s="2745"/>
      <c r="H945" s="2745"/>
    </row>
    <row r="946" spans="1:8" ht="15.75" thickBot="1" x14ac:dyDescent="0.3">
      <c r="A946" s="2132" t="s">
        <v>1894</v>
      </c>
      <c r="B946" s="2146"/>
      <c r="C946" s="2146"/>
      <c r="E946" s="2147"/>
      <c r="F946" s="2147"/>
      <c r="G946" s="2147"/>
      <c r="H946" s="2148" t="s">
        <v>173</v>
      </c>
    </row>
    <row r="947" spans="1:8" ht="25.5" thickTop="1" thickBot="1" x14ac:dyDescent="0.25">
      <c r="A947" s="1943" t="s">
        <v>174</v>
      </c>
      <c r="B947" s="1944" t="s">
        <v>800</v>
      </c>
      <c r="C947" s="1944" t="s">
        <v>397</v>
      </c>
      <c r="D947" s="1945" t="s">
        <v>176</v>
      </c>
      <c r="E947" s="1976" t="s">
        <v>669</v>
      </c>
      <c r="F947" s="1976" t="s">
        <v>670</v>
      </c>
      <c r="G947" s="1977" t="s">
        <v>923</v>
      </c>
      <c r="H947" s="1978" t="s">
        <v>924</v>
      </c>
    </row>
    <row r="948" spans="1:8" ht="14.25" thickTop="1" thickBot="1" x14ac:dyDescent="0.25">
      <c r="A948" s="1740">
        <v>1</v>
      </c>
      <c r="B948" s="1739">
        <v>2</v>
      </c>
      <c r="C948" s="1739">
        <v>3</v>
      </c>
      <c r="D948" s="1739">
        <v>4</v>
      </c>
      <c r="E948" s="1738">
        <v>5</v>
      </c>
      <c r="F948" s="1738">
        <v>6</v>
      </c>
      <c r="G948" s="2028">
        <v>7</v>
      </c>
      <c r="H948" s="2054" t="s">
        <v>61</v>
      </c>
    </row>
    <row r="949" spans="1:8" ht="15.75" hidden="1" thickTop="1" x14ac:dyDescent="0.2">
      <c r="A949" s="2160">
        <v>3636</v>
      </c>
      <c r="B949" s="2161">
        <v>5011</v>
      </c>
      <c r="C949" s="2170">
        <v>0</v>
      </c>
      <c r="D949" s="2162" t="s">
        <v>219</v>
      </c>
      <c r="E949" s="2163">
        <v>0</v>
      </c>
      <c r="F949" s="2163">
        <v>0</v>
      </c>
      <c r="G949" s="2163">
        <v>0</v>
      </c>
      <c r="H949" s="2164" t="e">
        <f t="shared" ref="H949:H956" si="101">G949/F949*100</f>
        <v>#DIV/0!</v>
      </c>
    </row>
    <row r="950" spans="1:8" ht="15.75" hidden="1" thickTop="1" x14ac:dyDescent="0.2">
      <c r="A950" s="2165">
        <v>3636</v>
      </c>
      <c r="B950" s="2166">
        <v>5011</v>
      </c>
      <c r="C950" s="2166">
        <v>38500881</v>
      </c>
      <c r="D950" s="2167" t="s">
        <v>219</v>
      </c>
      <c r="E950" s="2168">
        <v>0</v>
      </c>
      <c r="F950" s="2168">
        <v>0</v>
      </c>
      <c r="G950" s="2168">
        <v>0</v>
      </c>
      <c r="H950" s="2169" t="e">
        <f t="shared" si="101"/>
        <v>#DIV/0!</v>
      </c>
    </row>
    <row r="951" spans="1:8" ht="30.75" thickTop="1" x14ac:dyDescent="0.2">
      <c r="A951" s="2165">
        <v>3122</v>
      </c>
      <c r="B951" s="2166">
        <v>5336</v>
      </c>
      <c r="C951" s="2170">
        <v>32133019</v>
      </c>
      <c r="D951" s="2167" t="s">
        <v>1325</v>
      </c>
      <c r="E951" s="2168">
        <v>0</v>
      </c>
      <c r="F951" s="2168">
        <f>130+11</f>
        <v>141</v>
      </c>
      <c r="G951" s="2168">
        <f>28+4</f>
        <v>32</v>
      </c>
      <c r="H951" s="2169">
        <f t="shared" si="101"/>
        <v>22.695035460992909</v>
      </c>
    </row>
    <row r="952" spans="1:8" ht="15" hidden="1" x14ac:dyDescent="0.2">
      <c r="A952" s="2165">
        <v>3636</v>
      </c>
      <c r="B952" s="2166">
        <v>5021</v>
      </c>
      <c r="C952" s="2166">
        <v>38500881</v>
      </c>
      <c r="D952" s="2167" t="s">
        <v>409</v>
      </c>
      <c r="E952" s="2168"/>
      <c r="F952" s="2168"/>
      <c r="G952" s="2168"/>
      <c r="H952" s="2169" t="e">
        <f t="shared" si="101"/>
        <v>#DIV/0!</v>
      </c>
    </row>
    <row r="953" spans="1:8" ht="30" hidden="1" x14ac:dyDescent="0.2">
      <c r="A953" s="2165">
        <v>3636</v>
      </c>
      <c r="B953" s="2166">
        <v>5031</v>
      </c>
      <c r="C953" s="2166">
        <v>38100880</v>
      </c>
      <c r="D953" s="2167" t="s">
        <v>1362</v>
      </c>
      <c r="E953" s="2168"/>
      <c r="F953" s="2168"/>
      <c r="G953" s="2168"/>
      <c r="H953" s="2169" t="e">
        <f t="shared" si="101"/>
        <v>#DIV/0!</v>
      </c>
    </row>
    <row r="954" spans="1:8" ht="30" hidden="1" x14ac:dyDescent="0.2">
      <c r="A954" s="2165">
        <v>3636</v>
      </c>
      <c r="B954" s="2166">
        <v>5031</v>
      </c>
      <c r="C954" s="2166">
        <v>38500881</v>
      </c>
      <c r="D954" s="2167" t="s">
        <v>1362</v>
      </c>
      <c r="E954" s="2168"/>
      <c r="F954" s="2168"/>
      <c r="G954" s="2168"/>
      <c r="H954" s="2169" t="e">
        <f t="shared" si="101"/>
        <v>#DIV/0!</v>
      </c>
    </row>
    <row r="955" spans="1:8" ht="30" hidden="1" x14ac:dyDescent="0.2">
      <c r="A955" s="2165">
        <v>3636</v>
      </c>
      <c r="B955" s="2166">
        <v>5032</v>
      </c>
      <c r="C955" s="2166">
        <v>38100880</v>
      </c>
      <c r="D955" s="2167" t="s">
        <v>1236</v>
      </c>
      <c r="E955" s="2168"/>
      <c r="F955" s="2168"/>
      <c r="G955" s="2168"/>
      <c r="H955" s="2169" t="e">
        <f t="shared" si="101"/>
        <v>#DIV/0!</v>
      </c>
    </row>
    <row r="956" spans="1:8" ht="30" hidden="1" x14ac:dyDescent="0.2">
      <c r="A956" s="2165">
        <v>3636</v>
      </c>
      <c r="B956" s="2166">
        <v>5032</v>
      </c>
      <c r="C956" s="2166">
        <v>38500881</v>
      </c>
      <c r="D956" s="2167" t="s">
        <v>1236</v>
      </c>
      <c r="E956" s="2168"/>
      <c r="F956" s="2168"/>
      <c r="G956" s="2168"/>
      <c r="H956" s="2169" t="e">
        <f t="shared" si="101"/>
        <v>#DIV/0!</v>
      </c>
    </row>
    <row r="957" spans="1:8" ht="15" hidden="1" x14ac:dyDescent="0.2">
      <c r="A957" s="2165">
        <v>3636</v>
      </c>
      <c r="B957" s="2166">
        <v>5139</v>
      </c>
      <c r="C957" s="2166">
        <v>38100880</v>
      </c>
      <c r="D957" s="2167" t="s">
        <v>284</v>
      </c>
      <c r="E957" s="2168"/>
      <c r="F957" s="2168"/>
      <c r="G957" s="2168"/>
      <c r="H957" s="2169">
        <v>0</v>
      </c>
    </row>
    <row r="958" spans="1:8" ht="15" hidden="1" x14ac:dyDescent="0.2">
      <c r="A958" s="2165">
        <v>3636</v>
      </c>
      <c r="B958" s="2166">
        <v>5139</v>
      </c>
      <c r="C958" s="2166">
        <v>38500881</v>
      </c>
      <c r="D958" s="2167" t="s">
        <v>284</v>
      </c>
      <c r="E958" s="2168"/>
      <c r="F958" s="2168"/>
      <c r="G958" s="2168"/>
      <c r="H958" s="2169" t="e">
        <f t="shared" ref="H958:H963" si="102">G958/F958*100</f>
        <v>#DIV/0!</v>
      </c>
    </row>
    <row r="959" spans="1:8" ht="15" hidden="1" x14ac:dyDescent="0.2">
      <c r="A959" s="2165">
        <v>3636</v>
      </c>
      <c r="B959" s="2166">
        <v>5162</v>
      </c>
      <c r="C959" s="2166">
        <v>38100880</v>
      </c>
      <c r="D959" s="2167" t="s">
        <v>904</v>
      </c>
      <c r="E959" s="2168"/>
      <c r="F959" s="2168"/>
      <c r="G959" s="2168"/>
      <c r="H959" s="2169" t="e">
        <f t="shared" si="102"/>
        <v>#DIV/0!</v>
      </c>
    </row>
    <row r="960" spans="1:8" ht="15" hidden="1" x14ac:dyDescent="0.2">
      <c r="A960" s="2165">
        <v>3636</v>
      </c>
      <c r="B960" s="2166">
        <v>5162</v>
      </c>
      <c r="C960" s="2166">
        <v>38500881</v>
      </c>
      <c r="D960" s="2167" t="s">
        <v>904</v>
      </c>
      <c r="E960" s="2168"/>
      <c r="F960" s="2168"/>
      <c r="G960" s="2168"/>
      <c r="H960" s="2169" t="e">
        <f t="shared" si="102"/>
        <v>#DIV/0!</v>
      </c>
    </row>
    <row r="961" spans="1:8" ht="15" hidden="1" x14ac:dyDescent="0.2">
      <c r="A961" s="2165">
        <v>3636</v>
      </c>
      <c r="B961" s="2166">
        <v>5164</v>
      </c>
      <c r="C961" s="2166">
        <v>38100880</v>
      </c>
      <c r="D961" s="2167" t="s">
        <v>182</v>
      </c>
      <c r="E961" s="2168"/>
      <c r="F961" s="2168"/>
      <c r="G961" s="2168"/>
      <c r="H961" s="2169" t="e">
        <f t="shared" si="102"/>
        <v>#DIV/0!</v>
      </c>
    </row>
    <row r="962" spans="1:8" ht="15" hidden="1" x14ac:dyDescent="0.2">
      <c r="A962" s="2165">
        <v>3636</v>
      </c>
      <c r="B962" s="2166">
        <v>5164</v>
      </c>
      <c r="C962" s="2166">
        <v>38500881</v>
      </c>
      <c r="D962" s="2167" t="s">
        <v>182</v>
      </c>
      <c r="E962" s="2168"/>
      <c r="F962" s="2168"/>
      <c r="G962" s="2168"/>
      <c r="H962" s="2169" t="e">
        <f t="shared" si="102"/>
        <v>#DIV/0!</v>
      </c>
    </row>
    <row r="963" spans="1:8" ht="30" x14ac:dyDescent="0.2">
      <c r="A963" s="2165">
        <v>3122</v>
      </c>
      <c r="B963" s="2166">
        <v>5336</v>
      </c>
      <c r="C963" s="2170">
        <v>32533019</v>
      </c>
      <c r="D963" s="2167" t="s">
        <v>1325</v>
      </c>
      <c r="E963" s="2168">
        <v>0</v>
      </c>
      <c r="F963" s="2168">
        <f>734+62</f>
        <v>796</v>
      </c>
      <c r="G963" s="2168">
        <f>157+27</f>
        <v>184</v>
      </c>
      <c r="H963" s="2169">
        <f t="shared" si="102"/>
        <v>23.115577889447238</v>
      </c>
    </row>
    <row r="964" spans="1:8" ht="15" hidden="1" x14ac:dyDescent="0.2">
      <c r="A964" s="2165">
        <v>3122</v>
      </c>
      <c r="B964" s="2166">
        <v>5166</v>
      </c>
      <c r="C964" s="2166">
        <v>41100880</v>
      </c>
      <c r="D964" s="2167" t="s">
        <v>646</v>
      </c>
      <c r="E964" s="2168"/>
      <c r="F964" s="2168"/>
      <c r="G964" s="2168"/>
      <c r="H964" s="2169" t="e">
        <f t="shared" ref="H964:H970" si="103">G964/F964*100</f>
        <v>#DIV/0!</v>
      </c>
    </row>
    <row r="965" spans="1:8" ht="15" hidden="1" x14ac:dyDescent="0.2">
      <c r="A965" s="2165">
        <v>3122</v>
      </c>
      <c r="B965" s="2166">
        <v>5166</v>
      </c>
      <c r="C965" s="2166">
        <v>41100882</v>
      </c>
      <c r="D965" s="2167" t="s">
        <v>646</v>
      </c>
      <c r="E965" s="2168"/>
      <c r="F965" s="2168"/>
      <c r="G965" s="2168"/>
      <c r="H965" s="2169" t="e">
        <f t="shared" si="103"/>
        <v>#DIV/0!</v>
      </c>
    </row>
    <row r="966" spans="1:8" ht="15" hidden="1" x14ac:dyDescent="0.2">
      <c r="A966" s="2165">
        <v>3122</v>
      </c>
      <c r="B966" s="2166">
        <v>5166</v>
      </c>
      <c r="C966" s="2166">
        <v>41500881</v>
      </c>
      <c r="D966" s="2167" t="s">
        <v>646</v>
      </c>
      <c r="E966" s="2168"/>
      <c r="F966" s="2168"/>
      <c r="G966" s="2168"/>
      <c r="H966" s="2169" t="e">
        <f t="shared" si="103"/>
        <v>#DIV/0!</v>
      </c>
    </row>
    <row r="967" spans="1:8" ht="15" hidden="1" x14ac:dyDescent="0.2">
      <c r="A967" s="2165">
        <v>3122</v>
      </c>
      <c r="B967" s="2166">
        <v>5167</v>
      </c>
      <c r="C967" s="2166">
        <v>38100880</v>
      </c>
      <c r="D967" s="2167" t="s">
        <v>937</v>
      </c>
      <c r="E967" s="2168"/>
      <c r="F967" s="2168"/>
      <c r="G967" s="2168"/>
      <c r="H967" s="2169" t="e">
        <f t="shared" si="103"/>
        <v>#DIV/0!</v>
      </c>
    </row>
    <row r="968" spans="1:8" ht="15" hidden="1" x14ac:dyDescent="0.2">
      <c r="A968" s="2165">
        <v>3122</v>
      </c>
      <c r="B968" s="2166">
        <v>5167</v>
      </c>
      <c r="C968" s="2166">
        <v>38500881</v>
      </c>
      <c r="D968" s="2167" t="s">
        <v>937</v>
      </c>
      <c r="E968" s="2168"/>
      <c r="F968" s="2168"/>
      <c r="G968" s="2168"/>
      <c r="H968" s="2169" t="e">
        <f t="shared" si="103"/>
        <v>#DIV/0!</v>
      </c>
    </row>
    <row r="969" spans="1:8" ht="15" hidden="1" x14ac:dyDescent="0.2">
      <c r="A969" s="2165">
        <v>3122</v>
      </c>
      <c r="B969" s="2166">
        <v>5169</v>
      </c>
      <c r="C969" s="2166">
        <v>38100880</v>
      </c>
      <c r="D969" s="2167" t="s">
        <v>892</v>
      </c>
      <c r="E969" s="2168"/>
      <c r="F969" s="2168"/>
      <c r="G969" s="2168"/>
      <c r="H969" s="2169" t="e">
        <f t="shared" si="103"/>
        <v>#DIV/0!</v>
      </c>
    </row>
    <row r="970" spans="1:8" ht="15" hidden="1" x14ac:dyDescent="0.2">
      <c r="A970" s="2165">
        <v>3122</v>
      </c>
      <c r="B970" s="2166">
        <v>5169</v>
      </c>
      <c r="C970" s="2166">
        <v>38500881</v>
      </c>
      <c r="D970" s="2167" t="s">
        <v>892</v>
      </c>
      <c r="E970" s="2168"/>
      <c r="F970" s="2168"/>
      <c r="G970" s="2168"/>
      <c r="H970" s="2169" t="e">
        <f t="shared" si="103"/>
        <v>#DIV/0!</v>
      </c>
    </row>
    <row r="971" spans="1:8" ht="15" hidden="1" x14ac:dyDescent="0.2">
      <c r="A971" s="2165">
        <v>3122</v>
      </c>
      <c r="B971" s="2166">
        <v>5173</v>
      </c>
      <c r="C971" s="2170">
        <v>0</v>
      </c>
      <c r="D971" s="2167" t="s">
        <v>1211</v>
      </c>
      <c r="E971" s="2168"/>
      <c r="F971" s="2168"/>
      <c r="G971" s="2168"/>
      <c r="H971" s="2169">
        <v>0</v>
      </c>
    </row>
    <row r="972" spans="1:8" ht="15" hidden="1" x14ac:dyDescent="0.2">
      <c r="A972" s="2165">
        <v>3122</v>
      </c>
      <c r="B972" s="2166">
        <v>5173</v>
      </c>
      <c r="C972" s="2166">
        <v>38500881</v>
      </c>
      <c r="D972" s="2167" t="s">
        <v>1211</v>
      </c>
      <c r="E972" s="2168">
        <v>0</v>
      </c>
      <c r="F972" s="2168"/>
      <c r="G972" s="2168"/>
      <c r="H972" s="2169" t="e">
        <f t="shared" ref="H972:H978" si="104">G972/F972*100</f>
        <v>#DIV/0!</v>
      </c>
    </row>
    <row r="973" spans="1:8" ht="15" hidden="1" x14ac:dyDescent="0.2">
      <c r="A973" s="2165">
        <v>3122</v>
      </c>
      <c r="B973" s="2166">
        <v>5175</v>
      </c>
      <c r="C973" s="2166">
        <v>38100880</v>
      </c>
      <c r="D973" s="2167" t="s">
        <v>707</v>
      </c>
      <c r="E973" s="2168">
        <v>0</v>
      </c>
      <c r="F973" s="2168"/>
      <c r="G973" s="2168"/>
      <c r="H973" s="2169" t="e">
        <f t="shared" si="104"/>
        <v>#DIV/0!</v>
      </c>
    </row>
    <row r="974" spans="1:8" ht="15" hidden="1" x14ac:dyDescent="0.2">
      <c r="A974" s="2165">
        <v>3122</v>
      </c>
      <c r="B974" s="2166">
        <v>5175</v>
      </c>
      <c r="C974" s="2166">
        <v>38500881</v>
      </c>
      <c r="D974" s="2167" t="s">
        <v>707</v>
      </c>
      <c r="E974" s="2168">
        <v>0</v>
      </c>
      <c r="F974" s="2168"/>
      <c r="G974" s="2168"/>
      <c r="H974" s="2169" t="e">
        <f t="shared" si="104"/>
        <v>#DIV/0!</v>
      </c>
    </row>
    <row r="975" spans="1:8" ht="15" hidden="1" x14ac:dyDescent="0.2">
      <c r="A975" s="2165">
        <v>3122</v>
      </c>
      <c r="B975" s="2166">
        <v>5176</v>
      </c>
      <c r="C975" s="2166">
        <v>38100880</v>
      </c>
      <c r="D975" s="2167" t="s">
        <v>1309</v>
      </c>
      <c r="E975" s="2168">
        <v>0</v>
      </c>
      <c r="F975" s="2168"/>
      <c r="G975" s="2168"/>
      <c r="H975" s="2169" t="e">
        <f t="shared" si="104"/>
        <v>#DIV/0!</v>
      </c>
    </row>
    <row r="976" spans="1:8" ht="15" hidden="1" x14ac:dyDescent="0.2">
      <c r="A976" s="2165">
        <v>3122</v>
      </c>
      <c r="B976" s="2166">
        <v>5176</v>
      </c>
      <c r="C976" s="2166">
        <v>38500881</v>
      </c>
      <c r="D976" s="2167" t="s">
        <v>1309</v>
      </c>
      <c r="E976" s="2168">
        <v>0</v>
      </c>
      <c r="F976" s="2168"/>
      <c r="G976" s="2168"/>
      <c r="H976" s="2169" t="e">
        <f t="shared" si="104"/>
        <v>#DIV/0!</v>
      </c>
    </row>
    <row r="977" spans="1:8" ht="30" x14ac:dyDescent="0.2">
      <c r="A977" s="2165">
        <v>3122</v>
      </c>
      <c r="B977" s="2166">
        <v>6356</v>
      </c>
      <c r="C977" s="2166">
        <v>32133910</v>
      </c>
      <c r="D977" s="2167" t="s">
        <v>1927</v>
      </c>
      <c r="E977" s="2168">
        <v>0</v>
      </c>
      <c r="F977" s="2168">
        <v>71</v>
      </c>
      <c r="G977" s="2168">
        <v>29</v>
      </c>
      <c r="H977" s="2169">
        <f t="shared" si="104"/>
        <v>40.845070422535215</v>
      </c>
    </row>
    <row r="978" spans="1:8" ht="30.75" thickBot="1" x14ac:dyDescent="0.25">
      <c r="A978" s="2165">
        <v>3122</v>
      </c>
      <c r="B978" s="2166">
        <v>6356</v>
      </c>
      <c r="C978" s="2166">
        <v>32533910</v>
      </c>
      <c r="D978" s="2167" t="s">
        <v>1927</v>
      </c>
      <c r="E978" s="2168">
        <v>0</v>
      </c>
      <c r="F978" s="2168">
        <v>401</v>
      </c>
      <c r="G978" s="2168">
        <v>166</v>
      </c>
      <c r="H978" s="2171">
        <f t="shared" si="104"/>
        <v>41.396508728179548</v>
      </c>
    </row>
    <row r="979" spans="1:8" ht="16.5" thickTop="1" thickBot="1" x14ac:dyDescent="0.3">
      <c r="A979" s="2750" t="s">
        <v>802</v>
      </c>
      <c r="B979" s="2751"/>
      <c r="C979" s="2751"/>
      <c r="D979" s="2751"/>
      <c r="E979" s="1957">
        <f>SUM(E949:E978)</f>
        <v>0</v>
      </c>
      <c r="F979" s="1957">
        <f>SUM(F949:F978)</f>
        <v>1409</v>
      </c>
      <c r="G979" s="1957">
        <f>SUM(G949:G978)</f>
        <v>411</v>
      </c>
      <c r="H979" s="1962">
        <v>0</v>
      </c>
    </row>
    <row r="980" spans="1:8" ht="13.5" thickTop="1" x14ac:dyDescent="0.2"/>
    <row r="981" spans="1:8" ht="12" customHeight="1" x14ac:dyDescent="0.25">
      <c r="A981" s="2744" t="s">
        <v>1948</v>
      </c>
      <c r="B981" s="2745"/>
      <c r="C981" s="2745"/>
      <c r="D981" s="2745"/>
      <c r="E981" s="2745"/>
      <c r="F981" s="2745"/>
      <c r="G981" s="2745"/>
      <c r="H981" s="2745"/>
    </row>
    <row r="982" spans="1:8" ht="15.75" thickBot="1" x14ac:dyDescent="0.3">
      <c r="A982" s="2132" t="s">
        <v>1949</v>
      </c>
      <c r="B982" s="2146"/>
      <c r="C982" s="2146"/>
      <c r="E982" s="2147"/>
      <c r="F982" s="2147"/>
      <c r="G982" s="2147"/>
      <c r="H982" s="2148" t="s">
        <v>173</v>
      </c>
    </row>
    <row r="983" spans="1:8" ht="25.5" thickTop="1" thickBot="1" x14ac:dyDescent="0.25">
      <c r="A983" s="1943" t="s">
        <v>174</v>
      </c>
      <c r="B983" s="1944" t="s">
        <v>800</v>
      </c>
      <c r="C983" s="1944" t="s">
        <v>397</v>
      </c>
      <c r="D983" s="1945" t="s">
        <v>176</v>
      </c>
      <c r="E983" s="1976" t="s">
        <v>669</v>
      </c>
      <c r="F983" s="1976" t="s">
        <v>670</v>
      </c>
      <c r="G983" s="1977" t="s">
        <v>923</v>
      </c>
      <c r="H983" s="1978" t="s">
        <v>924</v>
      </c>
    </row>
    <row r="984" spans="1:8" ht="14.25" thickTop="1" thickBot="1" x14ac:dyDescent="0.25">
      <c r="A984" s="1740">
        <v>1</v>
      </c>
      <c r="B984" s="1739">
        <v>2</v>
      </c>
      <c r="C984" s="1739">
        <v>3</v>
      </c>
      <c r="D984" s="1739">
        <v>4</v>
      </c>
      <c r="E984" s="1738">
        <v>5</v>
      </c>
      <c r="F984" s="1738">
        <v>6</v>
      </c>
      <c r="G984" s="2028">
        <v>7</v>
      </c>
      <c r="H984" s="2054" t="s">
        <v>61</v>
      </c>
    </row>
    <row r="985" spans="1:8" ht="15.75" hidden="1" thickTop="1" x14ac:dyDescent="0.2">
      <c r="A985" s="2160">
        <v>3636</v>
      </c>
      <c r="B985" s="2161">
        <v>5011</v>
      </c>
      <c r="C985" s="2170">
        <v>0</v>
      </c>
      <c r="D985" s="2162" t="s">
        <v>219</v>
      </c>
      <c r="E985" s="2163">
        <v>0</v>
      </c>
      <c r="F985" s="2163">
        <v>0</v>
      </c>
      <c r="G985" s="2163">
        <v>0</v>
      </c>
      <c r="H985" s="2164" t="e">
        <f t="shared" ref="H985:H992" si="105">G985/F985*100</f>
        <v>#DIV/0!</v>
      </c>
    </row>
    <row r="986" spans="1:8" ht="15.75" hidden="1" thickTop="1" x14ac:dyDescent="0.2">
      <c r="A986" s="2165">
        <v>3636</v>
      </c>
      <c r="B986" s="2166">
        <v>5011</v>
      </c>
      <c r="C986" s="2166">
        <v>38500881</v>
      </c>
      <c r="D986" s="2167" t="s">
        <v>219</v>
      </c>
      <c r="E986" s="2168">
        <v>0</v>
      </c>
      <c r="F986" s="2168">
        <v>0</v>
      </c>
      <c r="G986" s="2168">
        <v>0</v>
      </c>
      <c r="H986" s="2169" t="e">
        <f t="shared" si="105"/>
        <v>#DIV/0!</v>
      </c>
    </row>
    <row r="987" spans="1:8" ht="30.75" thickTop="1" x14ac:dyDescent="0.2">
      <c r="A987" s="2165">
        <v>3123</v>
      </c>
      <c r="B987" s="2166">
        <v>5336</v>
      </c>
      <c r="C987" s="2170">
        <v>32133019</v>
      </c>
      <c r="D987" s="2167" t="s">
        <v>1325</v>
      </c>
      <c r="E987" s="2168">
        <v>0</v>
      </c>
      <c r="F987" s="2168">
        <f>102+9</f>
        <v>111</v>
      </c>
      <c r="G987" s="2168">
        <f>28+5</f>
        <v>33</v>
      </c>
      <c r="H987" s="2169">
        <f t="shared" si="105"/>
        <v>29.72972972972973</v>
      </c>
    </row>
    <row r="988" spans="1:8" ht="15" hidden="1" x14ac:dyDescent="0.2">
      <c r="A988" s="2165">
        <v>3636</v>
      </c>
      <c r="B988" s="2166">
        <v>5021</v>
      </c>
      <c r="C988" s="2166">
        <v>38500881</v>
      </c>
      <c r="D988" s="2167" t="s">
        <v>409</v>
      </c>
      <c r="E988" s="2168"/>
      <c r="F988" s="2168"/>
      <c r="G988" s="2168"/>
      <c r="H988" s="2169" t="e">
        <f t="shared" si="105"/>
        <v>#DIV/0!</v>
      </c>
    </row>
    <row r="989" spans="1:8" ht="30" hidden="1" x14ac:dyDescent="0.2">
      <c r="A989" s="2165">
        <v>3636</v>
      </c>
      <c r="B989" s="2166">
        <v>5031</v>
      </c>
      <c r="C989" s="2166">
        <v>38100880</v>
      </c>
      <c r="D989" s="2167" t="s">
        <v>1362</v>
      </c>
      <c r="E989" s="2168"/>
      <c r="F989" s="2168"/>
      <c r="G989" s="2168"/>
      <c r="H989" s="2169" t="e">
        <f t="shared" si="105"/>
        <v>#DIV/0!</v>
      </c>
    </row>
    <row r="990" spans="1:8" ht="30" hidden="1" x14ac:dyDescent="0.2">
      <c r="A990" s="2165">
        <v>3636</v>
      </c>
      <c r="B990" s="2166">
        <v>5031</v>
      </c>
      <c r="C990" s="2166">
        <v>38500881</v>
      </c>
      <c r="D990" s="2167" t="s">
        <v>1362</v>
      </c>
      <c r="E990" s="2168"/>
      <c r="F990" s="2168"/>
      <c r="G990" s="2168"/>
      <c r="H990" s="2169" t="e">
        <f t="shared" si="105"/>
        <v>#DIV/0!</v>
      </c>
    </row>
    <row r="991" spans="1:8" ht="30" hidden="1" x14ac:dyDescent="0.2">
      <c r="A991" s="2165">
        <v>3636</v>
      </c>
      <c r="B991" s="2166">
        <v>5032</v>
      </c>
      <c r="C991" s="2166">
        <v>38100880</v>
      </c>
      <c r="D991" s="2167" t="s">
        <v>1236</v>
      </c>
      <c r="E991" s="2168"/>
      <c r="F991" s="2168"/>
      <c r="G991" s="2168"/>
      <c r="H991" s="2169" t="e">
        <f t="shared" si="105"/>
        <v>#DIV/0!</v>
      </c>
    </row>
    <row r="992" spans="1:8" ht="30" hidden="1" x14ac:dyDescent="0.2">
      <c r="A992" s="2165">
        <v>3636</v>
      </c>
      <c r="B992" s="2166">
        <v>5032</v>
      </c>
      <c r="C992" s="2166">
        <v>38500881</v>
      </c>
      <c r="D992" s="2167" t="s">
        <v>1236</v>
      </c>
      <c r="E992" s="2168"/>
      <c r="F992" s="2168"/>
      <c r="G992" s="2168"/>
      <c r="H992" s="2169" t="e">
        <f t="shared" si="105"/>
        <v>#DIV/0!</v>
      </c>
    </row>
    <row r="993" spans="1:8" ht="15" hidden="1" x14ac:dyDescent="0.2">
      <c r="A993" s="2165">
        <v>3636</v>
      </c>
      <c r="B993" s="2166">
        <v>5139</v>
      </c>
      <c r="C993" s="2166">
        <v>38100880</v>
      </c>
      <c r="D993" s="2167" t="s">
        <v>284</v>
      </c>
      <c r="E993" s="2168"/>
      <c r="F993" s="2168"/>
      <c r="G993" s="2168"/>
      <c r="H993" s="2169">
        <v>0</v>
      </c>
    </row>
    <row r="994" spans="1:8" ht="15" hidden="1" x14ac:dyDescent="0.2">
      <c r="A994" s="2165">
        <v>3636</v>
      </c>
      <c r="B994" s="2166">
        <v>5139</v>
      </c>
      <c r="C994" s="2166">
        <v>38500881</v>
      </c>
      <c r="D994" s="2167" t="s">
        <v>284</v>
      </c>
      <c r="E994" s="2168"/>
      <c r="F994" s="2168"/>
      <c r="G994" s="2168"/>
      <c r="H994" s="2169" t="e">
        <f t="shared" ref="H994:H999" si="106">G994/F994*100</f>
        <v>#DIV/0!</v>
      </c>
    </row>
    <row r="995" spans="1:8" ht="15" hidden="1" x14ac:dyDescent="0.2">
      <c r="A995" s="2165">
        <v>3636</v>
      </c>
      <c r="B995" s="2166">
        <v>5162</v>
      </c>
      <c r="C995" s="2166">
        <v>38100880</v>
      </c>
      <c r="D995" s="2167" t="s">
        <v>904</v>
      </c>
      <c r="E995" s="2168"/>
      <c r="F995" s="2168"/>
      <c r="G995" s="2168"/>
      <c r="H995" s="2169" t="e">
        <f t="shared" si="106"/>
        <v>#DIV/0!</v>
      </c>
    </row>
    <row r="996" spans="1:8" ht="15" hidden="1" x14ac:dyDescent="0.2">
      <c r="A996" s="2165">
        <v>3636</v>
      </c>
      <c r="B996" s="2166">
        <v>5162</v>
      </c>
      <c r="C996" s="2166">
        <v>38500881</v>
      </c>
      <c r="D996" s="2167" t="s">
        <v>904</v>
      </c>
      <c r="E996" s="2168"/>
      <c r="F996" s="2168"/>
      <c r="G996" s="2168"/>
      <c r="H996" s="2169" t="e">
        <f t="shared" si="106"/>
        <v>#DIV/0!</v>
      </c>
    </row>
    <row r="997" spans="1:8" ht="15" hidden="1" x14ac:dyDescent="0.2">
      <c r="A997" s="2165">
        <v>3636</v>
      </c>
      <c r="B997" s="2166">
        <v>5164</v>
      </c>
      <c r="C997" s="2166">
        <v>38100880</v>
      </c>
      <c r="D997" s="2167" t="s">
        <v>182</v>
      </c>
      <c r="E997" s="2168"/>
      <c r="F997" s="2168"/>
      <c r="G997" s="2168"/>
      <c r="H997" s="2169" t="e">
        <f t="shared" si="106"/>
        <v>#DIV/0!</v>
      </c>
    </row>
    <row r="998" spans="1:8" ht="15" hidden="1" x14ac:dyDescent="0.2">
      <c r="A998" s="2165">
        <v>3636</v>
      </c>
      <c r="B998" s="2166">
        <v>5164</v>
      </c>
      <c r="C998" s="2166">
        <v>38500881</v>
      </c>
      <c r="D998" s="2167" t="s">
        <v>182</v>
      </c>
      <c r="E998" s="2168"/>
      <c r="F998" s="2168"/>
      <c r="G998" s="2168"/>
      <c r="H998" s="2169" t="e">
        <f t="shared" si="106"/>
        <v>#DIV/0!</v>
      </c>
    </row>
    <row r="999" spans="1:8" ht="30" x14ac:dyDescent="0.2">
      <c r="A999" s="2165">
        <v>3123</v>
      </c>
      <c r="B999" s="2166">
        <v>5336</v>
      </c>
      <c r="C999" s="2170">
        <v>32533019</v>
      </c>
      <c r="D999" s="2167" t="s">
        <v>1325</v>
      </c>
      <c r="E999" s="2168">
        <v>0</v>
      </c>
      <c r="F999" s="2168">
        <f>579+49</f>
        <v>628</v>
      </c>
      <c r="G999" s="2168">
        <f>156+27</f>
        <v>183</v>
      </c>
      <c r="H999" s="2169">
        <f t="shared" si="106"/>
        <v>29.140127388535031</v>
      </c>
    </row>
    <row r="1000" spans="1:8" ht="15" hidden="1" x14ac:dyDescent="0.2">
      <c r="A1000" s="2165">
        <v>3123</v>
      </c>
      <c r="B1000" s="2166">
        <v>5166</v>
      </c>
      <c r="C1000" s="2166">
        <v>41100880</v>
      </c>
      <c r="D1000" s="2167" t="s">
        <v>646</v>
      </c>
      <c r="E1000" s="2168"/>
      <c r="F1000" s="2168"/>
      <c r="G1000" s="2168"/>
      <c r="H1000" s="2169" t="e">
        <f t="shared" ref="H1000:H1006" si="107">G1000/F1000*100</f>
        <v>#DIV/0!</v>
      </c>
    </row>
    <row r="1001" spans="1:8" ht="15" hidden="1" x14ac:dyDescent="0.2">
      <c r="A1001" s="2165">
        <v>3123</v>
      </c>
      <c r="B1001" s="2166">
        <v>5166</v>
      </c>
      <c r="C1001" s="2166">
        <v>41100882</v>
      </c>
      <c r="D1001" s="2167" t="s">
        <v>646</v>
      </c>
      <c r="E1001" s="2168"/>
      <c r="F1001" s="2168"/>
      <c r="G1001" s="2168"/>
      <c r="H1001" s="2169" t="e">
        <f t="shared" si="107"/>
        <v>#DIV/0!</v>
      </c>
    </row>
    <row r="1002" spans="1:8" ht="15" hidden="1" x14ac:dyDescent="0.2">
      <c r="A1002" s="2165">
        <v>3123</v>
      </c>
      <c r="B1002" s="2166">
        <v>5166</v>
      </c>
      <c r="C1002" s="2166">
        <v>41500881</v>
      </c>
      <c r="D1002" s="2167" t="s">
        <v>646</v>
      </c>
      <c r="E1002" s="2168"/>
      <c r="F1002" s="2168"/>
      <c r="G1002" s="2168"/>
      <c r="H1002" s="2169" t="e">
        <f t="shared" si="107"/>
        <v>#DIV/0!</v>
      </c>
    </row>
    <row r="1003" spans="1:8" ht="15" hidden="1" x14ac:dyDescent="0.2">
      <c r="A1003" s="2165">
        <v>3123</v>
      </c>
      <c r="B1003" s="2166">
        <v>5167</v>
      </c>
      <c r="C1003" s="2166">
        <v>38100880</v>
      </c>
      <c r="D1003" s="2167" t="s">
        <v>937</v>
      </c>
      <c r="E1003" s="2168"/>
      <c r="F1003" s="2168"/>
      <c r="G1003" s="2168"/>
      <c r="H1003" s="2169" t="e">
        <f t="shared" si="107"/>
        <v>#DIV/0!</v>
      </c>
    </row>
    <row r="1004" spans="1:8" ht="15" hidden="1" x14ac:dyDescent="0.2">
      <c r="A1004" s="2165">
        <v>3123</v>
      </c>
      <c r="B1004" s="2166">
        <v>5167</v>
      </c>
      <c r="C1004" s="2166">
        <v>38500881</v>
      </c>
      <c r="D1004" s="2167" t="s">
        <v>937</v>
      </c>
      <c r="E1004" s="2168"/>
      <c r="F1004" s="2168"/>
      <c r="G1004" s="2168"/>
      <c r="H1004" s="2169" t="e">
        <f t="shared" si="107"/>
        <v>#DIV/0!</v>
      </c>
    </row>
    <row r="1005" spans="1:8" ht="15" hidden="1" x14ac:dyDescent="0.2">
      <c r="A1005" s="2165">
        <v>3123</v>
      </c>
      <c r="B1005" s="2166">
        <v>5169</v>
      </c>
      <c r="C1005" s="2166">
        <v>38100880</v>
      </c>
      <c r="D1005" s="2167" t="s">
        <v>892</v>
      </c>
      <c r="E1005" s="2168"/>
      <c r="F1005" s="2168"/>
      <c r="G1005" s="2168"/>
      <c r="H1005" s="2169" t="e">
        <f t="shared" si="107"/>
        <v>#DIV/0!</v>
      </c>
    </row>
    <row r="1006" spans="1:8" ht="15" hidden="1" x14ac:dyDescent="0.2">
      <c r="A1006" s="2165">
        <v>3123</v>
      </c>
      <c r="B1006" s="2166">
        <v>5169</v>
      </c>
      <c r="C1006" s="2166">
        <v>38500881</v>
      </c>
      <c r="D1006" s="2167" t="s">
        <v>892</v>
      </c>
      <c r="E1006" s="2168"/>
      <c r="F1006" s="2168"/>
      <c r="G1006" s="2168"/>
      <c r="H1006" s="2169" t="e">
        <f t="shared" si="107"/>
        <v>#DIV/0!</v>
      </c>
    </row>
    <row r="1007" spans="1:8" ht="15" hidden="1" x14ac:dyDescent="0.2">
      <c r="A1007" s="2165">
        <v>3123</v>
      </c>
      <c r="B1007" s="2166">
        <v>5173</v>
      </c>
      <c r="C1007" s="2170">
        <v>0</v>
      </c>
      <c r="D1007" s="2167" t="s">
        <v>1211</v>
      </c>
      <c r="E1007" s="2168"/>
      <c r="F1007" s="2168"/>
      <c r="G1007" s="2168"/>
      <c r="H1007" s="2169">
        <v>0</v>
      </c>
    </row>
    <row r="1008" spans="1:8" ht="15" hidden="1" x14ac:dyDescent="0.2">
      <c r="A1008" s="2165">
        <v>3123</v>
      </c>
      <c r="B1008" s="2166">
        <v>5173</v>
      </c>
      <c r="C1008" s="2166">
        <v>38500881</v>
      </c>
      <c r="D1008" s="2167" t="s">
        <v>1211</v>
      </c>
      <c r="E1008" s="2168">
        <v>0</v>
      </c>
      <c r="F1008" s="2168"/>
      <c r="G1008" s="2168"/>
      <c r="H1008" s="2169" t="e">
        <f t="shared" ref="H1008:H1014" si="108">G1008/F1008*100</f>
        <v>#DIV/0!</v>
      </c>
    </row>
    <row r="1009" spans="1:8" ht="15" hidden="1" x14ac:dyDescent="0.2">
      <c r="A1009" s="2165">
        <v>3123</v>
      </c>
      <c r="B1009" s="2166">
        <v>5175</v>
      </c>
      <c r="C1009" s="2166">
        <v>38100880</v>
      </c>
      <c r="D1009" s="2167" t="s">
        <v>707</v>
      </c>
      <c r="E1009" s="2168">
        <v>0</v>
      </c>
      <c r="F1009" s="2168"/>
      <c r="G1009" s="2168"/>
      <c r="H1009" s="2169" t="e">
        <f t="shared" si="108"/>
        <v>#DIV/0!</v>
      </c>
    </row>
    <row r="1010" spans="1:8" ht="15" hidden="1" x14ac:dyDescent="0.2">
      <c r="A1010" s="2165">
        <v>3123</v>
      </c>
      <c r="B1010" s="2166">
        <v>5175</v>
      </c>
      <c r="C1010" s="2166">
        <v>38500881</v>
      </c>
      <c r="D1010" s="2167" t="s">
        <v>707</v>
      </c>
      <c r="E1010" s="2168">
        <v>0</v>
      </c>
      <c r="F1010" s="2168"/>
      <c r="G1010" s="2168"/>
      <c r="H1010" s="2169" t="e">
        <f t="shared" si="108"/>
        <v>#DIV/0!</v>
      </c>
    </row>
    <row r="1011" spans="1:8" ht="15" hidden="1" x14ac:dyDescent="0.2">
      <c r="A1011" s="2165">
        <v>3123</v>
      </c>
      <c r="B1011" s="2166">
        <v>5176</v>
      </c>
      <c r="C1011" s="2166">
        <v>38100880</v>
      </c>
      <c r="D1011" s="2167" t="s">
        <v>1309</v>
      </c>
      <c r="E1011" s="2168">
        <v>0</v>
      </c>
      <c r="F1011" s="2168"/>
      <c r="G1011" s="2168"/>
      <c r="H1011" s="2169" t="e">
        <f t="shared" si="108"/>
        <v>#DIV/0!</v>
      </c>
    </row>
    <row r="1012" spans="1:8" ht="15" hidden="1" x14ac:dyDescent="0.2">
      <c r="A1012" s="2165">
        <v>3123</v>
      </c>
      <c r="B1012" s="2166">
        <v>5176</v>
      </c>
      <c r="C1012" s="2166">
        <v>38500881</v>
      </c>
      <c r="D1012" s="2167" t="s">
        <v>1309</v>
      </c>
      <c r="E1012" s="2168">
        <v>0</v>
      </c>
      <c r="F1012" s="2168"/>
      <c r="G1012" s="2168"/>
      <c r="H1012" s="2169" t="e">
        <f t="shared" si="108"/>
        <v>#DIV/0!</v>
      </c>
    </row>
    <row r="1013" spans="1:8" ht="30" x14ac:dyDescent="0.2">
      <c r="A1013" s="2165">
        <v>3123</v>
      </c>
      <c r="B1013" s="2166">
        <v>6356</v>
      </c>
      <c r="C1013" s="2166">
        <v>32133910</v>
      </c>
      <c r="D1013" s="2167" t="s">
        <v>1927</v>
      </c>
      <c r="E1013" s="2168">
        <v>0</v>
      </c>
      <c r="F1013" s="2168">
        <v>98</v>
      </c>
      <c r="G1013" s="2168">
        <v>29</v>
      </c>
      <c r="H1013" s="2169">
        <f t="shared" si="108"/>
        <v>29.591836734693878</v>
      </c>
    </row>
    <row r="1014" spans="1:8" ht="30.75" thickBot="1" x14ac:dyDescent="0.25">
      <c r="A1014" s="2165">
        <v>3123</v>
      </c>
      <c r="B1014" s="2166">
        <v>6356</v>
      </c>
      <c r="C1014" s="2166">
        <v>32533910</v>
      </c>
      <c r="D1014" s="2167" t="s">
        <v>1927</v>
      </c>
      <c r="E1014" s="2168">
        <v>0</v>
      </c>
      <c r="F1014" s="2168">
        <v>553</v>
      </c>
      <c r="G1014" s="2168">
        <v>165</v>
      </c>
      <c r="H1014" s="2171">
        <f t="shared" si="108"/>
        <v>29.837251356238699</v>
      </c>
    </row>
    <row r="1015" spans="1:8" ht="16.5" thickTop="1" thickBot="1" x14ac:dyDescent="0.3">
      <c r="A1015" s="2750" t="s">
        <v>802</v>
      </c>
      <c r="B1015" s="2751"/>
      <c r="C1015" s="2751"/>
      <c r="D1015" s="2751"/>
      <c r="E1015" s="1957">
        <f>SUM(E985:E1014)</f>
        <v>0</v>
      </c>
      <c r="F1015" s="1957">
        <f>SUM(F985:F1014)</f>
        <v>1390</v>
      </c>
      <c r="G1015" s="1957">
        <f>SUM(G985:G1014)</f>
        <v>410</v>
      </c>
      <c r="H1015" s="1962">
        <v>0</v>
      </c>
    </row>
    <row r="1016" spans="1:8" ht="13.5" thickTop="1" x14ac:dyDescent="0.2"/>
    <row r="1017" spans="1:8" ht="12" customHeight="1" x14ac:dyDescent="0.25">
      <c r="A1017" s="2744" t="s">
        <v>338</v>
      </c>
      <c r="B1017" s="2745"/>
      <c r="C1017" s="2745"/>
      <c r="D1017" s="2745"/>
      <c r="E1017" s="2745"/>
      <c r="F1017" s="2745"/>
      <c r="G1017" s="2745"/>
      <c r="H1017" s="2745"/>
    </row>
    <row r="1018" spans="1:8" ht="15.75" thickBot="1" x14ac:dyDescent="0.3">
      <c r="A1018" s="2132" t="s">
        <v>1090</v>
      </c>
      <c r="B1018" s="2146"/>
      <c r="C1018" s="2146"/>
      <c r="E1018" s="2147"/>
      <c r="F1018" s="2147"/>
      <c r="G1018" s="2147"/>
      <c r="H1018" s="2148" t="s">
        <v>173</v>
      </c>
    </row>
    <row r="1019" spans="1:8" ht="25.5" thickTop="1" thickBot="1" x14ac:dyDescent="0.25">
      <c r="A1019" s="1943" t="s">
        <v>174</v>
      </c>
      <c r="B1019" s="1944" t="s">
        <v>800</v>
      </c>
      <c r="C1019" s="1944" t="s">
        <v>397</v>
      </c>
      <c r="D1019" s="1945" t="s">
        <v>176</v>
      </c>
      <c r="E1019" s="1976" t="s">
        <v>669</v>
      </c>
      <c r="F1019" s="1976" t="s">
        <v>670</v>
      </c>
      <c r="G1019" s="1977" t="s">
        <v>923</v>
      </c>
      <c r="H1019" s="1978" t="s">
        <v>924</v>
      </c>
    </row>
    <row r="1020" spans="1:8" ht="14.25" thickTop="1" thickBot="1" x14ac:dyDescent="0.25">
      <c r="A1020" s="1740">
        <v>1</v>
      </c>
      <c r="B1020" s="1739">
        <v>2</v>
      </c>
      <c r="C1020" s="1739">
        <v>3</v>
      </c>
      <c r="D1020" s="1739">
        <v>4</v>
      </c>
      <c r="E1020" s="1738">
        <v>5</v>
      </c>
      <c r="F1020" s="1738">
        <v>6</v>
      </c>
      <c r="G1020" s="2028">
        <v>7</v>
      </c>
      <c r="H1020" s="2054" t="s">
        <v>61</v>
      </c>
    </row>
    <row r="1021" spans="1:8" ht="15.75" hidden="1" thickTop="1" x14ac:dyDescent="0.2">
      <c r="A1021" s="2160">
        <v>3636</v>
      </c>
      <c r="B1021" s="2161">
        <v>5011</v>
      </c>
      <c r="C1021" s="2170">
        <v>0</v>
      </c>
      <c r="D1021" s="2162" t="s">
        <v>219</v>
      </c>
      <c r="E1021" s="2163">
        <v>0</v>
      </c>
      <c r="F1021" s="2163">
        <v>0</v>
      </c>
      <c r="G1021" s="2163">
        <v>0</v>
      </c>
      <c r="H1021" s="2164" t="e">
        <f t="shared" ref="H1021:H1028" si="109">G1021/F1021*100</f>
        <v>#DIV/0!</v>
      </c>
    </row>
    <row r="1022" spans="1:8" ht="15.75" hidden="1" thickTop="1" x14ac:dyDescent="0.2">
      <c r="A1022" s="2165">
        <v>3636</v>
      </c>
      <c r="B1022" s="2166">
        <v>5011</v>
      </c>
      <c r="C1022" s="2166">
        <v>38500881</v>
      </c>
      <c r="D1022" s="2167" t="s">
        <v>219</v>
      </c>
      <c r="E1022" s="2168">
        <v>0</v>
      </c>
      <c r="F1022" s="2168">
        <v>0</v>
      </c>
      <c r="G1022" s="2168">
        <v>0</v>
      </c>
      <c r="H1022" s="2169" t="e">
        <f t="shared" si="109"/>
        <v>#DIV/0!</v>
      </c>
    </row>
    <row r="1023" spans="1:8" ht="30.75" thickTop="1" x14ac:dyDescent="0.2">
      <c r="A1023" s="2165">
        <v>3123</v>
      </c>
      <c r="B1023" s="2166">
        <v>5336</v>
      </c>
      <c r="C1023" s="2170">
        <v>32133019</v>
      </c>
      <c r="D1023" s="2167" t="s">
        <v>1325</v>
      </c>
      <c r="E1023" s="2168">
        <v>0</v>
      </c>
      <c r="F1023" s="2168">
        <f>56+5</f>
        <v>61</v>
      </c>
      <c r="G1023" s="2168">
        <f>56+5</f>
        <v>61</v>
      </c>
      <c r="H1023" s="2169">
        <f t="shared" si="109"/>
        <v>100</v>
      </c>
    </row>
    <row r="1024" spans="1:8" ht="15" hidden="1" x14ac:dyDescent="0.2">
      <c r="A1024" s="2165">
        <v>3636</v>
      </c>
      <c r="B1024" s="2166">
        <v>5021</v>
      </c>
      <c r="C1024" s="2166">
        <v>38500881</v>
      </c>
      <c r="D1024" s="2167" t="s">
        <v>409</v>
      </c>
      <c r="E1024" s="2168"/>
      <c r="F1024" s="2168"/>
      <c r="G1024" s="2168"/>
      <c r="H1024" s="2169" t="e">
        <f t="shared" si="109"/>
        <v>#DIV/0!</v>
      </c>
    </row>
    <row r="1025" spans="1:8" ht="30" hidden="1" x14ac:dyDescent="0.2">
      <c r="A1025" s="2165">
        <v>3636</v>
      </c>
      <c r="B1025" s="2166">
        <v>5031</v>
      </c>
      <c r="C1025" s="2166">
        <v>38100880</v>
      </c>
      <c r="D1025" s="2167" t="s">
        <v>1362</v>
      </c>
      <c r="E1025" s="2168"/>
      <c r="F1025" s="2168"/>
      <c r="G1025" s="2168"/>
      <c r="H1025" s="2169" t="e">
        <f t="shared" si="109"/>
        <v>#DIV/0!</v>
      </c>
    </row>
    <row r="1026" spans="1:8" ht="30" hidden="1" x14ac:dyDescent="0.2">
      <c r="A1026" s="2165">
        <v>3636</v>
      </c>
      <c r="B1026" s="2166">
        <v>5031</v>
      </c>
      <c r="C1026" s="2166">
        <v>38500881</v>
      </c>
      <c r="D1026" s="2167" t="s">
        <v>1362</v>
      </c>
      <c r="E1026" s="2168"/>
      <c r="F1026" s="2168"/>
      <c r="G1026" s="2168"/>
      <c r="H1026" s="2169" t="e">
        <f t="shared" si="109"/>
        <v>#DIV/0!</v>
      </c>
    </row>
    <row r="1027" spans="1:8" ht="30" hidden="1" x14ac:dyDescent="0.2">
      <c r="A1027" s="2165">
        <v>3636</v>
      </c>
      <c r="B1027" s="2166">
        <v>5032</v>
      </c>
      <c r="C1027" s="2166">
        <v>38100880</v>
      </c>
      <c r="D1027" s="2167" t="s">
        <v>1236</v>
      </c>
      <c r="E1027" s="2168"/>
      <c r="F1027" s="2168"/>
      <c r="G1027" s="2168"/>
      <c r="H1027" s="2169" t="e">
        <f t="shared" si="109"/>
        <v>#DIV/0!</v>
      </c>
    </row>
    <row r="1028" spans="1:8" ht="30" hidden="1" x14ac:dyDescent="0.2">
      <c r="A1028" s="2165">
        <v>3636</v>
      </c>
      <c r="B1028" s="2166">
        <v>5032</v>
      </c>
      <c r="C1028" s="2166">
        <v>38500881</v>
      </c>
      <c r="D1028" s="2167" t="s">
        <v>1236</v>
      </c>
      <c r="E1028" s="2168"/>
      <c r="F1028" s="2168"/>
      <c r="G1028" s="2168"/>
      <c r="H1028" s="2169" t="e">
        <f t="shared" si="109"/>
        <v>#DIV/0!</v>
      </c>
    </row>
    <row r="1029" spans="1:8" ht="15" hidden="1" x14ac:dyDescent="0.2">
      <c r="A1029" s="2165">
        <v>3636</v>
      </c>
      <c r="B1029" s="2166">
        <v>5139</v>
      </c>
      <c r="C1029" s="2166">
        <v>38100880</v>
      </c>
      <c r="D1029" s="2167" t="s">
        <v>284</v>
      </c>
      <c r="E1029" s="2168"/>
      <c r="F1029" s="2168"/>
      <c r="G1029" s="2168"/>
      <c r="H1029" s="2169">
        <v>0</v>
      </c>
    </row>
    <row r="1030" spans="1:8" ht="15" hidden="1" x14ac:dyDescent="0.2">
      <c r="A1030" s="2165">
        <v>3636</v>
      </c>
      <c r="B1030" s="2166">
        <v>5139</v>
      </c>
      <c r="C1030" s="2166">
        <v>38500881</v>
      </c>
      <c r="D1030" s="2167" t="s">
        <v>284</v>
      </c>
      <c r="E1030" s="2168"/>
      <c r="F1030" s="2168"/>
      <c r="G1030" s="2168"/>
      <c r="H1030" s="2169" t="e">
        <f t="shared" ref="H1030:H1035" si="110">G1030/F1030*100</f>
        <v>#DIV/0!</v>
      </c>
    </row>
    <row r="1031" spans="1:8" ht="15" hidden="1" x14ac:dyDescent="0.2">
      <c r="A1031" s="2165">
        <v>3636</v>
      </c>
      <c r="B1031" s="2166">
        <v>5162</v>
      </c>
      <c r="C1031" s="2166">
        <v>38100880</v>
      </c>
      <c r="D1031" s="2167" t="s">
        <v>904</v>
      </c>
      <c r="E1031" s="2168"/>
      <c r="F1031" s="2168"/>
      <c r="G1031" s="2168"/>
      <c r="H1031" s="2169" t="e">
        <f t="shared" si="110"/>
        <v>#DIV/0!</v>
      </c>
    </row>
    <row r="1032" spans="1:8" ht="15" hidden="1" x14ac:dyDescent="0.2">
      <c r="A1032" s="2165">
        <v>3636</v>
      </c>
      <c r="B1032" s="2166">
        <v>5162</v>
      </c>
      <c r="C1032" s="2166">
        <v>38500881</v>
      </c>
      <c r="D1032" s="2167" t="s">
        <v>904</v>
      </c>
      <c r="E1032" s="2168"/>
      <c r="F1032" s="2168"/>
      <c r="G1032" s="2168"/>
      <c r="H1032" s="2169" t="e">
        <f t="shared" si="110"/>
        <v>#DIV/0!</v>
      </c>
    </row>
    <row r="1033" spans="1:8" ht="15" hidden="1" x14ac:dyDescent="0.2">
      <c r="A1033" s="2165">
        <v>3636</v>
      </c>
      <c r="B1033" s="2166">
        <v>5164</v>
      </c>
      <c r="C1033" s="2166">
        <v>38100880</v>
      </c>
      <c r="D1033" s="2167" t="s">
        <v>182</v>
      </c>
      <c r="E1033" s="2168"/>
      <c r="F1033" s="2168"/>
      <c r="G1033" s="2168"/>
      <c r="H1033" s="2169" t="e">
        <f t="shared" si="110"/>
        <v>#DIV/0!</v>
      </c>
    </row>
    <row r="1034" spans="1:8" ht="15" hidden="1" x14ac:dyDescent="0.2">
      <c r="A1034" s="2165">
        <v>3636</v>
      </c>
      <c r="B1034" s="2166">
        <v>5164</v>
      </c>
      <c r="C1034" s="2166">
        <v>38500881</v>
      </c>
      <c r="D1034" s="2167" t="s">
        <v>182</v>
      </c>
      <c r="E1034" s="2168"/>
      <c r="F1034" s="2168"/>
      <c r="G1034" s="2168"/>
      <c r="H1034" s="2169" t="e">
        <f t="shared" si="110"/>
        <v>#DIV/0!</v>
      </c>
    </row>
    <row r="1035" spans="1:8" ht="30" x14ac:dyDescent="0.2">
      <c r="A1035" s="2165">
        <v>3123</v>
      </c>
      <c r="B1035" s="2166">
        <v>5336</v>
      </c>
      <c r="C1035" s="2170">
        <v>32533019</v>
      </c>
      <c r="D1035" s="2167" t="s">
        <v>1325</v>
      </c>
      <c r="E1035" s="2168">
        <v>0</v>
      </c>
      <c r="F1035" s="2168">
        <f>320+17</f>
        <v>337</v>
      </c>
      <c r="G1035" s="2168">
        <f>320+17</f>
        <v>337</v>
      </c>
      <c r="H1035" s="2169">
        <f t="shared" si="110"/>
        <v>100</v>
      </c>
    </row>
    <row r="1036" spans="1:8" ht="15" hidden="1" x14ac:dyDescent="0.2">
      <c r="A1036" s="2165">
        <v>3123</v>
      </c>
      <c r="B1036" s="2166">
        <v>5166</v>
      </c>
      <c r="C1036" s="2166">
        <v>41100880</v>
      </c>
      <c r="D1036" s="2167" t="s">
        <v>646</v>
      </c>
      <c r="E1036" s="2168"/>
      <c r="F1036" s="2168"/>
      <c r="G1036" s="2168"/>
      <c r="H1036" s="2169" t="e">
        <f t="shared" ref="H1036:H1042" si="111">G1036/F1036*100</f>
        <v>#DIV/0!</v>
      </c>
    </row>
    <row r="1037" spans="1:8" ht="15" hidden="1" x14ac:dyDescent="0.2">
      <c r="A1037" s="2165">
        <v>3123</v>
      </c>
      <c r="B1037" s="2166">
        <v>5166</v>
      </c>
      <c r="C1037" s="2166">
        <v>41100882</v>
      </c>
      <c r="D1037" s="2167" t="s">
        <v>646</v>
      </c>
      <c r="E1037" s="2168"/>
      <c r="F1037" s="2168"/>
      <c r="G1037" s="2168"/>
      <c r="H1037" s="2169" t="e">
        <f t="shared" si="111"/>
        <v>#DIV/0!</v>
      </c>
    </row>
    <row r="1038" spans="1:8" ht="15" hidden="1" x14ac:dyDescent="0.2">
      <c r="A1038" s="2165">
        <v>3123</v>
      </c>
      <c r="B1038" s="2166">
        <v>5166</v>
      </c>
      <c r="C1038" s="2166">
        <v>41500881</v>
      </c>
      <c r="D1038" s="2167" t="s">
        <v>646</v>
      </c>
      <c r="E1038" s="2168"/>
      <c r="F1038" s="2168"/>
      <c r="G1038" s="2168"/>
      <c r="H1038" s="2169" t="e">
        <f t="shared" si="111"/>
        <v>#DIV/0!</v>
      </c>
    </row>
    <row r="1039" spans="1:8" ht="15" hidden="1" x14ac:dyDescent="0.2">
      <c r="A1039" s="2165">
        <v>3123</v>
      </c>
      <c r="B1039" s="2166">
        <v>5167</v>
      </c>
      <c r="C1039" s="2166">
        <v>38100880</v>
      </c>
      <c r="D1039" s="2167" t="s">
        <v>937</v>
      </c>
      <c r="E1039" s="2168"/>
      <c r="F1039" s="2168"/>
      <c r="G1039" s="2168"/>
      <c r="H1039" s="2169" t="e">
        <f t="shared" si="111"/>
        <v>#DIV/0!</v>
      </c>
    </row>
    <row r="1040" spans="1:8" ht="15" hidden="1" x14ac:dyDescent="0.2">
      <c r="A1040" s="2165">
        <v>3123</v>
      </c>
      <c r="B1040" s="2166">
        <v>5167</v>
      </c>
      <c r="C1040" s="2166">
        <v>38500881</v>
      </c>
      <c r="D1040" s="2167" t="s">
        <v>937</v>
      </c>
      <c r="E1040" s="2168"/>
      <c r="F1040" s="2168"/>
      <c r="G1040" s="2168"/>
      <c r="H1040" s="2169" t="e">
        <f t="shared" si="111"/>
        <v>#DIV/0!</v>
      </c>
    </row>
    <row r="1041" spans="1:8" ht="15" hidden="1" x14ac:dyDescent="0.2">
      <c r="A1041" s="2165">
        <v>3123</v>
      </c>
      <c r="B1041" s="2166">
        <v>5169</v>
      </c>
      <c r="C1041" s="2166">
        <v>38100880</v>
      </c>
      <c r="D1041" s="2167" t="s">
        <v>892</v>
      </c>
      <c r="E1041" s="2168"/>
      <c r="F1041" s="2168"/>
      <c r="G1041" s="2168"/>
      <c r="H1041" s="2169" t="e">
        <f t="shared" si="111"/>
        <v>#DIV/0!</v>
      </c>
    </row>
    <row r="1042" spans="1:8" ht="15" hidden="1" x14ac:dyDescent="0.2">
      <c r="A1042" s="2165">
        <v>3123</v>
      </c>
      <c r="B1042" s="2166">
        <v>5169</v>
      </c>
      <c r="C1042" s="2166">
        <v>38500881</v>
      </c>
      <c r="D1042" s="2167" t="s">
        <v>892</v>
      </c>
      <c r="E1042" s="2168"/>
      <c r="F1042" s="2168"/>
      <c r="G1042" s="2168"/>
      <c r="H1042" s="2169" t="e">
        <f t="shared" si="111"/>
        <v>#DIV/0!</v>
      </c>
    </row>
    <row r="1043" spans="1:8" ht="15" hidden="1" x14ac:dyDescent="0.2">
      <c r="A1043" s="2165">
        <v>3123</v>
      </c>
      <c r="B1043" s="2166">
        <v>5173</v>
      </c>
      <c r="C1043" s="2170">
        <v>0</v>
      </c>
      <c r="D1043" s="2167" t="s">
        <v>1211</v>
      </c>
      <c r="E1043" s="2168"/>
      <c r="F1043" s="2168"/>
      <c r="G1043" s="2168"/>
      <c r="H1043" s="2169">
        <v>0</v>
      </c>
    </row>
    <row r="1044" spans="1:8" ht="15" hidden="1" x14ac:dyDescent="0.2">
      <c r="A1044" s="2165">
        <v>3123</v>
      </c>
      <c r="B1044" s="2166">
        <v>5173</v>
      </c>
      <c r="C1044" s="2166">
        <v>38500881</v>
      </c>
      <c r="D1044" s="2167" t="s">
        <v>1211</v>
      </c>
      <c r="E1044" s="2168">
        <v>0</v>
      </c>
      <c r="F1044" s="2168"/>
      <c r="G1044" s="2168"/>
      <c r="H1044" s="2169" t="e">
        <f t="shared" ref="H1044:H1050" si="112">G1044/F1044*100</f>
        <v>#DIV/0!</v>
      </c>
    </row>
    <row r="1045" spans="1:8" ht="15" hidden="1" x14ac:dyDescent="0.2">
      <c r="A1045" s="2165">
        <v>3123</v>
      </c>
      <c r="B1045" s="2166">
        <v>5175</v>
      </c>
      <c r="C1045" s="2166">
        <v>38100880</v>
      </c>
      <c r="D1045" s="2167" t="s">
        <v>707</v>
      </c>
      <c r="E1045" s="2168">
        <v>0</v>
      </c>
      <c r="F1045" s="2168"/>
      <c r="G1045" s="2168"/>
      <c r="H1045" s="2169" t="e">
        <f t="shared" si="112"/>
        <v>#DIV/0!</v>
      </c>
    </row>
    <row r="1046" spans="1:8" ht="15" hidden="1" x14ac:dyDescent="0.2">
      <c r="A1046" s="2165">
        <v>3123</v>
      </c>
      <c r="B1046" s="2166">
        <v>5175</v>
      </c>
      <c r="C1046" s="2166">
        <v>38500881</v>
      </c>
      <c r="D1046" s="2167" t="s">
        <v>707</v>
      </c>
      <c r="E1046" s="2168">
        <v>0</v>
      </c>
      <c r="F1046" s="2168"/>
      <c r="G1046" s="2168"/>
      <c r="H1046" s="2169" t="e">
        <f t="shared" si="112"/>
        <v>#DIV/0!</v>
      </c>
    </row>
    <row r="1047" spans="1:8" ht="15" hidden="1" x14ac:dyDescent="0.2">
      <c r="A1047" s="2165">
        <v>3123</v>
      </c>
      <c r="B1047" s="2166">
        <v>5176</v>
      </c>
      <c r="C1047" s="2166">
        <v>38100880</v>
      </c>
      <c r="D1047" s="2167" t="s">
        <v>1309</v>
      </c>
      <c r="E1047" s="2168">
        <v>0</v>
      </c>
      <c r="F1047" s="2168"/>
      <c r="G1047" s="2168"/>
      <c r="H1047" s="2169" t="e">
        <f t="shared" si="112"/>
        <v>#DIV/0!</v>
      </c>
    </row>
    <row r="1048" spans="1:8" ht="15" hidden="1" x14ac:dyDescent="0.2">
      <c r="A1048" s="2165">
        <v>3123</v>
      </c>
      <c r="B1048" s="2166">
        <v>5176</v>
      </c>
      <c r="C1048" s="2166">
        <v>38500881</v>
      </c>
      <c r="D1048" s="2167" t="s">
        <v>1309</v>
      </c>
      <c r="E1048" s="2168">
        <v>0</v>
      </c>
      <c r="F1048" s="2168"/>
      <c r="G1048" s="2168"/>
      <c r="H1048" s="2169" t="e">
        <f t="shared" si="112"/>
        <v>#DIV/0!</v>
      </c>
    </row>
    <row r="1049" spans="1:8" ht="30" x14ac:dyDescent="0.2">
      <c r="A1049" s="2165">
        <v>3123</v>
      </c>
      <c r="B1049" s="2166">
        <v>6356</v>
      </c>
      <c r="C1049" s="2166">
        <v>32133910</v>
      </c>
      <c r="D1049" s="2167" t="s">
        <v>1927</v>
      </c>
      <c r="E1049" s="2168">
        <v>0</v>
      </c>
      <c r="F1049" s="2168">
        <v>28</v>
      </c>
      <c r="G1049" s="2168">
        <v>28</v>
      </c>
      <c r="H1049" s="2169">
        <f t="shared" si="112"/>
        <v>100</v>
      </c>
    </row>
    <row r="1050" spans="1:8" ht="30.75" thickBot="1" x14ac:dyDescent="0.25">
      <c r="A1050" s="2165">
        <v>3123</v>
      </c>
      <c r="B1050" s="2166">
        <v>6356</v>
      </c>
      <c r="C1050" s="2166">
        <v>32533910</v>
      </c>
      <c r="D1050" s="2167" t="s">
        <v>1927</v>
      </c>
      <c r="E1050" s="2168">
        <v>0</v>
      </c>
      <c r="F1050" s="2168">
        <v>156</v>
      </c>
      <c r="G1050" s="2168">
        <v>156</v>
      </c>
      <c r="H1050" s="2171">
        <f t="shared" si="112"/>
        <v>100</v>
      </c>
    </row>
    <row r="1051" spans="1:8" ht="16.5" thickTop="1" thickBot="1" x14ac:dyDescent="0.3">
      <c r="A1051" s="2750" t="s">
        <v>802</v>
      </c>
      <c r="B1051" s="2751"/>
      <c r="C1051" s="2751"/>
      <c r="D1051" s="2751"/>
      <c r="E1051" s="1957">
        <f>SUM(E1021:E1050)</f>
        <v>0</v>
      </c>
      <c r="F1051" s="1957">
        <f>SUM(F1021:F1050)</f>
        <v>582</v>
      </c>
      <c r="G1051" s="1957">
        <f>SUM(G1021:G1050)</f>
        <v>582</v>
      </c>
      <c r="H1051" s="1962">
        <v>0</v>
      </c>
    </row>
    <row r="1052" spans="1:8" ht="13.5" thickTop="1" x14ac:dyDescent="0.2"/>
    <row r="1053" spans="1:8" ht="12" customHeight="1" x14ac:dyDescent="0.25">
      <c r="A1053" s="2744" t="s">
        <v>1535</v>
      </c>
      <c r="B1053" s="2745"/>
      <c r="C1053" s="2745"/>
      <c r="D1053" s="2745"/>
      <c r="E1053" s="2745"/>
      <c r="F1053" s="2745"/>
      <c r="G1053" s="2745"/>
      <c r="H1053" s="2745"/>
    </row>
    <row r="1054" spans="1:8" ht="15.75" thickBot="1" x14ac:dyDescent="0.3">
      <c r="A1054" s="2132" t="s">
        <v>1950</v>
      </c>
      <c r="B1054" s="2146"/>
      <c r="C1054" s="2146"/>
      <c r="E1054" s="2147"/>
      <c r="F1054" s="2147"/>
      <c r="G1054" s="2147"/>
      <c r="H1054" s="2148" t="s">
        <v>173</v>
      </c>
    </row>
    <row r="1055" spans="1:8" ht="25.5" thickTop="1" thickBot="1" x14ac:dyDescent="0.25">
      <c r="A1055" s="1943" t="s">
        <v>174</v>
      </c>
      <c r="B1055" s="1944" t="s">
        <v>800</v>
      </c>
      <c r="C1055" s="1944" t="s">
        <v>397</v>
      </c>
      <c r="D1055" s="1945" t="s">
        <v>176</v>
      </c>
      <c r="E1055" s="1976" t="s">
        <v>669</v>
      </c>
      <c r="F1055" s="1976" t="s">
        <v>670</v>
      </c>
      <c r="G1055" s="1977" t="s">
        <v>923</v>
      </c>
      <c r="H1055" s="1978" t="s">
        <v>924</v>
      </c>
    </row>
    <row r="1056" spans="1:8" ht="14.25" thickTop="1" thickBot="1" x14ac:dyDescent="0.25">
      <c r="A1056" s="1740">
        <v>1</v>
      </c>
      <c r="B1056" s="1739">
        <v>2</v>
      </c>
      <c r="C1056" s="1739">
        <v>3</v>
      </c>
      <c r="D1056" s="1739">
        <v>4</v>
      </c>
      <c r="E1056" s="1738">
        <v>5</v>
      </c>
      <c r="F1056" s="1738">
        <v>6</v>
      </c>
      <c r="G1056" s="2028">
        <v>7</v>
      </c>
      <c r="H1056" s="2054" t="s">
        <v>61</v>
      </c>
    </row>
    <row r="1057" spans="1:8" ht="15.75" hidden="1" thickTop="1" x14ac:dyDescent="0.2">
      <c r="A1057" s="2160">
        <v>3636</v>
      </c>
      <c r="B1057" s="2161">
        <v>5011</v>
      </c>
      <c r="C1057" s="2170">
        <v>0</v>
      </c>
      <c r="D1057" s="2162" t="s">
        <v>219</v>
      </c>
      <c r="E1057" s="2163">
        <v>0</v>
      </c>
      <c r="F1057" s="2163">
        <v>0</v>
      </c>
      <c r="G1057" s="2163">
        <v>0</v>
      </c>
      <c r="H1057" s="2164" t="e">
        <f t="shared" ref="H1057:H1064" si="113">G1057/F1057*100</f>
        <v>#DIV/0!</v>
      </c>
    </row>
    <row r="1058" spans="1:8" ht="15.75" hidden="1" thickTop="1" x14ac:dyDescent="0.2">
      <c r="A1058" s="2165">
        <v>3636</v>
      </c>
      <c r="B1058" s="2166">
        <v>5011</v>
      </c>
      <c r="C1058" s="2166">
        <v>38500881</v>
      </c>
      <c r="D1058" s="2167" t="s">
        <v>219</v>
      </c>
      <c r="E1058" s="2168">
        <v>0</v>
      </c>
      <c r="F1058" s="2168">
        <v>0</v>
      </c>
      <c r="G1058" s="2168">
        <v>0</v>
      </c>
      <c r="H1058" s="2169" t="e">
        <f t="shared" si="113"/>
        <v>#DIV/0!</v>
      </c>
    </row>
    <row r="1059" spans="1:8" ht="30.75" thickTop="1" x14ac:dyDescent="0.2">
      <c r="A1059" s="2165">
        <v>3123</v>
      </c>
      <c r="B1059" s="2166">
        <v>5336</v>
      </c>
      <c r="C1059" s="2170">
        <v>32133019</v>
      </c>
      <c r="D1059" s="2167" t="s">
        <v>1325</v>
      </c>
      <c r="E1059" s="2168">
        <v>0</v>
      </c>
      <c r="F1059" s="2168">
        <f>66+6</f>
        <v>72</v>
      </c>
      <c r="G1059" s="2168">
        <f>66+5</f>
        <v>71</v>
      </c>
      <c r="H1059" s="2169">
        <f t="shared" si="113"/>
        <v>98.611111111111114</v>
      </c>
    </row>
    <row r="1060" spans="1:8" ht="15" hidden="1" x14ac:dyDescent="0.2">
      <c r="A1060" s="2165">
        <v>3636</v>
      </c>
      <c r="B1060" s="2166">
        <v>5021</v>
      </c>
      <c r="C1060" s="2166">
        <v>38500881</v>
      </c>
      <c r="D1060" s="2167" t="s">
        <v>409</v>
      </c>
      <c r="E1060" s="2168"/>
      <c r="F1060" s="2168"/>
      <c r="G1060" s="2168"/>
      <c r="H1060" s="2169" t="e">
        <f t="shared" si="113"/>
        <v>#DIV/0!</v>
      </c>
    </row>
    <row r="1061" spans="1:8" ht="30" hidden="1" x14ac:dyDescent="0.2">
      <c r="A1061" s="2165">
        <v>3636</v>
      </c>
      <c r="B1061" s="2166">
        <v>5031</v>
      </c>
      <c r="C1061" s="2166">
        <v>38100880</v>
      </c>
      <c r="D1061" s="2167" t="s">
        <v>1362</v>
      </c>
      <c r="E1061" s="2168"/>
      <c r="F1061" s="2168"/>
      <c r="G1061" s="2168"/>
      <c r="H1061" s="2169" t="e">
        <f t="shared" si="113"/>
        <v>#DIV/0!</v>
      </c>
    </row>
    <row r="1062" spans="1:8" ht="30" hidden="1" x14ac:dyDescent="0.2">
      <c r="A1062" s="2165">
        <v>3636</v>
      </c>
      <c r="B1062" s="2166">
        <v>5031</v>
      </c>
      <c r="C1062" s="2166">
        <v>38500881</v>
      </c>
      <c r="D1062" s="2167" t="s">
        <v>1362</v>
      </c>
      <c r="E1062" s="2168"/>
      <c r="F1062" s="2168"/>
      <c r="G1062" s="2168"/>
      <c r="H1062" s="2169" t="e">
        <f t="shared" si="113"/>
        <v>#DIV/0!</v>
      </c>
    </row>
    <row r="1063" spans="1:8" ht="30" hidden="1" x14ac:dyDescent="0.2">
      <c r="A1063" s="2165">
        <v>3636</v>
      </c>
      <c r="B1063" s="2166">
        <v>5032</v>
      </c>
      <c r="C1063" s="2166">
        <v>38100880</v>
      </c>
      <c r="D1063" s="2167" t="s">
        <v>1236</v>
      </c>
      <c r="E1063" s="2168"/>
      <c r="F1063" s="2168"/>
      <c r="G1063" s="2168"/>
      <c r="H1063" s="2169" t="e">
        <f t="shared" si="113"/>
        <v>#DIV/0!</v>
      </c>
    </row>
    <row r="1064" spans="1:8" ht="30" hidden="1" x14ac:dyDescent="0.2">
      <c r="A1064" s="2165">
        <v>3636</v>
      </c>
      <c r="B1064" s="2166">
        <v>5032</v>
      </c>
      <c r="C1064" s="2166">
        <v>38500881</v>
      </c>
      <c r="D1064" s="2167" t="s">
        <v>1236</v>
      </c>
      <c r="E1064" s="2168"/>
      <c r="F1064" s="2168"/>
      <c r="G1064" s="2168"/>
      <c r="H1064" s="2169" t="e">
        <f t="shared" si="113"/>
        <v>#DIV/0!</v>
      </c>
    </row>
    <row r="1065" spans="1:8" ht="15" hidden="1" x14ac:dyDescent="0.2">
      <c r="A1065" s="2165">
        <v>3636</v>
      </c>
      <c r="B1065" s="2166">
        <v>5139</v>
      </c>
      <c r="C1065" s="2166">
        <v>38100880</v>
      </c>
      <c r="D1065" s="2167" t="s">
        <v>284</v>
      </c>
      <c r="E1065" s="2168"/>
      <c r="F1065" s="2168"/>
      <c r="G1065" s="2168"/>
      <c r="H1065" s="2169">
        <v>0</v>
      </c>
    </row>
    <row r="1066" spans="1:8" ht="15" hidden="1" x14ac:dyDescent="0.2">
      <c r="A1066" s="2165">
        <v>3636</v>
      </c>
      <c r="B1066" s="2166">
        <v>5139</v>
      </c>
      <c r="C1066" s="2166">
        <v>38500881</v>
      </c>
      <c r="D1066" s="2167" t="s">
        <v>284</v>
      </c>
      <c r="E1066" s="2168"/>
      <c r="F1066" s="2168"/>
      <c r="G1066" s="2168"/>
      <c r="H1066" s="2169" t="e">
        <f t="shared" ref="H1066:H1071" si="114">G1066/F1066*100</f>
        <v>#DIV/0!</v>
      </c>
    </row>
    <row r="1067" spans="1:8" ht="15" hidden="1" x14ac:dyDescent="0.2">
      <c r="A1067" s="2165">
        <v>3636</v>
      </c>
      <c r="B1067" s="2166">
        <v>5162</v>
      </c>
      <c r="C1067" s="2166">
        <v>38100880</v>
      </c>
      <c r="D1067" s="2167" t="s">
        <v>904</v>
      </c>
      <c r="E1067" s="2168"/>
      <c r="F1067" s="2168"/>
      <c r="G1067" s="2168"/>
      <c r="H1067" s="2169" t="e">
        <f t="shared" si="114"/>
        <v>#DIV/0!</v>
      </c>
    </row>
    <row r="1068" spans="1:8" ht="15" hidden="1" x14ac:dyDescent="0.2">
      <c r="A1068" s="2165">
        <v>3636</v>
      </c>
      <c r="B1068" s="2166">
        <v>5162</v>
      </c>
      <c r="C1068" s="2166">
        <v>38500881</v>
      </c>
      <c r="D1068" s="2167" t="s">
        <v>904</v>
      </c>
      <c r="E1068" s="2168"/>
      <c r="F1068" s="2168"/>
      <c r="G1068" s="2168"/>
      <c r="H1068" s="2169" t="e">
        <f t="shared" si="114"/>
        <v>#DIV/0!</v>
      </c>
    </row>
    <row r="1069" spans="1:8" ht="15" hidden="1" x14ac:dyDescent="0.2">
      <c r="A1069" s="2165">
        <v>3636</v>
      </c>
      <c r="B1069" s="2166">
        <v>5164</v>
      </c>
      <c r="C1069" s="2166">
        <v>38100880</v>
      </c>
      <c r="D1069" s="2167" t="s">
        <v>182</v>
      </c>
      <c r="E1069" s="2168"/>
      <c r="F1069" s="2168"/>
      <c r="G1069" s="2168"/>
      <c r="H1069" s="2169" t="e">
        <f t="shared" si="114"/>
        <v>#DIV/0!</v>
      </c>
    </row>
    <row r="1070" spans="1:8" ht="15" hidden="1" x14ac:dyDescent="0.2">
      <c r="A1070" s="2165">
        <v>3636</v>
      </c>
      <c r="B1070" s="2166">
        <v>5164</v>
      </c>
      <c r="C1070" s="2166">
        <v>38500881</v>
      </c>
      <c r="D1070" s="2167" t="s">
        <v>182</v>
      </c>
      <c r="E1070" s="2168"/>
      <c r="F1070" s="2168"/>
      <c r="G1070" s="2168"/>
      <c r="H1070" s="2169" t="e">
        <f t="shared" si="114"/>
        <v>#DIV/0!</v>
      </c>
    </row>
    <row r="1071" spans="1:8" ht="30.75" thickBot="1" x14ac:dyDescent="0.25">
      <c r="A1071" s="2165">
        <v>3123</v>
      </c>
      <c r="B1071" s="2166">
        <v>5336</v>
      </c>
      <c r="C1071" s="2170">
        <v>32533019</v>
      </c>
      <c r="D1071" s="2167" t="s">
        <v>1325</v>
      </c>
      <c r="E1071" s="2168">
        <v>0</v>
      </c>
      <c r="F1071" s="2168">
        <f>376+32</f>
        <v>408</v>
      </c>
      <c r="G1071" s="2168">
        <f>376+27</f>
        <v>403</v>
      </c>
      <c r="H1071" s="2169">
        <f t="shared" si="114"/>
        <v>98.774509803921575</v>
      </c>
    </row>
    <row r="1072" spans="1:8" ht="15.75" hidden="1" thickBot="1" x14ac:dyDescent="0.25">
      <c r="A1072" s="2165">
        <v>6223</v>
      </c>
      <c r="B1072" s="2166">
        <v>5166</v>
      </c>
      <c r="C1072" s="2166">
        <v>41100880</v>
      </c>
      <c r="D1072" s="2167" t="s">
        <v>646</v>
      </c>
      <c r="E1072" s="2168"/>
      <c r="F1072" s="2168"/>
      <c r="G1072" s="2168"/>
      <c r="H1072" s="2169" t="e">
        <f t="shared" ref="H1072:H1078" si="115">G1072/F1072*100</f>
        <v>#DIV/0!</v>
      </c>
    </row>
    <row r="1073" spans="1:8" ht="15.75" hidden="1" thickBot="1" x14ac:dyDescent="0.25">
      <c r="A1073" s="2165">
        <v>6223</v>
      </c>
      <c r="B1073" s="2166">
        <v>5166</v>
      </c>
      <c r="C1073" s="2166">
        <v>41100882</v>
      </c>
      <c r="D1073" s="2167" t="s">
        <v>646</v>
      </c>
      <c r="E1073" s="2168"/>
      <c r="F1073" s="2168"/>
      <c r="G1073" s="2168"/>
      <c r="H1073" s="2169" t="e">
        <f t="shared" si="115"/>
        <v>#DIV/0!</v>
      </c>
    </row>
    <row r="1074" spans="1:8" ht="15.75" hidden="1" thickBot="1" x14ac:dyDescent="0.25">
      <c r="A1074" s="2165">
        <v>6223</v>
      </c>
      <c r="B1074" s="2166">
        <v>5166</v>
      </c>
      <c r="C1074" s="2166">
        <v>41500881</v>
      </c>
      <c r="D1074" s="2167" t="s">
        <v>646</v>
      </c>
      <c r="E1074" s="2168"/>
      <c r="F1074" s="2168"/>
      <c r="G1074" s="2168"/>
      <c r="H1074" s="2169" t="e">
        <f t="shared" si="115"/>
        <v>#DIV/0!</v>
      </c>
    </row>
    <row r="1075" spans="1:8" ht="15.75" hidden="1" thickBot="1" x14ac:dyDescent="0.25">
      <c r="A1075" s="2165">
        <v>3636</v>
      </c>
      <c r="B1075" s="2166">
        <v>5167</v>
      </c>
      <c r="C1075" s="2166">
        <v>38100880</v>
      </c>
      <c r="D1075" s="2167" t="s">
        <v>937</v>
      </c>
      <c r="E1075" s="2168"/>
      <c r="F1075" s="2168"/>
      <c r="G1075" s="2168"/>
      <c r="H1075" s="2169" t="e">
        <f t="shared" si="115"/>
        <v>#DIV/0!</v>
      </c>
    </row>
    <row r="1076" spans="1:8" ht="15.75" hidden="1" thickBot="1" x14ac:dyDescent="0.25">
      <c r="A1076" s="2165">
        <v>3636</v>
      </c>
      <c r="B1076" s="2166">
        <v>5167</v>
      </c>
      <c r="C1076" s="2166">
        <v>38500881</v>
      </c>
      <c r="D1076" s="2167" t="s">
        <v>937</v>
      </c>
      <c r="E1076" s="2168"/>
      <c r="F1076" s="2168"/>
      <c r="G1076" s="2168"/>
      <c r="H1076" s="2169" t="e">
        <f t="shared" si="115"/>
        <v>#DIV/0!</v>
      </c>
    </row>
    <row r="1077" spans="1:8" ht="15.75" hidden="1" thickBot="1" x14ac:dyDescent="0.25">
      <c r="A1077" s="2165">
        <v>3636</v>
      </c>
      <c r="B1077" s="2166">
        <v>5169</v>
      </c>
      <c r="C1077" s="2166">
        <v>38100880</v>
      </c>
      <c r="D1077" s="2167" t="s">
        <v>892</v>
      </c>
      <c r="E1077" s="2168"/>
      <c r="F1077" s="2168"/>
      <c r="G1077" s="2168"/>
      <c r="H1077" s="2169" t="e">
        <f t="shared" si="115"/>
        <v>#DIV/0!</v>
      </c>
    </row>
    <row r="1078" spans="1:8" ht="15.75" hidden="1" thickBot="1" x14ac:dyDescent="0.25">
      <c r="A1078" s="2165">
        <v>3636</v>
      </c>
      <c r="B1078" s="2166">
        <v>5169</v>
      </c>
      <c r="C1078" s="2166">
        <v>38500881</v>
      </c>
      <c r="D1078" s="2167" t="s">
        <v>892</v>
      </c>
      <c r="E1078" s="2168"/>
      <c r="F1078" s="2168"/>
      <c r="G1078" s="2168"/>
      <c r="H1078" s="2169" t="e">
        <f t="shared" si="115"/>
        <v>#DIV/0!</v>
      </c>
    </row>
    <row r="1079" spans="1:8" ht="15.75" hidden="1" thickBot="1" x14ac:dyDescent="0.25">
      <c r="A1079" s="2165">
        <v>6223</v>
      </c>
      <c r="B1079" s="2166">
        <v>5173</v>
      </c>
      <c r="C1079" s="2170">
        <v>0</v>
      </c>
      <c r="D1079" s="2167" t="s">
        <v>1211</v>
      </c>
      <c r="E1079" s="2168"/>
      <c r="F1079" s="2168"/>
      <c r="G1079" s="2168"/>
      <c r="H1079" s="2169">
        <v>0</v>
      </c>
    </row>
    <row r="1080" spans="1:8" ht="15.75" hidden="1" thickBot="1" x14ac:dyDescent="0.25">
      <c r="A1080" s="2165">
        <v>3636</v>
      </c>
      <c r="B1080" s="2166">
        <v>5173</v>
      </c>
      <c r="C1080" s="2166">
        <v>38500881</v>
      </c>
      <c r="D1080" s="2167" t="s">
        <v>1211</v>
      </c>
      <c r="E1080" s="2168">
        <v>0</v>
      </c>
      <c r="F1080" s="2168"/>
      <c r="G1080" s="2168"/>
      <c r="H1080" s="2169" t="e">
        <f t="shared" ref="H1080:H1086" si="116">G1080/F1080*100</f>
        <v>#DIV/0!</v>
      </c>
    </row>
    <row r="1081" spans="1:8" ht="15.75" hidden="1" thickBot="1" x14ac:dyDescent="0.25">
      <c r="A1081" s="2165">
        <v>3636</v>
      </c>
      <c r="B1081" s="2166">
        <v>5175</v>
      </c>
      <c r="C1081" s="2166">
        <v>38100880</v>
      </c>
      <c r="D1081" s="2167" t="s">
        <v>707</v>
      </c>
      <c r="E1081" s="2168">
        <v>0</v>
      </c>
      <c r="F1081" s="2168"/>
      <c r="G1081" s="2168"/>
      <c r="H1081" s="2169" t="e">
        <f t="shared" si="116"/>
        <v>#DIV/0!</v>
      </c>
    </row>
    <row r="1082" spans="1:8" ht="15.75" hidden="1" thickBot="1" x14ac:dyDescent="0.25">
      <c r="A1082" s="2165">
        <v>3636</v>
      </c>
      <c r="B1082" s="2166">
        <v>5175</v>
      </c>
      <c r="C1082" s="2166">
        <v>38500881</v>
      </c>
      <c r="D1082" s="2167" t="s">
        <v>707</v>
      </c>
      <c r="E1082" s="2168">
        <v>0</v>
      </c>
      <c r="F1082" s="2168"/>
      <c r="G1082" s="2168"/>
      <c r="H1082" s="2169" t="e">
        <f t="shared" si="116"/>
        <v>#DIV/0!</v>
      </c>
    </row>
    <row r="1083" spans="1:8" ht="15.75" hidden="1" thickBot="1" x14ac:dyDescent="0.25">
      <c r="A1083" s="2165">
        <v>3636</v>
      </c>
      <c r="B1083" s="2166">
        <v>5176</v>
      </c>
      <c r="C1083" s="2166">
        <v>38100880</v>
      </c>
      <c r="D1083" s="2167" t="s">
        <v>1309</v>
      </c>
      <c r="E1083" s="2168">
        <v>0</v>
      </c>
      <c r="F1083" s="2168"/>
      <c r="G1083" s="2168"/>
      <c r="H1083" s="2169" t="e">
        <f t="shared" si="116"/>
        <v>#DIV/0!</v>
      </c>
    </row>
    <row r="1084" spans="1:8" ht="15.75" hidden="1" thickBot="1" x14ac:dyDescent="0.25">
      <c r="A1084" s="2165">
        <v>3636</v>
      </c>
      <c r="B1084" s="2166">
        <v>5176</v>
      </c>
      <c r="C1084" s="2166">
        <v>38500881</v>
      </c>
      <c r="D1084" s="2167" t="s">
        <v>1309</v>
      </c>
      <c r="E1084" s="2168">
        <v>0</v>
      </c>
      <c r="F1084" s="2168"/>
      <c r="G1084" s="2168"/>
      <c r="H1084" s="2169" t="e">
        <f t="shared" si="116"/>
        <v>#DIV/0!</v>
      </c>
    </row>
    <row r="1085" spans="1:8" ht="15.75" hidden="1" thickBot="1" x14ac:dyDescent="0.25">
      <c r="A1085" s="2165">
        <v>3636</v>
      </c>
      <c r="B1085" s="2166">
        <v>6901</v>
      </c>
      <c r="C1085" s="2166">
        <v>38100880</v>
      </c>
      <c r="D1085" s="2167" t="s">
        <v>449</v>
      </c>
      <c r="E1085" s="2168">
        <v>0</v>
      </c>
      <c r="F1085" s="2168">
        <v>0</v>
      </c>
      <c r="G1085" s="2168">
        <v>0</v>
      </c>
      <c r="H1085" s="2169" t="e">
        <f t="shared" si="116"/>
        <v>#DIV/0!</v>
      </c>
    </row>
    <row r="1086" spans="1:8" ht="15.75" hidden="1" thickBot="1" x14ac:dyDescent="0.25">
      <c r="A1086" s="2165">
        <v>3636</v>
      </c>
      <c r="B1086" s="2166">
        <v>5363</v>
      </c>
      <c r="C1086" s="2166">
        <v>38500881</v>
      </c>
      <c r="D1086" s="2167" t="s">
        <v>585</v>
      </c>
      <c r="E1086" s="2168">
        <v>0</v>
      </c>
      <c r="F1086" s="2168">
        <v>0</v>
      </c>
      <c r="G1086" s="2168">
        <v>0</v>
      </c>
      <c r="H1086" s="2171" t="e">
        <f t="shared" si="116"/>
        <v>#DIV/0!</v>
      </c>
    </row>
    <row r="1087" spans="1:8" ht="16.5" thickTop="1" thickBot="1" x14ac:dyDescent="0.3">
      <c r="A1087" s="2750" t="s">
        <v>802</v>
      </c>
      <c r="B1087" s="2751"/>
      <c r="C1087" s="2751"/>
      <c r="D1087" s="2751"/>
      <c r="E1087" s="1957">
        <f>SUM(E1057:E1086)</f>
        <v>0</v>
      </c>
      <c r="F1087" s="1957">
        <f>SUM(F1057:F1086)</f>
        <v>480</v>
      </c>
      <c r="G1087" s="1957">
        <f>SUM(G1057:G1086)</f>
        <v>474</v>
      </c>
      <c r="H1087" s="1962">
        <v>0</v>
      </c>
    </row>
    <row r="1088" spans="1:8" ht="13.5" thickTop="1" x14ac:dyDescent="0.2"/>
    <row r="1089" spans="1:8" ht="12" customHeight="1" x14ac:dyDescent="0.25">
      <c r="A1089" s="2744" t="s">
        <v>1951</v>
      </c>
      <c r="B1089" s="2745"/>
      <c r="C1089" s="2745"/>
      <c r="D1089" s="2745"/>
      <c r="E1089" s="2745"/>
      <c r="F1089" s="2745"/>
      <c r="G1089" s="2745"/>
      <c r="H1089" s="2745"/>
    </row>
    <row r="1090" spans="1:8" ht="15.75" thickBot="1" x14ac:dyDescent="0.3">
      <c r="A1090" s="2132" t="s">
        <v>1203</v>
      </c>
      <c r="B1090" s="2146"/>
      <c r="C1090" s="2146"/>
      <c r="E1090" s="2147"/>
      <c r="F1090" s="2147"/>
      <c r="G1090" s="2147"/>
      <c r="H1090" s="2148" t="s">
        <v>173</v>
      </c>
    </row>
    <row r="1091" spans="1:8" ht="25.5" thickTop="1" thickBot="1" x14ac:dyDescent="0.25">
      <c r="A1091" s="1943" t="s">
        <v>174</v>
      </c>
      <c r="B1091" s="1944" t="s">
        <v>800</v>
      </c>
      <c r="C1091" s="1944" t="s">
        <v>397</v>
      </c>
      <c r="D1091" s="1945" t="s">
        <v>176</v>
      </c>
      <c r="E1091" s="1976" t="s">
        <v>669</v>
      </c>
      <c r="F1091" s="1976" t="s">
        <v>670</v>
      </c>
      <c r="G1091" s="1977" t="s">
        <v>923</v>
      </c>
      <c r="H1091" s="1978" t="s">
        <v>924</v>
      </c>
    </row>
    <row r="1092" spans="1:8" ht="14.25" thickTop="1" thickBot="1" x14ac:dyDescent="0.25">
      <c r="A1092" s="1740">
        <v>1</v>
      </c>
      <c r="B1092" s="1739">
        <v>2</v>
      </c>
      <c r="C1092" s="1739">
        <v>3</v>
      </c>
      <c r="D1092" s="1739">
        <v>4</v>
      </c>
      <c r="E1092" s="1738">
        <v>5</v>
      </c>
      <c r="F1092" s="1738">
        <v>6</v>
      </c>
      <c r="G1092" s="2028">
        <v>7</v>
      </c>
      <c r="H1092" s="2054" t="s">
        <v>61</v>
      </c>
    </row>
    <row r="1093" spans="1:8" ht="30.75" thickTop="1" x14ac:dyDescent="0.2">
      <c r="A1093" s="2165">
        <v>3124</v>
      </c>
      <c r="B1093" s="2166">
        <v>5336</v>
      </c>
      <c r="C1093" s="2170">
        <v>32133019</v>
      </c>
      <c r="D1093" s="2167" t="s">
        <v>1325</v>
      </c>
      <c r="E1093" s="2168">
        <v>0</v>
      </c>
      <c r="F1093" s="2168">
        <f>112+10</f>
        <v>122</v>
      </c>
      <c r="G1093" s="2168">
        <f>58+5</f>
        <v>63</v>
      </c>
      <c r="H1093" s="2169">
        <f>G1093/F1093*100</f>
        <v>51.639344262295083</v>
      </c>
    </row>
    <row r="1094" spans="1:8" ht="30" x14ac:dyDescent="0.2">
      <c r="A1094" s="2165">
        <v>3124</v>
      </c>
      <c r="B1094" s="2166">
        <v>5336</v>
      </c>
      <c r="C1094" s="2170">
        <v>32533019</v>
      </c>
      <c r="D1094" s="2167" t="s">
        <v>1325</v>
      </c>
      <c r="E1094" s="2168">
        <v>0</v>
      </c>
      <c r="F1094" s="2168">
        <f>634+54</f>
        <v>688</v>
      </c>
      <c r="G1094" s="2168">
        <f>331+28</f>
        <v>359</v>
      </c>
      <c r="H1094" s="2169">
        <f>G1094/F1094*100</f>
        <v>52.180232558139537</v>
      </c>
    </row>
    <row r="1095" spans="1:8" ht="15" hidden="1" x14ac:dyDescent="0.2">
      <c r="A1095" s="2165">
        <v>3124</v>
      </c>
      <c r="B1095" s="2166">
        <v>5166</v>
      </c>
      <c r="C1095" s="2166">
        <v>41100880</v>
      </c>
      <c r="D1095" s="2167" t="s">
        <v>646</v>
      </c>
      <c r="E1095" s="2168"/>
      <c r="F1095" s="2168"/>
      <c r="G1095" s="2168"/>
      <c r="H1095" s="2169" t="e">
        <f t="shared" ref="H1095:H1101" si="117">G1095/F1095*100</f>
        <v>#DIV/0!</v>
      </c>
    </row>
    <row r="1096" spans="1:8" ht="15" hidden="1" x14ac:dyDescent="0.2">
      <c r="A1096" s="2165">
        <v>3124</v>
      </c>
      <c r="B1096" s="2166">
        <v>5166</v>
      </c>
      <c r="C1096" s="2166">
        <v>41100882</v>
      </c>
      <c r="D1096" s="2167" t="s">
        <v>646</v>
      </c>
      <c r="E1096" s="2168"/>
      <c r="F1096" s="2168"/>
      <c r="G1096" s="2168"/>
      <c r="H1096" s="2169" t="e">
        <f t="shared" si="117"/>
        <v>#DIV/0!</v>
      </c>
    </row>
    <row r="1097" spans="1:8" ht="15" hidden="1" x14ac:dyDescent="0.2">
      <c r="A1097" s="2165">
        <v>3124</v>
      </c>
      <c r="B1097" s="2166">
        <v>5166</v>
      </c>
      <c r="C1097" s="2166">
        <v>41500881</v>
      </c>
      <c r="D1097" s="2167" t="s">
        <v>646</v>
      </c>
      <c r="E1097" s="2168"/>
      <c r="F1097" s="2168"/>
      <c r="G1097" s="2168"/>
      <c r="H1097" s="2169" t="e">
        <f t="shared" si="117"/>
        <v>#DIV/0!</v>
      </c>
    </row>
    <row r="1098" spans="1:8" ht="15" hidden="1" x14ac:dyDescent="0.2">
      <c r="A1098" s="2165">
        <v>3124</v>
      </c>
      <c r="B1098" s="2166">
        <v>5167</v>
      </c>
      <c r="C1098" s="2166">
        <v>38100880</v>
      </c>
      <c r="D1098" s="2167" t="s">
        <v>937</v>
      </c>
      <c r="E1098" s="2168"/>
      <c r="F1098" s="2168"/>
      <c r="G1098" s="2168"/>
      <c r="H1098" s="2169" t="e">
        <f t="shared" si="117"/>
        <v>#DIV/0!</v>
      </c>
    </row>
    <row r="1099" spans="1:8" ht="15" hidden="1" x14ac:dyDescent="0.2">
      <c r="A1099" s="2165">
        <v>3124</v>
      </c>
      <c r="B1099" s="2166">
        <v>5167</v>
      </c>
      <c r="C1099" s="2166">
        <v>38500881</v>
      </c>
      <c r="D1099" s="2167" t="s">
        <v>937</v>
      </c>
      <c r="E1099" s="2168"/>
      <c r="F1099" s="2168"/>
      <c r="G1099" s="2168"/>
      <c r="H1099" s="2169" t="e">
        <f t="shared" si="117"/>
        <v>#DIV/0!</v>
      </c>
    </row>
    <row r="1100" spans="1:8" ht="15" hidden="1" x14ac:dyDescent="0.2">
      <c r="A1100" s="2165">
        <v>3124</v>
      </c>
      <c r="B1100" s="2166">
        <v>5169</v>
      </c>
      <c r="C1100" s="2166">
        <v>38100880</v>
      </c>
      <c r="D1100" s="2167" t="s">
        <v>892</v>
      </c>
      <c r="E1100" s="2168"/>
      <c r="F1100" s="2168"/>
      <c r="G1100" s="2168"/>
      <c r="H1100" s="2169" t="e">
        <f t="shared" si="117"/>
        <v>#DIV/0!</v>
      </c>
    </row>
    <row r="1101" spans="1:8" ht="15" hidden="1" x14ac:dyDescent="0.2">
      <c r="A1101" s="2165">
        <v>3124</v>
      </c>
      <c r="B1101" s="2166">
        <v>5169</v>
      </c>
      <c r="C1101" s="2166">
        <v>38500881</v>
      </c>
      <c r="D1101" s="2167" t="s">
        <v>892</v>
      </c>
      <c r="E1101" s="2168"/>
      <c r="F1101" s="2168"/>
      <c r="G1101" s="2168"/>
      <c r="H1101" s="2169" t="e">
        <f t="shared" si="117"/>
        <v>#DIV/0!</v>
      </c>
    </row>
    <row r="1102" spans="1:8" ht="15" hidden="1" x14ac:dyDescent="0.2">
      <c r="A1102" s="2165">
        <v>3124</v>
      </c>
      <c r="B1102" s="2166">
        <v>5173</v>
      </c>
      <c r="C1102" s="2170">
        <v>0</v>
      </c>
      <c r="D1102" s="2167" t="s">
        <v>1211</v>
      </c>
      <c r="E1102" s="2168"/>
      <c r="F1102" s="2168"/>
      <c r="G1102" s="2168"/>
      <c r="H1102" s="2169">
        <v>0</v>
      </c>
    </row>
    <row r="1103" spans="1:8" ht="15" hidden="1" x14ac:dyDescent="0.2">
      <c r="A1103" s="2165">
        <v>3124</v>
      </c>
      <c r="B1103" s="2166">
        <v>5173</v>
      </c>
      <c r="C1103" s="2166">
        <v>38500881</v>
      </c>
      <c r="D1103" s="2167" t="s">
        <v>1211</v>
      </c>
      <c r="E1103" s="2168">
        <v>0</v>
      </c>
      <c r="F1103" s="2168"/>
      <c r="G1103" s="2168"/>
      <c r="H1103" s="2169" t="e">
        <f t="shared" ref="H1103:H1109" si="118">G1103/F1103*100</f>
        <v>#DIV/0!</v>
      </c>
    </row>
    <row r="1104" spans="1:8" ht="15" hidden="1" x14ac:dyDescent="0.2">
      <c r="A1104" s="2165">
        <v>3124</v>
      </c>
      <c r="B1104" s="2166">
        <v>5175</v>
      </c>
      <c r="C1104" s="2166">
        <v>38100880</v>
      </c>
      <c r="D1104" s="2167" t="s">
        <v>707</v>
      </c>
      <c r="E1104" s="2168">
        <v>0</v>
      </c>
      <c r="F1104" s="2168"/>
      <c r="G1104" s="2168"/>
      <c r="H1104" s="2169" t="e">
        <f t="shared" si="118"/>
        <v>#DIV/0!</v>
      </c>
    </row>
    <row r="1105" spans="1:8" ht="15" hidden="1" x14ac:dyDescent="0.2">
      <c r="A1105" s="2165">
        <v>3124</v>
      </c>
      <c r="B1105" s="2166">
        <v>5175</v>
      </c>
      <c r="C1105" s="2166">
        <v>38500881</v>
      </c>
      <c r="D1105" s="2167" t="s">
        <v>707</v>
      </c>
      <c r="E1105" s="2168">
        <v>0</v>
      </c>
      <c r="F1105" s="2168"/>
      <c r="G1105" s="2168"/>
      <c r="H1105" s="2169" t="e">
        <f t="shared" si="118"/>
        <v>#DIV/0!</v>
      </c>
    </row>
    <row r="1106" spans="1:8" ht="15" hidden="1" x14ac:dyDescent="0.2">
      <c r="A1106" s="2165">
        <v>3124</v>
      </c>
      <c r="B1106" s="2166">
        <v>5176</v>
      </c>
      <c r="C1106" s="2166">
        <v>38100880</v>
      </c>
      <c r="D1106" s="2167" t="s">
        <v>1309</v>
      </c>
      <c r="E1106" s="2168">
        <v>0</v>
      </c>
      <c r="F1106" s="2168"/>
      <c r="G1106" s="2168"/>
      <c r="H1106" s="2169" t="e">
        <f t="shared" si="118"/>
        <v>#DIV/0!</v>
      </c>
    </row>
    <row r="1107" spans="1:8" ht="15" hidden="1" x14ac:dyDescent="0.2">
      <c r="A1107" s="2165">
        <v>3124</v>
      </c>
      <c r="B1107" s="2166">
        <v>5176</v>
      </c>
      <c r="C1107" s="2166">
        <v>38500881</v>
      </c>
      <c r="D1107" s="2167" t="s">
        <v>1309</v>
      </c>
      <c r="E1107" s="2168">
        <v>0</v>
      </c>
      <c r="F1107" s="2168"/>
      <c r="G1107" s="2168"/>
      <c r="H1107" s="2169" t="e">
        <f t="shared" si="118"/>
        <v>#DIV/0!</v>
      </c>
    </row>
    <row r="1108" spans="1:8" ht="30" x14ac:dyDescent="0.2">
      <c r="A1108" s="2165">
        <v>3124</v>
      </c>
      <c r="B1108" s="2166">
        <v>6356</v>
      </c>
      <c r="C1108" s="2166">
        <v>32133910</v>
      </c>
      <c r="D1108" s="2167" t="s">
        <v>1927</v>
      </c>
      <c r="E1108" s="2168">
        <v>0</v>
      </c>
      <c r="F1108" s="2168">
        <v>88</v>
      </c>
      <c r="G1108" s="2168">
        <v>0</v>
      </c>
      <c r="H1108" s="2169">
        <f t="shared" si="118"/>
        <v>0</v>
      </c>
    </row>
    <row r="1109" spans="1:8" ht="30.75" thickBot="1" x14ac:dyDescent="0.25">
      <c r="A1109" s="2165">
        <v>3124</v>
      </c>
      <c r="B1109" s="2166">
        <v>6356</v>
      </c>
      <c r="C1109" s="2166">
        <v>32533910</v>
      </c>
      <c r="D1109" s="2167" t="s">
        <v>1927</v>
      </c>
      <c r="E1109" s="2168">
        <v>0</v>
      </c>
      <c r="F1109" s="2168">
        <v>499</v>
      </c>
      <c r="G1109" s="2168">
        <v>0</v>
      </c>
      <c r="H1109" s="2171">
        <f t="shared" si="118"/>
        <v>0</v>
      </c>
    </row>
    <row r="1110" spans="1:8" ht="16.5" thickTop="1" thickBot="1" x14ac:dyDescent="0.3">
      <c r="A1110" s="2750" t="s">
        <v>802</v>
      </c>
      <c r="B1110" s="2751"/>
      <c r="C1110" s="2751"/>
      <c r="D1110" s="2751"/>
      <c r="E1110" s="1957">
        <f>SUM(E1093:E1109)</f>
        <v>0</v>
      </c>
      <c r="F1110" s="1957">
        <f>SUM(F1093:F1109)</f>
        <v>1397</v>
      </c>
      <c r="G1110" s="1957">
        <f>SUM(G1093:G1109)</f>
        <v>422</v>
      </c>
      <c r="H1110" s="1962">
        <v>0</v>
      </c>
    </row>
    <row r="1111" spans="1:8" ht="13.5" thickTop="1" x14ac:dyDescent="0.2"/>
    <row r="1112" spans="1:8" ht="12" customHeight="1" x14ac:dyDescent="0.25">
      <c r="A1112" s="2744" t="s">
        <v>1952</v>
      </c>
      <c r="B1112" s="2745"/>
      <c r="C1112" s="2745"/>
      <c r="D1112" s="2745"/>
      <c r="E1112" s="2745"/>
      <c r="F1112" s="2745"/>
      <c r="G1112" s="2745"/>
      <c r="H1112" s="2745"/>
    </row>
    <row r="1113" spans="1:8" ht="15.75" thickBot="1" x14ac:dyDescent="0.3">
      <c r="A1113" s="2132" t="s">
        <v>1953</v>
      </c>
      <c r="B1113" s="2146"/>
      <c r="C1113" s="2146"/>
      <c r="E1113" s="2147"/>
      <c r="F1113" s="2147"/>
      <c r="G1113" s="2147"/>
      <c r="H1113" s="2148" t="s">
        <v>173</v>
      </c>
    </row>
    <row r="1114" spans="1:8" ht="25.5" thickTop="1" thickBot="1" x14ac:dyDescent="0.25">
      <c r="A1114" s="1943" t="s">
        <v>174</v>
      </c>
      <c r="B1114" s="1944" t="s">
        <v>800</v>
      </c>
      <c r="C1114" s="1944" t="s">
        <v>397</v>
      </c>
      <c r="D1114" s="1945" t="s">
        <v>176</v>
      </c>
      <c r="E1114" s="1976" t="s">
        <v>669</v>
      </c>
      <c r="F1114" s="1976" t="s">
        <v>670</v>
      </c>
      <c r="G1114" s="1977" t="s">
        <v>923</v>
      </c>
      <c r="H1114" s="1978" t="s">
        <v>924</v>
      </c>
    </row>
    <row r="1115" spans="1:8" ht="14.25" thickTop="1" thickBot="1" x14ac:dyDescent="0.25">
      <c r="A1115" s="1740">
        <v>1</v>
      </c>
      <c r="B1115" s="1739">
        <v>2</v>
      </c>
      <c r="C1115" s="1739">
        <v>3</v>
      </c>
      <c r="D1115" s="1739">
        <v>4</v>
      </c>
      <c r="E1115" s="1738">
        <v>5</v>
      </c>
      <c r="F1115" s="1738">
        <v>6</v>
      </c>
      <c r="G1115" s="2028">
        <v>7</v>
      </c>
      <c r="H1115" s="2054" t="s">
        <v>61</v>
      </c>
    </row>
    <row r="1116" spans="1:8" ht="30.75" thickTop="1" x14ac:dyDescent="0.2">
      <c r="A1116" s="2165">
        <v>3123</v>
      </c>
      <c r="B1116" s="2166">
        <v>5336</v>
      </c>
      <c r="C1116" s="2170">
        <v>32133019</v>
      </c>
      <c r="D1116" s="2167" t="s">
        <v>1325</v>
      </c>
      <c r="E1116" s="2168">
        <v>0</v>
      </c>
      <c r="F1116" s="2168">
        <f>98+8</f>
        <v>106</v>
      </c>
      <c r="G1116" s="2168">
        <f>57+5</f>
        <v>62</v>
      </c>
      <c r="H1116" s="2169">
        <f>G1116/F1116*100</f>
        <v>58.490566037735846</v>
      </c>
    </row>
    <row r="1117" spans="1:8" ht="30" x14ac:dyDescent="0.2">
      <c r="A1117" s="2165">
        <v>3123</v>
      </c>
      <c r="B1117" s="2166">
        <v>5336</v>
      </c>
      <c r="C1117" s="2170">
        <v>32533019</v>
      </c>
      <c r="D1117" s="2167" t="s">
        <v>1325</v>
      </c>
      <c r="E1117" s="2168">
        <v>0</v>
      </c>
      <c r="F1117" s="2168">
        <f>553+47</f>
        <v>600</v>
      </c>
      <c r="G1117" s="2168">
        <f>322+27</f>
        <v>349</v>
      </c>
      <c r="H1117" s="2169">
        <f>G1117/F1117*100</f>
        <v>58.166666666666664</v>
      </c>
    </row>
    <row r="1118" spans="1:8" ht="15" hidden="1" x14ac:dyDescent="0.2">
      <c r="A1118" s="2165">
        <v>3123</v>
      </c>
      <c r="B1118" s="2166">
        <v>5166</v>
      </c>
      <c r="C1118" s="2166">
        <v>41100880</v>
      </c>
      <c r="D1118" s="2167" t="s">
        <v>646</v>
      </c>
      <c r="E1118" s="2168"/>
      <c r="F1118" s="2168"/>
      <c r="G1118" s="2168"/>
      <c r="H1118" s="2169" t="e">
        <f t="shared" ref="H1118:H1124" si="119">G1118/F1118*100</f>
        <v>#DIV/0!</v>
      </c>
    </row>
    <row r="1119" spans="1:8" ht="15" hidden="1" x14ac:dyDescent="0.2">
      <c r="A1119" s="2165">
        <v>3123</v>
      </c>
      <c r="B1119" s="2166">
        <v>5166</v>
      </c>
      <c r="C1119" s="2166">
        <v>41100882</v>
      </c>
      <c r="D1119" s="2167" t="s">
        <v>646</v>
      </c>
      <c r="E1119" s="2168"/>
      <c r="F1119" s="2168"/>
      <c r="G1119" s="2168"/>
      <c r="H1119" s="2169" t="e">
        <f t="shared" si="119"/>
        <v>#DIV/0!</v>
      </c>
    </row>
    <row r="1120" spans="1:8" ht="15" hidden="1" x14ac:dyDescent="0.2">
      <c r="A1120" s="2165">
        <v>3123</v>
      </c>
      <c r="B1120" s="2166">
        <v>5166</v>
      </c>
      <c r="C1120" s="2166">
        <v>41500881</v>
      </c>
      <c r="D1120" s="2167" t="s">
        <v>646</v>
      </c>
      <c r="E1120" s="2168"/>
      <c r="F1120" s="2168"/>
      <c r="G1120" s="2168"/>
      <c r="H1120" s="2169" t="e">
        <f t="shared" si="119"/>
        <v>#DIV/0!</v>
      </c>
    </row>
    <row r="1121" spans="1:8" ht="15" hidden="1" x14ac:dyDescent="0.2">
      <c r="A1121" s="2165">
        <v>3123</v>
      </c>
      <c r="B1121" s="2166">
        <v>5167</v>
      </c>
      <c r="C1121" s="2166">
        <v>38100880</v>
      </c>
      <c r="D1121" s="2167" t="s">
        <v>937</v>
      </c>
      <c r="E1121" s="2168"/>
      <c r="F1121" s="2168"/>
      <c r="G1121" s="2168"/>
      <c r="H1121" s="2169" t="e">
        <f t="shared" si="119"/>
        <v>#DIV/0!</v>
      </c>
    </row>
    <row r="1122" spans="1:8" ht="15" hidden="1" x14ac:dyDescent="0.2">
      <c r="A1122" s="2165">
        <v>3123</v>
      </c>
      <c r="B1122" s="2166">
        <v>5167</v>
      </c>
      <c r="C1122" s="2166">
        <v>38500881</v>
      </c>
      <c r="D1122" s="2167" t="s">
        <v>937</v>
      </c>
      <c r="E1122" s="2168"/>
      <c r="F1122" s="2168"/>
      <c r="G1122" s="2168"/>
      <c r="H1122" s="2169" t="e">
        <f t="shared" si="119"/>
        <v>#DIV/0!</v>
      </c>
    </row>
    <row r="1123" spans="1:8" ht="15" hidden="1" x14ac:dyDescent="0.2">
      <c r="A1123" s="2165">
        <v>3123</v>
      </c>
      <c r="B1123" s="2166">
        <v>5169</v>
      </c>
      <c r="C1123" s="2166">
        <v>38100880</v>
      </c>
      <c r="D1123" s="2167" t="s">
        <v>892</v>
      </c>
      <c r="E1123" s="2168"/>
      <c r="F1123" s="2168"/>
      <c r="G1123" s="2168"/>
      <c r="H1123" s="2169" t="e">
        <f t="shared" si="119"/>
        <v>#DIV/0!</v>
      </c>
    </row>
    <row r="1124" spans="1:8" ht="15" hidden="1" x14ac:dyDescent="0.2">
      <c r="A1124" s="2165">
        <v>3123</v>
      </c>
      <c r="B1124" s="2166">
        <v>5169</v>
      </c>
      <c r="C1124" s="2166">
        <v>38500881</v>
      </c>
      <c r="D1124" s="2167" t="s">
        <v>892</v>
      </c>
      <c r="E1124" s="2168"/>
      <c r="F1124" s="2168"/>
      <c r="G1124" s="2168"/>
      <c r="H1124" s="2169" t="e">
        <f t="shared" si="119"/>
        <v>#DIV/0!</v>
      </c>
    </row>
    <row r="1125" spans="1:8" ht="15" hidden="1" x14ac:dyDescent="0.2">
      <c r="A1125" s="2165">
        <v>3123</v>
      </c>
      <c r="B1125" s="2166">
        <v>5173</v>
      </c>
      <c r="C1125" s="2170">
        <v>0</v>
      </c>
      <c r="D1125" s="2167" t="s">
        <v>1211</v>
      </c>
      <c r="E1125" s="2168"/>
      <c r="F1125" s="2168"/>
      <c r="G1125" s="2168"/>
      <c r="H1125" s="2169">
        <v>0</v>
      </c>
    </row>
    <row r="1126" spans="1:8" ht="15" hidden="1" x14ac:dyDescent="0.2">
      <c r="A1126" s="2165">
        <v>3123</v>
      </c>
      <c r="B1126" s="2166">
        <v>5173</v>
      </c>
      <c r="C1126" s="2166">
        <v>38500881</v>
      </c>
      <c r="D1126" s="2167" t="s">
        <v>1211</v>
      </c>
      <c r="E1126" s="2168">
        <v>0</v>
      </c>
      <c r="F1126" s="2168"/>
      <c r="G1126" s="2168"/>
      <c r="H1126" s="2169" t="e">
        <f t="shared" ref="H1126:H1132" si="120">G1126/F1126*100</f>
        <v>#DIV/0!</v>
      </c>
    </row>
    <row r="1127" spans="1:8" ht="15" hidden="1" x14ac:dyDescent="0.2">
      <c r="A1127" s="2165">
        <v>3123</v>
      </c>
      <c r="B1127" s="2166">
        <v>5175</v>
      </c>
      <c r="C1127" s="2166">
        <v>38100880</v>
      </c>
      <c r="D1127" s="2167" t="s">
        <v>707</v>
      </c>
      <c r="E1127" s="2168">
        <v>0</v>
      </c>
      <c r="F1127" s="2168"/>
      <c r="G1127" s="2168"/>
      <c r="H1127" s="2169" t="e">
        <f t="shared" si="120"/>
        <v>#DIV/0!</v>
      </c>
    </row>
    <row r="1128" spans="1:8" ht="15" hidden="1" x14ac:dyDescent="0.2">
      <c r="A1128" s="2165">
        <v>3123</v>
      </c>
      <c r="B1128" s="2166">
        <v>5175</v>
      </c>
      <c r="C1128" s="2166">
        <v>38500881</v>
      </c>
      <c r="D1128" s="2167" t="s">
        <v>707</v>
      </c>
      <c r="E1128" s="2168">
        <v>0</v>
      </c>
      <c r="F1128" s="2168"/>
      <c r="G1128" s="2168"/>
      <c r="H1128" s="2169" t="e">
        <f t="shared" si="120"/>
        <v>#DIV/0!</v>
      </c>
    </row>
    <row r="1129" spans="1:8" ht="15" hidden="1" x14ac:dyDescent="0.2">
      <c r="A1129" s="2165">
        <v>3123</v>
      </c>
      <c r="B1129" s="2166">
        <v>5176</v>
      </c>
      <c r="C1129" s="2166">
        <v>38100880</v>
      </c>
      <c r="D1129" s="2167" t="s">
        <v>1309</v>
      </c>
      <c r="E1129" s="2168">
        <v>0</v>
      </c>
      <c r="F1129" s="2168"/>
      <c r="G1129" s="2168"/>
      <c r="H1129" s="2169" t="e">
        <f t="shared" si="120"/>
        <v>#DIV/0!</v>
      </c>
    </row>
    <row r="1130" spans="1:8" ht="15" hidden="1" x14ac:dyDescent="0.2">
      <c r="A1130" s="2165">
        <v>3123</v>
      </c>
      <c r="B1130" s="2166">
        <v>5176</v>
      </c>
      <c r="C1130" s="2166">
        <v>38500881</v>
      </c>
      <c r="D1130" s="2167" t="s">
        <v>1309</v>
      </c>
      <c r="E1130" s="2168">
        <v>0</v>
      </c>
      <c r="F1130" s="2168"/>
      <c r="G1130" s="2168"/>
      <c r="H1130" s="2169" t="e">
        <f t="shared" si="120"/>
        <v>#DIV/0!</v>
      </c>
    </row>
    <row r="1131" spans="1:8" ht="30" x14ac:dyDescent="0.2">
      <c r="A1131" s="2165">
        <v>3123</v>
      </c>
      <c r="B1131" s="2166">
        <v>6356</v>
      </c>
      <c r="C1131" s="2166">
        <v>32133910</v>
      </c>
      <c r="D1131" s="2167" t="s">
        <v>1927</v>
      </c>
      <c r="E1131" s="2168">
        <v>0</v>
      </c>
      <c r="F1131" s="2168">
        <v>106</v>
      </c>
      <c r="G1131" s="2168">
        <v>0</v>
      </c>
      <c r="H1131" s="2169">
        <f t="shared" si="120"/>
        <v>0</v>
      </c>
    </row>
    <row r="1132" spans="1:8" ht="30.75" thickBot="1" x14ac:dyDescent="0.25">
      <c r="A1132" s="2165">
        <v>3123</v>
      </c>
      <c r="B1132" s="2166">
        <v>6356</v>
      </c>
      <c r="C1132" s="2166">
        <v>32533910</v>
      </c>
      <c r="D1132" s="2167" t="s">
        <v>1927</v>
      </c>
      <c r="E1132" s="2168">
        <v>0</v>
      </c>
      <c r="F1132" s="2168">
        <v>599</v>
      </c>
      <c r="G1132" s="2168">
        <v>0</v>
      </c>
      <c r="H1132" s="2171">
        <f t="shared" si="120"/>
        <v>0</v>
      </c>
    </row>
    <row r="1133" spans="1:8" ht="16.5" thickTop="1" thickBot="1" x14ac:dyDescent="0.3">
      <c r="A1133" s="2750" t="s">
        <v>802</v>
      </c>
      <c r="B1133" s="2751"/>
      <c r="C1133" s="2751"/>
      <c r="D1133" s="2751"/>
      <c r="E1133" s="1957">
        <f>SUM(E1116:E1132)</f>
        <v>0</v>
      </c>
      <c r="F1133" s="1957">
        <f>SUM(F1116:F1132)</f>
        <v>1411</v>
      </c>
      <c r="G1133" s="1957">
        <f>SUM(G1116:G1132)</f>
        <v>411</v>
      </c>
      <c r="H1133" s="1962">
        <v>0</v>
      </c>
    </row>
    <row r="1134" spans="1:8" ht="13.5" thickTop="1" x14ac:dyDescent="0.2"/>
    <row r="1135" spans="1:8" ht="12" customHeight="1" x14ac:dyDescent="0.25">
      <c r="A1135" s="2744" t="s">
        <v>1954</v>
      </c>
      <c r="B1135" s="2745"/>
      <c r="C1135" s="2745"/>
      <c r="D1135" s="2745"/>
      <c r="E1135" s="2745"/>
      <c r="F1135" s="2745"/>
      <c r="G1135" s="2745"/>
      <c r="H1135" s="2745"/>
    </row>
    <row r="1136" spans="1:8" ht="15.75" thickBot="1" x14ac:dyDescent="0.3">
      <c r="A1136" s="2132" t="s">
        <v>1012</v>
      </c>
      <c r="B1136" s="2146"/>
      <c r="C1136" s="2146"/>
      <c r="E1136" s="2147"/>
      <c r="F1136" s="2147"/>
      <c r="G1136" s="2147"/>
      <c r="H1136" s="2148" t="s">
        <v>173</v>
      </c>
    </row>
    <row r="1137" spans="1:8" ht="25.5" thickTop="1" thickBot="1" x14ac:dyDescent="0.25">
      <c r="A1137" s="1943" t="s">
        <v>174</v>
      </c>
      <c r="B1137" s="1944" t="s">
        <v>800</v>
      </c>
      <c r="C1137" s="1944" t="s">
        <v>397</v>
      </c>
      <c r="D1137" s="1945" t="s">
        <v>176</v>
      </c>
      <c r="E1137" s="1976" t="s">
        <v>669</v>
      </c>
      <c r="F1137" s="1976" t="s">
        <v>670</v>
      </c>
      <c r="G1137" s="1977" t="s">
        <v>923</v>
      </c>
      <c r="H1137" s="1978" t="s">
        <v>924</v>
      </c>
    </row>
    <row r="1138" spans="1:8" ht="14.25" thickTop="1" thickBot="1" x14ac:dyDescent="0.25">
      <c r="A1138" s="1740">
        <v>1</v>
      </c>
      <c r="B1138" s="1739">
        <v>2</v>
      </c>
      <c r="C1138" s="1739">
        <v>3</v>
      </c>
      <c r="D1138" s="1739">
        <v>4</v>
      </c>
      <c r="E1138" s="1738">
        <v>5</v>
      </c>
      <c r="F1138" s="1738">
        <v>6</v>
      </c>
      <c r="G1138" s="2028">
        <v>7</v>
      </c>
      <c r="H1138" s="2054" t="s">
        <v>61</v>
      </c>
    </row>
    <row r="1139" spans="1:8" ht="38.25" customHeight="1" thickTop="1" x14ac:dyDescent="0.2">
      <c r="A1139" s="2165">
        <v>3122</v>
      </c>
      <c r="B1139" s="2166">
        <v>5213</v>
      </c>
      <c r="C1139" s="2170">
        <v>32133019</v>
      </c>
      <c r="D1139" s="2167" t="s">
        <v>1955</v>
      </c>
      <c r="E1139" s="2168">
        <v>0</v>
      </c>
      <c r="F1139" s="2168">
        <f>173+15</f>
        <v>188</v>
      </c>
      <c r="G1139" s="2168">
        <f>56+5</f>
        <v>61</v>
      </c>
      <c r="H1139" s="2169">
        <f>G1139/F1139*100</f>
        <v>32.446808510638299</v>
      </c>
    </row>
    <row r="1140" spans="1:8" ht="36" customHeight="1" thickBot="1" x14ac:dyDescent="0.25">
      <c r="A1140" s="2165">
        <v>3122</v>
      </c>
      <c r="B1140" s="2166">
        <v>5213</v>
      </c>
      <c r="C1140" s="2170">
        <v>32533019</v>
      </c>
      <c r="D1140" s="2167" t="s">
        <v>1955</v>
      </c>
      <c r="E1140" s="2168">
        <v>0</v>
      </c>
      <c r="F1140" s="2168">
        <f>982+83</f>
        <v>1065</v>
      </c>
      <c r="G1140" s="2168">
        <f>315+27</f>
        <v>342</v>
      </c>
      <c r="H1140" s="2169">
        <f>G1140/F1140*100</f>
        <v>32.112676056338032</v>
      </c>
    </row>
    <row r="1141" spans="1:8" ht="15.75" hidden="1" thickBot="1" x14ac:dyDescent="0.25">
      <c r="A1141" s="2165">
        <v>6223</v>
      </c>
      <c r="B1141" s="2166">
        <v>5166</v>
      </c>
      <c r="C1141" s="2166">
        <v>41100880</v>
      </c>
      <c r="D1141" s="2167" t="s">
        <v>646</v>
      </c>
      <c r="E1141" s="2168"/>
      <c r="F1141" s="2168"/>
      <c r="G1141" s="2168"/>
      <c r="H1141" s="2169" t="e">
        <f t="shared" ref="H1141:H1147" si="121">G1141/F1141*100</f>
        <v>#DIV/0!</v>
      </c>
    </row>
    <row r="1142" spans="1:8" ht="15.75" hidden="1" thickBot="1" x14ac:dyDescent="0.25">
      <c r="A1142" s="2165">
        <v>6223</v>
      </c>
      <c r="B1142" s="2166">
        <v>5166</v>
      </c>
      <c r="C1142" s="2166">
        <v>41100882</v>
      </c>
      <c r="D1142" s="2167" t="s">
        <v>646</v>
      </c>
      <c r="E1142" s="2168"/>
      <c r="F1142" s="2168"/>
      <c r="G1142" s="2168"/>
      <c r="H1142" s="2169" t="e">
        <f t="shared" si="121"/>
        <v>#DIV/0!</v>
      </c>
    </row>
    <row r="1143" spans="1:8" ht="15.75" hidden="1" thickBot="1" x14ac:dyDescent="0.25">
      <c r="A1143" s="2165">
        <v>6223</v>
      </c>
      <c r="B1143" s="2166">
        <v>5166</v>
      </c>
      <c r="C1143" s="2166">
        <v>41500881</v>
      </c>
      <c r="D1143" s="2167" t="s">
        <v>646</v>
      </c>
      <c r="E1143" s="2168"/>
      <c r="F1143" s="2168"/>
      <c r="G1143" s="2168"/>
      <c r="H1143" s="2169" t="e">
        <f t="shared" si="121"/>
        <v>#DIV/0!</v>
      </c>
    </row>
    <row r="1144" spans="1:8" ht="15.75" hidden="1" thickBot="1" x14ac:dyDescent="0.25">
      <c r="A1144" s="2165">
        <v>3636</v>
      </c>
      <c r="B1144" s="2166">
        <v>5167</v>
      </c>
      <c r="C1144" s="2166">
        <v>38100880</v>
      </c>
      <c r="D1144" s="2167" t="s">
        <v>937</v>
      </c>
      <c r="E1144" s="2168"/>
      <c r="F1144" s="2168"/>
      <c r="G1144" s="2168"/>
      <c r="H1144" s="2169" t="e">
        <f t="shared" si="121"/>
        <v>#DIV/0!</v>
      </c>
    </row>
    <row r="1145" spans="1:8" ht="15.75" hidden="1" thickBot="1" x14ac:dyDescent="0.25">
      <c r="A1145" s="2165">
        <v>3636</v>
      </c>
      <c r="B1145" s="2166">
        <v>5167</v>
      </c>
      <c r="C1145" s="2166">
        <v>38500881</v>
      </c>
      <c r="D1145" s="2167" t="s">
        <v>937</v>
      </c>
      <c r="E1145" s="2168"/>
      <c r="F1145" s="2168"/>
      <c r="G1145" s="2168"/>
      <c r="H1145" s="2169" t="e">
        <f t="shared" si="121"/>
        <v>#DIV/0!</v>
      </c>
    </row>
    <row r="1146" spans="1:8" ht="15.75" hidden="1" thickBot="1" x14ac:dyDescent="0.25">
      <c r="A1146" s="2165">
        <v>3636</v>
      </c>
      <c r="B1146" s="2166">
        <v>5169</v>
      </c>
      <c r="C1146" s="2166">
        <v>38100880</v>
      </c>
      <c r="D1146" s="2167" t="s">
        <v>892</v>
      </c>
      <c r="E1146" s="2168"/>
      <c r="F1146" s="2168"/>
      <c r="G1146" s="2168"/>
      <c r="H1146" s="2169" t="e">
        <f t="shared" si="121"/>
        <v>#DIV/0!</v>
      </c>
    </row>
    <row r="1147" spans="1:8" ht="15.75" hidden="1" thickBot="1" x14ac:dyDescent="0.25">
      <c r="A1147" s="2165">
        <v>3636</v>
      </c>
      <c r="B1147" s="2166">
        <v>5169</v>
      </c>
      <c r="C1147" s="2166">
        <v>38500881</v>
      </c>
      <c r="D1147" s="2167" t="s">
        <v>892</v>
      </c>
      <c r="E1147" s="2168"/>
      <c r="F1147" s="2168"/>
      <c r="G1147" s="2168"/>
      <c r="H1147" s="2169" t="e">
        <f t="shared" si="121"/>
        <v>#DIV/0!</v>
      </c>
    </row>
    <row r="1148" spans="1:8" ht="15.75" hidden="1" thickBot="1" x14ac:dyDescent="0.25">
      <c r="A1148" s="2165">
        <v>6223</v>
      </c>
      <c r="B1148" s="2166">
        <v>5173</v>
      </c>
      <c r="C1148" s="2170">
        <v>0</v>
      </c>
      <c r="D1148" s="2167" t="s">
        <v>1211</v>
      </c>
      <c r="E1148" s="2168"/>
      <c r="F1148" s="2168"/>
      <c r="G1148" s="2168"/>
      <c r="H1148" s="2169">
        <v>0</v>
      </c>
    </row>
    <row r="1149" spans="1:8" ht="15.75" hidden="1" thickBot="1" x14ac:dyDescent="0.25">
      <c r="A1149" s="2165">
        <v>3636</v>
      </c>
      <c r="B1149" s="2166">
        <v>5173</v>
      </c>
      <c r="C1149" s="2166">
        <v>38500881</v>
      </c>
      <c r="D1149" s="2167" t="s">
        <v>1211</v>
      </c>
      <c r="E1149" s="2168">
        <v>0</v>
      </c>
      <c r="F1149" s="2168"/>
      <c r="G1149" s="2168"/>
      <c r="H1149" s="2169" t="e">
        <f t="shared" ref="H1149:H1155" si="122">G1149/F1149*100</f>
        <v>#DIV/0!</v>
      </c>
    </row>
    <row r="1150" spans="1:8" ht="15.75" hidden="1" thickBot="1" x14ac:dyDescent="0.25">
      <c r="A1150" s="2165">
        <v>3636</v>
      </c>
      <c r="B1150" s="2166">
        <v>5175</v>
      </c>
      <c r="C1150" s="2166">
        <v>38100880</v>
      </c>
      <c r="D1150" s="2167" t="s">
        <v>707</v>
      </c>
      <c r="E1150" s="2168">
        <v>0</v>
      </c>
      <c r="F1150" s="2168"/>
      <c r="G1150" s="2168"/>
      <c r="H1150" s="2169" t="e">
        <f t="shared" si="122"/>
        <v>#DIV/0!</v>
      </c>
    </row>
    <row r="1151" spans="1:8" ht="15.75" hidden="1" thickBot="1" x14ac:dyDescent="0.25">
      <c r="A1151" s="2165">
        <v>3636</v>
      </c>
      <c r="B1151" s="2166">
        <v>5175</v>
      </c>
      <c r="C1151" s="2166">
        <v>38500881</v>
      </c>
      <c r="D1151" s="2167" t="s">
        <v>707</v>
      </c>
      <c r="E1151" s="2168">
        <v>0</v>
      </c>
      <c r="F1151" s="2168"/>
      <c r="G1151" s="2168"/>
      <c r="H1151" s="2169" t="e">
        <f t="shared" si="122"/>
        <v>#DIV/0!</v>
      </c>
    </row>
    <row r="1152" spans="1:8" ht="15.75" hidden="1" thickBot="1" x14ac:dyDescent="0.25">
      <c r="A1152" s="2165">
        <v>3636</v>
      </c>
      <c r="B1152" s="2166">
        <v>5176</v>
      </c>
      <c r="C1152" s="2166">
        <v>38100880</v>
      </c>
      <c r="D1152" s="2167" t="s">
        <v>1309</v>
      </c>
      <c r="E1152" s="2168">
        <v>0</v>
      </c>
      <c r="F1152" s="2168"/>
      <c r="G1152" s="2168"/>
      <c r="H1152" s="2169" t="e">
        <f t="shared" si="122"/>
        <v>#DIV/0!</v>
      </c>
    </row>
    <row r="1153" spans="1:8" ht="15.75" hidden="1" thickBot="1" x14ac:dyDescent="0.25">
      <c r="A1153" s="2165">
        <v>3636</v>
      </c>
      <c r="B1153" s="2166">
        <v>5176</v>
      </c>
      <c r="C1153" s="2166">
        <v>38500881</v>
      </c>
      <c r="D1153" s="2167" t="s">
        <v>1309</v>
      </c>
      <c r="E1153" s="2168">
        <v>0</v>
      </c>
      <c r="F1153" s="2168"/>
      <c r="G1153" s="2168"/>
      <c r="H1153" s="2169" t="e">
        <f t="shared" si="122"/>
        <v>#DIV/0!</v>
      </c>
    </row>
    <row r="1154" spans="1:8" ht="15.75" hidden="1" thickBot="1" x14ac:dyDescent="0.25">
      <c r="A1154" s="2165">
        <v>3636</v>
      </c>
      <c r="B1154" s="2166">
        <v>6901</v>
      </c>
      <c r="C1154" s="2166">
        <v>38100880</v>
      </c>
      <c r="D1154" s="2167" t="s">
        <v>449</v>
      </c>
      <c r="E1154" s="2168">
        <v>0</v>
      </c>
      <c r="F1154" s="2168">
        <v>0</v>
      </c>
      <c r="G1154" s="2168">
        <v>0</v>
      </c>
      <c r="H1154" s="2169" t="e">
        <f t="shared" si="122"/>
        <v>#DIV/0!</v>
      </c>
    </row>
    <row r="1155" spans="1:8" ht="15.75" hidden="1" thickBot="1" x14ac:dyDescent="0.25">
      <c r="A1155" s="2165">
        <v>3636</v>
      </c>
      <c r="B1155" s="2166">
        <v>5363</v>
      </c>
      <c r="C1155" s="2166">
        <v>38500881</v>
      </c>
      <c r="D1155" s="2167" t="s">
        <v>585</v>
      </c>
      <c r="E1155" s="2168">
        <v>0</v>
      </c>
      <c r="F1155" s="2168">
        <v>0</v>
      </c>
      <c r="G1155" s="2168">
        <v>0</v>
      </c>
      <c r="H1155" s="2171" t="e">
        <f t="shared" si="122"/>
        <v>#DIV/0!</v>
      </c>
    </row>
    <row r="1156" spans="1:8" ht="16.5" thickTop="1" thickBot="1" x14ac:dyDescent="0.3">
      <c r="A1156" s="2750" t="s">
        <v>802</v>
      </c>
      <c r="B1156" s="2751"/>
      <c r="C1156" s="2751"/>
      <c r="D1156" s="2751"/>
      <c r="E1156" s="1957">
        <f>SUM(E1139:E1155)</f>
        <v>0</v>
      </c>
      <c r="F1156" s="1957">
        <f>SUM(F1139:F1155)</f>
        <v>1253</v>
      </c>
      <c r="G1156" s="1957">
        <f>SUM(G1139:G1155)</f>
        <v>403</v>
      </c>
      <c r="H1156" s="1962">
        <v>0</v>
      </c>
    </row>
    <row r="1157" spans="1:8" ht="13.5" thickTop="1" x14ac:dyDescent="0.2"/>
    <row r="1158" spans="1:8" ht="12" customHeight="1" x14ac:dyDescent="0.25">
      <c r="A1158" s="2744" t="s">
        <v>984</v>
      </c>
      <c r="B1158" s="2745"/>
      <c r="C1158" s="2745"/>
      <c r="D1158" s="2745"/>
      <c r="E1158" s="2745"/>
      <c r="F1158" s="2745"/>
      <c r="G1158" s="2745"/>
      <c r="H1158" s="2745"/>
    </row>
    <row r="1159" spans="1:8" ht="15.75" thickBot="1" x14ac:dyDescent="0.3">
      <c r="A1159" s="2132" t="s">
        <v>1013</v>
      </c>
      <c r="B1159" s="2146"/>
      <c r="C1159" s="2146"/>
      <c r="E1159" s="2147"/>
      <c r="F1159" s="2147"/>
      <c r="G1159" s="2147"/>
      <c r="H1159" s="2148" t="s">
        <v>173</v>
      </c>
    </row>
    <row r="1160" spans="1:8" ht="25.5" thickTop="1" thickBot="1" x14ac:dyDescent="0.25">
      <c r="A1160" s="1943" t="s">
        <v>174</v>
      </c>
      <c r="B1160" s="1944" t="s">
        <v>800</v>
      </c>
      <c r="C1160" s="1944" t="s">
        <v>397</v>
      </c>
      <c r="D1160" s="1945" t="s">
        <v>176</v>
      </c>
      <c r="E1160" s="1976" t="s">
        <v>669</v>
      </c>
      <c r="F1160" s="1976" t="s">
        <v>670</v>
      </c>
      <c r="G1160" s="1977" t="s">
        <v>923</v>
      </c>
      <c r="H1160" s="1978" t="s">
        <v>924</v>
      </c>
    </row>
    <row r="1161" spans="1:8" ht="14.25" thickTop="1" thickBot="1" x14ac:dyDescent="0.25">
      <c r="A1161" s="1740">
        <v>1</v>
      </c>
      <c r="B1161" s="1739">
        <v>2</v>
      </c>
      <c r="C1161" s="1739">
        <v>3</v>
      </c>
      <c r="D1161" s="1739">
        <v>4</v>
      </c>
      <c r="E1161" s="1738">
        <v>5</v>
      </c>
      <c r="F1161" s="1738">
        <v>6</v>
      </c>
      <c r="G1161" s="2028">
        <v>7</v>
      </c>
      <c r="H1161" s="2054" t="s">
        <v>61</v>
      </c>
    </row>
    <row r="1162" spans="1:8" ht="37.5" customHeight="1" thickTop="1" x14ac:dyDescent="0.2">
      <c r="A1162" s="2165">
        <v>3123</v>
      </c>
      <c r="B1162" s="2166">
        <v>5213</v>
      </c>
      <c r="C1162" s="2170">
        <v>32133019</v>
      </c>
      <c r="D1162" s="2167" t="s">
        <v>1955</v>
      </c>
      <c r="E1162" s="2168">
        <v>0</v>
      </c>
      <c r="F1162" s="2168">
        <f>119+10</f>
        <v>129</v>
      </c>
      <c r="G1162" s="2168">
        <f>56+5</f>
        <v>61</v>
      </c>
      <c r="H1162" s="2169">
        <f>G1162/F1162*100</f>
        <v>47.286821705426355</v>
      </c>
    </row>
    <row r="1163" spans="1:8" ht="37.5" customHeight="1" x14ac:dyDescent="0.2">
      <c r="A1163" s="2165">
        <v>3123</v>
      </c>
      <c r="B1163" s="2166">
        <v>5213</v>
      </c>
      <c r="C1163" s="2170">
        <v>32533019</v>
      </c>
      <c r="D1163" s="2167" t="s">
        <v>1955</v>
      </c>
      <c r="E1163" s="2168">
        <v>0</v>
      </c>
      <c r="F1163" s="2168">
        <f>674+55</f>
        <v>729</v>
      </c>
      <c r="G1163" s="2168">
        <f>320+27</f>
        <v>347</v>
      </c>
      <c r="H1163" s="2169">
        <f>G1163/F1163*100</f>
        <v>47.599451303155007</v>
      </c>
    </row>
    <row r="1164" spans="1:8" ht="15" hidden="1" x14ac:dyDescent="0.2">
      <c r="A1164" s="2165">
        <v>6223</v>
      </c>
      <c r="B1164" s="2166">
        <v>5166</v>
      </c>
      <c r="C1164" s="2166">
        <v>41100880</v>
      </c>
      <c r="D1164" s="2167" t="s">
        <v>646</v>
      </c>
      <c r="E1164" s="2168"/>
      <c r="F1164" s="2168"/>
      <c r="G1164" s="2168"/>
      <c r="H1164" s="2169" t="e">
        <f t="shared" ref="H1164:H1170" si="123">G1164/F1164*100</f>
        <v>#DIV/0!</v>
      </c>
    </row>
    <row r="1165" spans="1:8" ht="15" hidden="1" x14ac:dyDescent="0.2">
      <c r="A1165" s="2165">
        <v>6223</v>
      </c>
      <c r="B1165" s="2166">
        <v>5166</v>
      </c>
      <c r="C1165" s="2166">
        <v>41100882</v>
      </c>
      <c r="D1165" s="2167" t="s">
        <v>646</v>
      </c>
      <c r="E1165" s="2168"/>
      <c r="F1165" s="2168"/>
      <c r="G1165" s="2168"/>
      <c r="H1165" s="2169" t="e">
        <f t="shared" si="123"/>
        <v>#DIV/0!</v>
      </c>
    </row>
    <row r="1166" spans="1:8" ht="15" hidden="1" x14ac:dyDescent="0.2">
      <c r="A1166" s="2165">
        <v>6223</v>
      </c>
      <c r="B1166" s="2166">
        <v>5166</v>
      </c>
      <c r="C1166" s="2166">
        <v>41500881</v>
      </c>
      <c r="D1166" s="2167" t="s">
        <v>646</v>
      </c>
      <c r="E1166" s="2168"/>
      <c r="F1166" s="2168"/>
      <c r="G1166" s="2168"/>
      <c r="H1166" s="2169" t="e">
        <f t="shared" si="123"/>
        <v>#DIV/0!</v>
      </c>
    </row>
    <row r="1167" spans="1:8" ht="15" hidden="1" x14ac:dyDescent="0.2">
      <c r="A1167" s="2165">
        <v>3636</v>
      </c>
      <c r="B1167" s="2166">
        <v>5167</v>
      </c>
      <c r="C1167" s="2166">
        <v>38100880</v>
      </c>
      <c r="D1167" s="2167" t="s">
        <v>937</v>
      </c>
      <c r="E1167" s="2168"/>
      <c r="F1167" s="2168"/>
      <c r="G1167" s="2168"/>
      <c r="H1167" s="2169" t="e">
        <f t="shared" si="123"/>
        <v>#DIV/0!</v>
      </c>
    </row>
    <row r="1168" spans="1:8" ht="15" hidden="1" x14ac:dyDescent="0.2">
      <c r="A1168" s="2165">
        <v>3636</v>
      </c>
      <c r="B1168" s="2166">
        <v>5167</v>
      </c>
      <c r="C1168" s="2166">
        <v>38500881</v>
      </c>
      <c r="D1168" s="2167" t="s">
        <v>937</v>
      </c>
      <c r="E1168" s="2168"/>
      <c r="F1168" s="2168"/>
      <c r="G1168" s="2168"/>
      <c r="H1168" s="2169" t="e">
        <f t="shared" si="123"/>
        <v>#DIV/0!</v>
      </c>
    </row>
    <row r="1169" spans="1:8" ht="15" hidden="1" x14ac:dyDescent="0.2">
      <c r="A1169" s="2165">
        <v>3636</v>
      </c>
      <c r="B1169" s="2166">
        <v>5169</v>
      </c>
      <c r="C1169" s="2166">
        <v>38100880</v>
      </c>
      <c r="D1169" s="2167" t="s">
        <v>892</v>
      </c>
      <c r="E1169" s="2168"/>
      <c r="F1169" s="2168"/>
      <c r="G1169" s="2168"/>
      <c r="H1169" s="2169" t="e">
        <f t="shared" si="123"/>
        <v>#DIV/0!</v>
      </c>
    </row>
    <row r="1170" spans="1:8" ht="15" hidden="1" x14ac:dyDescent="0.2">
      <c r="A1170" s="2165">
        <v>3636</v>
      </c>
      <c r="B1170" s="2166">
        <v>5169</v>
      </c>
      <c r="C1170" s="2166">
        <v>38500881</v>
      </c>
      <c r="D1170" s="2167" t="s">
        <v>892</v>
      </c>
      <c r="E1170" s="2168"/>
      <c r="F1170" s="2168"/>
      <c r="G1170" s="2168"/>
      <c r="H1170" s="2169" t="e">
        <f t="shared" si="123"/>
        <v>#DIV/0!</v>
      </c>
    </row>
    <row r="1171" spans="1:8" ht="15" hidden="1" x14ac:dyDescent="0.2">
      <c r="A1171" s="2165">
        <v>6223</v>
      </c>
      <c r="B1171" s="2166">
        <v>5173</v>
      </c>
      <c r="C1171" s="2170">
        <v>0</v>
      </c>
      <c r="D1171" s="2167" t="s">
        <v>1211</v>
      </c>
      <c r="E1171" s="2168"/>
      <c r="F1171" s="2168"/>
      <c r="G1171" s="2168"/>
      <c r="H1171" s="2169">
        <v>0</v>
      </c>
    </row>
    <row r="1172" spans="1:8" ht="15" hidden="1" x14ac:dyDescent="0.2">
      <c r="A1172" s="2165">
        <v>3636</v>
      </c>
      <c r="B1172" s="2166">
        <v>5173</v>
      </c>
      <c r="C1172" s="2166">
        <v>38500881</v>
      </c>
      <c r="D1172" s="2167" t="s">
        <v>1211</v>
      </c>
      <c r="E1172" s="2168">
        <v>0</v>
      </c>
      <c r="F1172" s="2168"/>
      <c r="G1172" s="2168"/>
      <c r="H1172" s="2169" t="e">
        <f t="shared" ref="H1172:H1178" si="124">G1172/F1172*100</f>
        <v>#DIV/0!</v>
      </c>
    </row>
    <row r="1173" spans="1:8" ht="15" hidden="1" x14ac:dyDescent="0.2">
      <c r="A1173" s="2165">
        <v>3636</v>
      </c>
      <c r="B1173" s="2166">
        <v>5175</v>
      </c>
      <c r="C1173" s="2166">
        <v>38100880</v>
      </c>
      <c r="D1173" s="2167" t="s">
        <v>707</v>
      </c>
      <c r="E1173" s="2168">
        <v>0</v>
      </c>
      <c r="F1173" s="2168"/>
      <c r="G1173" s="2168"/>
      <c r="H1173" s="2169" t="e">
        <f t="shared" si="124"/>
        <v>#DIV/0!</v>
      </c>
    </row>
    <row r="1174" spans="1:8" ht="15" hidden="1" x14ac:dyDescent="0.2">
      <c r="A1174" s="2165">
        <v>3636</v>
      </c>
      <c r="B1174" s="2166">
        <v>5175</v>
      </c>
      <c r="C1174" s="2166">
        <v>38500881</v>
      </c>
      <c r="D1174" s="2167" t="s">
        <v>707</v>
      </c>
      <c r="E1174" s="2168">
        <v>0</v>
      </c>
      <c r="F1174" s="2168"/>
      <c r="G1174" s="2168"/>
      <c r="H1174" s="2169" t="e">
        <f t="shared" si="124"/>
        <v>#DIV/0!</v>
      </c>
    </row>
    <row r="1175" spans="1:8" ht="15" hidden="1" x14ac:dyDescent="0.2">
      <c r="A1175" s="2165">
        <v>3636</v>
      </c>
      <c r="B1175" s="2166">
        <v>5176</v>
      </c>
      <c r="C1175" s="2166">
        <v>38100880</v>
      </c>
      <c r="D1175" s="2167" t="s">
        <v>1309</v>
      </c>
      <c r="E1175" s="2168">
        <v>0</v>
      </c>
      <c r="F1175" s="2168"/>
      <c r="G1175" s="2168"/>
      <c r="H1175" s="2169" t="e">
        <f t="shared" si="124"/>
        <v>#DIV/0!</v>
      </c>
    </row>
    <row r="1176" spans="1:8" ht="15" hidden="1" x14ac:dyDescent="0.2">
      <c r="A1176" s="2165">
        <v>3636</v>
      </c>
      <c r="B1176" s="2166">
        <v>5176</v>
      </c>
      <c r="C1176" s="2166">
        <v>38500881</v>
      </c>
      <c r="D1176" s="2167" t="s">
        <v>1309</v>
      </c>
      <c r="E1176" s="2168">
        <v>0</v>
      </c>
      <c r="F1176" s="2168"/>
      <c r="G1176" s="2168"/>
      <c r="H1176" s="2169" t="e">
        <f t="shared" si="124"/>
        <v>#DIV/0!</v>
      </c>
    </row>
    <row r="1177" spans="1:8" ht="30" x14ac:dyDescent="0.2">
      <c r="A1177" s="2165">
        <v>3636</v>
      </c>
      <c r="B1177" s="2360">
        <v>6356</v>
      </c>
      <c r="C1177" s="2361">
        <v>32133910</v>
      </c>
      <c r="D1177" s="2362" t="s">
        <v>1927</v>
      </c>
      <c r="E1177" s="2168">
        <v>0</v>
      </c>
      <c r="F1177" s="2168">
        <v>60</v>
      </c>
      <c r="G1177" s="2168">
        <v>0</v>
      </c>
      <c r="H1177" s="2169">
        <f t="shared" si="124"/>
        <v>0</v>
      </c>
    </row>
    <row r="1178" spans="1:8" ht="30.75" thickBot="1" x14ac:dyDescent="0.25">
      <c r="A1178" s="2165">
        <v>3636</v>
      </c>
      <c r="B1178" s="2360">
        <v>6356</v>
      </c>
      <c r="C1178" s="2361">
        <v>32533910</v>
      </c>
      <c r="D1178" s="2362" t="s">
        <v>1927</v>
      </c>
      <c r="E1178" s="2168">
        <v>0</v>
      </c>
      <c r="F1178" s="2168">
        <v>340</v>
      </c>
      <c r="G1178" s="2168">
        <v>0</v>
      </c>
      <c r="H1178" s="2171">
        <f t="shared" si="124"/>
        <v>0</v>
      </c>
    </row>
    <row r="1179" spans="1:8" ht="16.5" thickTop="1" thickBot="1" x14ac:dyDescent="0.3">
      <c r="A1179" s="2750" t="s">
        <v>802</v>
      </c>
      <c r="B1179" s="2751"/>
      <c r="C1179" s="2751"/>
      <c r="D1179" s="2751"/>
      <c r="E1179" s="1957">
        <f>SUM(E1162:E1178)</f>
        <v>0</v>
      </c>
      <c r="F1179" s="1957">
        <f>SUM(F1162:F1178)</f>
        <v>1258</v>
      </c>
      <c r="G1179" s="1957">
        <f>SUM(G1162:G1178)</f>
        <v>408</v>
      </c>
      <c r="H1179" s="1962">
        <v>0</v>
      </c>
    </row>
    <row r="1180" spans="1:8" ht="13.5" thickTop="1" x14ac:dyDescent="0.2"/>
    <row r="1181" spans="1:8" ht="12" customHeight="1" x14ac:dyDescent="0.25">
      <c r="A1181" s="2744" t="s">
        <v>1956</v>
      </c>
      <c r="B1181" s="2745"/>
      <c r="C1181" s="2745"/>
      <c r="D1181" s="2745"/>
      <c r="E1181" s="2745"/>
      <c r="F1181" s="2745"/>
      <c r="G1181" s="2745"/>
      <c r="H1181" s="2745"/>
    </row>
    <row r="1182" spans="1:8" ht="15.75" thickBot="1" x14ac:dyDescent="0.3">
      <c r="A1182" s="2132" t="s">
        <v>1823</v>
      </c>
      <c r="B1182" s="2146"/>
      <c r="C1182" s="2146"/>
      <c r="E1182" s="2147"/>
      <c r="F1182" s="2147"/>
      <c r="G1182" s="2147"/>
      <c r="H1182" s="2148" t="s">
        <v>173</v>
      </c>
    </row>
    <row r="1183" spans="1:8" ht="25.5" thickTop="1" thickBot="1" x14ac:dyDescent="0.25">
      <c r="A1183" s="1943" t="s">
        <v>174</v>
      </c>
      <c r="B1183" s="1944" t="s">
        <v>800</v>
      </c>
      <c r="C1183" s="1944" t="s">
        <v>397</v>
      </c>
      <c r="D1183" s="1945" t="s">
        <v>176</v>
      </c>
      <c r="E1183" s="1976" t="s">
        <v>669</v>
      </c>
      <c r="F1183" s="1976" t="s">
        <v>670</v>
      </c>
      <c r="G1183" s="1977" t="s">
        <v>923</v>
      </c>
      <c r="H1183" s="1978" t="s">
        <v>924</v>
      </c>
    </row>
    <row r="1184" spans="1:8" ht="14.25" thickTop="1" thickBot="1" x14ac:dyDescent="0.25">
      <c r="A1184" s="1740">
        <v>1</v>
      </c>
      <c r="B1184" s="1739">
        <v>2</v>
      </c>
      <c r="C1184" s="1739">
        <v>3</v>
      </c>
      <c r="D1184" s="1739">
        <v>4</v>
      </c>
      <c r="E1184" s="1738">
        <v>5</v>
      </c>
      <c r="F1184" s="1738">
        <v>6</v>
      </c>
      <c r="G1184" s="2028">
        <v>7</v>
      </c>
      <c r="H1184" s="2054" t="s">
        <v>61</v>
      </c>
    </row>
    <row r="1185" spans="1:8" ht="15.75" thickTop="1" x14ac:dyDescent="0.2">
      <c r="A1185" s="2165">
        <v>3299</v>
      </c>
      <c r="B1185" s="2166">
        <v>5011</v>
      </c>
      <c r="C1185" s="2170">
        <v>32133019</v>
      </c>
      <c r="D1185" s="2167" t="s">
        <v>219</v>
      </c>
      <c r="E1185" s="2168">
        <v>0</v>
      </c>
      <c r="F1185" s="2168">
        <f>150+42</f>
        <v>192</v>
      </c>
      <c r="G1185" s="2168">
        <f>69+21</f>
        <v>90</v>
      </c>
      <c r="H1185" s="2169">
        <f>G1185/F1185*100</f>
        <v>46.875</v>
      </c>
    </row>
    <row r="1186" spans="1:8" ht="15" x14ac:dyDescent="0.2">
      <c r="A1186" s="2165">
        <v>3299</v>
      </c>
      <c r="B1186" s="2166">
        <v>5011</v>
      </c>
      <c r="C1186" s="2170">
        <v>32533019</v>
      </c>
      <c r="D1186" s="2167" t="s">
        <v>219</v>
      </c>
      <c r="E1186" s="2168">
        <v>0</v>
      </c>
      <c r="F1186" s="2168">
        <f>849+237</f>
        <v>1086</v>
      </c>
      <c r="G1186" s="2168">
        <f>395+119</f>
        <v>514</v>
      </c>
      <c r="H1186" s="2169">
        <f>G1186/F1186*100</f>
        <v>47.329650092081032</v>
      </c>
    </row>
    <row r="1187" spans="1:8" ht="15" x14ac:dyDescent="0.2">
      <c r="A1187" s="2165">
        <v>3299</v>
      </c>
      <c r="B1187" s="2166">
        <v>5021</v>
      </c>
      <c r="C1187" s="2170">
        <v>32133019</v>
      </c>
      <c r="D1187" s="2167" t="s">
        <v>409</v>
      </c>
      <c r="E1187" s="2168">
        <v>0</v>
      </c>
      <c r="F1187" s="2168">
        <v>9</v>
      </c>
      <c r="G1187" s="2168">
        <v>3</v>
      </c>
      <c r="H1187" s="2169">
        <f t="shared" ref="H1187:H1195" si="125">G1187/F1187*100</f>
        <v>33.333333333333329</v>
      </c>
    </row>
    <row r="1188" spans="1:8" ht="15" x14ac:dyDescent="0.2">
      <c r="A1188" s="2165">
        <v>3299</v>
      </c>
      <c r="B1188" s="2166">
        <v>5021</v>
      </c>
      <c r="C1188" s="2170">
        <v>32533019</v>
      </c>
      <c r="D1188" s="2167" t="s">
        <v>409</v>
      </c>
      <c r="E1188" s="2168">
        <v>0</v>
      </c>
      <c r="F1188" s="2168">
        <v>53</v>
      </c>
      <c r="G1188" s="2168">
        <v>17</v>
      </c>
      <c r="H1188" s="2169">
        <f t="shared" si="125"/>
        <v>32.075471698113205</v>
      </c>
    </row>
    <row r="1189" spans="1:8" ht="30" x14ac:dyDescent="0.2">
      <c r="A1189" s="2165">
        <v>3299</v>
      </c>
      <c r="B1189" s="2166">
        <v>5031</v>
      </c>
      <c r="C1189" s="2170">
        <v>32133019</v>
      </c>
      <c r="D1189" s="2167" t="s">
        <v>1362</v>
      </c>
      <c r="E1189" s="2168">
        <v>0</v>
      </c>
      <c r="F1189" s="2168">
        <f>33+10</f>
        <v>43</v>
      </c>
      <c r="G1189" s="2168">
        <f>17+5</f>
        <v>22</v>
      </c>
      <c r="H1189" s="2169">
        <f t="shared" si="125"/>
        <v>51.162790697674424</v>
      </c>
    </row>
    <row r="1190" spans="1:8" ht="30" x14ac:dyDescent="0.2">
      <c r="A1190" s="2165">
        <v>3299</v>
      </c>
      <c r="B1190" s="2166">
        <v>5031</v>
      </c>
      <c r="C1190" s="2170">
        <v>32533019</v>
      </c>
      <c r="D1190" s="2167" t="s">
        <v>1362</v>
      </c>
      <c r="E1190" s="2168">
        <v>0</v>
      </c>
      <c r="F1190" s="2168">
        <f>187+59</f>
        <v>246</v>
      </c>
      <c r="G1190" s="2168">
        <f>99+30</f>
        <v>129</v>
      </c>
      <c r="H1190" s="2169">
        <f t="shared" si="125"/>
        <v>52.439024390243901</v>
      </c>
    </row>
    <row r="1191" spans="1:8" ht="30" x14ac:dyDescent="0.2">
      <c r="A1191" s="2165">
        <v>3299</v>
      </c>
      <c r="B1191" s="2166">
        <v>5032</v>
      </c>
      <c r="C1191" s="2170">
        <v>32133019</v>
      </c>
      <c r="D1191" s="2167" t="s">
        <v>1236</v>
      </c>
      <c r="E1191" s="2168">
        <v>0</v>
      </c>
      <c r="F1191" s="2168">
        <f>12+4</f>
        <v>16</v>
      </c>
      <c r="G1191" s="2168">
        <f>6+2</f>
        <v>8</v>
      </c>
      <c r="H1191" s="2169">
        <f t="shared" si="125"/>
        <v>50</v>
      </c>
    </row>
    <row r="1192" spans="1:8" ht="30" x14ac:dyDescent="0.2">
      <c r="A1192" s="2165">
        <v>3299</v>
      </c>
      <c r="B1192" s="2166">
        <v>5032</v>
      </c>
      <c r="C1192" s="2170">
        <v>32533019</v>
      </c>
      <c r="D1192" s="2167" t="s">
        <v>1236</v>
      </c>
      <c r="E1192" s="2168">
        <v>0</v>
      </c>
      <c r="F1192" s="2168">
        <f>67+21</f>
        <v>88</v>
      </c>
      <c r="G1192" s="2168">
        <f>36+11</f>
        <v>47</v>
      </c>
      <c r="H1192" s="2169">
        <f t="shared" si="125"/>
        <v>53.409090909090907</v>
      </c>
    </row>
    <row r="1193" spans="1:8" ht="15" x14ac:dyDescent="0.2">
      <c r="A1193" s="2165">
        <v>3299</v>
      </c>
      <c r="B1193" s="2166">
        <v>5038</v>
      </c>
      <c r="C1193" s="2170">
        <v>32133019</v>
      </c>
      <c r="D1193" s="2167" t="s">
        <v>1957</v>
      </c>
      <c r="E1193" s="2168">
        <v>0</v>
      </c>
      <c r="F1193" s="2168">
        <v>0</v>
      </c>
      <c r="G1193" s="2168">
        <v>0</v>
      </c>
      <c r="H1193" s="2169">
        <v>0</v>
      </c>
    </row>
    <row r="1194" spans="1:8" ht="15" x14ac:dyDescent="0.2">
      <c r="A1194" s="2165">
        <v>3299</v>
      </c>
      <c r="B1194" s="2166">
        <v>5038</v>
      </c>
      <c r="C1194" s="2170">
        <v>32533019</v>
      </c>
      <c r="D1194" s="2167" t="s">
        <v>1957</v>
      </c>
      <c r="E1194" s="2168">
        <v>0</v>
      </c>
      <c r="F1194" s="2168">
        <v>2</v>
      </c>
      <c r="G1194" s="2168">
        <v>0</v>
      </c>
      <c r="H1194" s="2169">
        <f t="shared" si="125"/>
        <v>0</v>
      </c>
    </row>
    <row r="1195" spans="1:8" ht="15" x14ac:dyDescent="0.2">
      <c r="A1195" s="2165">
        <v>3299</v>
      </c>
      <c r="B1195" s="2166">
        <v>5137</v>
      </c>
      <c r="C1195" s="2170">
        <v>32133019</v>
      </c>
      <c r="D1195" s="2167" t="s">
        <v>167</v>
      </c>
      <c r="E1195" s="2168">
        <v>0</v>
      </c>
      <c r="F1195" s="2168">
        <f>8+1</f>
        <v>9</v>
      </c>
      <c r="G1195" s="2168">
        <v>0</v>
      </c>
      <c r="H1195" s="2169">
        <f t="shared" si="125"/>
        <v>0</v>
      </c>
    </row>
    <row r="1196" spans="1:8" ht="15" x14ac:dyDescent="0.2">
      <c r="A1196" s="2165">
        <v>3299</v>
      </c>
      <c r="B1196" s="2166">
        <v>5137</v>
      </c>
      <c r="C1196" s="2170">
        <v>32533019</v>
      </c>
      <c r="D1196" s="2167" t="s">
        <v>167</v>
      </c>
      <c r="E1196" s="2168">
        <v>0</v>
      </c>
      <c r="F1196" s="2168">
        <f>44+8</f>
        <v>52</v>
      </c>
      <c r="G1196" s="2168">
        <v>0</v>
      </c>
      <c r="H1196" s="2169">
        <v>0</v>
      </c>
    </row>
    <row r="1197" spans="1:8" ht="15" x14ac:dyDescent="0.2">
      <c r="A1197" s="2165">
        <v>3299</v>
      </c>
      <c r="B1197" s="2166">
        <v>5139</v>
      </c>
      <c r="C1197" s="2170">
        <v>32133019</v>
      </c>
      <c r="D1197" s="2167" t="s">
        <v>662</v>
      </c>
      <c r="E1197" s="2168">
        <v>0</v>
      </c>
      <c r="F1197" s="2168">
        <v>3</v>
      </c>
      <c r="G1197" s="2168">
        <v>0</v>
      </c>
      <c r="H1197" s="2169">
        <f t="shared" ref="H1197:H1208" si="126">G1197/F1197*100</f>
        <v>0</v>
      </c>
    </row>
    <row r="1198" spans="1:8" ht="15" x14ac:dyDescent="0.2">
      <c r="A1198" s="2165">
        <v>3299</v>
      </c>
      <c r="B1198" s="2166">
        <v>5139</v>
      </c>
      <c r="C1198" s="2170">
        <v>32533019</v>
      </c>
      <c r="D1198" s="2167" t="s">
        <v>662</v>
      </c>
      <c r="E1198" s="2168">
        <v>0</v>
      </c>
      <c r="F1198" s="2168">
        <v>19</v>
      </c>
      <c r="G1198" s="2168">
        <v>0</v>
      </c>
      <c r="H1198" s="2169">
        <f t="shared" si="126"/>
        <v>0</v>
      </c>
    </row>
    <row r="1199" spans="1:8" ht="15" x14ac:dyDescent="0.2">
      <c r="A1199" s="2165">
        <v>3299</v>
      </c>
      <c r="B1199" s="2166">
        <v>5163</v>
      </c>
      <c r="C1199" s="2170">
        <v>32133019</v>
      </c>
      <c r="D1199" s="2167" t="s">
        <v>934</v>
      </c>
      <c r="E1199" s="2168">
        <v>0</v>
      </c>
      <c r="F1199" s="2168">
        <v>0</v>
      </c>
      <c r="G1199" s="2168">
        <v>0</v>
      </c>
      <c r="H1199" s="2169">
        <v>0</v>
      </c>
    </row>
    <row r="1200" spans="1:8" ht="15" x14ac:dyDescent="0.2">
      <c r="A1200" s="2165">
        <v>3299</v>
      </c>
      <c r="B1200" s="2166">
        <v>5163</v>
      </c>
      <c r="C1200" s="2170">
        <v>32533019</v>
      </c>
      <c r="D1200" s="2167" t="s">
        <v>934</v>
      </c>
      <c r="E1200" s="2168">
        <v>0</v>
      </c>
      <c r="F1200" s="2168">
        <v>2</v>
      </c>
      <c r="G1200" s="2168">
        <v>0</v>
      </c>
      <c r="H1200" s="2169">
        <f t="shared" si="126"/>
        <v>0</v>
      </c>
    </row>
    <row r="1201" spans="1:9" ht="15" x14ac:dyDescent="0.2">
      <c r="A1201" s="2165">
        <v>3299</v>
      </c>
      <c r="B1201" s="2166">
        <v>5169</v>
      </c>
      <c r="C1201" s="2363">
        <v>32133019</v>
      </c>
      <c r="D1201" s="2167" t="s">
        <v>892</v>
      </c>
      <c r="E1201" s="2168">
        <v>0</v>
      </c>
      <c r="F1201" s="2168">
        <v>37</v>
      </c>
      <c r="G1201" s="2168">
        <v>0</v>
      </c>
      <c r="H1201" s="2169">
        <f t="shared" si="126"/>
        <v>0</v>
      </c>
    </row>
    <row r="1202" spans="1:9" ht="15" x14ac:dyDescent="0.2">
      <c r="A1202" s="2165">
        <v>3299</v>
      </c>
      <c r="B1202" s="2166">
        <v>5169</v>
      </c>
      <c r="C1202" s="2363">
        <v>32533019</v>
      </c>
      <c r="D1202" s="2167" t="s">
        <v>892</v>
      </c>
      <c r="E1202" s="2168">
        <v>0</v>
      </c>
      <c r="F1202" s="2168">
        <v>211</v>
      </c>
      <c r="G1202" s="2168">
        <v>0</v>
      </c>
      <c r="H1202" s="2169">
        <f t="shared" si="126"/>
        <v>0</v>
      </c>
    </row>
    <row r="1203" spans="1:9" ht="15" x14ac:dyDescent="0.2">
      <c r="A1203" s="2165">
        <v>3299</v>
      </c>
      <c r="B1203" s="2166">
        <v>5172</v>
      </c>
      <c r="C1203" s="2363">
        <v>32133019</v>
      </c>
      <c r="D1203" s="2167" t="s">
        <v>939</v>
      </c>
      <c r="E1203" s="2168">
        <v>0</v>
      </c>
      <c r="F1203" s="2168">
        <v>16</v>
      </c>
      <c r="G1203" s="2168">
        <v>0</v>
      </c>
      <c r="H1203" s="2169">
        <f t="shared" si="126"/>
        <v>0</v>
      </c>
    </row>
    <row r="1204" spans="1:9" ht="15" x14ac:dyDescent="0.2">
      <c r="A1204" s="2165">
        <v>3299</v>
      </c>
      <c r="B1204" s="2166">
        <v>5172</v>
      </c>
      <c r="C1204" s="2363">
        <v>32533019</v>
      </c>
      <c r="D1204" s="2167" t="s">
        <v>939</v>
      </c>
      <c r="E1204" s="2168">
        <v>0</v>
      </c>
      <c r="F1204" s="2168">
        <v>89</v>
      </c>
      <c r="G1204" s="2168">
        <v>0</v>
      </c>
      <c r="H1204" s="2169">
        <f t="shared" si="126"/>
        <v>0</v>
      </c>
    </row>
    <row r="1205" spans="1:9" ht="15" x14ac:dyDescent="0.2">
      <c r="A1205" s="2165">
        <v>3299</v>
      </c>
      <c r="B1205" s="2166">
        <v>5173</v>
      </c>
      <c r="C1205" s="2170">
        <v>32133019</v>
      </c>
      <c r="D1205" s="2167" t="s">
        <v>1211</v>
      </c>
      <c r="E1205" s="2168">
        <v>0</v>
      </c>
      <c r="F1205" s="2168">
        <v>3</v>
      </c>
      <c r="G1205" s="2168">
        <v>1</v>
      </c>
      <c r="H1205" s="2169">
        <f t="shared" si="126"/>
        <v>33.333333333333329</v>
      </c>
    </row>
    <row r="1206" spans="1:9" ht="15" x14ac:dyDescent="0.2">
      <c r="A1206" s="2165">
        <v>3299</v>
      </c>
      <c r="B1206" s="2166">
        <v>5173</v>
      </c>
      <c r="C1206" s="2170">
        <v>32533019</v>
      </c>
      <c r="D1206" s="2167" t="s">
        <v>1211</v>
      </c>
      <c r="E1206" s="2168">
        <v>0</v>
      </c>
      <c r="F1206" s="2168">
        <v>17</v>
      </c>
      <c r="G1206" s="2168">
        <v>5</v>
      </c>
      <c r="H1206" s="2169">
        <f t="shared" si="126"/>
        <v>29.411764705882355</v>
      </c>
    </row>
    <row r="1207" spans="1:9" ht="15" x14ac:dyDescent="0.2">
      <c r="A1207" s="2165">
        <v>3299</v>
      </c>
      <c r="B1207" s="2166">
        <v>5901</v>
      </c>
      <c r="C1207" s="2170">
        <v>32133019</v>
      </c>
      <c r="D1207" s="2167" t="s">
        <v>639</v>
      </c>
      <c r="E1207" s="2168">
        <v>0</v>
      </c>
      <c r="F1207" s="2168">
        <f>1+0</f>
        <v>1</v>
      </c>
      <c r="G1207" s="2168">
        <v>0</v>
      </c>
      <c r="H1207" s="2169">
        <v>0</v>
      </c>
    </row>
    <row r="1208" spans="1:9" ht="15.75" thickBot="1" x14ac:dyDescent="0.25">
      <c r="A1208" s="2165">
        <v>3299</v>
      </c>
      <c r="B1208" s="2166">
        <v>5901</v>
      </c>
      <c r="C1208" s="2170">
        <v>32533019</v>
      </c>
      <c r="D1208" s="2167" t="s">
        <v>639</v>
      </c>
      <c r="E1208" s="2168">
        <v>0</v>
      </c>
      <c r="F1208" s="2168">
        <f>4+1</f>
        <v>5</v>
      </c>
      <c r="G1208" s="2168">
        <v>0</v>
      </c>
      <c r="H1208" s="2171">
        <f t="shared" si="126"/>
        <v>0</v>
      </c>
    </row>
    <row r="1209" spans="1:9" ht="16.5" thickTop="1" thickBot="1" x14ac:dyDescent="0.3">
      <c r="A1209" s="2750" t="s">
        <v>802</v>
      </c>
      <c r="B1209" s="2751"/>
      <c r="C1209" s="2751"/>
      <c r="D1209" s="2751"/>
      <c r="E1209" s="1957">
        <f>SUM(E1185:E1208)</f>
        <v>0</v>
      </c>
      <c r="F1209" s="1957">
        <f>SUM(F1185:F1208)</f>
        <v>2199</v>
      </c>
      <c r="G1209" s="1957">
        <f>SUM(G1185:G1208)</f>
        <v>836</v>
      </c>
      <c r="H1209" s="1962">
        <v>0</v>
      </c>
    </row>
    <row r="1210" spans="1:9" ht="13.5" thickTop="1" x14ac:dyDescent="0.2"/>
    <row r="1211" spans="1:9" hidden="1" x14ac:dyDescent="0.2"/>
    <row r="1212" spans="1:9" hidden="1" x14ac:dyDescent="0.2"/>
    <row r="1213" spans="1:9" hidden="1" x14ac:dyDescent="0.2"/>
    <row r="1215" spans="1:9" ht="15.75" thickBot="1" x14ac:dyDescent="0.3">
      <c r="A1215" s="2132" t="s">
        <v>805</v>
      </c>
      <c r="B1215" s="2146"/>
      <c r="C1215" s="2146"/>
      <c r="D1215" s="2146"/>
      <c r="F1215" s="2147"/>
      <c r="G1215" s="2147"/>
      <c r="H1215" s="2148" t="s">
        <v>173</v>
      </c>
      <c r="I1215" s="2219"/>
    </row>
    <row r="1216" spans="1:9" ht="25.5" thickTop="1" thickBot="1" x14ac:dyDescent="0.25">
      <c r="A1216" s="2149" t="s">
        <v>174</v>
      </c>
      <c r="B1216" s="2150" t="s">
        <v>800</v>
      </c>
      <c r="C1216" s="2150" t="s">
        <v>397</v>
      </c>
      <c r="D1216" s="2151" t="s">
        <v>176</v>
      </c>
      <c r="E1216" s="2152" t="s">
        <v>669</v>
      </c>
      <c r="F1216" s="2152" t="s">
        <v>670</v>
      </c>
      <c r="G1216" s="2153" t="s">
        <v>923</v>
      </c>
      <c r="H1216" s="2154" t="s">
        <v>924</v>
      </c>
    </row>
    <row r="1217" spans="1:12" ht="14.25" thickTop="1" thickBot="1" x14ac:dyDescent="0.25">
      <c r="A1217" s="2155">
        <v>1</v>
      </c>
      <c r="B1217" s="2156">
        <v>2</v>
      </c>
      <c r="C1217" s="2156">
        <v>3</v>
      </c>
      <c r="D1217" s="2156">
        <v>5</v>
      </c>
      <c r="E1217" s="2157">
        <v>6</v>
      </c>
      <c r="F1217" s="2157">
        <v>7</v>
      </c>
      <c r="G1217" s="2158">
        <v>8</v>
      </c>
      <c r="H1217" s="2174" t="s">
        <v>801</v>
      </c>
    </row>
    <row r="1218" spans="1:12" s="2141" customFormat="1" ht="15.75" hidden="1" customHeight="1" thickTop="1" x14ac:dyDescent="0.25">
      <c r="A1218" s="2216">
        <v>6409</v>
      </c>
      <c r="B1218" s="2187">
        <v>5909</v>
      </c>
      <c r="C1218" s="2284">
        <v>0</v>
      </c>
      <c r="D1218" s="2188" t="s">
        <v>1706</v>
      </c>
      <c r="E1218" s="2163">
        <v>0</v>
      </c>
      <c r="F1218" s="2163">
        <v>0</v>
      </c>
      <c r="G1218" s="2175">
        <v>0</v>
      </c>
      <c r="H1218" s="2164">
        <v>0</v>
      </c>
    </row>
    <row r="1219" spans="1:12" s="2141" customFormat="1" ht="16.5" thickTop="1" thickBot="1" x14ac:dyDescent="0.25">
      <c r="A1219" s="2165">
        <v>6330</v>
      </c>
      <c r="B1219" s="2166">
        <v>5345</v>
      </c>
      <c r="C1219" s="2170">
        <v>0</v>
      </c>
      <c r="D1219" s="2167" t="s">
        <v>806</v>
      </c>
      <c r="E1219" s="2168">
        <v>0</v>
      </c>
      <c r="F1219" s="2168">
        <v>0</v>
      </c>
      <c r="G1219" s="2176">
        <v>33900</v>
      </c>
      <c r="H1219" s="2169">
        <v>0</v>
      </c>
    </row>
    <row r="1220" spans="1:12" ht="16.5" thickTop="1" thickBot="1" x14ac:dyDescent="0.3">
      <c r="A1220" s="2177" t="s">
        <v>802</v>
      </c>
      <c r="B1220" s="2178"/>
      <c r="C1220" s="2178"/>
      <c r="D1220" s="2179"/>
      <c r="E1220" s="2172">
        <f>SUM(E1218:E1219)</f>
        <v>0</v>
      </c>
      <c r="F1220" s="2172">
        <f>SUM(F1218:F1219)</f>
        <v>0</v>
      </c>
      <c r="G1220" s="2172">
        <f>SUM(G1218:G1219)</f>
        <v>33900</v>
      </c>
      <c r="H1220" s="2173">
        <v>0</v>
      </c>
    </row>
    <row r="1221" spans="1:12" ht="13.5" thickTop="1" x14ac:dyDescent="0.2"/>
    <row r="1224" spans="1:12" ht="16.5" x14ac:dyDescent="0.25">
      <c r="A1224" s="2193" t="s">
        <v>487</v>
      </c>
      <c r="B1224" s="2194"/>
      <c r="C1224" s="2195"/>
      <c r="D1224" s="2196"/>
      <c r="E1224" s="2197">
        <f>SUM(E1225:E1227)</f>
        <v>0</v>
      </c>
      <c r="F1224" s="2197">
        <f>F1225+F1226+F1227+F1228</f>
        <v>33899</v>
      </c>
      <c r="G1224" s="2197">
        <f>G1225+G1226+G1227+G1228</f>
        <v>50522</v>
      </c>
      <c r="H1224" s="2198">
        <v>61.717249327698809</v>
      </c>
      <c r="J1224" s="2199">
        <f>J1225+J1226+J1227</f>
        <v>0</v>
      </c>
      <c r="K1224" s="2199">
        <f>K1225+K1226+K1227</f>
        <v>33899532</v>
      </c>
      <c r="L1224" s="2199">
        <f>L1225+L1226+L1227</f>
        <v>50521859.560000002</v>
      </c>
    </row>
    <row r="1225" spans="1:12" ht="15" x14ac:dyDescent="0.2">
      <c r="A1225" s="2200" t="s">
        <v>277</v>
      </c>
      <c r="B1225" s="2201"/>
      <c r="C1225" s="2202"/>
      <c r="D1225" s="2203"/>
      <c r="E1225" s="2204">
        <f>E15+E27+E51+E63+E87+E99+E123+E135+E159+E171+E195+E207+E231+E243+E267+E279+E303+E315+E339+E351+E375+E387+E411+E423+E447+E459+E483+E495+E519+E531+E555+E567+E591+E603+E627+E639+E663+E675+E699+E711+E735+E747+E771+E783+E807+E819+E843+E855+E879+E891+E915+E927+E951+E963+E987+E999+E1023+E1035+E1059+E1071+E1093+E1094+E1116+E1117+E1139+E1140+E1162+E1163+E1185+E1186+E1187+E1188+E1189+E1190+E1191+E1192+E1193+E1194+E1195+E1196+E1197+E1198+E1199+E1200+E1201+E1202+E1203+E1204+E1205+E1206+E1207+E1208</f>
        <v>0</v>
      </c>
      <c r="F1225" s="2204">
        <f>F15+F27+F51+F63+F87+F99+F123+F135+F159+F171+F195+F207+F231+F243+F267+F279+F303+F315+F339+F351+F375+F387+F411+F423+F447+F459+F483+F495+F519+F531+F555+F567+F591+F603+F627+F639+F663+F675+F699+F711+F735+F747+F771+F783+F807+F819+F843+F855+F879+F891+F915+F927+F951+F963+F987+F999+F1023+F1035+F1059+F1071+F1093+F1094+F1116+F1117+F1139+F1140+F1162+F1163+F1185+F1186+F1187+F1188+F1189+F1190+F1191+F1192+F1193+F1194+F1195+F1196+F1197+F1198+F1199+F1200+F1201+F1202+F1203+F1204+F1205+F1206+F1207+F1208</f>
        <v>25854</v>
      </c>
      <c r="G1225" s="2204">
        <f>G15+G27+G51+G63+G87+G99+G123+G135+G159+G171+G195+G207+G231+G243+G267+G279+G303+G315+G339+G351+G375+G387+G411+G423+G447+G459+G483+G495+G519+G531+G555+G567+G591+G603+G627+G639+G663+G675+G699+G711+G735+G747+G771+G783+G807+G819+G843+G855+G879+G891+G915+G927+G951+G963+G987+G999+G1023+G1035+G1059+G1071+G1093+G1094+G1116+G1117+G1139+G1140+G1162+G1163+G1185+G1186+G1187+G1188+G1189+G1190+G1191+G1192+G1193+G1194+G1195+G1196+G1197+G1198+G1199+G1200+G1201+G1202+G1203+G1204+G1205+G1206+G1207+G1208</f>
        <v>15990</v>
      </c>
      <c r="H1225" s="2205">
        <v>61.717249327698809</v>
      </c>
      <c r="J1225" s="2206">
        <v>0</v>
      </c>
      <c r="K1225" s="2206">
        <v>25854322</v>
      </c>
      <c r="L1225" s="2206">
        <v>15990247.859999999</v>
      </c>
    </row>
    <row r="1226" spans="1:12" ht="15" x14ac:dyDescent="0.2">
      <c r="A1226" s="2200" t="s">
        <v>278</v>
      </c>
      <c r="B1226" s="2207"/>
      <c r="C1226" s="2202"/>
      <c r="D1226" s="2208"/>
      <c r="E1226" s="2204">
        <f>E185+E186+E221+E222+E257+E258+E293+E294+E401+E402+E437+E438+E473+E474+E509+E510+E545+E546+E653+E654+E761+E762+E797+E798+E833+E834+E905+E906+E977+E978+E1013+E1014+E1049+E1050+E1108+E1109+E1131+E1132+E1177+E1178</f>
        <v>0</v>
      </c>
      <c r="F1226" s="2204">
        <f>F185+F186+F221+F222+F257+F258+F293+F294+F401+F402+F437+F438+F473+F474+F509+F510+F545+F546+F653+F654+F761+F762+F797+F798+F833+F834+F905+F906+F977+F978+F1013+F1014+F1049+F1050+F1108+F1109+F1131+F1132+F1177+F1178</f>
        <v>8045</v>
      </c>
      <c r="G1226" s="2204">
        <f>G185+G186+G221+G222+G257+G258+G293+G294+G401+G402+G437+G438+G473+G474+G509+G510+G545+G546+G653+G654+G761+G762+G797+G798+G833+G834+G905+G906+G977+G978+G1013+G1014+G1049+G1050+G1108+G1109+G1131+G1132+G1177+G1178</f>
        <v>632</v>
      </c>
      <c r="H1226" s="2205">
        <v>0</v>
      </c>
      <c r="J1226" s="2206">
        <v>0</v>
      </c>
      <c r="K1226" s="2206">
        <v>8045210</v>
      </c>
      <c r="L1226" s="2206">
        <v>632079.69999999995</v>
      </c>
    </row>
    <row r="1227" spans="1:12" ht="15" x14ac:dyDescent="0.2">
      <c r="A1227" s="2200" t="s">
        <v>488</v>
      </c>
      <c r="B1227" s="2207"/>
      <c r="C1227" s="2202"/>
      <c r="D1227" s="2208"/>
      <c r="E1227" s="2204">
        <f>E1219</f>
        <v>0</v>
      </c>
      <c r="F1227" s="2204">
        <f>F1219</f>
        <v>0</v>
      </c>
      <c r="G1227" s="2204">
        <f>G1219</f>
        <v>33900</v>
      </c>
      <c r="H1227" s="2205">
        <v>0</v>
      </c>
      <c r="J1227" s="2206">
        <v>0</v>
      </c>
      <c r="K1227" s="2206">
        <v>0</v>
      </c>
      <c r="L1227" s="2206">
        <v>33899532</v>
      </c>
    </row>
    <row r="1228" spans="1:12" ht="16.5" customHeight="1" x14ac:dyDescent="0.2">
      <c r="A1228" s="2200"/>
      <c r="B1228" s="2207"/>
      <c r="C1228" s="2202"/>
      <c r="D1228" s="2208"/>
      <c r="E1228" s="2204"/>
      <c r="F1228" s="2204"/>
      <c r="G1228" s="2204"/>
      <c r="H1228" s="2209"/>
    </row>
    <row r="1229" spans="1:12" ht="57.75" customHeight="1" thickBot="1" x14ac:dyDescent="0.4">
      <c r="A1229" s="2763" t="s">
        <v>1956</v>
      </c>
      <c r="B1229" s="2763"/>
      <c r="C1229" s="2763"/>
      <c r="D1229" s="2763"/>
      <c r="E1229" s="2210">
        <f>SUM(E1224)</f>
        <v>0</v>
      </c>
      <c r="F1229" s="2210">
        <f>SUM(F1224)</f>
        <v>33899</v>
      </c>
      <c r="G1229" s="2210">
        <f>SUM(G1224)</f>
        <v>50522</v>
      </c>
      <c r="H1229" s="2211">
        <f>G1229/F1229*100</f>
        <v>149.03684474468272</v>
      </c>
    </row>
    <row r="1230" spans="1:12" ht="13.5" thickTop="1" x14ac:dyDescent="0.2"/>
  </sheetData>
  <mergeCells count="71">
    <mergeCell ref="A115:D115"/>
    <mergeCell ref="A9:H9"/>
    <mergeCell ref="A43:D43"/>
    <mergeCell ref="A45:H45"/>
    <mergeCell ref="A79:D79"/>
    <mergeCell ref="A81:H81"/>
    <mergeCell ref="A331:D331"/>
    <mergeCell ref="A117:H117"/>
    <mergeCell ref="A151:D151"/>
    <mergeCell ref="A153:H153"/>
    <mergeCell ref="A187:D187"/>
    <mergeCell ref="A189:H189"/>
    <mergeCell ref="A223:D223"/>
    <mergeCell ref="A225:H225"/>
    <mergeCell ref="A259:D259"/>
    <mergeCell ref="A261:H261"/>
    <mergeCell ref="A295:D295"/>
    <mergeCell ref="A297:H297"/>
    <mergeCell ref="A547:D547"/>
    <mergeCell ref="A333:H333"/>
    <mergeCell ref="A367:D367"/>
    <mergeCell ref="A369:H369"/>
    <mergeCell ref="A403:D403"/>
    <mergeCell ref="A405:H405"/>
    <mergeCell ref="A439:D439"/>
    <mergeCell ref="A441:H441"/>
    <mergeCell ref="A475:D475"/>
    <mergeCell ref="A477:H477"/>
    <mergeCell ref="A511:D511"/>
    <mergeCell ref="A513:H513"/>
    <mergeCell ref="A763:D763"/>
    <mergeCell ref="A549:H549"/>
    <mergeCell ref="A583:D583"/>
    <mergeCell ref="A585:H585"/>
    <mergeCell ref="A619:D619"/>
    <mergeCell ref="A621:H621"/>
    <mergeCell ref="A655:D655"/>
    <mergeCell ref="A657:H657"/>
    <mergeCell ref="A691:D691"/>
    <mergeCell ref="A693:H693"/>
    <mergeCell ref="A727:D727"/>
    <mergeCell ref="A729:H729"/>
    <mergeCell ref="A979:D979"/>
    <mergeCell ref="A765:H765"/>
    <mergeCell ref="A799:D799"/>
    <mergeCell ref="A801:H801"/>
    <mergeCell ref="A835:D835"/>
    <mergeCell ref="A837:H837"/>
    <mergeCell ref="A871:D871"/>
    <mergeCell ref="A873:H873"/>
    <mergeCell ref="A907:D907"/>
    <mergeCell ref="A909:H909"/>
    <mergeCell ref="A943:D943"/>
    <mergeCell ref="A945:H945"/>
    <mergeCell ref="A1156:D1156"/>
    <mergeCell ref="A981:H981"/>
    <mergeCell ref="A1015:D1015"/>
    <mergeCell ref="A1017:H1017"/>
    <mergeCell ref="A1051:D1051"/>
    <mergeCell ref="A1053:H1053"/>
    <mergeCell ref="A1087:D1087"/>
    <mergeCell ref="A1089:H1089"/>
    <mergeCell ref="A1110:D1110"/>
    <mergeCell ref="A1112:H1112"/>
    <mergeCell ref="A1133:D1133"/>
    <mergeCell ref="A1135:H1135"/>
    <mergeCell ref="A1158:H1158"/>
    <mergeCell ref="A1179:D1179"/>
    <mergeCell ref="A1181:H1181"/>
    <mergeCell ref="A1209:D1209"/>
    <mergeCell ref="A1229:D1229"/>
  </mergeCells>
  <pageMargins left="0.70866141732283472" right="0.70866141732283472" top="0.78740157480314965" bottom="0.78740157480314965" header="0.31496062992125984" footer="0.31496062992125984"/>
  <pageSetup paperSize="9" scale="65" firstPageNumber="170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rowBreaks count="6" manualBreakCount="6">
    <brk id="188" max="7" man="1"/>
    <brk id="368" max="7" man="1"/>
    <brk id="547" max="7" man="1"/>
    <brk id="763" max="7" man="1"/>
    <brk id="943" max="7" man="1"/>
    <brk id="1110" max="7" man="1"/>
  </rowBreaks>
  <colBreaks count="1" manualBreakCount="1">
    <brk id="8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2"/>
  </sheetPr>
  <dimension ref="A1:H35"/>
  <sheetViews>
    <sheetView showGridLines="0" topLeftCell="A13" workbookViewId="0">
      <selection activeCell="J25" sqref="J25"/>
    </sheetView>
  </sheetViews>
  <sheetFormatPr defaultRowHeight="12.75" x14ac:dyDescent="0.2"/>
  <cols>
    <col min="1" max="1" width="4.7109375" style="318" customWidth="1"/>
    <col min="2" max="2" width="6.7109375" style="318" customWidth="1"/>
    <col min="3" max="3" width="9" style="318" bestFit="1" customWidth="1"/>
    <col min="4" max="4" width="46.42578125" customWidth="1"/>
    <col min="5" max="5" width="13.85546875" style="327" customWidth="1"/>
    <col min="6" max="6" width="16.85546875" style="327" customWidth="1"/>
    <col min="7" max="7" width="13.85546875" style="327" customWidth="1"/>
    <col min="8" max="8" width="7" customWidth="1"/>
  </cols>
  <sheetData>
    <row r="1" spans="1:8" ht="18.75" thickBot="1" x14ac:dyDescent="0.3">
      <c r="A1" s="410" t="s">
        <v>371</v>
      </c>
      <c r="B1" s="411"/>
      <c r="C1" s="411"/>
      <c r="D1" s="411"/>
      <c r="E1" s="411"/>
      <c r="F1" s="311"/>
      <c r="G1" s="311"/>
    </row>
    <row r="2" spans="1:8" ht="18" x14ac:dyDescent="0.25">
      <c r="B2" s="311"/>
      <c r="C2" s="311"/>
      <c r="D2" s="311"/>
      <c r="E2" s="311"/>
      <c r="F2" s="311"/>
      <c r="G2" s="311"/>
      <c r="H2" s="326" t="s">
        <v>1284</v>
      </c>
    </row>
    <row r="3" spans="1:8" s="120" customFormat="1" ht="16.5" customHeight="1" x14ac:dyDescent="0.25">
      <c r="A3" s="67" t="s">
        <v>387</v>
      </c>
      <c r="B3" s="28"/>
      <c r="C3" s="143" t="s">
        <v>42</v>
      </c>
      <c r="D3" s="392"/>
      <c r="F3" s="402"/>
    </row>
    <row r="4" spans="1:8" s="120" customFormat="1" ht="12.75" customHeight="1" x14ac:dyDescent="0.25">
      <c r="A4" s="6"/>
      <c r="B4" s="28"/>
      <c r="C4" s="143" t="s">
        <v>43</v>
      </c>
      <c r="D4" s="392"/>
      <c r="F4" s="402"/>
    </row>
    <row r="5" spans="1:8" ht="18" x14ac:dyDescent="0.25">
      <c r="A5" s="353" t="s">
        <v>1283</v>
      </c>
      <c r="B5" s="311"/>
      <c r="C5" s="311"/>
      <c r="D5" s="311"/>
      <c r="E5" s="311"/>
      <c r="F5" s="311"/>
      <c r="G5" s="311"/>
      <c r="H5" s="326"/>
    </row>
    <row r="6" spans="1:8" ht="18" x14ac:dyDescent="0.25">
      <c r="A6" s="325" t="s">
        <v>370</v>
      </c>
      <c r="B6" s="311"/>
      <c r="C6" s="311"/>
      <c r="D6" s="311"/>
      <c r="E6" s="311"/>
      <c r="F6" s="311"/>
      <c r="G6" s="311"/>
      <c r="H6" s="326"/>
    </row>
    <row r="7" spans="1:8" ht="18" x14ac:dyDescent="0.25">
      <c r="A7" s="325"/>
      <c r="B7" s="311"/>
      <c r="C7" s="311"/>
      <c r="D7" s="311"/>
      <c r="E7" s="311"/>
      <c r="F7" s="311"/>
      <c r="G7" s="311"/>
      <c r="H7" s="326"/>
    </row>
    <row r="8" spans="1:8" ht="13.5" thickBot="1" x14ac:dyDescent="0.25">
      <c r="H8" s="344" t="s">
        <v>1289</v>
      </c>
    </row>
    <row r="9" spans="1:8" s="323" customFormat="1" ht="25.5" thickTop="1" thickBot="1" x14ac:dyDescent="0.25">
      <c r="A9" s="328" t="s">
        <v>174</v>
      </c>
      <c r="B9" s="329" t="s">
        <v>800</v>
      </c>
      <c r="C9" s="329" t="s">
        <v>397</v>
      </c>
      <c r="D9" s="330" t="s">
        <v>176</v>
      </c>
      <c r="E9" s="331" t="s">
        <v>669</v>
      </c>
      <c r="F9" s="331" t="s">
        <v>670</v>
      </c>
      <c r="G9" s="332" t="s">
        <v>923</v>
      </c>
      <c r="H9" s="333" t="s">
        <v>924</v>
      </c>
    </row>
    <row r="10" spans="1:8" s="355" customFormat="1" thickTop="1" thickBot="1" x14ac:dyDescent="0.25">
      <c r="A10" s="319">
        <v>1</v>
      </c>
      <c r="B10" s="320">
        <v>2</v>
      </c>
      <c r="C10" s="320">
        <v>3</v>
      </c>
      <c r="D10" s="320">
        <v>5</v>
      </c>
      <c r="E10" s="321">
        <v>6</v>
      </c>
      <c r="F10" s="321">
        <v>7</v>
      </c>
      <c r="G10" s="322">
        <v>8</v>
      </c>
      <c r="H10" s="324" t="s">
        <v>801</v>
      </c>
    </row>
    <row r="11" spans="1:8" s="311" customFormat="1" ht="15.75" thickTop="1" x14ac:dyDescent="0.25">
      <c r="A11" s="334">
        <v>3636</v>
      </c>
      <c r="B11" s="335">
        <v>5011</v>
      </c>
      <c r="C11" s="403">
        <v>6500801</v>
      </c>
      <c r="D11" s="388" t="s">
        <v>219</v>
      </c>
      <c r="E11" s="406"/>
      <c r="F11" s="406">
        <v>190</v>
      </c>
      <c r="G11" s="407">
        <v>164</v>
      </c>
      <c r="H11" s="428">
        <f>G11/F11*100</f>
        <v>86.31578947368422</v>
      </c>
    </row>
    <row r="12" spans="1:8" ht="15" x14ac:dyDescent="0.2">
      <c r="A12" s="347">
        <v>3636</v>
      </c>
      <c r="B12" s="345">
        <v>5019</v>
      </c>
      <c r="C12" s="393">
        <v>6500801</v>
      </c>
      <c r="D12" s="387" t="s">
        <v>1291</v>
      </c>
      <c r="E12" s="404"/>
      <c r="F12" s="404">
        <v>790</v>
      </c>
      <c r="G12" s="405">
        <v>749</v>
      </c>
      <c r="H12" s="408">
        <f t="shared" ref="H12:H23" si="0">G12/F12*100</f>
        <v>94.810126582278471</v>
      </c>
    </row>
    <row r="13" spans="1:8" ht="15" x14ac:dyDescent="0.2">
      <c r="A13" s="347">
        <v>3636</v>
      </c>
      <c r="B13" s="345">
        <v>5021</v>
      </c>
      <c r="C13" s="393">
        <v>6500801</v>
      </c>
      <c r="D13" s="387" t="s">
        <v>409</v>
      </c>
      <c r="E13" s="404"/>
      <c r="F13" s="404">
        <v>400</v>
      </c>
      <c r="G13" s="405">
        <v>367</v>
      </c>
      <c r="H13" s="408">
        <f t="shared" si="0"/>
        <v>91.75</v>
      </c>
    </row>
    <row r="14" spans="1:8" ht="30" x14ac:dyDescent="0.2">
      <c r="A14" s="347">
        <v>3636</v>
      </c>
      <c r="B14" s="345">
        <v>5031</v>
      </c>
      <c r="C14" s="393">
        <v>6500801</v>
      </c>
      <c r="D14" s="387" t="s">
        <v>1235</v>
      </c>
      <c r="E14" s="404"/>
      <c r="F14" s="404">
        <v>113</v>
      </c>
      <c r="G14" s="405">
        <v>43</v>
      </c>
      <c r="H14" s="408">
        <f t="shared" si="0"/>
        <v>38.053097345132741</v>
      </c>
    </row>
    <row r="15" spans="1:8" ht="30" x14ac:dyDescent="0.2">
      <c r="A15" s="347">
        <v>3636</v>
      </c>
      <c r="B15" s="345">
        <v>5032</v>
      </c>
      <c r="C15" s="393">
        <v>6500801</v>
      </c>
      <c r="D15" s="387" t="s">
        <v>1236</v>
      </c>
      <c r="E15" s="404"/>
      <c r="F15" s="404">
        <v>44</v>
      </c>
      <c r="G15" s="405">
        <v>15</v>
      </c>
      <c r="H15" s="408">
        <f t="shared" si="0"/>
        <v>34.090909090909086</v>
      </c>
    </row>
    <row r="16" spans="1:8" ht="30" x14ac:dyDescent="0.2">
      <c r="A16" s="347">
        <v>3636</v>
      </c>
      <c r="B16" s="345">
        <v>5039</v>
      </c>
      <c r="C16" s="393">
        <v>6500801</v>
      </c>
      <c r="D16" s="387" t="s">
        <v>1227</v>
      </c>
      <c r="E16" s="404"/>
      <c r="F16" s="404">
        <v>238</v>
      </c>
      <c r="G16" s="405">
        <v>0</v>
      </c>
      <c r="H16" s="408">
        <f t="shared" si="0"/>
        <v>0</v>
      </c>
    </row>
    <row r="17" spans="1:8" ht="15" x14ac:dyDescent="0.2">
      <c r="A17" s="347">
        <v>3636</v>
      </c>
      <c r="B17" s="345">
        <v>5139</v>
      </c>
      <c r="C17" s="393">
        <v>6500800</v>
      </c>
      <c r="D17" s="387" t="s">
        <v>804</v>
      </c>
      <c r="E17" s="404"/>
      <c r="F17" s="404">
        <v>30</v>
      </c>
      <c r="G17" s="405">
        <v>19</v>
      </c>
      <c r="H17" s="408">
        <f t="shared" si="0"/>
        <v>63.333333333333329</v>
      </c>
    </row>
    <row r="18" spans="1:8" ht="15" x14ac:dyDescent="0.2">
      <c r="A18" s="347">
        <v>3636</v>
      </c>
      <c r="B18" s="345">
        <v>5163</v>
      </c>
      <c r="C18" s="393">
        <v>6500800</v>
      </c>
      <c r="D18" s="387" t="s">
        <v>934</v>
      </c>
      <c r="E18" s="404"/>
      <c r="F18" s="404">
        <v>1</v>
      </c>
      <c r="G18" s="405">
        <v>1</v>
      </c>
      <c r="H18" s="408">
        <f t="shared" si="0"/>
        <v>100</v>
      </c>
    </row>
    <row r="19" spans="1:8" ht="15" x14ac:dyDescent="0.2">
      <c r="A19" s="347">
        <v>3636</v>
      </c>
      <c r="B19" s="345">
        <v>5164</v>
      </c>
      <c r="C19" s="393">
        <v>6500801</v>
      </c>
      <c r="D19" s="387" t="s">
        <v>182</v>
      </c>
      <c r="E19" s="404"/>
      <c r="F19" s="404">
        <v>25</v>
      </c>
      <c r="G19" s="405">
        <v>24</v>
      </c>
      <c r="H19" s="408">
        <f t="shared" si="0"/>
        <v>96</v>
      </c>
    </row>
    <row r="20" spans="1:8" ht="15" x14ac:dyDescent="0.2">
      <c r="A20" s="347">
        <v>3636</v>
      </c>
      <c r="B20" s="345">
        <v>5169</v>
      </c>
      <c r="C20" s="393">
        <v>6500801</v>
      </c>
      <c r="D20" s="387" t="s">
        <v>892</v>
      </c>
      <c r="E20" s="404"/>
      <c r="F20" s="404">
        <v>1403</v>
      </c>
      <c r="G20" s="405">
        <v>1170</v>
      </c>
      <c r="H20" s="408">
        <f t="shared" si="0"/>
        <v>83.392729864575912</v>
      </c>
    </row>
    <row r="21" spans="1:8" ht="15" x14ac:dyDescent="0.2">
      <c r="A21" s="347">
        <v>3636</v>
      </c>
      <c r="B21" s="345">
        <v>5169</v>
      </c>
      <c r="C21" s="393">
        <v>6500802</v>
      </c>
      <c r="D21" s="387" t="s">
        <v>892</v>
      </c>
      <c r="E21" s="404"/>
      <c r="F21" s="404">
        <v>453</v>
      </c>
      <c r="G21" s="405">
        <v>453</v>
      </c>
      <c r="H21" s="408">
        <f t="shared" si="0"/>
        <v>100</v>
      </c>
    </row>
    <row r="22" spans="1:8" ht="15" x14ac:dyDescent="0.2">
      <c r="A22" s="347">
        <v>3636</v>
      </c>
      <c r="B22" s="345">
        <v>5173</v>
      </c>
      <c r="C22" s="393">
        <v>6500800</v>
      </c>
      <c r="D22" s="387" t="s">
        <v>1211</v>
      </c>
      <c r="E22" s="404"/>
      <c r="F22" s="404">
        <v>3</v>
      </c>
      <c r="G22" s="405">
        <v>0</v>
      </c>
      <c r="H22" s="408">
        <f t="shared" si="0"/>
        <v>0</v>
      </c>
    </row>
    <row r="23" spans="1:8" ht="15" x14ac:dyDescent="0.2">
      <c r="A23" s="347">
        <v>3636</v>
      </c>
      <c r="B23" s="345">
        <v>5175</v>
      </c>
      <c r="C23" s="393">
        <v>6500800</v>
      </c>
      <c r="D23" s="387" t="s">
        <v>707</v>
      </c>
      <c r="E23" s="404"/>
      <c r="F23" s="404">
        <v>30</v>
      </c>
      <c r="G23" s="405">
        <v>22</v>
      </c>
      <c r="H23" s="408">
        <f t="shared" si="0"/>
        <v>73.333333333333329</v>
      </c>
    </row>
    <row r="24" spans="1:8" s="348" customFormat="1" ht="15.75" thickBot="1" x14ac:dyDescent="0.25">
      <c r="A24" s="347">
        <v>6330</v>
      </c>
      <c r="B24" s="345">
        <v>5345</v>
      </c>
      <c r="C24" s="345"/>
      <c r="D24" s="387" t="s">
        <v>806</v>
      </c>
      <c r="E24" s="404"/>
      <c r="F24" s="404"/>
      <c r="G24" s="405">
        <v>3602</v>
      </c>
      <c r="H24" s="409"/>
    </row>
    <row r="25" spans="1:8" s="69" customFormat="1" ht="16.5" thickTop="1" thickBot="1" x14ac:dyDescent="0.3">
      <c r="A25" s="2770" t="s">
        <v>802</v>
      </c>
      <c r="B25" s="2771"/>
      <c r="C25" s="2771"/>
      <c r="D25" s="2771"/>
      <c r="E25" s="336">
        <f>SUM(E11:E24)</f>
        <v>0</v>
      </c>
      <c r="F25" s="336">
        <f>SUM(F11:F24)</f>
        <v>3720</v>
      </c>
      <c r="G25" s="394">
        <f>SUM(G11:G24)</f>
        <v>6629</v>
      </c>
      <c r="H25" s="354">
        <f>G25/F25*100</f>
        <v>178.19892473118279</v>
      </c>
    </row>
    <row r="26" spans="1:8" s="340" customFormat="1" ht="15.75" thickTop="1" x14ac:dyDescent="0.25">
      <c r="A26" s="337" t="s">
        <v>803</v>
      </c>
      <c r="B26" s="338"/>
      <c r="C26" s="338"/>
      <c r="D26" s="339"/>
      <c r="E26" s="385"/>
      <c r="F26" s="385"/>
      <c r="G26" s="385">
        <f>SUM(G24)</f>
        <v>3602</v>
      </c>
      <c r="H26" s="374"/>
    </row>
    <row r="27" spans="1:8" s="340" customFormat="1" ht="15.75" thickBot="1" x14ac:dyDescent="0.3">
      <c r="A27" s="341" t="s">
        <v>808</v>
      </c>
      <c r="B27" s="342"/>
      <c r="C27" s="342"/>
      <c r="D27" s="343"/>
      <c r="E27" s="386">
        <f>E25-E26</f>
        <v>0</v>
      </c>
      <c r="F27" s="386">
        <f>F25-F26</f>
        <v>3720</v>
      </c>
      <c r="G27" s="386">
        <f>G25-G26</f>
        <v>3027</v>
      </c>
      <c r="H27" s="375">
        <f>G27/F27*100</f>
        <v>81.370967741935488</v>
      </c>
    </row>
    <row r="28" spans="1:8" s="340" customFormat="1" ht="15.75" thickTop="1" x14ac:dyDescent="0.25">
      <c r="A28" s="338"/>
      <c r="B28" s="338"/>
      <c r="C28" s="338"/>
      <c r="D28" s="338"/>
      <c r="E28" s="351"/>
      <c r="F28" s="351"/>
      <c r="G28" s="351"/>
      <c r="H28" s="346"/>
    </row>
    <row r="29" spans="1:8" s="399" customFormat="1" ht="16.5" x14ac:dyDescent="0.25">
      <c r="A29" s="395" t="s">
        <v>487</v>
      </c>
      <c r="B29" s="396"/>
      <c r="C29" s="397"/>
      <c r="D29" s="398"/>
      <c r="E29" s="100">
        <f>SUM(E30:E32)</f>
        <v>0</v>
      </c>
      <c r="F29" s="100">
        <f>F30+F31+F32+F33</f>
        <v>3720</v>
      </c>
      <c r="G29" s="100">
        <f>G30+G31+G32+G33</f>
        <v>6629</v>
      </c>
      <c r="H29" s="429">
        <f>G29/F29*100</f>
        <v>178.19892473118279</v>
      </c>
    </row>
    <row r="30" spans="1:8" s="66" customFormat="1" ht="15" x14ac:dyDescent="0.2">
      <c r="A30" s="260" t="s">
        <v>277</v>
      </c>
      <c r="B30" s="102"/>
      <c r="C30" s="171"/>
      <c r="D30" s="104"/>
      <c r="E30" s="262">
        <f>SUM(E11:E23)</f>
        <v>0</v>
      </c>
      <c r="F30" s="262">
        <f>SUM(F11:F23)</f>
        <v>3720</v>
      </c>
      <c r="G30" s="262">
        <f>SUM(G11:G23)</f>
        <v>3027</v>
      </c>
      <c r="H30" s="430">
        <f>G30/F30*100</f>
        <v>81.370967741935488</v>
      </c>
    </row>
    <row r="31" spans="1:8" s="66" customFormat="1" ht="15" x14ac:dyDescent="0.2">
      <c r="A31" s="260" t="s">
        <v>278</v>
      </c>
      <c r="B31" s="101"/>
      <c r="C31" s="171"/>
      <c r="D31" s="106"/>
      <c r="E31" s="262">
        <v>0</v>
      </c>
      <c r="F31" s="262">
        <v>0</v>
      </c>
      <c r="G31" s="262">
        <v>0</v>
      </c>
      <c r="H31" s="302">
        <v>0</v>
      </c>
    </row>
    <row r="32" spans="1:8" s="66" customFormat="1" ht="15" x14ac:dyDescent="0.2">
      <c r="A32" s="260" t="s">
        <v>488</v>
      </c>
      <c r="B32" s="101"/>
      <c r="C32" s="171"/>
      <c r="D32" s="106"/>
      <c r="E32" s="262">
        <f>SUM(E24)</f>
        <v>0</v>
      </c>
      <c r="F32" s="262">
        <f>SUM(F24)</f>
        <v>0</v>
      </c>
      <c r="G32" s="262">
        <f>SUM(G24)</f>
        <v>3602</v>
      </c>
      <c r="H32" s="302">
        <v>0</v>
      </c>
    </row>
    <row r="33" spans="1:8" s="66" customFormat="1" ht="15" x14ac:dyDescent="0.2">
      <c r="A33" s="260"/>
      <c r="B33" s="101"/>
      <c r="C33" s="171"/>
      <c r="D33" s="106"/>
      <c r="E33" s="262"/>
      <c r="F33" s="262"/>
      <c r="G33" s="262"/>
      <c r="H33" s="303"/>
    </row>
    <row r="34" spans="1:8" s="58" customFormat="1" ht="52.5" customHeight="1" thickBot="1" x14ac:dyDescent="0.4">
      <c r="A34" s="2665" t="s">
        <v>1282</v>
      </c>
      <c r="B34" s="2769"/>
      <c r="C34" s="2769"/>
      <c r="D34" s="2769"/>
      <c r="E34" s="44">
        <f>SUM(E29)</f>
        <v>0</v>
      </c>
      <c r="F34" s="44">
        <f>SUM(F29)</f>
        <v>3720</v>
      </c>
      <c r="G34" s="44">
        <f>SUM(G29)</f>
        <v>6629</v>
      </c>
      <c r="H34" s="370">
        <f>(G34/F34)*100</f>
        <v>178.19892473118279</v>
      </c>
    </row>
    <row r="35" spans="1:8" ht="13.5" thickTop="1" x14ac:dyDescent="0.2"/>
  </sheetData>
  <mergeCells count="2">
    <mergeCell ref="A34:D34"/>
    <mergeCell ref="A25:D25"/>
  </mergeCells>
  <phoneticPr fontId="35" type="noConversion"/>
  <pageMargins left="0.78740157480314965" right="0.78740157480314965" top="0.98425196850393704" bottom="0.98425196850393704" header="0.51181102362204722" footer="0.51181102362204722"/>
  <pageSetup paperSize="9" scale="70" firstPageNumber="136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U40"/>
  <sheetViews>
    <sheetView showGridLines="0" view="pageBreakPreview" zoomScaleNormal="100" zoomScaleSheetLayoutView="100" workbookViewId="0">
      <selection sqref="A1:H2"/>
    </sheetView>
  </sheetViews>
  <sheetFormatPr defaultRowHeight="12.75" x14ac:dyDescent="0.2"/>
  <cols>
    <col min="1" max="1" width="4.7109375" style="412" customWidth="1"/>
    <col min="2" max="2" width="7" style="412" customWidth="1"/>
    <col min="3" max="3" width="9" style="412" customWidth="1"/>
    <col min="4" max="4" width="42.28515625" style="349" customWidth="1"/>
    <col min="5" max="5" width="15.140625" style="454" customWidth="1"/>
    <col min="6" max="6" width="14.85546875" style="454" customWidth="1"/>
    <col min="7" max="7" width="14" style="454" customWidth="1"/>
    <col min="8" max="8" width="9.140625" style="560" customWidth="1"/>
    <col min="9" max="9" width="12.7109375" style="349" bestFit="1" customWidth="1"/>
    <col min="10" max="16384" width="9.140625" style="349"/>
  </cols>
  <sheetData>
    <row r="1" spans="1:21" x14ac:dyDescent="0.2">
      <c r="A1" s="2772" t="s">
        <v>48</v>
      </c>
      <c r="B1" s="2773"/>
      <c r="C1" s="2773"/>
      <c r="D1" s="2773"/>
      <c r="E1" s="2773"/>
      <c r="F1" s="2773"/>
      <c r="G1" s="2773"/>
      <c r="H1" s="2774"/>
    </row>
    <row r="2" spans="1:21" ht="21.75" customHeight="1" thickBot="1" x14ac:dyDescent="0.25">
      <c r="A2" s="2775"/>
      <c r="B2" s="2775"/>
      <c r="C2" s="2775"/>
      <c r="D2" s="2775"/>
      <c r="E2" s="2775"/>
      <c r="F2" s="2775"/>
      <c r="G2" s="2775"/>
      <c r="H2" s="2761"/>
    </row>
    <row r="3" spans="1:21" ht="15.75" x14ac:dyDescent="0.25">
      <c r="G3" s="567" t="s">
        <v>1297</v>
      </c>
    </row>
    <row r="4" spans="1:21" s="534" customFormat="1" ht="12.75" customHeight="1" x14ac:dyDescent="0.25">
      <c r="A4" s="67" t="s">
        <v>387</v>
      </c>
      <c r="B4" s="28"/>
      <c r="C4" s="533" t="s">
        <v>603</v>
      </c>
      <c r="D4" s="16"/>
      <c r="E4" s="17"/>
      <c r="F4" s="16"/>
      <c r="H4" s="1542"/>
    </row>
    <row r="5" spans="1:21" s="534" customFormat="1" ht="12.75" customHeight="1" x14ac:dyDescent="0.25">
      <c r="A5" s="6"/>
      <c r="B5" s="28"/>
      <c r="C5" s="533" t="s">
        <v>604</v>
      </c>
      <c r="D5" s="16"/>
      <c r="E5" s="17"/>
      <c r="F5" s="16"/>
      <c r="H5" s="1542"/>
    </row>
    <row r="6" spans="1:21" ht="15.75" thickBot="1" x14ac:dyDescent="0.3">
      <c r="A6" s="535"/>
      <c r="H6" s="536" t="s">
        <v>173</v>
      </c>
    </row>
    <row r="7" spans="1:21" s="384" customFormat="1" ht="22.5" customHeight="1" thickTop="1" thickBot="1" x14ac:dyDescent="0.25">
      <c r="A7" s="537" t="s">
        <v>174</v>
      </c>
      <c r="B7" s="538" t="s">
        <v>800</v>
      </c>
      <c r="C7" s="538" t="s">
        <v>397</v>
      </c>
      <c r="D7" s="539" t="s">
        <v>176</v>
      </c>
      <c r="E7" s="540" t="s">
        <v>669</v>
      </c>
      <c r="F7" s="540" t="s">
        <v>670</v>
      </c>
      <c r="G7" s="541" t="s">
        <v>923</v>
      </c>
      <c r="H7" s="1543" t="s">
        <v>924</v>
      </c>
    </row>
    <row r="8" spans="1:21" s="384" customFormat="1" ht="13.5" thickTop="1" thickBot="1" x14ac:dyDescent="0.25">
      <c r="A8" s="568">
        <v>1</v>
      </c>
      <c r="B8" s="569">
        <v>2</v>
      </c>
      <c r="C8" s="569">
        <v>3</v>
      </c>
      <c r="D8" s="569">
        <v>4</v>
      </c>
      <c r="E8" s="543">
        <v>5</v>
      </c>
      <c r="F8" s="543">
        <v>6</v>
      </c>
      <c r="G8" s="544">
        <v>7</v>
      </c>
      <c r="H8" s="1544" t="s">
        <v>61</v>
      </c>
    </row>
    <row r="9" spans="1:21" s="312" customFormat="1" ht="14.25" customHeight="1" thickTop="1" x14ac:dyDescent="0.25">
      <c r="A9" s="2291">
        <v>2310</v>
      </c>
      <c r="B9" s="2288">
        <v>6341</v>
      </c>
      <c r="C9" s="1190"/>
      <c r="D9" s="1186" t="s">
        <v>261</v>
      </c>
      <c r="E9" s="2286">
        <v>0</v>
      </c>
      <c r="F9" s="1181">
        <v>21522</v>
      </c>
      <c r="G9" s="1181">
        <v>21519</v>
      </c>
      <c r="H9" s="1503">
        <v>100</v>
      </c>
      <c r="I9" s="1179"/>
      <c r="J9" s="1179"/>
      <c r="K9" s="1179"/>
      <c r="L9" s="1179"/>
      <c r="M9" s="1179"/>
      <c r="N9" s="1179"/>
      <c r="O9" s="1179"/>
      <c r="P9" s="1179"/>
      <c r="Q9" s="1179"/>
      <c r="R9" s="1179"/>
      <c r="S9" s="1179"/>
      <c r="T9" s="1179"/>
      <c r="U9" s="1179"/>
    </row>
    <row r="10" spans="1:21" s="312" customFormat="1" ht="14.25" customHeight="1" x14ac:dyDescent="0.2">
      <c r="A10" s="2292"/>
      <c r="B10" s="2289"/>
      <c r="C10" s="1191" t="s">
        <v>764</v>
      </c>
      <c r="D10" s="1187" t="s">
        <v>765</v>
      </c>
      <c r="E10" s="2285">
        <v>0</v>
      </c>
      <c r="F10" s="1182">
        <v>21522</v>
      </c>
      <c r="G10" s="1182">
        <v>21519</v>
      </c>
      <c r="H10" s="1504">
        <v>100</v>
      </c>
      <c r="I10" s="1179"/>
      <c r="J10" s="1179"/>
      <c r="K10" s="1179"/>
      <c r="L10" s="1179"/>
      <c r="M10" s="1179"/>
      <c r="N10" s="1179"/>
      <c r="O10" s="1179"/>
      <c r="P10" s="1179"/>
      <c r="Q10" s="1179"/>
      <c r="R10" s="1179"/>
      <c r="S10" s="1179"/>
      <c r="T10" s="1179"/>
      <c r="U10" s="1179"/>
    </row>
    <row r="11" spans="1:21" s="312" customFormat="1" ht="14.25" customHeight="1" x14ac:dyDescent="0.25">
      <c r="A11" s="2292">
        <v>2321</v>
      </c>
      <c r="B11" s="2289">
        <v>6341</v>
      </c>
      <c r="C11" s="1192"/>
      <c r="D11" s="1188" t="s">
        <v>261</v>
      </c>
      <c r="E11" s="2287">
        <v>0</v>
      </c>
      <c r="F11" s="1183">
        <v>27360</v>
      </c>
      <c r="G11" s="1183">
        <v>27360</v>
      </c>
      <c r="H11" s="1505">
        <v>98.332710629553517</v>
      </c>
      <c r="I11" s="1179"/>
      <c r="J11" s="1179"/>
      <c r="K11" s="1179"/>
      <c r="L11" s="1179"/>
      <c r="M11" s="1179"/>
      <c r="N11" s="1179"/>
      <c r="O11" s="1179"/>
      <c r="P11" s="1179"/>
      <c r="Q11" s="1179"/>
      <c r="R11" s="1179"/>
      <c r="S11" s="1179"/>
      <c r="T11" s="1179"/>
      <c r="U11" s="1179"/>
    </row>
    <row r="12" spans="1:21" s="312" customFormat="1" ht="14.25" customHeight="1" x14ac:dyDescent="0.2">
      <c r="A12" s="2292"/>
      <c r="B12" s="2289"/>
      <c r="C12" s="1191" t="s">
        <v>764</v>
      </c>
      <c r="D12" s="1187" t="s">
        <v>765</v>
      </c>
      <c r="E12" s="2285">
        <v>0</v>
      </c>
      <c r="F12" s="1182">
        <v>27100</v>
      </c>
      <c r="G12" s="1182">
        <v>27360</v>
      </c>
      <c r="H12" s="1504">
        <v>98.332710629553517</v>
      </c>
      <c r="I12" s="1179"/>
      <c r="J12" s="1179"/>
      <c r="K12" s="1179"/>
      <c r="L12" s="1179"/>
      <c r="M12" s="1179"/>
      <c r="N12" s="1179"/>
      <c r="O12" s="1179"/>
      <c r="P12" s="1179"/>
      <c r="Q12" s="1179"/>
      <c r="R12" s="1179"/>
      <c r="S12" s="1179"/>
      <c r="T12" s="1179"/>
      <c r="U12" s="1179"/>
    </row>
    <row r="13" spans="1:21" s="312" customFormat="1" ht="14.25" customHeight="1" x14ac:dyDescent="0.25">
      <c r="A13" s="2292">
        <v>2399</v>
      </c>
      <c r="B13" s="2289">
        <v>5909</v>
      </c>
      <c r="C13" s="1192"/>
      <c r="D13" s="1188" t="s">
        <v>766</v>
      </c>
      <c r="E13" s="1185">
        <v>20000</v>
      </c>
      <c r="F13" s="1183">
        <v>30000</v>
      </c>
      <c r="G13" s="1183">
        <v>28836</v>
      </c>
      <c r="H13" s="1505">
        <v>66.010868471369633</v>
      </c>
      <c r="I13" s="1180"/>
      <c r="J13" s="1180"/>
      <c r="K13" s="1180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</row>
    <row r="14" spans="1:21" s="312" customFormat="1" ht="14.25" customHeight="1" x14ac:dyDescent="0.25">
      <c r="A14" s="2292">
        <v>2399</v>
      </c>
      <c r="B14" s="2289">
        <v>6341</v>
      </c>
      <c r="C14" s="1192"/>
      <c r="D14" s="1188" t="s">
        <v>261</v>
      </c>
      <c r="E14" s="1185">
        <v>20000</v>
      </c>
      <c r="F14" s="1183">
        <v>7239</v>
      </c>
      <c r="G14" s="1183">
        <v>0</v>
      </c>
      <c r="H14" s="1506">
        <v>0</v>
      </c>
      <c r="I14" s="1180"/>
      <c r="J14" s="1180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</row>
    <row r="15" spans="1:21" s="312" customFormat="1" ht="14.25" customHeight="1" thickBot="1" x14ac:dyDescent="0.25">
      <c r="A15" s="2293"/>
      <c r="B15" s="2290"/>
      <c r="C15" s="1193" t="s">
        <v>764</v>
      </c>
      <c r="D15" s="1189" t="s">
        <v>765</v>
      </c>
      <c r="E15" s="1837">
        <v>20000</v>
      </c>
      <c r="F15" s="1184">
        <v>7239</v>
      </c>
      <c r="G15" s="1184">
        <v>0</v>
      </c>
      <c r="H15" s="1507">
        <v>0</v>
      </c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</row>
    <row r="16" spans="1:21" ht="16.5" thickTop="1" thickBot="1" x14ac:dyDescent="0.3">
      <c r="A16" s="2754" t="s">
        <v>802</v>
      </c>
      <c r="B16" s="2755"/>
      <c r="C16" s="2755"/>
      <c r="D16" s="2755"/>
      <c r="E16" s="572">
        <f>E13+E14</f>
        <v>40000</v>
      </c>
      <c r="F16" s="572">
        <f>F9+F11+F13+F14</f>
        <v>86121</v>
      </c>
      <c r="G16" s="572">
        <f>G9+G11+G13+G14</f>
        <v>77715</v>
      </c>
      <c r="H16" s="573">
        <f>G16/F16*100</f>
        <v>90.239314452920894</v>
      </c>
      <c r="I16" s="454"/>
    </row>
    <row r="17" spans="1:8" ht="15.75" thickTop="1" x14ac:dyDescent="0.25">
      <c r="A17" s="535"/>
    </row>
    <row r="18" spans="1:8" ht="15" x14ac:dyDescent="0.25">
      <c r="A18" s="535"/>
    </row>
    <row r="19" spans="1:8" s="1495" customFormat="1" ht="15.75" x14ac:dyDescent="0.25">
      <c r="A19" s="2777" t="s">
        <v>1779</v>
      </c>
      <c r="B19" s="2778"/>
      <c r="C19" s="2778"/>
      <c r="D19" s="2778"/>
      <c r="E19" s="974">
        <f>SUM(E21:E23)</f>
        <v>40000</v>
      </c>
      <c r="F19" s="974">
        <f>SUM(F21:F23)</f>
        <v>86121</v>
      </c>
      <c r="G19" s="974">
        <f>SUM(G21:G23)</f>
        <v>77715</v>
      </c>
      <c r="H19" s="1494">
        <f>G19/F19*100</f>
        <v>90.239314452920894</v>
      </c>
    </row>
    <row r="20" spans="1:8" s="1495" customFormat="1" ht="15.75" x14ac:dyDescent="0.25">
      <c r="A20" s="2778"/>
      <c r="B20" s="2778"/>
      <c r="C20" s="2778"/>
      <c r="D20" s="2778"/>
      <c r="E20" s="974"/>
      <c r="F20" s="974"/>
      <c r="G20" s="974"/>
      <c r="H20" s="1494"/>
    </row>
    <row r="21" spans="1:8" s="1499" customFormat="1" ht="15" x14ac:dyDescent="0.2">
      <c r="A21" s="557" t="s">
        <v>277</v>
      </c>
      <c r="B21" s="1496"/>
      <c r="C21" s="1496"/>
      <c r="D21" s="1496"/>
      <c r="E21" s="1497">
        <f>SUM(E13)</f>
        <v>20000</v>
      </c>
      <c r="F21" s="1497">
        <f>F13</f>
        <v>30000</v>
      </c>
      <c r="G21" s="1497">
        <f>G13</f>
        <v>28836</v>
      </c>
      <c r="H21" s="1498">
        <f>G21/F21*100</f>
        <v>96.12</v>
      </c>
    </row>
    <row r="22" spans="1:8" s="1499" customFormat="1" ht="15" x14ac:dyDescent="0.2">
      <c r="A22" s="557" t="s">
        <v>278</v>
      </c>
      <c r="B22" s="1496"/>
      <c r="C22" s="1496"/>
      <c r="D22" s="1496"/>
      <c r="E22" s="1497">
        <f>SUM(E14)</f>
        <v>20000</v>
      </c>
      <c r="F22" s="1497">
        <f>F9+F11+F14</f>
        <v>56121</v>
      </c>
      <c r="G22" s="1497">
        <f>G9+G11+G14</f>
        <v>48879</v>
      </c>
      <c r="H22" s="1498">
        <f>G22/F22*100</f>
        <v>87.095739562730529</v>
      </c>
    </row>
    <row r="23" spans="1:8" s="589" customFormat="1" ht="15" x14ac:dyDescent="0.2">
      <c r="A23" s="1496" t="s">
        <v>1238</v>
      </c>
      <c r="B23" s="1496"/>
      <c r="C23" s="1496"/>
      <c r="D23" s="1496"/>
      <c r="E23" s="1497">
        <v>0</v>
      </c>
      <c r="F23" s="1497">
        <v>0</v>
      </c>
      <c r="G23" s="1497">
        <v>0</v>
      </c>
      <c r="H23" s="1498">
        <v>0</v>
      </c>
    </row>
    <row r="24" spans="1:8" s="1500" customFormat="1" ht="23.25" x14ac:dyDescent="0.35">
      <c r="A24" s="2779" t="s">
        <v>1780</v>
      </c>
      <c r="B24" s="2780"/>
      <c r="C24" s="2780"/>
      <c r="D24" s="2780"/>
      <c r="E24" s="2323">
        <f>SUM(E19)</f>
        <v>40000</v>
      </c>
      <c r="F24" s="2317">
        <f>SUM(F19)</f>
        <v>86121</v>
      </c>
      <c r="G24" s="2317">
        <f>SUM(G19)</f>
        <v>77715</v>
      </c>
      <c r="H24" s="2318">
        <f>G24/F24*100</f>
        <v>90.239314452920894</v>
      </c>
    </row>
    <row r="25" spans="1:8" s="1500" customFormat="1" ht="23.25" x14ac:dyDescent="0.35">
      <c r="A25" s="2781"/>
      <c r="B25" s="2781"/>
      <c r="C25" s="2781"/>
      <c r="D25" s="2781"/>
      <c r="E25" s="2324"/>
      <c r="F25" s="2315"/>
      <c r="G25" s="2315"/>
      <c r="H25" s="2316"/>
    </row>
    <row r="26" spans="1:8" ht="13.5" customHeight="1" thickBot="1" x14ac:dyDescent="0.4">
      <c r="A26" s="2719"/>
      <c r="B26" s="2719"/>
      <c r="C26" s="2719"/>
      <c r="D26" s="2719"/>
      <c r="E26" s="1018"/>
      <c r="F26" s="2321"/>
      <c r="G26" s="2321"/>
      <c r="H26" s="2322"/>
    </row>
    <row r="27" spans="1:8" ht="13.5" thickTop="1" x14ac:dyDescent="0.2">
      <c r="D27" s="563"/>
      <c r="E27" s="383"/>
      <c r="F27" s="383"/>
      <c r="G27" s="383"/>
      <c r="H27" s="1545"/>
    </row>
    <row r="28" spans="1:8" ht="14.25" x14ac:dyDescent="0.2">
      <c r="A28" s="564" t="s">
        <v>116</v>
      </c>
      <c r="B28" s="565"/>
      <c r="C28" s="565"/>
      <c r="D28" s="566"/>
      <c r="E28" s="493"/>
      <c r="F28" s="493"/>
      <c r="G28" s="493"/>
      <c r="H28" s="1546"/>
    </row>
    <row r="29" spans="1:8" ht="12.75" customHeight="1" x14ac:dyDescent="0.2">
      <c r="A29" s="2776" t="s">
        <v>1713</v>
      </c>
      <c r="B29" s="2776"/>
      <c r="C29" s="2776"/>
      <c r="D29" s="2776"/>
      <c r="E29" s="2776"/>
      <c r="F29" s="2776"/>
      <c r="G29" s="2776"/>
      <c r="H29" s="2776"/>
    </row>
    <row r="30" spans="1:8" s="502" customFormat="1" ht="12.75" customHeight="1" x14ac:dyDescent="0.2">
      <c r="A30" s="2620"/>
      <c r="B30" s="2620"/>
      <c r="C30" s="2620"/>
      <c r="D30" s="2620"/>
      <c r="E30" s="2620"/>
      <c r="F30" s="2620"/>
      <c r="G30" s="2620"/>
      <c r="H30" s="2620"/>
    </row>
    <row r="31" spans="1:8" s="502" customFormat="1" ht="19.5" customHeight="1" x14ac:dyDescent="0.2">
      <c r="A31" s="412"/>
      <c r="B31" s="412"/>
      <c r="C31" s="412"/>
      <c r="D31" s="349"/>
      <c r="E31" s="454"/>
      <c r="F31" s="454"/>
      <c r="G31" s="454"/>
      <c r="H31" s="560"/>
    </row>
    <row r="32" spans="1:8" s="502" customFormat="1" x14ac:dyDescent="0.2">
      <c r="A32" s="412"/>
      <c r="B32" s="412"/>
      <c r="C32" s="412"/>
      <c r="D32" s="349"/>
      <c r="E32" s="454"/>
      <c r="F32" s="454"/>
      <c r="G32" s="454"/>
      <c r="H32" s="560"/>
    </row>
    <row r="33" spans="1:8" s="502" customFormat="1" x14ac:dyDescent="0.2">
      <c r="A33" s="412"/>
      <c r="B33" s="412"/>
      <c r="C33" s="412"/>
      <c r="D33" s="349"/>
      <c r="E33" s="454"/>
      <c r="F33" s="454"/>
      <c r="G33" s="454"/>
      <c r="H33" s="560"/>
    </row>
    <row r="34" spans="1:8" s="502" customFormat="1" x14ac:dyDescent="0.2">
      <c r="A34" s="412"/>
      <c r="B34" s="412"/>
      <c r="C34" s="412"/>
      <c r="D34" s="349"/>
      <c r="E34" s="454"/>
      <c r="F34" s="454"/>
      <c r="G34" s="454"/>
      <c r="H34" s="560"/>
    </row>
    <row r="35" spans="1:8" s="502" customFormat="1" ht="12.75" customHeight="1" x14ac:dyDescent="0.2">
      <c r="A35" s="412"/>
      <c r="B35" s="412"/>
      <c r="C35" s="412"/>
      <c r="D35" s="349"/>
      <c r="E35" s="454"/>
      <c r="F35" s="454"/>
      <c r="G35" s="454"/>
      <c r="H35" s="560"/>
    </row>
    <row r="36" spans="1:8" s="502" customFormat="1" ht="12.75" customHeight="1" x14ac:dyDescent="0.2">
      <c r="A36" s="412"/>
      <c r="B36" s="412"/>
      <c r="C36" s="412"/>
      <c r="D36" s="349"/>
      <c r="E36" s="454"/>
      <c r="F36" s="454"/>
      <c r="G36" s="454"/>
      <c r="H36" s="560"/>
    </row>
    <row r="37" spans="1:8" ht="12.75" customHeight="1" x14ac:dyDescent="0.2"/>
    <row r="38" spans="1:8" ht="12.75" customHeight="1" x14ac:dyDescent="0.2"/>
    <row r="39" spans="1:8" ht="12.75" customHeight="1" x14ac:dyDescent="0.2"/>
    <row r="40" spans="1:8" ht="21.75" customHeight="1" x14ac:dyDescent="0.2"/>
  </sheetData>
  <mergeCells count="5">
    <mergeCell ref="A1:H2"/>
    <mergeCell ref="A16:D16"/>
    <mergeCell ref="A29:H30"/>
    <mergeCell ref="A19:D20"/>
    <mergeCell ref="A24:D26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78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 enableFormatConditionsCalculation="0">
    <tabColor rgb="FF00B0F0"/>
  </sheetPr>
  <dimension ref="A1:K46"/>
  <sheetViews>
    <sheetView showGridLines="0" view="pageBreakPreview" zoomScaleNormal="100" zoomScaleSheetLayoutView="100" workbookViewId="0">
      <selection activeCell="F15" sqref="F15"/>
    </sheetView>
  </sheetViews>
  <sheetFormatPr defaultRowHeight="12.75" x14ac:dyDescent="0.2"/>
  <cols>
    <col min="1" max="1" width="4.7109375" style="645" customWidth="1"/>
    <col min="2" max="2" width="4.7109375" style="534" customWidth="1"/>
    <col min="3" max="3" width="8.5703125" style="534" customWidth="1"/>
    <col min="4" max="4" width="47.28515625" style="534" customWidth="1"/>
    <col min="5" max="7" width="13.5703125" style="495" customWidth="1"/>
    <col min="8" max="8" width="7.42578125" style="668" customWidth="1"/>
    <col min="9" max="16384" width="9.140625" style="534"/>
  </cols>
  <sheetData>
    <row r="1" spans="1:9" ht="18.75" thickBot="1" x14ac:dyDescent="0.3">
      <c r="A1" s="465" t="s">
        <v>1313</v>
      </c>
      <c r="B1" s="466"/>
      <c r="C1" s="466"/>
      <c r="D1" s="477"/>
      <c r="E1" s="494"/>
      <c r="F1" s="469" t="s">
        <v>178</v>
      </c>
      <c r="I1" s="17"/>
    </row>
    <row r="2" spans="1:9" ht="12.75" customHeight="1" x14ac:dyDescent="0.25">
      <c r="A2" s="6"/>
      <c r="B2" s="28"/>
      <c r="C2" s="28"/>
      <c r="D2" s="10"/>
      <c r="E2" s="137"/>
      <c r="F2" s="137"/>
      <c r="G2" s="16"/>
      <c r="H2" s="194"/>
      <c r="I2" s="17"/>
    </row>
    <row r="3" spans="1:9" ht="12.75" customHeight="1" x14ac:dyDescent="0.25">
      <c r="A3" s="67" t="s">
        <v>387</v>
      </c>
      <c r="B3" s="28"/>
      <c r="C3" s="504" t="s">
        <v>357</v>
      </c>
      <c r="D3" s="629"/>
      <c r="E3" s="137"/>
      <c r="F3" s="16"/>
      <c r="G3" s="17"/>
      <c r="H3" s="194"/>
    </row>
    <row r="4" spans="1:9" ht="12.75" customHeight="1" x14ac:dyDescent="0.25">
      <c r="A4" s="6"/>
      <c r="B4" s="28"/>
      <c r="C4" s="504" t="s">
        <v>358</v>
      </c>
      <c r="D4" s="675"/>
      <c r="E4" s="138"/>
      <c r="F4" s="16"/>
      <c r="G4" s="17"/>
      <c r="H4" s="194"/>
    </row>
    <row r="5" spans="1:9" ht="12.75" customHeight="1" x14ac:dyDescent="0.25">
      <c r="A5" s="6"/>
      <c r="B5" s="28"/>
      <c r="C5" s="504"/>
      <c r="D5" s="675"/>
      <c r="E5" s="138"/>
      <c r="F5" s="16"/>
      <c r="G5" s="17"/>
      <c r="H5" s="194"/>
    </row>
    <row r="6" spans="1:9" ht="18" x14ac:dyDescent="0.25">
      <c r="A6" s="33" t="s">
        <v>925</v>
      </c>
      <c r="B6" s="28"/>
      <c r="C6" s="28"/>
      <c r="D6" s="10"/>
      <c r="E6" s="137"/>
      <c r="F6" s="137"/>
      <c r="G6" s="16"/>
      <c r="H6" s="194"/>
      <c r="I6" s="17"/>
    </row>
    <row r="7" spans="1:9" ht="13.5" thickBot="1" x14ac:dyDescent="0.25">
      <c r="A7" s="631"/>
      <c r="B7" s="631"/>
      <c r="C7" s="631"/>
      <c r="D7" s="632"/>
      <c r="G7" s="980"/>
      <c r="H7" s="668" t="s">
        <v>173</v>
      </c>
    </row>
    <row r="8" spans="1:9" s="107" customFormat="1" ht="20.25" customHeight="1" thickTop="1" thickBot="1" x14ac:dyDescent="0.25">
      <c r="A8" s="633" t="s">
        <v>174</v>
      </c>
      <c r="B8" s="634" t="s">
        <v>175</v>
      </c>
      <c r="C8" s="636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637" t="s">
        <v>924</v>
      </c>
    </row>
    <row r="9" spans="1:9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638" t="s">
        <v>61</v>
      </c>
      <c r="I9" s="107"/>
    </row>
    <row r="10" spans="1:9" s="1107" customFormat="1" ht="15.75" thickTop="1" x14ac:dyDescent="0.25">
      <c r="A10" s="222">
        <v>6172</v>
      </c>
      <c r="B10" s="1111">
        <v>5163</v>
      </c>
      <c r="C10" s="1403"/>
      <c r="D10" s="1169" t="s">
        <v>934</v>
      </c>
      <c r="E10" s="1123">
        <v>31980</v>
      </c>
      <c r="F10" s="1388">
        <v>30605</v>
      </c>
      <c r="G10" s="371">
        <v>29868</v>
      </c>
      <c r="H10" s="1398">
        <f t="shared" ref="H10:H17" si="0">(G10/F10)*100</f>
        <v>97.591896748897241</v>
      </c>
    </row>
    <row r="11" spans="1:9" s="1107" customFormat="1" ht="15" x14ac:dyDescent="0.25">
      <c r="A11" s="50">
        <v>6172</v>
      </c>
      <c r="B11" s="19">
        <v>5164</v>
      </c>
      <c r="C11" s="1156"/>
      <c r="D11" s="1108" t="s">
        <v>182</v>
      </c>
      <c r="E11" s="48">
        <v>30</v>
      </c>
      <c r="F11" s="168">
        <v>60</v>
      </c>
      <c r="G11" s="315">
        <v>25</v>
      </c>
      <c r="H11" s="1113">
        <f>(G11/F11)*100</f>
        <v>41.666666666666671</v>
      </c>
    </row>
    <row r="12" spans="1:9" s="1107" customFormat="1" ht="15" x14ac:dyDescent="0.25">
      <c r="A12" s="50">
        <v>6172</v>
      </c>
      <c r="B12" s="19">
        <v>5166</v>
      </c>
      <c r="C12" s="1156"/>
      <c r="D12" s="1108" t="s">
        <v>646</v>
      </c>
      <c r="E12" s="48">
        <v>1800</v>
      </c>
      <c r="F12" s="447">
        <f>F13+F14</f>
        <v>1195</v>
      </c>
      <c r="G12" s="447">
        <f>G13+G14</f>
        <v>1002</v>
      </c>
      <c r="H12" s="1113">
        <f>(G12/F12)*100</f>
        <v>83.84937238493724</v>
      </c>
    </row>
    <row r="13" spans="1:9" s="1107" customFormat="1" ht="14.25" x14ac:dyDescent="0.2">
      <c r="A13" s="50"/>
      <c r="B13" s="19"/>
      <c r="C13" s="1120" t="s">
        <v>792</v>
      </c>
      <c r="D13" s="1114" t="s">
        <v>1321</v>
      </c>
      <c r="E13" s="55">
        <v>1800</v>
      </c>
      <c r="F13" s="314">
        <v>1192</v>
      </c>
      <c r="G13" s="316">
        <v>1000</v>
      </c>
      <c r="H13" s="1116">
        <f t="shared" si="0"/>
        <v>83.892617449664428</v>
      </c>
    </row>
    <row r="14" spans="1:9" s="1107" customFormat="1" ht="15" x14ac:dyDescent="0.25">
      <c r="A14" s="50"/>
      <c r="B14" s="19"/>
      <c r="C14" s="1120" t="s">
        <v>195</v>
      </c>
      <c r="D14" s="1114" t="s">
        <v>705</v>
      </c>
      <c r="E14" s="48"/>
      <c r="F14" s="314">
        <v>3</v>
      </c>
      <c r="G14" s="316">
        <v>2</v>
      </c>
      <c r="H14" s="1116">
        <f t="shared" si="0"/>
        <v>66.666666666666657</v>
      </c>
    </row>
    <row r="15" spans="1:9" s="1107" customFormat="1" ht="15" x14ac:dyDescent="0.25">
      <c r="A15" s="50">
        <v>6172</v>
      </c>
      <c r="B15" s="19">
        <v>5169</v>
      </c>
      <c r="C15" s="1156"/>
      <c r="D15" s="1108" t="s">
        <v>892</v>
      </c>
      <c r="E15" s="48">
        <v>400</v>
      </c>
      <c r="F15" s="447">
        <f>F16+F17</f>
        <v>101</v>
      </c>
      <c r="G15" s="447">
        <f>G16+G17</f>
        <v>46</v>
      </c>
      <c r="H15" s="1113">
        <f t="shared" si="0"/>
        <v>45.544554455445549</v>
      </c>
    </row>
    <row r="16" spans="1:9" s="1107" customFormat="1" ht="14.25" x14ac:dyDescent="0.2">
      <c r="A16" s="50"/>
      <c r="B16" s="19"/>
      <c r="C16" s="1120" t="s">
        <v>792</v>
      </c>
      <c r="D16" s="1114" t="s">
        <v>1321</v>
      </c>
      <c r="E16" s="55">
        <v>400</v>
      </c>
      <c r="F16" s="314">
        <v>100</v>
      </c>
      <c r="G16" s="316">
        <v>45</v>
      </c>
      <c r="H16" s="1116">
        <f t="shared" si="0"/>
        <v>45</v>
      </c>
    </row>
    <row r="17" spans="1:10" s="1107" customFormat="1" ht="15" x14ac:dyDescent="0.25">
      <c r="A17" s="50"/>
      <c r="B17" s="19"/>
      <c r="C17" s="1120" t="s">
        <v>195</v>
      </c>
      <c r="D17" s="1114" t="s">
        <v>705</v>
      </c>
      <c r="E17" s="48"/>
      <c r="F17" s="314">
        <v>1</v>
      </c>
      <c r="G17" s="316">
        <v>1</v>
      </c>
      <c r="H17" s="1116">
        <f t="shared" si="0"/>
        <v>100</v>
      </c>
    </row>
    <row r="18" spans="1:10" s="1107" customFormat="1" ht="15" x14ac:dyDescent="0.25">
      <c r="A18" s="50">
        <v>6172</v>
      </c>
      <c r="B18" s="19">
        <v>5192</v>
      </c>
      <c r="C18" s="1120"/>
      <c r="D18" s="1108" t="s">
        <v>1290</v>
      </c>
      <c r="E18" s="48">
        <v>1</v>
      </c>
      <c r="F18" s="313">
        <v>1</v>
      </c>
      <c r="G18" s="315">
        <v>0</v>
      </c>
      <c r="H18" s="1113">
        <v>0</v>
      </c>
    </row>
    <row r="19" spans="1:10" s="1107" customFormat="1" ht="15" x14ac:dyDescent="0.25">
      <c r="A19" s="50">
        <v>6172</v>
      </c>
      <c r="B19" s="19">
        <v>5362</v>
      </c>
      <c r="C19" s="1154"/>
      <c r="D19" s="1108" t="s">
        <v>791</v>
      </c>
      <c r="E19" s="48">
        <v>80</v>
      </c>
      <c r="F19" s="168">
        <v>30</v>
      </c>
      <c r="G19" s="315">
        <v>0</v>
      </c>
      <c r="H19" s="1113">
        <v>0</v>
      </c>
    </row>
    <row r="20" spans="1:10" s="1107" customFormat="1" ht="15.75" thickBot="1" x14ac:dyDescent="0.3">
      <c r="A20" s="1127">
        <v>6172</v>
      </c>
      <c r="B20" s="1133">
        <v>5499</v>
      </c>
      <c r="C20" s="1158"/>
      <c r="D20" s="1157" t="s">
        <v>395</v>
      </c>
      <c r="E20" s="1134">
        <v>2</v>
      </c>
      <c r="F20" s="444">
        <v>2</v>
      </c>
      <c r="G20" s="443">
        <v>0</v>
      </c>
      <c r="H20" s="1402">
        <f>(G20/F20)*100</f>
        <v>0</v>
      </c>
    </row>
    <row r="21" spans="1:10" s="361" customFormat="1" ht="35.25" customHeight="1" thickTop="1" thickBot="1" x14ac:dyDescent="0.3">
      <c r="A21" s="639" t="s">
        <v>258</v>
      </c>
      <c r="B21" s="640"/>
      <c r="C21" s="641"/>
      <c r="D21" s="642"/>
      <c r="E21" s="643">
        <f>E10+E11+E12+E15+E19+E20+E18</f>
        <v>34293</v>
      </c>
      <c r="F21" s="643">
        <f>F10+F11+F12+F15+F19+F20+F18</f>
        <v>31994</v>
      </c>
      <c r="G21" s="643">
        <f>G10+G11+G12+G15+G19+G20+G18</f>
        <v>30941</v>
      </c>
      <c r="H21" s="644">
        <f>(G21/F21)*100</f>
        <v>96.708757892104771</v>
      </c>
    </row>
    <row r="22" spans="1:10" s="1069" customFormat="1" ht="12.75" customHeight="1" thickTop="1" x14ac:dyDescent="0.25">
      <c r="B22" s="1070"/>
      <c r="C22" s="1071"/>
      <c r="D22" s="1072"/>
      <c r="E22" s="1073"/>
      <c r="F22" s="1073"/>
      <c r="G22" s="1073"/>
      <c r="H22" s="1074"/>
    </row>
    <row r="23" spans="1:10" s="669" customFormat="1" ht="15.75" x14ac:dyDescent="0.25">
      <c r="A23" s="33"/>
      <c r="E23" s="675"/>
      <c r="F23" s="675"/>
      <c r="G23" s="675"/>
      <c r="H23" s="676"/>
    </row>
    <row r="24" spans="1:10" s="669" customFormat="1" ht="15.75" x14ac:dyDescent="0.25">
      <c r="A24" s="33"/>
      <c r="E24" s="675"/>
      <c r="F24" s="675"/>
      <c r="G24" s="675"/>
      <c r="H24" s="676"/>
    </row>
    <row r="25" spans="1:10" s="669" customFormat="1" ht="15.75" x14ac:dyDescent="0.25">
      <c r="A25" s="33"/>
      <c r="E25" s="675"/>
      <c r="F25" s="675"/>
      <c r="G25" s="675"/>
      <c r="H25" s="676"/>
    </row>
    <row r="26" spans="1:10" s="669" customFormat="1" ht="15.75" x14ac:dyDescent="0.25">
      <c r="A26" s="33"/>
      <c r="E26" s="675"/>
      <c r="F26" s="675"/>
      <c r="G26" s="675"/>
      <c r="H26" s="676"/>
    </row>
    <row r="27" spans="1:10" s="669" customFormat="1" ht="15.75" x14ac:dyDescent="0.25">
      <c r="A27" s="33" t="s">
        <v>893</v>
      </c>
      <c r="E27" s="675"/>
      <c r="F27" s="675"/>
      <c r="G27" s="675"/>
      <c r="H27" s="676"/>
    </row>
    <row r="28" spans="1:10" s="669" customFormat="1" ht="16.5" thickBot="1" x14ac:dyDescent="0.3">
      <c r="A28" s="33"/>
      <c r="E28" s="675"/>
      <c r="F28" s="675"/>
      <c r="G28" s="675"/>
      <c r="H28" s="676" t="s">
        <v>1289</v>
      </c>
    </row>
    <row r="29" spans="1:10" s="107" customFormat="1" ht="20.25" customHeight="1" thickTop="1" thickBot="1" x14ac:dyDescent="0.25">
      <c r="A29" s="633" t="s">
        <v>174</v>
      </c>
      <c r="B29" s="634" t="s">
        <v>175</v>
      </c>
      <c r="C29" s="636" t="s">
        <v>744</v>
      </c>
      <c r="D29" s="636" t="s">
        <v>176</v>
      </c>
      <c r="E29" s="636" t="s">
        <v>177</v>
      </c>
      <c r="F29" s="636" t="s">
        <v>922</v>
      </c>
      <c r="G29" s="636" t="s">
        <v>923</v>
      </c>
      <c r="H29" s="637" t="s">
        <v>924</v>
      </c>
    </row>
    <row r="30" spans="1:10" s="384" customFormat="1" ht="13.5" thickTop="1" thickBot="1" x14ac:dyDescent="0.25">
      <c r="A30" s="568">
        <v>1</v>
      </c>
      <c r="B30" s="569">
        <v>2</v>
      </c>
      <c r="C30" s="569">
        <v>3</v>
      </c>
      <c r="D30" s="569">
        <v>4</v>
      </c>
      <c r="E30" s="569">
        <v>5</v>
      </c>
      <c r="F30" s="543">
        <v>6</v>
      </c>
      <c r="G30" s="543">
        <v>7</v>
      </c>
      <c r="H30" s="638" t="s">
        <v>61</v>
      </c>
      <c r="I30" s="107"/>
    </row>
    <row r="31" spans="1:10" s="1107" customFormat="1" ht="16.5" thickTop="1" x14ac:dyDescent="0.25">
      <c r="A31" s="34">
        <v>6172</v>
      </c>
      <c r="B31" s="1139">
        <v>6130</v>
      </c>
      <c r="C31" s="1154"/>
      <c r="D31" s="1108" t="s">
        <v>896</v>
      </c>
      <c r="E31" s="48">
        <v>982</v>
      </c>
      <c r="F31" s="447">
        <f>F32+F33+F34+F35</f>
        <v>1533</v>
      </c>
      <c r="G31" s="447">
        <v>1378</v>
      </c>
      <c r="H31" s="1113">
        <f t="shared" ref="H31:H36" si="1">(G31/F31)*100</f>
        <v>89.889106327462486</v>
      </c>
      <c r="J31" s="1148"/>
    </row>
    <row r="32" spans="1:10" s="1107" customFormat="1" ht="15" x14ac:dyDescent="0.2">
      <c r="A32" s="34"/>
      <c r="B32" s="1139"/>
      <c r="C32" s="1154" t="s">
        <v>792</v>
      </c>
      <c r="D32" s="1114" t="s">
        <v>706</v>
      </c>
      <c r="E32" s="55">
        <v>982</v>
      </c>
      <c r="F32" s="314">
        <v>973</v>
      </c>
      <c r="G32" s="316">
        <v>842</v>
      </c>
      <c r="H32" s="1116">
        <f t="shared" si="1"/>
        <v>86.536485097636174</v>
      </c>
      <c r="J32" s="1122"/>
    </row>
    <row r="33" spans="1:11" s="1107" customFormat="1" ht="15" x14ac:dyDescent="0.2">
      <c r="A33" s="34"/>
      <c r="B33" s="1139"/>
      <c r="C33" s="1120" t="s">
        <v>196</v>
      </c>
      <c r="D33" s="1114" t="s">
        <v>751</v>
      </c>
      <c r="E33" s="55"/>
      <c r="F33" s="314">
        <v>205</v>
      </c>
      <c r="G33" s="316">
        <v>203</v>
      </c>
      <c r="H33" s="1116">
        <f t="shared" si="1"/>
        <v>99.024390243902445</v>
      </c>
      <c r="J33" s="1122"/>
    </row>
    <row r="34" spans="1:11" s="1107" customFormat="1" ht="15" x14ac:dyDescent="0.2">
      <c r="A34" s="34"/>
      <c r="B34" s="1139"/>
      <c r="C34" s="1120" t="s">
        <v>195</v>
      </c>
      <c r="D34" s="1114" t="s">
        <v>705</v>
      </c>
      <c r="E34" s="55"/>
      <c r="F34" s="314">
        <v>254</v>
      </c>
      <c r="G34" s="316">
        <v>233</v>
      </c>
      <c r="H34" s="1116">
        <f t="shared" si="1"/>
        <v>91.732283464566933</v>
      </c>
      <c r="J34" s="1122"/>
    </row>
    <row r="35" spans="1:11" s="1107" customFormat="1" ht="15.75" thickBot="1" x14ac:dyDescent="0.25">
      <c r="A35" s="1146"/>
      <c r="B35" s="1143"/>
      <c r="C35" s="1132" t="s">
        <v>563</v>
      </c>
      <c r="D35" s="1333" t="s">
        <v>564</v>
      </c>
      <c r="E35" s="1151"/>
      <c r="F35" s="441">
        <v>101</v>
      </c>
      <c r="G35" s="442">
        <v>101</v>
      </c>
      <c r="H35" s="1401">
        <f t="shared" si="1"/>
        <v>100</v>
      </c>
      <c r="J35" s="1122"/>
    </row>
    <row r="36" spans="1:11" s="361" customFormat="1" ht="35.25" customHeight="1" thickTop="1" thickBot="1" x14ac:dyDescent="0.3">
      <c r="A36" s="639" t="s">
        <v>257</v>
      </c>
      <c r="B36" s="640"/>
      <c r="C36" s="641"/>
      <c r="D36" s="642"/>
      <c r="E36" s="643">
        <f>E31</f>
        <v>982</v>
      </c>
      <c r="F36" s="643">
        <f>F31</f>
        <v>1533</v>
      </c>
      <c r="G36" s="643">
        <f>G31</f>
        <v>1378</v>
      </c>
      <c r="H36" s="658">
        <f t="shared" si="1"/>
        <v>89.889106327462486</v>
      </c>
    </row>
    <row r="37" spans="1:11" ht="15.75" thickTop="1" x14ac:dyDescent="0.25">
      <c r="A37" s="779"/>
      <c r="B37" s="139"/>
      <c r="C37" s="139"/>
      <c r="D37" s="779"/>
      <c r="E37" s="181"/>
      <c r="F37" s="936"/>
      <c r="G37" s="181"/>
      <c r="H37" s="213"/>
    </row>
    <row r="38" spans="1:11" s="669" customFormat="1" ht="16.5" x14ac:dyDescent="0.25">
      <c r="A38" s="362" t="s">
        <v>504</v>
      </c>
      <c r="B38" s="363"/>
      <c r="C38" s="364"/>
      <c r="D38" s="364"/>
      <c r="E38" s="1075">
        <f>E39+E40+E41+E42</f>
        <v>35275</v>
      </c>
      <c r="F38" s="1075">
        <f>F39+F40+F41+F42</f>
        <v>33527</v>
      </c>
      <c r="G38" s="1075">
        <f>G39+G40+G41+G42</f>
        <v>32319</v>
      </c>
      <c r="H38" s="821">
        <f>(G38/F38)*100</f>
        <v>96.396933814537533</v>
      </c>
    </row>
    <row r="39" spans="1:11" ht="15" x14ac:dyDescent="0.2">
      <c r="A39" s="557" t="s">
        <v>277</v>
      </c>
      <c r="B39" s="587"/>
      <c r="C39" s="588"/>
      <c r="D39" s="588"/>
      <c r="E39" s="1076">
        <f>E21</f>
        <v>34293</v>
      </c>
      <c r="F39" s="1076">
        <f>F21-F41</f>
        <v>31994</v>
      </c>
      <c r="G39" s="1076">
        <f>G21-G41</f>
        <v>30941</v>
      </c>
      <c r="H39" s="822">
        <f>(G39/F39)*100</f>
        <v>96.708757892104771</v>
      </c>
    </row>
    <row r="40" spans="1:11" ht="15" x14ac:dyDescent="0.2">
      <c r="A40" s="557" t="s">
        <v>278</v>
      </c>
      <c r="B40" s="592"/>
      <c r="C40" s="588"/>
      <c r="D40" s="588"/>
      <c r="E40" s="976">
        <f>E36</f>
        <v>982</v>
      </c>
      <c r="F40" s="976">
        <f>F36-F42</f>
        <v>1432</v>
      </c>
      <c r="G40" s="976">
        <f>G36-G42</f>
        <v>1277</v>
      </c>
      <c r="H40" s="822">
        <f>(G40/F40)*100</f>
        <v>89.175977653631293</v>
      </c>
    </row>
    <row r="41" spans="1:11" ht="15" x14ac:dyDescent="0.2">
      <c r="A41" s="557" t="s">
        <v>221</v>
      </c>
      <c r="B41" s="592"/>
      <c r="C41" s="588"/>
      <c r="D41" s="588"/>
      <c r="E41" s="975">
        <v>0</v>
      </c>
      <c r="F41" s="590">
        <v>0</v>
      </c>
      <c r="G41" s="590">
        <v>0</v>
      </c>
      <c r="H41" s="822">
        <v>0</v>
      </c>
    </row>
    <row r="42" spans="1:11" ht="15" x14ac:dyDescent="0.2">
      <c r="A42" s="557" t="s">
        <v>1206</v>
      </c>
      <c r="B42" s="592"/>
      <c r="C42" s="588"/>
      <c r="D42" s="588"/>
      <c r="E42" s="975">
        <v>0</v>
      </c>
      <c r="F42" s="594">
        <f>F35</f>
        <v>101</v>
      </c>
      <c r="G42" s="594">
        <f>G35</f>
        <v>101</v>
      </c>
      <c r="H42" s="822">
        <f>(G42/F42)*100</f>
        <v>100</v>
      </c>
    </row>
    <row r="43" spans="1:11" ht="15" x14ac:dyDescent="0.25">
      <c r="A43" s="779"/>
      <c r="B43" s="139"/>
      <c r="C43" s="139"/>
      <c r="D43" s="779"/>
      <c r="E43" s="181"/>
      <c r="F43" s="936"/>
      <c r="G43" s="181"/>
      <c r="H43" s="213"/>
      <c r="J43" s="495"/>
      <c r="K43" s="495"/>
    </row>
    <row r="45" spans="1:11" s="58" customFormat="1" ht="47.25" customHeight="1" thickBot="1" x14ac:dyDescent="0.4">
      <c r="A45" s="650" t="s">
        <v>1246</v>
      </c>
      <c r="B45" s="651"/>
      <c r="C45" s="652"/>
      <c r="D45" s="653"/>
      <c r="E45" s="595">
        <f>SUM(E21,E36)</f>
        <v>35275</v>
      </c>
      <c r="F45" s="595">
        <f>SUM(F21,F36)</f>
        <v>33527</v>
      </c>
      <c r="G45" s="595">
        <f>SUM(G21,G36)</f>
        <v>32319</v>
      </c>
      <c r="H45" s="778">
        <f>(G45/F45)*100</f>
        <v>96.396933814537533</v>
      </c>
    </row>
    <row r="46" spans="1:11" ht="13.5" thickTop="1" x14ac:dyDescent="0.2"/>
  </sheetData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5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U40"/>
  <sheetViews>
    <sheetView showGridLines="0" view="pageBreakPreview" zoomScaleNormal="100" zoomScaleSheetLayoutView="100" workbookViewId="0">
      <selection activeCell="J49" sqref="J49"/>
    </sheetView>
  </sheetViews>
  <sheetFormatPr defaultRowHeight="12.75" x14ac:dyDescent="0.2"/>
  <cols>
    <col min="1" max="1" width="6.5703125" style="412" customWidth="1"/>
    <col min="2" max="2" width="7.42578125" style="412" customWidth="1"/>
    <col min="3" max="3" width="9" style="412" customWidth="1"/>
    <col min="4" max="4" width="42.28515625" style="349" customWidth="1"/>
    <col min="5" max="5" width="15.28515625" style="454" customWidth="1"/>
    <col min="6" max="6" width="14.85546875" style="454" customWidth="1"/>
    <col min="7" max="7" width="13.85546875" style="454" customWidth="1"/>
    <col min="8" max="8" width="7.42578125" style="349" customWidth="1"/>
    <col min="9" max="16384" width="9.140625" style="349"/>
  </cols>
  <sheetData>
    <row r="1" spans="1:21" x14ac:dyDescent="0.2">
      <c r="A1" s="2772" t="s">
        <v>49</v>
      </c>
      <c r="B1" s="2773"/>
      <c r="C1" s="2773"/>
      <c r="D1" s="2773"/>
      <c r="E1" s="2773"/>
      <c r="F1" s="2773"/>
      <c r="G1" s="2773"/>
      <c r="H1" s="2773"/>
    </row>
    <row r="2" spans="1:21" ht="12.75" customHeight="1" thickBot="1" x14ac:dyDescent="0.25">
      <c r="A2" s="2775"/>
      <c r="B2" s="2775"/>
      <c r="C2" s="2775"/>
      <c r="D2" s="2775"/>
      <c r="E2" s="2775"/>
      <c r="F2" s="2775"/>
      <c r="G2" s="2775"/>
      <c r="H2" s="2775"/>
    </row>
    <row r="3" spans="1:21" ht="18.75" customHeight="1" x14ac:dyDescent="0.25">
      <c r="A3" s="464"/>
      <c r="B3" s="464"/>
      <c r="C3" s="464"/>
      <c r="D3" s="464"/>
      <c r="E3" s="464"/>
      <c r="F3" s="464"/>
      <c r="G3" s="532" t="s">
        <v>755</v>
      </c>
    </row>
    <row r="4" spans="1:21" s="382" customFormat="1" ht="12.75" customHeight="1" x14ac:dyDescent="0.25">
      <c r="A4" s="67" t="s">
        <v>387</v>
      </c>
      <c r="B4" s="28"/>
      <c r="C4" s="28"/>
      <c r="D4" s="533" t="s">
        <v>388</v>
      </c>
      <c r="E4" s="16"/>
      <c r="F4" s="17"/>
      <c r="G4" s="16"/>
    </row>
    <row r="5" spans="1:21" s="382" customFormat="1" ht="12.75" customHeight="1" x14ac:dyDescent="0.25">
      <c r="A5" s="6"/>
      <c r="B5" s="28"/>
      <c r="C5" s="28"/>
      <c r="D5" s="533" t="s">
        <v>605</v>
      </c>
      <c r="E5" s="16"/>
      <c r="F5" s="17"/>
      <c r="G5" s="16"/>
    </row>
    <row r="6" spans="1:21" ht="15.75" thickBot="1" x14ac:dyDescent="0.3">
      <c r="A6" s="535"/>
      <c r="H6" s="536" t="s">
        <v>173</v>
      </c>
    </row>
    <row r="7" spans="1:21" s="384" customFormat="1" ht="25.5" thickTop="1" thickBot="1" x14ac:dyDescent="0.25">
      <c r="A7" s="537" t="s">
        <v>174</v>
      </c>
      <c r="B7" s="538" t="s">
        <v>800</v>
      </c>
      <c r="C7" s="538"/>
      <c r="D7" s="539" t="s">
        <v>176</v>
      </c>
      <c r="E7" s="540" t="s">
        <v>669</v>
      </c>
      <c r="F7" s="540" t="s">
        <v>670</v>
      </c>
      <c r="G7" s="541" t="s">
        <v>923</v>
      </c>
      <c r="H7" s="542" t="s">
        <v>924</v>
      </c>
    </row>
    <row r="8" spans="1:21" s="546" customFormat="1" ht="13.5" thickTop="1" thickBot="1" x14ac:dyDescent="0.25">
      <c r="A8" s="537">
        <v>1</v>
      </c>
      <c r="B8" s="538">
        <v>2</v>
      </c>
      <c r="C8" s="538">
        <v>3</v>
      </c>
      <c r="D8" s="538">
        <v>4</v>
      </c>
      <c r="E8" s="543">
        <v>5</v>
      </c>
      <c r="F8" s="543">
        <v>6</v>
      </c>
      <c r="G8" s="544">
        <v>7</v>
      </c>
      <c r="H8" s="545" t="s">
        <v>61</v>
      </c>
    </row>
    <row r="9" spans="1:21" s="440" customFormat="1" ht="16.5" customHeight="1" thickTop="1" x14ac:dyDescent="0.25">
      <c r="A9" s="2296">
        <v>6113</v>
      </c>
      <c r="B9" s="2294">
        <v>5169</v>
      </c>
      <c r="C9" s="547"/>
      <c r="D9" s="548" t="s">
        <v>892</v>
      </c>
      <c r="E9" s="371">
        <v>47</v>
      </c>
      <c r="F9" s="450">
        <v>47</v>
      </c>
      <c r="G9" s="371">
        <v>29</v>
      </c>
      <c r="H9" s="549">
        <f>(G9/F9)*100</f>
        <v>61.702127659574465</v>
      </c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</row>
    <row r="10" spans="1:21" s="440" customFormat="1" ht="16.5" customHeight="1" x14ac:dyDescent="0.25">
      <c r="A10" s="2297">
        <v>6113</v>
      </c>
      <c r="B10" s="2295">
        <v>5499</v>
      </c>
      <c r="C10" s="551"/>
      <c r="D10" s="552" t="s">
        <v>395</v>
      </c>
      <c r="E10" s="315">
        <v>75</v>
      </c>
      <c r="F10" s="313">
        <v>75</v>
      </c>
      <c r="G10" s="315">
        <v>3</v>
      </c>
      <c r="H10" s="553">
        <f>(G10/F10)*100</f>
        <v>4</v>
      </c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</row>
    <row r="11" spans="1:21" s="440" customFormat="1" ht="16.5" customHeight="1" x14ac:dyDescent="0.25">
      <c r="A11" s="2297">
        <v>6113</v>
      </c>
      <c r="B11" s="2295">
        <v>5901</v>
      </c>
      <c r="C11" s="551"/>
      <c r="D11" s="128" t="s">
        <v>639</v>
      </c>
      <c r="E11" s="315">
        <v>72</v>
      </c>
      <c r="F11" s="313">
        <v>72</v>
      </c>
      <c r="G11" s="315">
        <v>0</v>
      </c>
      <c r="H11" s="553">
        <v>0</v>
      </c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</row>
    <row r="12" spans="1:21" s="440" customFormat="1" ht="16.5" customHeight="1" x14ac:dyDescent="0.25">
      <c r="A12" s="2297">
        <v>6172</v>
      </c>
      <c r="B12" s="2295">
        <v>5139</v>
      </c>
      <c r="C12" s="551"/>
      <c r="D12" s="552" t="s">
        <v>662</v>
      </c>
      <c r="E12" s="315">
        <v>0</v>
      </c>
      <c r="F12" s="313">
        <v>5</v>
      </c>
      <c r="G12" s="315">
        <v>5</v>
      </c>
      <c r="H12" s="553">
        <f t="shared" ref="H12:H20" si="0">(G12/F12)*100</f>
        <v>100</v>
      </c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</row>
    <row r="13" spans="1:21" s="440" customFormat="1" ht="16.5" customHeight="1" x14ac:dyDescent="0.25">
      <c r="A13" s="2297">
        <v>6172</v>
      </c>
      <c r="B13" s="2295">
        <v>5163</v>
      </c>
      <c r="C13" s="551"/>
      <c r="D13" s="552" t="s">
        <v>934</v>
      </c>
      <c r="E13" s="315">
        <v>10</v>
      </c>
      <c r="F13" s="313">
        <v>10</v>
      </c>
      <c r="G13" s="315">
        <v>1</v>
      </c>
      <c r="H13" s="553">
        <f t="shared" si="0"/>
        <v>10</v>
      </c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</row>
    <row r="14" spans="1:21" s="440" customFormat="1" ht="16.5" customHeight="1" x14ac:dyDescent="0.25">
      <c r="A14" s="2297">
        <v>6172</v>
      </c>
      <c r="B14" s="2295">
        <v>5164</v>
      </c>
      <c r="C14" s="551"/>
      <c r="D14" s="552" t="s">
        <v>182</v>
      </c>
      <c r="E14" s="315">
        <v>10</v>
      </c>
      <c r="F14" s="313">
        <v>130</v>
      </c>
      <c r="G14" s="315">
        <v>126</v>
      </c>
      <c r="H14" s="553">
        <f t="shared" si="0"/>
        <v>96.92307692307692</v>
      </c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</row>
    <row r="15" spans="1:21" s="440" customFormat="1" ht="16.5" customHeight="1" x14ac:dyDescent="0.25">
      <c r="A15" s="2297">
        <v>6172</v>
      </c>
      <c r="B15" s="2295">
        <v>5169</v>
      </c>
      <c r="C15" s="551"/>
      <c r="D15" s="552" t="s">
        <v>892</v>
      </c>
      <c r="E15" s="315">
        <f>E16+E17</f>
        <v>2716</v>
      </c>
      <c r="F15" s="315">
        <f>F16+F17</f>
        <v>3141</v>
      </c>
      <c r="G15" s="315">
        <f>G16+G17</f>
        <v>2808</v>
      </c>
      <c r="H15" s="553">
        <f t="shared" si="0"/>
        <v>89.398280802292263</v>
      </c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</row>
    <row r="16" spans="1:21" s="440" customFormat="1" ht="16.5" customHeight="1" x14ac:dyDescent="0.2">
      <c r="A16" s="2297"/>
      <c r="B16" s="2295"/>
      <c r="C16" s="1120" t="s">
        <v>792</v>
      </c>
      <c r="D16" s="1114" t="s">
        <v>1321</v>
      </c>
      <c r="E16" s="316">
        <v>2660</v>
      </c>
      <c r="F16" s="314">
        <v>3085</v>
      </c>
      <c r="G16" s="316">
        <v>2785</v>
      </c>
      <c r="H16" s="556">
        <f t="shared" si="0"/>
        <v>90.275526742301466</v>
      </c>
      <c r="I16" s="312"/>
      <c r="J16" s="312"/>
      <c r="K16" s="312"/>
      <c r="L16" s="312"/>
      <c r="M16" s="312"/>
      <c r="N16" s="312"/>
      <c r="O16" s="312"/>
      <c r="P16" s="312"/>
      <c r="Q16" s="312"/>
      <c r="R16" s="312"/>
      <c r="S16" s="312"/>
      <c r="T16" s="312"/>
      <c r="U16" s="312"/>
    </row>
    <row r="17" spans="1:21" s="557" customFormat="1" ht="16.5" customHeight="1" x14ac:dyDescent="0.2">
      <c r="A17" s="2297"/>
      <c r="B17" s="2295"/>
      <c r="C17" s="554" t="s">
        <v>183</v>
      </c>
      <c r="D17" s="555" t="s">
        <v>184</v>
      </c>
      <c r="E17" s="316">
        <v>56</v>
      </c>
      <c r="F17" s="314">
        <v>56</v>
      </c>
      <c r="G17" s="316">
        <v>23</v>
      </c>
      <c r="H17" s="556">
        <f t="shared" si="0"/>
        <v>41.071428571428569</v>
      </c>
      <c r="I17" s="312"/>
      <c r="J17" s="312"/>
      <c r="K17" s="312"/>
      <c r="L17" s="312"/>
      <c r="M17" s="312"/>
      <c r="N17" s="312"/>
      <c r="O17" s="312"/>
      <c r="P17" s="312"/>
      <c r="Q17" s="312"/>
      <c r="R17" s="312"/>
      <c r="S17" s="312"/>
      <c r="T17" s="312"/>
      <c r="U17" s="312"/>
    </row>
    <row r="18" spans="1:21" s="440" customFormat="1" ht="16.5" customHeight="1" x14ac:dyDescent="0.25">
      <c r="A18" s="2297">
        <v>6172</v>
      </c>
      <c r="B18" s="2295">
        <v>5175</v>
      </c>
      <c r="C18" s="551"/>
      <c r="D18" s="552" t="s">
        <v>707</v>
      </c>
      <c r="E18" s="315">
        <v>100</v>
      </c>
      <c r="F18" s="313">
        <v>300</v>
      </c>
      <c r="G18" s="315">
        <v>139</v>
      </c>
      <c r="H18" s="553">
        <f t="shared" si="0"/>
        <v>46.333333333333329</v>
      </c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</row>
    <row r="19" spans="1:21" s="312" customFormat="1" ht="16.5" customHeight="1" x14ac:dyDescent="0.25">
      <c r="A19" s="2297">
        <v>6172</v>
      </c>
      <c r="B19" s="2295">
        <v>5194</v>
      </c>
      <c r="C19" s="551"/>
      <c r="D19" s="552" t="s">
        <v>636</v>
      </c>
      <c r="E19" s="315">
        <v>0</v>
      </c>
      <c r="F19" s="313">
        <v>110</v>
      </c>
      <c r="G19" s="315">
        <v>5</v>
      </c>
      <c r="H19" s="553">
        <f t="shared" si="0"/>
        <v>4.5454545454545459</v>
      </c>
    </row>
    <row r="20" spans="1:21" s="440" customFormat="1" ht="16.5" customHeight="1" thickBot="1" x14ac:dyDescent="0.3">
      <c r="A20" s="2311">
        <v>6172</v>
      </c>
      <c r="B20" s="2312">
        <v>5499</v>
      </c>
      <c r="C20" s="2313"/>
      <c r="D20" s="2314" t="s">
        <v>395</v>
      </c>
      <c r="E20" s="443">
        <v>2270</v>
      </c>
      <c r="F20" s="443">
        <v>2632</v>
      </c>
      <c r="G20" s="443">
        <v>2563</v>
      </c>
      <c r="H20" s="559">
        <f t="shared" si="0"/>
        <v>97.378419452887542</v>
      </c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2"/>
      <c r="U20" s="312"/>
    </row>
    <row r="21" spans="1:21" s="340" customFormat="1" ht="16.5" thickTop="1" thickBot="1" x14ac:dyDescent="0.3">
      <c r="A21" s="2782" t="s">
        <v>802</v>
      </c>
      <c r="B21" s="2783"/>
      <c r="C21" s="2783"/>
      <c r="D21" s="2784"/>
      <c r="E21" s="462">
        <f>SUM(E9,E10,E12,E13,E14,E15,E18,E19,E20,E11)</f>
        <v>5300</v>
      </c>
      <c r="F21" s="462">
        <f>F9+F10+F11+F12+F13+F14+F15+F18+F19+F20</f>
        <v>6522</v>
      </c>
      <c r="G21" s="462">
        <f>G9+G10+G11+G12+G13+G14+G15+G18+G19+G20</f>
        <v>5679</v>
      </c>
      <c r="H21" s="438">
        <f>G21/F21*100</f>
        <v>87.074517019319231</v>
      </c>
    </row>
    <row r="22" spans="1:21" ht="13.5" thickTop="1" x14ac:dyDescent="0.2">
      <c r="H22" s="560"/>
    </row>
    <row r="23" spans="1:21" x14ac:dyDescent="0.2">
      <c r="H23" s="560"/>
    </row>
    <row r="24" spans="1:21" s="1495" customFormat="1" ht="15.75" x14ac:dyDescent="0.25">
      <c r="A24" s="1493" t="s">
        <v>1778</v>
      </c>
      <c r="B24" s="1493"/>
      <c r="C24" s="1493"/>
      <c r="D24" s="1493"/>
      <c r="E24" s="974">
        <f>SUM(E25:E27)</f>
        <v>5300</v>
      </c>
      <c r="F24" s="974">
        <f>SUM(F25:F27)</f>
        <v>6522</v>
      </c>
      <c r="G24" s="974">
        <f>SUM(G25:G27)</f>
        <v>5679</v>
      </c>
      <c r="H24" s="1494">
        <f>G24/F24*100</f>
        <v>87.074517019319231</v>
      </c>
    </row>
    <row r="25" spans="1:21" s="1499" customFormat="1" ht="15" x14ac:dyDescent="0.2">
      <c r="A25" s="557" t="s">
        <v>277</v>
      </c>
      <c r="B25" s="1496"/>
      <c r="C25" s="1496"/>
      <c r="D25" s="1496"/>
      <c r="E25" s="1497">
        <f>SUM(E21)</f>
        <v>5300</v>
      </c>
      <c r="F25" s="1497">
        <f>SUM(F21)</f>
        <v>6522</v>
      </c>
      <c r="G25" s="1497">
        <f>SUM(G21)</f>
        <v>5679</v>
      </c>
      <c r="H25" s="1498">
        <f>G25/F25*100</f>
        <v>87.074517019319231</v>
      </c>
    </row>
    <row r="26" spans="1:21" s="1499" customFormat="1" ht="15" x14ac:dyDescent="0.2">
      <c r="A26" s="557" t="s">
        <v>278</v>
      </c>
      <c r="B26" s="1496"/>
      <c r="C26" s="1496"/>
      <c r="D26" s="1496"/>
      <c r="E26" s="1497">
        <v>0</v>
      </c>
      <c r="F26" s="1497">
        <v>0</v>
      </c>
      <c r="G26" s="1497">
        <v>0</v>
      </c>
      <c r="H26" s="1498">
        <v>0</v>
      </c>
    </row>
    <row r="27" spans="1:21" s="589" customFormat="1" ht="15" x14ac:dyDescent="0.2">
      <c r="A27" s="1496" t="s">
        <v>1238</v>
      </c>
      <c r="B27" s="1496"/>
      <c r="C27" s="1496"/>
      <c r="D27" s="1496"/>
      <c r="E27" s="1497">
        <v>0</v>
      </c>
      <c r="F27" s="1497">
        <v>0</v>
      </c>
      <c r="G27" s="1497">
        <v>0</v>
      </c>
      <c r="H27" s="1498">
        <v>0</v>
      </c>
    </row>
    <row r="28" spans="1:21" s="589" customFormat="1" ht="15" x14ac:dyDescent="0.2">
      <c r="A28" s="1496"/>
      <c r="B28" s="1496"/>
      <c r="C28" s="1496"/>
      <c r="D28" s="1496"/>
      <c r="E28" s="1497"/>
      <c r="F28" s="1497"/>
      <c r="G28" s="1497"/>
      <c r="H28" s="1498"/>
    </row>
    <row r="29" spans="1:21" s="1500" customFormat="1" ht="23.25" x14ac:dyDescent="0.35">
      <c r="A29" s="2787" t="s">
        <v>1777</v>
      </c>
      <c r="B29" s="2788"/>
      <c r="C29" s="2788"/>
      <c r="D29" s="2788"/>
      <c r="E29" s="2317">
        <f>SUM(E24)</f>
        <v>5300</v>
      </c>
      <c r="F29" s="2317">
        <f>SUM(F24)</f>
        <v>6522</v>
      </c>
      <c r="G29" s="2317">
        <f>SUM(G24)</f>
        <v>5679</v>
      </c>
      <c r="H29" s="2318">
        <f>G29/F29*100</f>
        <v>87.074517019319231</v>
      </c>
    </row>
    <row r="30" spans="1:21" s="1500" customFormat="1" ht="24" thickBot="1" x14ac:dyDescent="0.4">
      <c r="A30" s="2789"/>
      <c r="B30" s="2789"/>
      <c r="C30" s="2789"/>
      <c r="D30" s="2789"/>
      <c r="E30" s="2319"/>
      <c r="F30" s="2319"/>
      <c r="G30" s="2319"/>
      <c r="H30" s="2320"/>
    </row>
    <row r="31" spans="1:21" ht="13.5" thickTop="1" x14ac:dyDescent="0.2">
      <c r="D31" s="412"/>
      <c r="E31" s="412"/>
      <c r="F31" s="349"/>
      <c r="G31" s="437"/>
      <c r="H31" s="424"/>
      <c r="I31" s="437"/>
    </row>
    <row r="32" spans="1:21" x14ac:dyDescent="0.2">
      <c r="D32" s="412"/>
      <c r="E32" s="412"/>
      <c r="F32" s="563"/>
      <c r="G32" s="383"/>
      <c r="H32" s="383"/>
      <c r="I32" s="383"/>
      <c r="J32" s="563"/>
    </row>
    <row r="33" spans="1:10" ht="14.25" x14ac:dyDescent="0.2">
      <c r="A33" s="564" t="s">
        <v>116</v>
      </c>
      <c r="B33" s="565"/>
      <c r="C33" s="565"/>
      <c r="D33" s="565"/>
      <c r="E33" s="565"/>
      <c r="F33" s="566"/>
      <c r="G33" s="493"/>
      <c r="H33" s="493"/>
      <c r="I33" s="493"/>
      <c r="J33" s="566"/>
    </row>
    <row r="34" spans="1:10" ht="15.75" customHeight="1" x14ac:dyDescent="0.2">
      <c r="A34" s="2785" t="s">
        <v>1714</v>
      </c>
      <c r="B34" s="2786"/>
      <c r="C34" s="2786"/>
      <c r="D34" s="2786"/>
      <c r="E34" s="2786"/>
      <c r="F34" s="2786"/>
      <c r="G34" s="2786"/>
      <c r="H34" s="2786"/>
      <c r="I34" s="376"/>
      <c r="J34" s="376"/>
    </row>
    <row r="35" spans="1:10" ht="12.75" customHeight="1" x14ac:dyDescent="0.2">
      <c r="A35" s="2786"/>
      <c r="B35" s="2786"/>
      <c r="C35" s="2786"/>
      <c r="D35" s="2786"/>
      <c r="E35" s="2786"/>
      <c r="F35" s="2786"/>
      <c r="G35" s="2786"/>
      <c r="H35" s="2786"/>
      <c r="I35" s="376"/>
      <c r="J35" s="376"/>
    </row>
    <row r="39" spans="1:10" x14ac:dyDescent="0.2">
      <c r="C39" s="2301"/>
    </row>
    <row r="40" spans="1:10" x14ac:dyDescent="0.2">
      <c r="C40" s="2301"/>
    </row>
  </sheetData>
  <mergeCells count="4">
    <mergeCell ref="A1:H2"/>
    <mergeCell ref="A21:D21"/>
    <mergeCell ref="A34:H35"/>
    <mergeCell ref="A29:D30"/>
  </mergeCells>
  <phoneticPr fontId="35" type="noConversion"/>
  <pageMargins left="0.98425196850393704" right="0.98425196850393704" top="0.98425196850393704" bottom="0.98425196850393704" header="0.51181102362204722" footer="0.51181102362204722"/>
  <pageSetup paperSize="9" scale="70" firstPageNumber="179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 enableFormatConditionsCalculation="0">
    <tabColor indexed="33"/>
  </sheetPr>
  <dimension ref="A1:N66"/>
  <sheetViews>
    <sheetView showGridLines="0" topLeftCell="B52" zoomScaleNormal="100" workbookViewId="0">
      <selection activeCell="D63" sqref="D62:D64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4" customWidth="1"/>
  </cols>
  <sheetData>
    <row r="1" spans="1:8" s="74" customFormat="1" ht="18.75" thickBot="1" x14ac:dyDescent="0.3">
      <c r="A1" s="77" t="s">
        <v>396</v>
      </c>
      <c r="B1" s="77"/>
      <c r="C1" s="77"/>
      <c r="D1" s="77"/>
      <c r="E1" s="79"/>
      <c r="F1" s="79" t="s">
        <v>755</v>
      </c>
      <c r="G1" s="80"/>
      <c r="H1" s="216"/>
    </row>
    <row r="3" spans="1:8" ht="14.25" x14ac:dyDescent="0.2">
      <c r="A3" s="65" t="s">
        <v>387</v>
      </c>
      <c r="B3" s="65"/>
      <c r="C3" s="65" t="s">
        <v>388</v>
      </c>
      <c r="D3" s="65"/>
    </row>
    <row r="4" spans="1:8" ht="14.25" x14ac:dyDescent="0.2">
      <c r="A4" s="65"/>
      <c r="B4" s="65"/>
      <c r="C4" s="65" t="s">
        <v>356</v>
      </c>
      <c r="D4" s="65"/>
    </row>
    <row r="6" spans="1:8" ht="15.75" x14ac:dyDescent="0.25">
      <c r="A6" s="73" t="s">
        <v>925</v>
      </c>
    </row>
    <row r="7" spans="1:8" ht="13.5" thickBot="1" x14ac:dyDescent="0.25">
      <c r="H7" s="114" t="s">
        <v>173</v>
      </c>
    </row>
    <row r="8" spans="1:8" s="24" customFormat="1" ht="20.25" customHeight="1" thickTop="1" thickBot="1" x14ac:dyDescent="0.25">
      <c r="A8" s="21" t="s">
        <v>174</v>
      </c>
      <c r="B8" s="22" t="s">
        <v>175</v>
      </c>
      <c r="C8" s="46" t="s">
        <v>744</v>
      </c>
      <c r="D8" s="46" t="s">
        <v>176</v>
      </c>
      <c r="E8" s="46" t="s">
        <v>177</v>
      </c>
      <c r="F8" s="46" t="s">
        <v>922</v>
      </c>
      <c r="G8" s="46" t="s">
        <v>923</v>
      </c>
      <c r="H8" s="204" t="s">
        <v>924</v>
      </c>
    </row>
    <row r="9" spans="1:8" s="107" customFormat="1" ht="15.75" customHeight="1" thickTop="1" x14ac:dyDescent="0.25">
      <c r="A9" s="235">
        <v>6113</v>
      </c>
      <c r="B9" s="219">
        <v>5169</v>
      </c>
      <c r="C9" s="236"/>
      <c r="D9" s="221" t="s">
        <v>892</v>
      </c>
      <c r="E9" s="227">
        <v>36</v>
      </c>
      <c r="F9" s="148">
        <f>E9+F11</f>
        <v>40</v>
      </c>
      <c r="G9" s="148">
        <v>24</v>
      </c>
      <c r="H9" s="240">
        <f>(G9/F9)*100</f>
        <v>60</v>
      </c>
    </row>
    <row r="10" spans="1:8" s="107" customFormat="1" ht="15.75" customHeight="1" x14ac:dyDescent="0.25">
      <c r="A10" s="223"/>
      <c r="B10" s="96"/>
      <c r="C10" s="175"/>
      <c r="D10" s="224" t="s">
        <v>410</v>
      </c>
      <c r="E10" s="149"/>
      <c r="F10" s="60"/>
      <c r="G10" s="60"/>
      <c r="H10" s="212"/>
    </row>
    <row r="11" spans="1:8" s="107" customFormat="1" ht="15.75" customHeight="1" x14ac:dyDescent="0.25">
      <c r="A11" s="238"/>
      <c r="B11" s="95"/>
      <c r="C11" s="176"/>
      <c r="D11" s="172" t="s">
        <v>287</v>
      </c>
      <c r="E11" s="218"/>
      <c r="F11" s="97">
        <v>4</v>
      </c>
      <c r="G11" s="126"/>
      <c r="H11" s="248"/>
    </row>
    <row r="12" spans="1:8" s="107" customFormat="1" ht="15.75" customHeight="1" x14ac:dyDescent="0.25">
      <c r="A12" s="223">
        <v>6113</v>
      </c>
      <c r="B12" s="96">
        <v>5499</v>
      </c>
      <c r="C12" s="175"/>
      <c r="D12" s="68" t="s">
        <v>395</v>
      </c>
      <c r="E12" s="149">
        <v>29</v>
      </c>
      <c r="F12" s="60">
        <f>E12+F14</f>
        <v>25</v>
      </c>
      <c r="G12" s="60">
        <v>7</v>
      </c>
      <c r="H12" s="212">
        <f>(G12/F12)*100</f>
        <v>28.000000000000004</v>
      </c>
    </row>
    <row r="13" spans="1:8" s="107" customFormat="1" ht="15.75" customHeight="1" x14ac:dyDescent="0.25">
      <c r="A13" s="223"/>
      <c r="B13" s="96"/>
      <c r="C13" s="175"/>
      <c r="D13" s="90" t="s">
        <v>936</v>
      </c>
      <c r="E13" s="149"/>
      <c r="F13" s="60"/>
      <c r="G13" s="60"/>
      <c r="H13" s="212"/>
    </row>
    <row r="14" spans="1:8" s="107" customFormat="1" ht="15.75" customHeight="1" x14ac:dyDescent="0.25">
      <c r="A14" s="238"/>
      <c r="B14" s="95"/>
      <c r="C14" s="176"/>
      <c r="D14" s="172" t="s">
        <v>812</v>
      </c>
      <c r="E14" s="218"/>
      <c r="F14" s="97">
        <v>-4</v>
      </c>
      <c r="G14" s="126"/>
      <c r="H14" s="248"/>
    </row>
    <row r="15" spans="1:8" s="107" customFormat="1" ht="15.75" customHeight="1" x14ac:dyDescent="0.25">
      <c r="A15" s="251">
        <v>6113</v>
      </c>
      <c r="B15" s="220">
        <v>5901</v>
      </c>
      <c r="C15" s="252"/>
      <c r="D15" s="109" t="s">
        <v>639</v>
      </c>
      <c r="E15" s="187">
        <v>90</v>
      </c>
      <c r="F15" s="186">
        <v>90</v>
      </c>
      <c r="G15" s="186">
        <v>0</v>
      </c>
      <c r="H15" s="257">
        <v>0</v>
      </c>
    </row>
    <row r="16" spans="1:8" s="107" customFormat="1" ht="15.75" customHeight="1" x14ac:dyDescent="0.25">
      <c r="A16" s="223">
        <v>6172</v>
      </c>
      <c r="B16" s="96">
        <v>5137</v>
      </c>
      <c r="C16" s="175"/>
      <c r="D16" s="68" t="s">
        <v>813</v>
      </c>
      <c r="E16" s="149"/>
      <c r="F16" s="60">
        <v>10</v>
      </c>
      <c r="G16" s="60">
        <v>6</v>
      </c>
      <c r="H16" s="212">
        <f>(G16/F16)*100</f>
        <v>60</v>
      </c>
    </row>
    <row r="17" spans="1:8" s="108" customFormat="1" ht="15.75" customHeight="1" x14ac:dyDescent="0.25">
      <c r="A17" s="223"/>
      <c r="B17" s="96"/>
      <c r="C17" s="175"/>
      <c r="D17" s="224" t="s">
        <v>410</v>
      </c>
      <c r="E17" s="149"/>
      <c r="F17" s="60"/>
      <c r="G17" s="60"/>
      <c r="H17" s="212"/>
    </row>
    <row r="18" spans="1:8" s="108" customFormat="1" ht="15.75" customHeight="1" x14ac:dyDescent="0.25">
      <c r="A18" s="238"/>
      <c r="B18" s="95"/>
      <c r="C18" s="176"/>
      <c r="D18" s="172" t="s">
        <v>814</v>
      </c>
      <c r="E18" s="218"/>
      <c r="F18" s="97">
        <v>10</v>
      </c>
      <c r="G18" s="126"/>
      <c r="H18" s="248"/>
    </row>
    <row r="19" spans="1:8" s="107" customFormat="1" ht="15.75" customHeight="1" x14ac:dyDescent="0.25">
      <c r="A19" s="223">
        <v>6172</v>
      </c>
      <c r="B19" s="96">
        <v>5139</v>
      </c>
      <c r="C19" s="175"/>
      <c r="D19" s="68" t="s">
        <v>662</v>
      </c>
      <c r="E19" s="149"/>
      <c r="F19" s="60">
        <v>1</v>
      </c>
      <c r="G19" s="60">
        <v>0</v>
      </c>
      <c r="H19" s="212">
        <v>0</v>
      </c>
    </row>
    <row r="20" spans="1:8" s="107" customFormat="1" ht="15.75" customHeight="1" x14ac:dyDescent="0.25">
      <c r="A20" s="223"/>
      <c r="B20" s="96"/>
      <c r="C20" s="175"/>
      <c r="D20" s="224" t="s">
        <v>410</v>
      </c>
      <c r="E20" s="149"/>
      <c r="F20" s="124"/>
      <c r="G20" s="60"/>
      <c r="H20" s="212"/>
    </row>
    <row r="21" spans="1:8" s="107" customFormat="1" ht="15.75" customHeight="1" x14ac:dyDescent="0.25">
      <c r="A21" s="238"/>
      <c r="B21" s="95"/>
      <c r="C21" s="176"/>
      <c r="D21" s="172" t="s">
        <v>955</v>
      </c>
      <c r="E21" s="218"/>
      <c r="F21" s="97">
        <v>1</v>
      </c>
      <c r="G21" s="126"/>
      <c r="H21" s="248"/>
    </row>
    <row r="22" spans="1:8" s="107" customFormat="1" ht="15.75" customHeight="1" x14ac:dyDescent="0.25">
      <c r="A22" s="251">
        <v>6172</v>
      </c>
      <c r="B22" s="220">
        <v>5163</v>
      </c>
      <c r="C22" s="252"/>
      <c r="D22" s="109" t="s">
        <v>934</v>
      </c>
      <c r="E22" s="187">
        <v>30</v>
      </c>
      <c r="F22" s="186">
        <v>30</v>
      </c>
      <c r="G22" s="186">
        <v>17</v>
      </c>
      <c r="H22" s="257">
        <f>(G22/F22)*100</f>
        <v>56.666666666666664</v>
      </c>
    </row>
    <row r="23" spans="1:8" s="107" customFormat="1" ht="15.75" customHeight="1" x14ac:dyDescent="0.25">
      <c r="A23" s="223">
        <v>6172</v>
      </c>
      <c r="B23" s="96">
        <v>5164</v>
      </c>
      <c r="C23" s="175"/>
      <c r="D23" s="68" t="s">
        <v>182</v>
      </c>
      <c r="E23" s="149">
        <v>50</v>
      </c>
      <c r="F23" s="60">
        <f>E23+F25</f>
        <v>75</v>
      </c>
      <c r="G23" s="60">
        <v>70</v>
      </c>
      <c r="H23" s="212">
        <f>(G23/F23)*100</f>
        <v>93.333333333333329</v>
      </c>
    </row>
    <row r="24" spans="1:8" s="107" customFormat="1" ht="15.75" customHeight="1" x14ac:dyDescent="0.25">
      <c r="A24" s="223"/>
      <c r="B24" s="96"/>
      <c r="C24" s="175"/>
      <c r="D24" s="224" t="s">
        <v>410</v>
      </c>
      <c r="E24" s="149"/>
      <c r="F24" s="60"/>
      <c r="G24" s="60"/>
      <c r="H24" s="212"/>
    </row>
    <row r="25" spans="1:8" s="107" customFormat="1" ht="15.75" customHeight="1" x14ac:dyDescent="0.25">
      <c r="A25" s="238"/>
      <c r="B25" s="95"/>
      <c r="C25" s="176"/>
      <c r="D25" s="172" t="s">
        <v>955</v>
      </c>
      <c r="E25" s="218"/>
      <c r="F25" s="97">
        <v>25</v>
      </c>
      <c r="G25" s="126"/>
      <c r="H25" s="248"/>
    </row>
    <row r="26" spans="1:8" s="107" customFormat="1" ht="15.75" customHeight="1" x14ac:dyDescent="0.25">
      <c r="A26" s="223">
        <v>6172</v>
      </c>
      <c r="B26" s="96">
        <v>5169</v>
      </c>
      <c r="C26" s="175"/>
      <c r="D26" s="68" t="s">
        <v>892</v>
      </c>
      <c r="E26" s="149">
        <v>2706</v>
      </c>
      <c r="F26" s="60">
        <f>E26+F28+F29+F32</f>
        <v>2967</v>
      </c>
      <c r="G26" s="60">
        <v>2738</v>
      </c>
      <c r="H26" s="212">
        <f>(G26/F26)*100</f>
        <v>92.281766093697343</v>
      </c>
    </row>
    <row r="27" spans="1:8" s="107" customFormat="1" ht="15.75" customHeight="1" x14ac:dyDescent="0.25">
      <c r="A27" s="223"/>
      <c r="B27" s="96"/>
      <c r="C27" s="175"/>
      <c r="D27" s="224" t="s">
        <v>410</v>
      </c>
      <c r="E27" s="149"/>
      <c r="F27" s="60"/>
      <c r="G27" s="60"/>
      <c r="H27" s="212"/>
    </row>
    <row r="28" spans="1:8" s="107" customFormat="1" ht="15.75" customHeight="1" x14ac:dyDescent="0.25">
      <c r="A28" s="223"/>
      <c r="B28" s="96"/>
      <c r="C28" s="175"/>
      <c r="D28" s="225" t="s">
        <v>956</v>
      </c>
      <c r="E28" s="149"/>
      <c r="F28" s="124">
        <v>523</v>
      </c>
      <c r="G28" s="60"/>
      <c r="H28" s="212"/>
    </row>
    <row r="29" spans="1:8" s="107" customFormat="1" ht="15.75" customHeight="1" x14ac:dyDescent="0.25">
      <c r="A29" s="223"/>
      <c r="B29" s="96"/>
      <c r="C29" s="175"/>
      <c r="D29" s="2790" t="s">
        <v>708</v>
      </c>
      <c r="E29" s="149"/>
      <c r="F29" s="124">
        <v>38</v>
      </c>
      <c r="G29" s="60"/>
      <c r="H29" s="212"/>
    </row>
    <row r="30" spans="1:8" s="107" customFormat="1" ht="15.75" customHeight="1" x14ac:dyDescent="0.25">
      <c r="A30" s="223"/>
      <c r="B30" s="96"/>
      <c r="C30" s="175"/>
      <c r="D30" s="2790"/>
      <c r="E30" s="149"/>
      <c r="F30" s="124"/>
      <c r="G30" s="60"/>
      <c r="H30" s="212"/>
    </row>
    <row r="31" spans="1:8" s="107" customFormat="1" ht="15.75" customHeight="1" x14ac:dyDescent="0.25">
      <c r="A31" s="223"/>
      <c r="B31" s="96"/>
      <c r="C31" s="175"/>
      <c r="D31" s="90" t="s">
        <v>936</v>
      </c>
      <c r="E31" s="149"/>
      <c r="F31" s="124"/>
      <c r="G31" s="60"/>
      <c r="H31" s="212"/>
    </row>
    <row r="32" spans="1:8" s="107" customFormat="1" ht="15.75" customHeight="1" x14ac:dyDescent="0.25">
      <c r="A32" s="238"/>
      <c r="B32" s="95"/>
      <c r="C32" s="176"/>
      <c r="D32" s="249" t="s">
        <v>272</v>
      </c>
      <c r="E32" s="218"/>
      <c r="F32" s="97">
        <v>-300</v>
      </c>
      <c r="G32" s="126"/>
      <c r="H32" s="248"/>
    </row>
    <row r="33" spans="1:8" s="107" customFormat="1" ht="15.75" customHeight="1" x14ac:dyDescent="0.25">
      <c r="A33" s="223">
        <v>6172</v>
      </c>
      <c r="B33" s="96">
        <v>5175</v>
      </c>
      <c r="C33" s="175"/>
      <c r="D33" s="256" t="s">
        <v>707</v>
      </c>
      <c r="E33" s="149"/>
      <c r="F33" s="60">
        <v>150</v>
      </c>
      <c r="G33" s="60">
        <v>136</v>
      </c>
      <c r="H33" s="212">
        <f>(G33/F33)*100</f>
        <v>90.666666666666657</v>
      </c>
    </row>
    <row r="34" spans="1:8" s="107" customFormat="1" ht="15.75" customHeight="1" x14ac:dyDescent="0.25">
      <c r="A34" s="223"/>
      <c r="B34" s="96"/>
      <c r="C34" s="175"/>
      <c r="D34" s="224" t="s">
        <v>410</v>
      </c>
      <c r="E34" s="149"/>
      <c r="F34" s="124"/>
      <c r="G34" s="60"/>
      <c r="H34" s="212"/>
    </row>
    <row r="35" spans="1:8" s="107" customFormat="1" ht="15.75" customHeight="1" x14ac:dyDescent="0.25">
      <c r="A35" s="238"/>
      <c r="B35" s="95"/>
      <c r="C35" s="176"/>
      <c r="D35" s="172" t="s">
        <v>814</v>
      </c>
      <c r="E35" s="218"/>
      <c r="F35" s="97">
        <v>150</v>
      </c>
      <c r="G35" s="126"/>
      <c r="H35" s="248"/>
    </row>
    <row r="36" spans="1:8" s="107" customFormat="1" ht="15.75" customHeight="1" x14ac:dyDescent="0.25">
      <c r="A36" s="223">
        <v>6172</v>
      </c>
      <c r="B36" s="96">
        <v>5194</v>
      </c>
      <c r="C36" s="175"/>
      <c r="D36" s="68" t="s">
        <v>636</v>
      </c>
      <c r="E36" s="149">
        <v>100</v>
      </c>
      <c r="F36" s="60">
        <f>E36+F38</f>
        <v>50</v>
      </c>
      <c r="G36" s="60">
        <v>49</v>
      </c>
      <c r="H36" s="212">
        <f>(G36/F36)*100</f>
        <v>98</v>
      </c>
    </row>
    <row r="37" spans="1:8" s="107" customFormat="1" ht="15.75" customHeight="1" x14ac:dyDescent="0.25">
      <c r="A37" s="223"/>
      <c r="B37" s="96"/>
      <c r="C37" s="175"/>
      <c r="D37" s="90" t="s">
        <v>936</v>
      </c>
      <c r="E37" s="149"/>
      <c r="F37" s="60"/>
      <c r="G37" s="60"/>
      <c r="H37" s="212"/>
    </row>
    <row r="38" spans="1:8" s="107" customFormat="1" ht="15.75" customHeight="1" x14ac:dyDescent="0.25">
      <c r="A38" s="238"/>
      <c r="B38" s="95"/>
      <c r="C38" s="176"/>
      <c r="D38" s="172" t="s">
        <v>956</v>
      </c>
      <c r="E38" s="218"/>
      <c r="F38" s="97">
        <v>-50</v>
      </c>
      <c r="G38" s="126"/>
      <c r="H38" s="248"/>
    </row>
    <row r="39" spans="1:8" s="107" customFormat="1" ht="15.75" customHeight="1" x14ac:dyDescent="0.25">
      <c r="A39" s="223">
        <v>6172</v>
      </c>
      <c r="B39" s="96">
        <v>5499</v>
      </c>
      <c r="C39" s="175"/>
      <c r="D39" s="68" t="s">
        <v>395</v>
      </c>
      <c r="E39" s="149">
        <v>1400</v>
      </c>
      <c r="F39" s="60">
        <f>E39+F41+F44+F42</f>
        <v>1798</v>
      </c>
      <c r="G39" s="60">
        <v>1803</v>
      </c>
      <c r="H39" s="212">
        <f>(G39/F39)*100</f>
        <v>100.27808676307008</v>
      </c>
    </row>
    <row r="40" spans="1:8" s="107" customFormat="1" ht="15.75" customHeight="1" x14ac:dyDescent="0.25">
      <c r="A40" s="223"/>
      <c r="B40" s="96"/>
      <c r="C40" s="175"/>
      <c r="D40" s="224" t="s">
        <v>410</v>
      </c>
      <c r="E40" s="149"/>
      <c r="F40" s="60"/>
      <c r="G40" s="60"/>
      <c r="H40" s="212"/>
    </row>
    <row r="41" spans="1:8" s="107" customFormat="1" ht="15.75" customHeight="1" x14ac:dyDescent="0.25">
      <c r="A41" s="223"/>
      <c r="B41" s="96"/>
      <c r="C41" s="175"/>
      <c r="D41" s="225" t="s">
        <v>956</v>
      </c>
      <c r="E41" s="149"/>
      <c r="F41" s="124">
        <v>214</v>
      </c>
      <c r="G41" s="60"/>
      <c r="H41" s="212"/>
    </row>
    <row r="42" spans="1:8" s="107" customFormat="1" ht="15.75" customHeight="1" x14ac:dyDescent="0.25">
      <c r="A42" s="223"/>
      <c r="B42" s="96"/>
      <c r="C42" s="175"/>
      <c r="D42" s="225" t="s">
        <v>273</v>
      </c>
      <c r="E42" s="149"/>
      <c r="F42" s="124">
        <v>300</v>
      </c>
      <c r="G42" s="60"/>
      <c r="H42" s="212"/>
    </row>
    <row r="43" spans="1:8" s="107" customFormat="1" ht="15.75" customHeight="1" x14ac:dyDescent="0.25">
      <c r="A43" s="223"/>
      <c r="B43" s="96"/>
      <c r="C43" s="175"/>
      <c r="D43" s="90" t="s">
        <v>936</v>
      </c>
      <c r="E43" s="149"/>
      <c r="F43" s="124"/>
      <c r="G43" s="60"/>
      <c r="H43" s="212"/>
    </row>
    <row r="44" spans="1:8" s="107" customFormat="1" ht="15.75" customHeight="1" thickBot="1" x14ac:dyDescent="0.3">
      <c r="A44" s="263"/>
      <c r="B44" s="250"/>
      <c r="C44" s="264"/>
      <c r="D44" s="226" t="s">
        <v>274</v>
      </c>
      <c r="E44" s="265"/>
      <c r="F44" s="184">
        <v>-116</v>
      </c>
      <c r="G44" s="266"/>
      <c r="H44" s="267"/>
    </row>
    <row r="45" spans="1:8" s="107" customFormat="1" ht="15.75" customHeight="1" thickTop="1" x14ac:dyDescent="0.25">
      <c r="A45" s="268"/>
      <c r="B45" s="268"/>
      <c r="C45" s="175"/>
      <c r="D45" s="166"/>
      <c r="E45" s="149"/>
      <c r="F45" s="123"/>
      <c r="G45" s="149"/>
      <c r="H45" s="269"/>
    </row>
    <row r="46" spans="1:8" s="107" customFormat="1" ht="15.75" customHeight="1" x14ac:dyDescent="0.25">
      <c r="A46" s="268"/>
      <c r="B46" s="268"/>
      <c r="C46" s="175"/>
      <c r="D46" s="166"/>
      <c r="E46" s="149"/>
      <c r="F46" s="123"/>
      <c r="G46" s="149"/>
      <c r="H46" s="269"/>
    </row>
    <row r="47" spans="1:8" s="107" customFormat="1" ht="15.75" customHeight="1" x14ac:dyDescent="0.25">
      <c r="A47" s="268"/>
      <c r="B47" s="268"/>
      <c r="C47" s="175"/>
      <c r="D47" s="166"/>
      <c r="E47" s="149"/>
      <c r="F47" s="123"/>
      <c r="G47" s="149"/>
      <c r="H47" s="269"/>
    </row>
    <row r="48" spans="1:8" s="107" customFormat="1" ht="15.75" customHeight="1" x14ac:dyDescent="0.25">
      <c r="A48" s="268"/>
      <c r="B48" s="268"/>
      <c r="C48" s="175"/>
      <c r="D48" s="166"/>
      <c r="E48" s="149"/>
      <c r="F48" s="123"/>
      <c r="G48" s="149"/>
      <c r="H48" s="269"/>
    </row>
    <row r="49" spans="1:8" s="107" customFormat="1" ht="15.75" customHeight="1" x14ac:dyDescent="0.25">
      <c r="A49" s="268"/>
      <c r="B49" s="268"/>
      <c r="C49" s="175"/>
      <c r="D49" s="166"/>
      <c r="E49" s="149"/>
      <c r="F49" s="123"/>
      <c r="G49" s="149"/>
      <c r="H49" s="269"/>
    </row>
    <row r="50" spans="1:8" s="107" customFormat="1" ht="15.75" customHeight="1" x14ac:dyDescent="0.25">
      <c r="A50" s="268"/>
      <c r="B50" s="268"/>
      <c r="C50" s="175"/>
      <c r="D50" s="166"/>
      <c r="E50" s="149"/>
      <c r="F50" s="123"/>
      <c r="G50" s="149"/>
      <c r="H50" s="269"/>
    </row>
    <row r="51" spans="1:8" s="107" customFormat="1" ht="15.75" customHeight="1" x14ac:dyDescent="0.25">
      <c r="A51" s="268"/>
      <c r="B51" s="268"/>
      <c r="C51" s="175"/>
      <c r="D51" s="166"/>
      <c r="E51" s="149"/>
      <c r="F51" s="123"/>
      <c r="G51" s="149"/>
      <c r="H51" s="269"/>
    </row>
    <row r="52" spans="1:8" s="107" customFormat="1" ht="15.75" customHeight="1" x14ac:dyDescent="0.25">
      <c r="A52" s="268"/>
      <c r="B52" s="268"/>
      <c r="C52" s="175"/>
      <c r="D52" s="166"/>
      <c r="E52" s="149"/>
      <c r="F52" s="123"/>
      <c r="G52" s="149"/>
      <c r="H52" s="269"/>
    </row>
    <row r="53" spans="1:8" s="107" customFormat="1" ht="15.75" customHeight="1" x14ac:dyDescent="0.25">
      <c r="A53" s="268"/>
      <c r="B53" s="268"/>
      <c r="C53" s="175"/>
      <c r="D53" s="166"/>
      <c r="E53" s="149"/>
      <c r="F53" s="123"/>
      <c r="G53" s="149"/>
      <c r="H53" s="269"/>
    </row>
    <row r="54" spans="1:8" s="107" customFormat="1" ht="15.75" customHeight="1" x14ac:dyDescent="0.25">
      <c r="A54" s="268"/>
      <c r="B54" s="268"/>
      <c r="C54" s="175"/>
      <c r="D54" s="166"/>
      <c r="E54" s="149"/>
      <c r="F54" s="123"/>
      <c r="G54" s="149"/>
      <c r="H54" s="269"/>
    </row>
    <row r="55" spans="1:8" ht="13.5" thickBot="1" x14ac:dyDescent="0.25">
      <c r="H55" s="114" t="s">
        <v>173</v>
      </c>
    </row>
    <row r="56" spans="1:8" s="24" customFormat="1" ht="20.25" customHeight="1" thickTop="1" thickBot="1" x14ac:dyDescent="0.25">
      <c r="A56" s="21" t="s">
        <v>174</v>
      </c>
      <c r="B56" s="22" t="s">
        <v>175</v>
      </c>
      <c r="C56" s="46" t="s">
        <v>744</v>
      </c>
      <c r="D56" s="46" t="s">
        <v>176</v>
      </c>
      <c r="E56" s="46" t="s">
        <v>177</v>
      </c>
      <c r="F56" s="46" t="s">
        <v>922</v>
      </c>
      <c r="G56" s="46" t="s">
        <v>923</v>
      </c>
      <c r="H56" s="204" t="s">
        <v>924</v>
      </c>
    </row>
    <row r="57" spans="1:8" s="107" customFormat="1" ht="15.75" customHeight="1" thickTop="1" x14ac:dyDescent="0.25">
      <c r="A57" s="223">
        <v>6172</v>
      </c>
      <c r="B57" s="96">
        <v>5901</v>
      </c>
      <c r="C57" s="175"/>
      <c r="D57" s="68" t="s">
        <v>639</v>
      </c>
      <c r="E57" s="149">
        <v>129</v>
      </c>
      <c r="F57" s="60">
        <f>E57+F59+F60+F63+F61</f>
        <v>125</v>
      </c>
      <c r="G57" s="60">
        <v>0</v>
      </c>
      <c r="H57" s="211">
        <v>0</v>
      </c>
    </row>
    <row r="58" spans="1:8" s="107" customFormat="1" ht="15.75" customHeight="1" x14ac:dyDescent="0.25">
      <c r="A58" s="223"/>
      <c r="B58" s="96"/>
      <c r="C58" s="175"/>
      <c r="D58" s="90" t="s">
        <v>936</v>
      </c>
      <c r="E58" s="149"/>
      <c r="F58" s="60"/>
      <c r="G58" s="60"/>
      <c r="H58" s="258"/>
    </row>
    <row r="59" spans="1:8" s="107" customFormat="1" ht="15.75" customHeight="1" x14ac:dyDescent="0.25">
      <c r="A59" s="223"/>
      <c r="B59" s="96"/>
      <c r="C59" s="175"/>
      <c r="D59" s="225" t="s">
        <v>956</v>
      </c>
      <c r="E59" s="149"/>
      <c r="F59" s="124">
        <v>-5</v>
      </c>
      <c r="G59" s="60"/>
      <c r="H59" s="258"/>
    </row>
    <row r="60" spans="1:8" s="107" customFormat="1" ht="15.75" customHeight="1" x14ac:dyDescent="0.25">
      <c r="A60" s="223"/>
      <c r="B60" s="96"/>
      <c r="C60" s="175"/>
      <c r="D60" s="225" t="s">
        <v>275</v>
      </c>
      <c r="E60" s="149"/>
      <c r="F60" s="124">
        <v>-160</v>
      </c>
      <c r="G60" s="60"/>
      <c r="H60" s="258"/>
    </row>
    <row r="61" spans="1:8" s="107" customFormat="1" ht="15.75" customHeight="1" x14ac:dyDescent="0.25">
      <c r="A61" s="223"/>
      <c r="B61" s="96"/>
      <c r="C61" s="175"/>
      <c r="D61" s="225" t="s">
        <v>220</v>
      </c>
      <c r="E61" s="149"/>
      <c r="F61" s="124">
        <v>-26</v>
      </c>
      <c r="G61" s="60"/>
      <c r="H61" s="258"/>
    </row>
    <row r="62" spans="1:8" s="107" customFormat="1" ht="15.75" customHeight="1" x14ac:dyDescent="0.25">
      <c r="A62" s="223"/>
      <c r="B62" s="96"/>
      <c r="C62" s="175"/>
      <c r="D62" s="224" t="s">
        <v>410</v>
      </c>
      <c r="E62" s="149"/>
      <c r="F62" s="124"/>
      <c r="G62" s="60"/>
      <c r="H62" s="258"/>
    </row>
    <row r="63" spans="1:8" s="107" customFormat="1" ht="15.75" customHeight="1" x14ac:dyDescent="0.25">
      <c r="A63" s="223"/>
      <c r="B63" s="96"/>
      <c r="C63" s="175"/>
      <c r="D63" s="2790" t="s">
        <v>708</v>
      </c>
      <c r="E63" s="149"/>
      <c r="F63" s="124">
        <v>187</v>
      </c>
      <c r="G63" s="60"/>
      <c r="H63" s="258"/>
    </row>
    <row r="64" spans="1:8" s="78" customFormat="1" ht="20.25" customHeight="1" x14ac:dyDescent="0.25">
      <c r="A64" s="238"/>
      <c r="B64" s="95"/>
      <c r="C64" s="176"/>
      <c r="D64" s="2791"/>
      <c r="E64" s="218"/>
      <c r="F64" s="97"/>
      <c r="G64" s="126"/>
      <c r="H64" s="259"/>
    </row>
    <row r="65" spans="1:14" s="45" customFormat="1" ht="47.25" customHeight="1" thickBot="1" x14ac:dyDescent="0.4">
      <c r="A65" s="40" t="s">
        <v>1251</v>
      </c>
      <c r="B65" s="41"/>
      <c r="C65" s="42"/>
      <c r="D65" s="43"/>
      <c r="E65" s="44">
        <f>SUM(E9,E12,E15,E22,E23,E26,E36,E39,E57)</f>
        <v>4570</v>
      </c>
      <c r="F65" s="44">
        <f>SUM(F9,F12,F15,F16,F19,F22,F23,,F26,F33,F36,F39,F57)</f>
        <v>5361</v>
      </c>
      <c r="G65" s="44">
        <f>SUM(G9,G12,G15,G16,G19,G22,G23,,G26,G33,G36,G39,G57)</f>
        <v>4850</v>
      </c>
      <c r="H65" s="301">
        <f>(G65/F65)*100</f>
        <v>90.468196232046267</v>
      </c>
      <c r="I65" s="81"/>
      <c r="J65" s="82"/>
      <c r="K65" s="82"/>
      <c r="L65" s="82"/>
      <c r="M65" s="82"/>
      <c r="N65" s="82"/>
    </row>
    <row r="66" spans="1:14" ht="13.5" thickTop="1" x14ac:dyDescent="0.2"/>
  </sheetData>
  <mergeCells count="2">
    <mergeCell ref="D29:D30"/>
    <mergeCell ref="D63:D64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 enableFormatConditionsCalculation="0">
    <tabColor indexed="33"/>
  </sheetPr>
  <dimension ref="A1:N40"/>
  <sheetViews>
    <sheetView showGridLines="0" topLeftCell="A34" zoomScaleNormal="100" workbookViewId="0">
      <selection activeCell="G2" sqref="G2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4" customWidth="1"/>
  </cols>
  <sheetData>
    <row r="1" spans="1:8" s="74" customFormat="1" ht="18" x14ac:dyDescent="0.25">
      <c r="A1" s="270" t="s">
        <v>280</v>
      </c>
      <c r="B1" s="271"/>
      <c r="C1" s="271"/>
      <c r="D1" s="272"/>
      <c r="E1" s="273"/>
      <c r="F1" s="274"/>
      <c r="G1" s="274"/>
      <c r="H1" s="216"/>
    </row>
    <row r="2" spans="1:8" ht="18" x14ac:dyDescent="0.25">
      <c r="A2" s="275" t="s">
        <v>696</v>
      </c>
      <c r="B2" s="276"/>
      <c r="C2" s="276"/>
      <c r="D2" s="277"/>
      <c r="E2" s="278"/>
      <c r="F2" s="278"/>
      <c r="G2" s="300" t="s">
        <v>697</v>
      </c>
    </row>
    <row r="3" spans="1:8" s="92" customFormat="1" ht="18" x14ac:dyDescent="0.25">
      <c r="A3" s="279"/>
      <c r="B3" s="280"/>
      <c r="C3" s="280"/>
      <c r="D3" s="281"/>
      <c r="E3" s="282"/>
      <c r="F3" s="282"/>
      <c r="G3" s="283"/>
      <c r="H3" s="284"/>
    </row>
    <row r="4" spans="1:8" ht="14.25" x14ac:dyDescent="0.2">
      <c r="A4" s="67" t="s">
        <v>387</v>
      </c>
      <c r="B4" s="28"/>
      <c r="C4" s="143" t="s">
        <v>347</v>
      </c>
      <c r="D4" s="14"/>
    </row>
    <row r="5" spans="1:8" ht="18" x14ac:dyDescent="0.25">
      <c r="A5" s="6"/>
      <c r="B5" s="28"/>
      <c r="C5" s="143" t="s">
        <v>659</v>
      </c>
      <c r="D5" s="135"/>
    </row>
    <row r="7" spans="1:8" ht="15.75" x14ac:dyDescent="0.25">
      <c r="A7" s="73" t="s">
        <v>925</v>
      </c>
    </row>
    <row r="8" spans="1:8" ht="13.5" thickBot="1" x14ac:dyDescent="0.25">
      <c r="H8" s="114" t="s">
        <v>173</v>
      </c>
    </row>
    <row r="9" spans="1:8" s="24" customFormat="1" ht="20.25" customHeight="1" thickTop="1" thickBot="1" x14ac:dyDescent="0.25">
      <c r="A9" s="21" t="s">
        <v>174</v>
      </c>
      <c r="B9" s="22" t="s">
        <v>175</v>
      </c>
      <c r="C9" s="46" t="s">
        <v>744</v>
      </c>
      <c r="D9" s="46" t="s">
        <v>176</v>
      </c>
      <c r="E9" s="46" t="s">
        <v>177</v>
      </c>
      <c r="F9" s="46" t="s">
        <v>922</v>
      </c>
      <c r="G9" s="46" t="s">
        <v>923</v>
      </c>
      <c r="H9" s="204" t="s">
        <v>924</v>
      </c>
    </row>
    <row r="10" spans="1:8" s="107" customFormat="1" ht="15.75" customHeight="1" thickTop="1" x14ac:dyDescent="0.25">
      <c r="A10" s="235">
        <v>2310</v>
      </c>
      <c r="B10" s="219">
        <v>6341</v>
      </c>
      <c r="C10" s="229"/>
      <c r="D10" s="221" t="s">
        <v>314</v>
      </c>
      <c r="E10" s="292"/>
      <c r="F10" s="88">
        <v>18393</v>
      </c>
      <c r="G10" s="88">
        <v>18268</v>
      </c>
      <c r="H10" s="285">
        <f>(G10/F10)*100</f>
        <v>99.320393628010663</v>
      </c>
    </row>
    <row r="11" spans="1:8" s="107" customFormat="1" ht="15.75" customHeight="1" x14ac:dyDescent="0.25">
      <c r="A11" s="286"/>
      <c r="B11" s="290"/>
      <c r="C11" s="291"/>
      <c r="D11" s="90" t="s">
        <v>410</v>
      </c>
      <c r="E11" s="293"/>
      <c r="F11" s="253"/>
      <c r="G11" s="55"/>
      <c r="H11" s="287"/>
    </row>
    <row r="12" spans="1:8" s="107" customFormat="1" ht="15.75" customHeight="1" x14ac:dyDescent="0.25">
      <c r="A12" s="295"/>
      <c r="B12" s="296"/>
      <c r="C12" s="230">
        <v>551</v>
      </c>
      <c r="D12" s="118" t="s">
        <v>698</v>
      </c>
      <c r="E12" s="297"/>
      <c r="F12" s="89">
        <v>18393</v>
      </c>
      <c r="G12" s="89"/>
      <c r="H12" s="239"/>
    </row>
    <row r="13" spans="1:8" s="107" customFormat="1" ht="15.75" customHeight="1" x14ac:dyDescent="0.25">
      <c r="A13" s="223">
        <v>2321</v>
      </c>
      <c r="B13" s="96">
        <v>6341</v>
      </c>
      <c r="C13" s="232"/>
      <c r="D13" s="68" t="s">
        <v>314</v>
      </c>
      <c r="E13" s="293"/>
      <c r="F13" s="71">
        <f>F15+F17</f>
        <v>26627</v>
      </c>
      <c r="G13" s="71">
        <v>26627</v>
      </c>
      <c r="H13" s="255">
        <f>(G13/F13)*100</f>
        <v>100</v>
      </c>
    </row>
    <row r="14" spans="1:8" s="107" customFormat="1" ht="15.75" customHeight="1" x14ac:dyDescent="0.25">
      <c r="A14" s="286"/>
      <c r="B14" s="290"/>
      <c r="C14" s="291"/>
      <c r="D14" s="90" t="s">
        <v>410</v>
      </c>
      <c r="E14" s="293"/>
      <c r="F14" s="253"/>
      <c r="G14" s="55"/>
      <c r="H14" s="287"/>
    </row>
    <row r="15" spans="1:8" s="107" customFormat="1" ht="15.75" customHeight="1" x14ac:dyDescent="0.25">
      <c r="A15" s="286"/>
      <c r="B15" s="290"/>
      <c r="C15" s="231">
        <v>551</v>
      </c>
      <c r="D15" s="117" t="s">
        <v>698</v>
      </c>
      <c r="E15" s="293"/>
      <c r="F15" s="55">
        <v>28652</v>
      </c>
      <c r="G15" s="55"/>
      <c r="H15" s="237"/>
    </row>
    <row r="16" spans="1:8" s="107" customFormat="1" ht="15.75" customHeight="1" x14ac:dyDescent="0.25">
      <c r="A16" s="286"/>
      <c r="B16" s="290"/>
      <c r="C16" s="231"/>
      <c r="D16" s="90" t="s">
        <v>936</v>
      </c>
      <c r="E16" s="293"/>
      <c r="F16" s="55"/>
      <c r="G16" s="55"/>
      <c r="H16" s="237"/>
    </row>
    <row r="17" spans="1:8" s="107" customFormat="1" ht="15.75" customHeight="1" x14ac:dyDescent="0.25">
      <c r="A17" s="295"/>
      <c r="B17" s="296"/>
      <c r="C17" s="230">
        <v>551</v>
      </c>
      <c r="D17" s="118" t="s">
        <v>699</v>
      </c>
      <c r="E17" s="297"/>
      <c r="F17" s="89">
        <v>-2025</v>
      </c>
      <c r="G17" s="89"/>
      <c r="H17" s="239"/>
    </row>
    <row r="18" spans="1:8" s="108" customFormat="1" ht="15.75" customHeight="1" x14ac:dyDescent="0.25">
      <c r="A18" s="223">
        <v>2334</v>
      </c>
      <c r="B18" s="96">
        <v>6341</v>
      </c>
      <c r="C18" s="232"/>
      <c r="D18" s="68" t="s">
        <v>314</v>
      </c>
      <c r="E18" s="293"/>
      <c r="F18" s="71">
        <v>1703</v>
      </c>
      <c r="G18" s="71">
        <v>1640</v>
      </c>
      <c r="H18" s="255">
        <f>(G18/F18)*100</f>
        <v>96.300645918966538</v>
      </c>
    </row>
    <row r="19" spans="1:8" s="108" customFormat="1" ht="15.75" customHeight="1" x14ac:dyDescent="0.25">
      <c r="A19" s="286"/>
      <c r="B19" s="290"/>
      <c r="C19" s="291"/>
      <c r="D19" s="90" t="s">
        <v>410</v>
      </c>
      <c r="E19" s="293"/>
      <c r="F19" s="55"/>
      <c r="G19" s="55"/>
      <c r="H19" s="287"/>
    </row>
    <row r="20" spans="1:8" s="107" customFormat="1" ht="15.75" customHeight="1" x14ac:dyDescent="0.25">
      <c r="A20" s="295"/>
      <c r="B20" s="296"/>
      <c r="C20" s="230">
        <v>551</v>
      </c>
      <c r="D20" s="118" t="s">
        <v>698</v>
      </c>
      <c r="E20" s="297"/>
      <c r="F20" s="89">
        <v>1703</v>
      </c>
      <c r="G20" s="89"/>
      <c r="H20" s="239"/>
    </row>
    <row r="21" spans="1:8" s="107" customFormat="1" ht="15.75" customHeight="1" x14ac:dyDescent="0.25">
      <c r="A21" s="223">
        <v>2399</v>
      </c>
      <c r="B21" s="96">
        <v>6341</v>
      </c>
      <c r="C21" s="232"/>
      <c r="D21" s="68" t="s">
        <v>314</v>
      </c>
      <c r="E21" s="149">
        <v>40000</v>
      </c>
      <c r="F21" s="60">
        <f>E21+F23+F24+F29+F25+F26+F32+F27</f>
        <v>27789</v>
      </c>
      <c r="G21" s="60">
        <v>0</v>
      </c>
      <c r="H21" s="298">
        <v>0</v>
      </c>
    </row>
    <row r="22" spans="1:8" s="107" customFormat="1" ht="15.75" customHeight="1" x14ac:dyDescent="0.25">
      <c r="A22" s="223"/>
      <c r="B22" s="96"/>
      <c r="C22" s="232"/>
      <c r="D22" s="90" t="s">
        <v>936</v>
      </c>
      <c r="E22" s="149"/>
      <c r="F22" s="60"/>
      <c r="G22" s="60"/>
      <c r="H22" s="288"/>
    </row>
    <row r="23" spans="1:8" s="107" customFormat="1" ht="15.75" customHeight="1" x14ac:dyDescent="0.25">
      <c r="A23" s="223"/>
      <c r="B23" s="96"/>
      <c r="C23" s="232"/>
      <c r="D23" s="91" t="s">
        <v>1369</v>
      </c>
      <c r="E23" s="149"/>
      <c r="F23" s="124">
        <v>-31543</v>
      </c>
      <c r="G23" s="60"/>
      <c r="H23" s="288"/>
    </row>
    <row r="24" spans="1:8" s="107" customFormat="1" ht="15.75" customHeight="1" x14ac:dyDescent="0.25">
      <c r="A24" s="223"/>
      <c r="B24" s="96"/>
      <c r="C24" s="232"/>
      <c r="D24" s="91" t="s">
        <v>1370</v>
      </c>
      <c r="E24" s="149"/>
      <c r="F24" s="124">
        <v>-102</v>
      </c>
      <c r="G24" s="60"/>
      <c r="H24" s="288"/>
    </row>
    <row r="25" spans="1:8" s="107" customFormat="1" ht="15.75" customHeight="1" x14ac:dyDescent="0.25">
      <c r="A25" s="223"/>
      <c r="B25" s="96"/>
      <c r="C25" s="232"/>
      <c r="D25" s="91" t="s">
        <v>303</v>
      </c>
      <c r="E25" s="149"/>
      <c r="F25" s="124">
        <v>-282</v>
      </c>
      <c r="G25" s="60"/>
      <c r="H25" s="288"/>
    </row>
    <row r="26" spans="1:8" s="107" customFormat="1" ht="15.75" customHeight="1" x14ac:dyDescent="0.25">
      <c r="A26" s="223"/>
      <c r="B26" s="96"/>
      <c r="C26" s="232"/>
      <c r="D26" s="91" t="s">
        <v>304</v>
      </c>
      <c r="E26" s="149"/>
      <c r="F26" s="124">
        <v>-48748</v>
      </c>
      <c r="G26" s="60"/>
      <c r="H26" s="288"/>
    </row>
    <row r="27" spans="1:8" s="107" customFormat="1" ht="15.75" customHeight="1" x14ac:dyDescent="0.25">
      <c r="A27" s="223"/>
      <c r="B27" s="96"/>
      <c r="C27" s="232"/>
      <c r="D27" s="91" t="s">
        <v>305</v>
      </c>
      <c r="E27" s="149"/>
      <c r="F27" s="124">
        <v>-41</v>
      </c>
      <c r="G27" s="60"/>
      <c r="H27" s="288"/>
    </row>
    <row r="28" spans="1:8" s="107" customFormat="1" ht="15.75" customHeight="1" x14ac:dyDescent="0.25">
      <c r="A28" s="223"/>
      <c r="B28" s="96"/>
      <c r="C28" s="232"/>
      <c r="D28" s="90" t="s">
        <v>410</v>
      </c>
      <c r="E28" s="149"/>
      <c r="F28" s="124"/>
      <c r="G28" s="60"/>
      <c r="H28" s="288"/>
    </row>
    <row r="29" spans="1:8" s="107" customFormat="1" ht="14.25" customHeight="1" x14ac:dyDescent="0.25">
      <c r="A29" s="223"/>
      <c r="B29" s="96"/>
      <c r="C29" s="175"/>
      <c r="D29" s="2668" t="s">
        <v>491</v>
      </c>
      <c r="E29" s="185"/>
      <c r="F29" s="124">
        <v>66480</v>
      </c>
      <c r="G29" s="60"/>
      <c r="H29" s="288"/>
    </row>
    <row r="30" spans="1:8" s="107" customFormat="1" ht="14.25" customHeight="1" x14ac:dyDescent="0.25">
      <c r="A30" s="223"/>
      <c r="B30" s="96"/>
      <c r="C30" s="175"/>
      <c r="D30" s="2668"/>
      <c r="E30" s="185"/>
      <c r="F30" s="124"/>
      <c r="G30" s="60"/>
      <c r="H30" s="288"/>
    </row>
    <row r="31" spans="1:8" s="107" customFormat="1" ht="14.25" customHeight="1" x14ac:dyDescent="0.25">
      <c r="A31" s="223"/>
      <c r="B31" s="96"/>
      <c r="C31" s="175"/>
      <c r="D31" s="2669"/>
      <c r="E31" s="185"/>
      <c r="F31" s="124"/>
      <c r="G31" s="60"/>
      <c r="H31" s="288"/>
    </row>
    <row r="32" spans="1:8" s="107" customFormat="1" ht="15.75" customHeight="1" x14ac:dyDescent="0.25">
      <c r="A32" s="238"/>
      <c r="B32" s="95"/>
      <c r="C32" s="176"/>
      <c r="D32" s="217" t="s">
        <v>492</v>
      </c>
      <c r="E32" s="294"/>
      <c r="F32" s="97">
        <v>2025</v>
      </c>
      <c r="G32" s="126"/>
      <c r="H32" s="289"/>
    </row>
    <row r="33" spans="1:14" s="107" customFormat="1" ht="15.75" customHeight="1" x14ac:dyDescent="0.25">
      <c r="A33" s="223">
        <v>2399</v>
      </c>
      <c r="B33" s="96">
        <v>5909</v>
      </c>
      <c r="C33" s="175"/>
      <c r="D33" s="174" t="s">
        <v>689</v>
      </c>
      <c r="E33" s="149"/>
      <c r="F33" s="60">
        <f>F35+F36+F37+F38</f>
        <v>31968</v>
      </c>
      <c r="G33" s="60">
        <v>31968</v>
      </c>
      <c r="H33" s="203">
        <f>(G33/F33)*100</f>
        <v>100</v>
      </c>
    </row>
    <row r="34" spans="1:14" s="107" customFormat="1" ht="15.75" customHeight="1" x14ac:dyDescent="0.25">
      <c r="A34" s="223"/>
      <c r="B34" s="96"/>
      <c r="C34" s="175"/>
      <c r="D34" s="90" t="s">
        <v>410</v>
      </c>
      <c r="E34" s="149"/>
      <c r="F34" s="60"/>
      <c r="G34" s="60"/>
      <c r="H34" s="288"/>
    </row>
    <row r="35" spans="1:14" s="107" customFormat="1" ht="15.75" customHeight="1" x14ac:dyDescent="0.25">
      <c r="A35" s="223"/>
      <c r="B35" s="96"/>
      <c r="C35" s="175"/>
      <c r="D35" s="91" t="s">
        <v>493</v>
      </c>
      <c r="E35" s="149"/>
      <c r="F35" s="124">
        <v>31543</v>
      </c>
      <c r="G35" s="60"/>
      <c r="H35" s="288"/>
    </row>
    <row r="36" spans="1:14" s="107" customFormat="1" ht="15.75" customHeight="1" x14ac:dyDescent="0.25">
      <c r="A36" s="223"/>
      <c r="B36" s="96"/>
      <c r="C36" s="175"/>
      <c r="D36" s="225" t="s">
        <v>773</v>
      </c>
      <c r="E36" s="149"/>
      <c r="F36" s="124">
        <v>102</v>
      </c>
      <c r="G36" s="60"/>
      <c r="H36" s="288"/>
    </row>
    <row r="37" spans="1:14" s="107" customFormat="1" ht="15.75" customHeight="1" x14ac:dyDescent="0.25">
      <c r="A37" s="223"/>
      <c r="B37" s="96"/>
      <c r="C37" s="175"/>
      <c r="D37" s="225" t="s">
        <v>774</v>
      </c>
      <c r="E37" s="149"/>
      <c r="F37" s="124">
        <v>282</v>
      </c>
      <c r="G37" s="60"/>
      <c r="H37" s="288"/>
    </row>
    <row r="38" spans="1:14" s="107" customFormat="1" ht="15.75" customHeight="1" x14ac:dyDescent="0.25">
      <c r="A38" s="238"/>
      <c r="B38" s="95"/>
      <c r="C38" s="176"/>
      <c r="D38" s="172" t="s">
        <v>366</v>
      </c>
      <c r="E38" s="218"/>
      <c r="F38" s="97">
        <v>41</v>
      </c>
      <c r="G38" s="126"/>
      <c r="H38" s="289"/>
    </row>
    <row r="39" spans="1:14" s="45" customFormat="1" ht="47.25" customHeight="1" thickBot="1" x14ac:dyDescent="0.4">
      <c r="A39" s="2792" t="s">
        <v>367</v>
      </c>
      <c r="B39" s="2793"/>
      <c r="C39" s="2793"/>
      <c r="D39" s="2793"/>
      <c r="E39" s="254">
        <f>SUM(E21)</f>
        <v>40000</v>
      </c>
      <c r="F39" s="254">
        <f>SUM(F10,F13,F18,F21,F33)</f>
        <v>106480</v>
      </c>
      <c r="G39" s="254">
        <f>SUM(G10,G13,G18,G21,G33)</f>
        <v>78503</v>
      </c>
      <c r="H39" s="299">
        <f>(G39/F39)*100</f>
        <v>73.725582268970697</v>
      </c>
      <c r="I39" s="81"/>
      <c r="J39" s="82"/>
      <c r="K39" s="82"/>
      <c r="L39" s="82"/>
      <c r="M39" s="82"/>
      <c r="N39" s="82"/>
    </row>
    <row r="40" spans="1:14" ht="13.5" thickTop="1" x14ac:dyDescent="0.2"/>
  </sheetData>
  <mergeCells count="2">
    <mergeCell ref="A39:D39"/>
    <mergeCell ref="D29:D31"/>
  </mergeCells>
  <phoneticPr fontId="35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0" sqref="E40"/>
    </sheetView>
  </sheetViews>
  <sheetFormatPr defaultRowHeight="12.75" x14ac:dyDescent="0.2"/>
  <sheetData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 enableFormatConditionsCalculation="0">
    <tabColor rgb="FF00B0F0"/>
  </sheetPr>
  <dimension ref="A1:I24"/>
  <sheetViews>
    <sheetView showGridLines="0" view="pageBreakPreview" zoomScaleNormal="100" zoomScaleSheetLayoutView="100" workbookViewId="0">
      <selection activeCell="E37" sqref="E37"/>
    </sheetView>
  </sheetViews>
  <sheetFormatPr defaultRowHeight="12.75" x14ac:dyDescent="0.2"/>
  <cols>
    <col min="1" max="1" width="4.7109375" style="645" customWidth="1"/>
    <col min="2" max="2" width="4.7109375" style="534" customWidth="1"/>
    <col min="3" max="3" width="4.5703125" style="534" customWidth="1"/>
    <col min="4" max="4" width="47.28515625" style="534" customWidth="1"/>
    <col min="5" max="7" width="13.5703125" style="534" customWidth="1"/>
    <col min="8" max="8" width="8.42578125" style="534" customWidth="1"/>
    <col min="9" max="16384" width="9.140625" style="534"/>
  </cols>
  <sheetData>
    <row r="1" spans="1:9" ht="18" customHeight="1" thickBot="1" x14ac:dyDescent="0.3">
      <c r="A1" s="465" t="s">
        <v>863</v>
      </c>
      <c r="B1" s="466"/>
      <c r="C1" s="466"/>
      <c r="D1" s="477"/>
      <c r="E1" s="494"/>
      <c r="F1" s="469" t="s">
        <v>179</v>
      </c>
      <c r="G1" s="495"/>
      <c r="H1" s="495"/>
      <c r="I1" s="17"/>
    </row>
    <row r="2" spans="1:9" ht="12.75" customHeight="1" x14ac:dyDescent="0.25">
      <c r="A2" s="6"/>
      <c r="B2" s="28"/>
      <c r="C2" s="28"/>
      <c r="D2" s="10"/>
      <c r="E2" s="137"/>
      <c r="F2" s="137"/>
      <c r="G2" s="16"/>
      <c r="H2" s="17"/>
      <c r="I2" s="17"/>
    </row>
    <row r="3" spans="1:9" ht="12.75" customHeight="1" x14ac:dyDescent="0.25">
      <c r="A3" s="67" t="s">
        <v>387</v>
      </c>
      <c r="B3" s="28"/>
      <c r="C3" s="504" t="s">
        <v>474</v>
      </c>
      <c r="D3" s="629"/>
      <c r="E3" s="137"/>
      <c r="F3" s="16"/>
      <c r="G3" s="17"/>
      <c r="H3" s="17"/>
    </row>
    <row r="4" spans="1:9" ht="12.75" customHeight="1" x14ac:dyDescent="0.25">
      <c r="A4" s="6"/>
      <c r="B4" s="28"/>
      <c r="C4" s="504" t="s">
        <v>359</v>
      </c>
      <c r="D4" s="675"/>
      <c r="E4" s="138"/>
      <c r="F4" s="16"/>
      <c r="G4" s="17"/>
      <c r="H4" s="17"/>
    </row>
    <row r="5" spans="1:9" ht="12.75" customHeight="1" x14ac:dyDescent="0.25">
      <c r="A5" s="6"/>
      <c r="B5" s="28"/>
      <c r="C5" s="28"/>
      <c r="D5" s="10"/>
      <c r="E5" s="137"/>
      <c r="F5" s="137"/>
      <c r="G5" s="16"/>
      <c r="H5" s="17"/>
      <c r="I5" s="17"/>
    </row>
    <row r="6" spans="1:9" ht="18" x14ac:dyDescent="0.25">
      <c r="A6" s="33" t="s">
        <v>925</v>
      </c>
      <c r="B6" s="28"/>
      <c r="C6" s="28"/>
      <c r="D6" s="10"/>
      <c r="E6" s="137"/>
      <c r="F6" s="137"/>
      <c r="G6" s="16"/>
      <c r="H6" s="17"/>
      <c r="I6" s="17"/>
    </row>
    <row r="7" spans="1:9" ht="13.5" thickBot="1" x14ac:dyDescent="0.25">
      <c r="A7" s="631"/>
      <c r="B7" s="631"/>
      <c r="C7" s="631"/>
      <c r="D7" s="632"/>
      <c r="E7" s="495"/>
      <c r="F7" s="495"/>
      <c r="G7" s="980"/>
      <c r="H7" s="495" t="s">
        <v>173</v>
      </c>
    </row>
    <row r="8" spans="1:9" s="107" customFormat="1" ht="20.25" customHeight="1" thickTop="1" thickBot="1" x14ac:dyDescent="0.25">
      <c r="A8" s="633" t="s">
        <v>174</v>
      </c>
      <c r="B8" s="634" t="s">
        <v>175</v>
      </c>
      <c r="C8" s="636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637" t="s">
        <v>924</v>
      </c>
    </row>
    <row r="9" spans="1:9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638" t="s">
        <v>61</v>
      </c>
      <c r="I9" s="107"/>
    </row>
    <row r="10" spans="1:9" s="107" customFormat="1" ht="20.25" customHeight="1" thickTop="1" x14ac:dyDescent="0.25">
      <c r="A10" s="1052">
        <v>6172</v>
      </c>
      <c r="B10" s="1053">
        <v>5166</v>
      </c>
      <c r="C10" s="1054"/>
      <c r="D10" s="1055" t="s">
        <v>646</v>
      </c>
      <c r="E10" s="1056">
        <v>10</v>
      </c>
      <c r="F10" s="1056">
        <v>10</v>
      </c>
      <c r="G10" s="1057">
        <v>0</v>
      </c>
      <c r="H10" s="952">
        <f>(G10/F10)*100</f>
        <v>0</v>
      </c>
    </row>
    <row r="11" spans="1:9" ht="15.75" thickBot="1" x14ac:dyDescent="0.3">
      <c r="A11" s="1058">
        <v>6172</v>
      </c>
      <c r="B11" s="1059">
        <v>5192</v>
      </c>
      <c r="C11" s="1060"/>
      <c r="D11" s="1061" t="s">
        <v>1290</v>
      </c>
      <c r="E11" s="1062">
        <v>70</v>
      </c>
      <c r="F11" s="1062">
        <v>129</v>
      </c>
      <c r="G11" s="1063">
        <v>79</v>
      </c>
      <c r="H11" s="1064">
        <f>(G11/F11)*100</f>
        <v>61.240310077519375</v>
      </c>
    </row>
    <row r="12" spans="1:9" s="361" customFormat="1" ht="30" customHeight="1" thickTop="1" thickBot="1" x14ac:dyDescent="0.3">
      <c r="A12" s="696" t="s">
        <v>258</v>
      </c>
      <c r="B12" s="953"/>
      <c r="C12" s="1065"/>
      <c r="D12" s="697"/>
      <c r="E12" s="699">
        <f>SUM(E11,E10)</f>
        <v>80</v>
      </c>
      <c r="F12" s="699">
        <f>SUM(F11,F10)</f>
        <v>139</v>
      </c>
      <c r="G12" s="699">
        <f>SUM(G11,G10)</f>
        <v>79</v>
      </c>
      <c r="H12" s="658">
        <f>(G12/F12)*100</f>
        <v>56.834532374100718</v>
      </c>
    </row>
    <row r="13" spans="1:9" ht="15.75" thickTop="1" x14ac:dyDescent="0.25">
      <c r="B13" s="645"/>
      <c r="C13" s="645"/>
      <c r="D13" s="646"/>
      <c r="E13" s="646"/>
      <c r="F13" s="647"/>
      <c r="G13" s="648"/>
      <c r="H13" s="649"/>
    </row>
    <row r="14" spans="1:9" ht="15" x14ac:dyDescent="0.25">
      <c r="B14" s="645"/>
      <c r="C14" s="645"/>
      <c r="D14" s="646"/>
      <c r="E14" s="646"/>
      <c r="F14" s="647"/>
      <c r="G14" s="648"/>
      <c r="H14" s="649"/>
    </row>
    <row r="15" spans="1:9" s="669" customFormat="1" ht="16.5" x14ac:dyDescent="0.25">
      <c r="A15" s="362" t="s">
        <v>510</v>
      </c>
      <c r="B15" s="363"/>
      <c r="C15" s="364"/>
      <c r="D15" s="364"/>
      <c r="E15" s="974">
        <f>E16+E17+E18+E19</f>
        <v>80</v>
      </c>
      <c r="F15" s="974">
        <f>F16+F17+F18+F19</f>
        <v>139</v>
      </c>
      <c r="G15" s="974">
        <f>G16+G17+G18+G19</f>
        <v>79</v>
      </c>
      <c r="H15" s="1066">
        <f>(G15/F15)*100</f>
        <v>56.834532374100718</v>
      </c>
    </row>
    <row r="16" spans="1:9" s="1325" customFormat="1" ht="15" x14ac:dyDescent="0.2">
      <c r="A16" s="557" t="s">
        <v>277</v>
      </c>
      <c r="B16" s="587"/>
      <c r="C16" s="588"/>
      <c r="D16" s="588"/>
      <c r="E16" s="975">
        <f t="shared" ref="E16:G17" si="0">E12</f>
        <v>80</v>
      </c>
      <c r="F16" s="975">
        <f t="shared" si="0"/>
        <v>139</v>
      </c>
      <c r="G16" s="975">
        <f t="shared" si="0"/>
        <v>79</v>
      </c>
      <c r="H16" s="1067">
        <f>(G16/F16)*100</f>
        <v>56.834532374100718</v>
      </c>
    </row>
    <row r="17" spans="1:8" s="1325" customFormat="1" ht="15" x14ac:dyDescent="0.2">
      <c r="A17" s="557" t="s">
        <v>278</v>
      </c>
      <c r="B17" s="592"/>
      <c r="C17" s="588"/>
      <c r="D17" s="588"/>
      <c r="E17" s="976">
        <f t="shared" si="0"/>
        <v>0</v>
      </c>
      <c r="F17" s="976">
        <f t="shared" si="0"/>
        <v>0</v>
      </c>
      <c r="G17" s="976">
        <f t="shared" si="0"/>
        <v>0</v>
      </c>
      <c r="H17" s="970">
        <v>0</v>
      </c>
    </row>
    <row r="18" spans="1:8" s="1325" customFormat="1" ht="15" x14ac:dyDescent="0.2">
      <c r="A18" s="557" t="s">
        <v>221</v>
      </c>
      <c r="B18" s="592"/>
      <c r="C18" s="588"/>
      <c r="D18" s="588"/>
      <c r="E18" s="975">
        <v>0</v>
      </c>
      <c r="F18" s="590">
        <v>0</v>
      </c>
      <c r="G18" s="590">
        <v>0</v>
      </c>
      <c r="H18" s="970">
        <v>0</v>
      </c>
    </row>
    <row r="19" spans="1:8" s="1325" customFormat="1" ht="15" x14ac:dyDescent="0.2">
      <c r="A19" s="557" t="s">
        <v>1206</v>
      </c>
      <c r="B19" s="592"/>
      <c r="C19" s="588"/>
      <c r="D19" s="588"/>
      <c r="E19" s="975">
        <v>0</v>
      </c>
      <c r="F19" s="594">
        <v>0</v>
      </c>
      <c r="G19" s="594">
        <v>0</v>
      </c>
      <c r="H19" s="970">
        <v>0</v>
      </c>
    </row>
    <row r="20" spans="1:8" ht="15" x14ac:dyDescent="0.2">
      <c r="A20" s="557"/>
      <c r="B20" s="592"/>
      <c r="C20" s="588"/>
      <c r="D20" s="588"/>
      <c r="E20" s="975"/>
      <c r="F20" s="594"/>
      <c r="G20" s="594"/>
      <c r="H20" s="822"/>
    </row>
    <row r="21" spans="1:8" ht="15" x14ac:dyDescent="0.2">
      <c r="A21" s="557"/>
      <c r="B21" s="592"/>
      <c r="C21" s="588"/>
      <c r="D21" s="588"/>
      <c r="E21" s="975"/>
      <c r="F21" s="594"/>
      <c r="G21" s="594"/>
      <c r="H21" s="822"/>
    </row>
    <row r="22" spans="1:8" x14ac:dyDescent="0.2">
      <c r="H22" s="668"/>
    </row>
    <row r="23" spans="1:8" s="58" customFormat="1" ht="47.25" customHeight="1" thickBot="1" x14ac:dyDescent="0.4">
      <c r="A23" s="650" t="s">
        <v>218</v>
      </c>
      <c r="B23" s="651"/>
      <c r="C23" s="652"/>
      <c r="D23" s="653"/>
      <c r="E23" s="595">
        <f>SUM(E12)</f>
        <v>80</v>
      </c>
      <c r="F23" s="595">
        <f>SUM(F12)</f>
        <v>139</v>
      </c>
      <c r="G23" s="595">
        <f>SUM(G12)</f>
        <v>79</v>
      </c>
      <c r="H23" s="1068">
        <f>(G23/F23)*100</f>
        <v>56.834532374100718</v>
      </c>
    </row>
    <row r="24" spans="1:8" ht="13.5" thickTop="1" x14ac:dyDescent="0.2"/>
  </sheetData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6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 enableFormatConditionsCalculation="0">
    <tabColor rgb="FF00B0F0"/>
  </sheetPr>
  <dimension ref="A1:J42"/>
  <sheetViews>
    <sheetView showGridLines="0" view="pageBreakPreview" zoomScaleNormal="100" zoomScaleSheetLayoutView="100" workbookViewId="0">
      <selection activeCell="E55" sqref="E55:E61"/>
    </sheetView>
  </sheetViews>
  <sheetFormatPr defaultRowHeight="12.75" x14ac:dyDescent="0.2"/>
  <cols>
    <col min="1" max="1" width="4.7109375" style="645" customWidth="1"/>
    <col min="2" max="2" width="4.7109375" style="534" customWidth="1"/>
    <col min="3" max="3" width="8.7109375" style="1051" customWidth="1"/>
    <col min="4" max="4" width="47.28515625" style="534" customWidth="1"/>
    <col min="5" max="5" width="12.7109375" style="495" customWidth="1"/>
    <col min="6" max="7" width="13.5703125" style="495" customWidth="1"/>
    <col min="8" max="8" width="8.85546875" style="668" customWidth="1"/>
    <col min="9" max="16384" width="9.140625" style="534"/>
  </cols>
  <sheetData>
    <row r="1" spans="1:10" ht="18.75" thickBot="1" x14ac:dyDescent="0.3">
      <c r="A1" s="465" t="s">
        <v>1082</v>
      </c>
      <c r="B1" s="466"/>
      <c r="C1" s="501"/>
      <c r="D1" s="477"/>
      <c r="E1" s="494"/>
      <c r="F1" s="469" t="s">
        <v>180</v>
      </c>
      <c r="I1" s="17"/>
    </row>
    <row r="2" spans="1:10" ht="12.75" customHeight="1" x14ac:dyDescent="0.25">
      <c r="A2" s="6"/>
      <c r="B2" s="28"/>
      <c r="C2" s="52"/>
      <c r="D2" s="10"/>
      <c r="E2" s="137"/>
      <c r="F2" s="137"/>
      <c r="G2" s="16"/>
      <c r="H2" s="194"/>
      <c r="I2" s="17"/>
    </row>
    <row r="3" spans="1:10" ht="12.75" customHeight="1" x14ac:dyDescent="0.25">
      <c r="A3" s="67" t="s">
        <v>387</v>
      </c>
      <c r="B3" s="28"/>
      <c r="C3" s="504" t="s">
        <v>450</v>
      </c>
      <c r="D3" s="629"/>
      <c r="E3" s="137"/>
      <c r="F3" s="16"/>
      <c r="G3" s="17"/>
      <c r="H3" s="194"/>
    </row>
    <row r="4" spans="1:10" ht="12.75" customHeight="1" x14ac:dyDescent="0.25">
      <c r="A4" s="6"/>
      <c r="B4" s="28"/>
      <c r="C4" s="504" t="s">
        <v>1244</v>
      </c>
      <c r="D4" s="675"/>
      <c r="E4" s="138"/>
      <c r="F4" s="16"/>
      <c r="G4" s="17"/>
      <c r="H4" s="194"/>
    </row>
    <row r="5" spans="1:10" ht="12.75" customHeight="1" x14ac:dyDescent="0.25">
      <c r="A5" s="6"/>
      <c r="B5" s="28"/>
      <c r="C5" s="52"/>
      <c r="D5" s="10"/>
      <c r="E5" s="137"/>
      <c r="F5" s="137"/>
      <c r="G5" s="16"/>
      <c r="H5" s="194"/>
      <c r="I5" s="17"/>
    </row>
    <row r="6" spans="1:10" ht="18" x14ac:dyDescent="0.25">
      <c r="A6" s="33" t="s">
        <v>925</v>
      </c>
      <c r="B6" s="28"/>
      <c r="C6" s="52"/>
      <c r="D6" s="10"/>
      <c r="E6" s="137"/>
      <c r="F6" s="137"/>
      <c r="G6" s="16"/>
      <c r="H6" s="194"/>
      <c r="I6" s="17"/>
    </row>
    <row r="7" spans="1:10" ht="13.5" thickBot="1" x14ac:dyDescent="0.25">
      <c r="A7" s="631"/>
      <c r="B7" s="631"/>
      <c r="C7" s="1049"/>
      <c r="D7" s="632"/>
      <c r="G7" s="980"/>
      <c r="H7" s="668" t="s">
        <v>173</v>
      </c>
    </row>
    <row r="8" spans="1:10" s="107" customFormat="1" ht="20.25" customHeight="1" thickTop="1" thickBot="1" x14ac:dyDescent="0.25">
      <c r="A8" s="633" t="s">
        <v>174</v>
      </c>
      <c r="B8" s="634" t="s">
        <v>175</v>
      </c>
      <c r="C8" s="636" t="s">
        <v>744</v>
      </c>
      <c r="D8" s="636" t="s">
        <v>176</v>
      </c>
      <c r="E8" s="636" t="s">
        <v>177</v>
      </c>
      <c r="F8" s="636" t="s">
        <v>922</v>
      </c>
      <c r="G8" s="636" t="s">
        <v>923</v>
      </c>
      <c r="H8" s="637" t="s">
        <v>924</v>
      </c>
    </row>
    <row r="9" spans="1:10" s="384" customFormat="1" ht="13.5" thickTop="1" thickBot="1" x14ac:dyDescent="0.25">
      <c r="A9" s="568">
        <v>1</v>
      </c>
      <c r="B9" s="569">
        <v>2</v>
      </c>
      <c r="C9" s="569">
        <v>3</v>
      </c>
      <c r="D9" s="569">
        <v>4</v>
      </c>
      <c r="E9" s="569">
        <v>5</v>
      </c>
      <c r="F9" s="543">
        <v>6</v>
      </c>
      <c r="G9" s="543">
        <v>7</v>
      </c>
      <c r="H9" s="638" t="s">
        <v>61</v>
      </c>
      <c r="I9" s="107"/>
    </row>
    <row r="10" spans="1:10" s="1107" customFormat="1" ht="15.75" thickTop="1" x14ac:dyDescent="0.25">
      <c r="A10" s="1145">
        <v>6172</v>
      </c>
      <c r="B10" s="1223">
        <v>5137</v>
      </c>
      <c r="C10" s="1117"/>
      <c r="D10" s="1169" t="s">
        <v>167</v>
      </c>
      <c r="E10" s="1123">
        <v>1400</v>
      </c>
      <c r="F10" s="1388">
        <v>2640</v>
      </c>
      <c r="G10" s="371">
        <v>2625</v>
      </c>
      <c r="H10" s="1161">
        <f>(G10/F10)*100</f>
        <v>99.431818181818173</v>
      </c>
    </row>
    <row r="11" spans="1:10" s="1107" customFormat="1" ht="15" x14ac:dyDescent="0.25">
      <c r="A11" s="34">
        <v>6172</v>
      </c>
      <c r="B11" s="1139">
        <v>5139</v>
      </c>
      <c r="C11" s="1118"/>
      <c r="D11" s="1108" t="s">
        <v>181</v>
      </c>
      <c r="E11" s="48">
        <v>300</v>
      </c>
      <c r="F11" s="168">
        <v>120</v>
      </c>
      <c r="G11" s="315">
        <v>111</v>
      </c>
      <c r="H11" s="1124">
        <f>(G11/F11)*100</f>
        <v>92.5</v>
      </c>
    </row>
    <row r="12" spans="1:10" s="1107" customFormat="1" ht="15" x14ac:dyDescent="0.25">
      <c r="A12" s="34">
        <v>6172</v>
      </c>
      <c r="B12" s="1139">
        <v>5164</v>
      </c>
      <c r="C12" s="1118"/>
      <c r="D12" s="1108" t="s">
        <v>182</v>
      </c>
      <c r="E12" s="48">
        <v>3374</v>
      </c>
      <c r="F12" s="48">
        <v>2179</v>
      </c>
      <c r="G12" s="48">
        <v>2031</v>
      </c>
      <c r="H12" s="1124">
        <f>(G12/F12)*100</f>
        <v>93.207893529141799</v>
      </c>
    </row>
    <row r="13" spans="1:10" s="1107" customFormat="1" ht="15" x14ac:dyDescent="0.25">
      <c r="A13" s="34">
        <v>6172</v>
      </c>
      <c r="B13" s="1139">
        <v>5166</v>
      </c>
      <c r="C13" s="1118"/>
      <c r="D13" s="1108" t="s">
        <v>646</v>
      </c>
      <c r="E13" s="48">
        <v>200</v>
      </c>
      <c r="F13" s="168">
        <v>209</v>
      </c>
      <c r="G13" s="315">
        <v>191</v>
      </c>
      <c r="H13" s="1124">
        <v>0</v>
      </c>
    </row>
    <row r="14" spans="1:10" s="1107" customFormat="1" ht="15" x14ac:dyDescent="0.25">
      <c r="A14" s="34">
        <v>6172</v>
      </c>
      <c r="B14" s="1139">
        <v>5168</v>
      </c>
      <c r="C14" s="1118"/>
      <c r="D14" s="1108" t="s">
        <v>185</v>
      </c>
      <c r="E14" s="48">
        <v>850</v>
      </c>
      <c r="F14" s="168">
        <v>0</v>
      </c>
      <c r="G14" s="315">
        <v>0</v>
      </c>
      <c r="H14" s="1124">
        <v>0</v>
      </c>
    </row>
    <row r="15" spans="1:10" s="1107" customFormat="1" ht="15.75" x14ac:dyDescent="0.25">
      <c r="A15" s="34">
        <v>6172</v>
      </c>
      <c r="B15" s="1139">
        <v>5169</v>
      </c>
      <c r="C15" s="1118"/>
      <c r="D15" s="1108" t="s">
        <v>892</v>
      </c>
      <c r="E15" s="48">
        <v>14130</v>
      </c>
      <c r="F15" s="168">
        <v>14995</v>
      </c>
      <c r="G15" s="315">
        <v>14730</v>
      </c>
      <c r="H15" s="1124">
        <f>(G15/F15)*100</f>
        <v>98.232744248082696</v>
      </c>
      <c r="J15" s="1148"/>
    </row>
    <row r="16" spans="1:10" s="1107" customFormat="1" ht="15.75" x14ac:dyDescent="0.25">
      <c r="A16" s="34">
        <v>6172</v>
      </c>
      <c r="B16" s="1139">
        <v>5171</v>
      </c>
      <c r="C16" s="1118"/>
      <c r="D16" s="1108" t="s">
        <v>1293</v>
      </c>
      <c r="E16" s="48">
        <v>1915</v>
      </c>
      <c r="F16" s="168">
        <v>780</v>
      </c>
      <c r="G16" s="315">
        <v>780</v>
      </c>
      <c r="H16" s="1124">
        <f>(G16/F16)*100</f>
        <v>100</v>
      </c>
      <c r="J16" s="1122"/>
    </row>
    <row r="17" spans="1:10" s="1107" customFormat="1" ht="16.5" thickBot="1" x14ac:dyDescent="0.3">
      <c r="A17" s="1146">
        <v>6172</v>
      </c>
      <c r="B17" s="1143">
        <v>5172</v>
      </c>
      <c r="C17" s="1160"/>
      <c r="D17" s="1128" t="s">
        <v>186</v>
      </c>
      <c r="E17" s="1134">
        <v>200</v>
      </c>
      <c r="F17" s="444">
        <v>241</v>
      </c>
      <c r="G17" s="443">
        <v>241</v>
      </c>
      <c r="H17" s="1129">
        <f>(G17/F17)*100</f>
        <v>100</v>
      </c>
      <c r="J17" s="1122"/>
    </row>
    <row r="18" spans="1:10" s="361" customFormat="1" ht="35.25" customHeight="1" thickTop="1" thickBot="1" x14ac:dyDescent="0.3">
      <c r="A18" s="639" t="s">
        <v>258</v>
      </c>
      <c r="B18" s="640"/>
      <c r="C18" s="641"/>
      <c r="D18" s="642"/>
      <c r="E18" s="643">
        <f>E10+E11+E12+E13+E14+E15+E16+E17</f>
        <v>22369</v>
      </c>
      <c r="F18" s="643">
        <f>F10+F11+F12+F14+F15+F16+F17+F13</f>
        <v>21164</v>
      </c>
      <c r="G18" s="643">
        <f>G10+G11+G12+G14+G15+G16+G17+G13</f>
        <v>20709</v>
      </c>
      <c r="H18" s="644">
        <f>(G18/F18)*100</f>
        <v>97.850122850122844</v>
      </c>
    </row>
    <row r="19" spans="1:10" ht="15.75" thickTop="1" x14ac:dyDescent="0.25">
      <c r="C19" s="632"/>
      <c r="D19" s="645"/>
      <c r="E19" s="686"/>
      <c r="F19" s="809"/>
      <c r="G19" s="686"/>
      <c r="H19" s="649"/>
    </row>
    <row r="20" spans="1:10" ht="15" x14ac:dyDescent="0.25">
      <c r="C20" s="632"/>
      <c r="D20" s="645"/>
      <c r="E20" s="686"/>
      <c r="F20" s="809"/>
      <c r="G20" s="686"/>
      <c r="H20" s="649"/>
    </row>
    <row r="21" spans="1:10" ht="15" x14ac:dyDescent="0.25">
      <c r="C21" s="632"/>
      <c r="D21" s="645"/>
      <c r="E21" s="686"/>
      <c r="F21" s="809"/>
      <c r="G21" s="686"/>
      <c r="H21" s="649"/>
    </row>
    <row r="22" spans="1:10" ht="15" x14ac:dyDescent="0.25">
      <c r="C22" s="632"/>
      <c r="D22" s="645"/>
      <c r="E22" s="686"/>
      <c r="F22" s="809"/>
      <c r="G22" s="686"/>
      <c r="H22" s="649"/>
    </row>
    <row r="23" spans="1:10" ht="15" x14ac:dyDescent="0.25">
      <c r="C23" s="632"/>
      <c r="D23" s="645"/>
      <c r="E23" s="686"/>
      <c r="F23" s="809"/>
      <c r="G23" s="686"/>
      <c r="H23" s="649"/>
    </row>
    <row r="24" spans="1:10" ht="15" x14ac:dyDescent="0.25">
      <c r="C24" s="632"/>
      <c r="D24" s="645"/>
      <c r="E24" s="686"/>
      <c r="F24" s="809"/>
      <c r="G24" s="686"/>
      <c r="H24" s="649"/>
    </row>
    <row r="25" spans="1:10" ht="18" x14ac:dyDescent="0.25">
      <c r="A25" s="33" t="s">
        <v>1310</v>
      </c>
      <c r="B25" s="28"/>
      <c r="C25" s="10"/>
      <c r="D25" s="139"/>
      <c r="E25" s="137"/>
      <c r="F25" s="16"/>
      <c r="G25" s="17"/>
      <c r="H25" s="194"/>
    </row>
    <row r="26" spans="1:10" ht="13.5" thickBot="1" x14ac:dyDescent="0.25">
      <c r="A26" s="631"/>
      <c r="B26" s="631"/>
      <c r="C26" s="632"/>
      <c r="F26" s="980"/>
      <c r="H26" s="668" t="s">
        <v>173</v>
      </c>
    </row>
    <row r="27" spans="1:10" s="107" customFormat="1" ht="20.25" customHeight="1" thickTop="1" thickBot="1" x14ac:dyDescent="0.25">
      <c r="A27" s="633" t="s">
        <v>174</v>
      </c>
      <c r="B27" s="634" t="s">
        <v>175</v>
      </c>
      <c r="C27" s="636" t="s">
        <v>744</v>
      </c>
      <c r="D27" s="810" t="s">
        <v>176</v>
      </c>
      <c r="E27" s="810" t="s">
        <v>177</v>
      </c>
      <c r="F27" s="810" t="s">
        <v>922</v>
      </c>
      <c r="G27" s="810" t="s">
        <v>923</v>
      </c>
      <c r="H27" s="637" t="s">
        <v>924</v>
      </c>
    </row>
    <row r="28" spans="1:10" s="384" customFormat="1" ht="13.5" thickTop="1" thickBot="1" x14ac:dyDescent="0.25">
      <c r="A28" s="568">
        <v>1</v>
      </c>
      <c r="B28" s="569">
        <v>2</v>
      </c>
      <c r="C28" s="569">
        <v>3</v>
      </c>
      <c r="D28" s="569">
        <v>4</v>
      </c>
      <c r="E28" s="569">
        <v>5</v>
      </c>
      <c r="F28" s="543">
        <v>6</v>
      </c>
      <c r="G28" s="543">
        <v>7</v>
      </c>
      <c r="H28" s="638" t="s">
        <v>61</v>
      </c>
      <c r="I28" s="107"/>
    </row>
    <row r="29" spans="1:10" s="1107" customFormat="1" ht="16.5" thickTop="1" x14ac:dyDescent="0.25">
      <c r="A29" s="222">
        <v>6172</v>
      </c>
      <c r="B29" s="1111">
        <v>6111</v>
      </c>
      <c r="C29" s="1117"/>
      <c r="D29" s="1112" t="s">
        <v>186</v>
      </c>
      <c r="E29" s="1123"/>
      <c r="F29" s="451">
        <v>266</v>
      </c>
      <c r="G29" s="371">
        <v>266</v>
      </c>
      <c r="H29" s="1161">
        <f>(G29/F29)*100</f>
        <v>100</v>
      </c>
      <c r="J29" s="1122"/>
    </row>
    <row r="30" spans="1:10" s="1159" customFormat="1" ht="15.75" thickBot="1" x14ac:dyDescent="0.3">
      <c r="A30" s="50">
        <v>6172</v>
      </c>
      <c r="B30" s="19">
        <v>6125</v>
      </c>
      <c r="C30" s="1118"/>
      <c r="D30" s="1435" t="s">
        <v>187</v>
      </c>
      <c r="E30" s="60"/>
      <c r="F30" s="315">
        <v>1533</v>
      </c>
      <c r="G30" s="315">
        <v>1453</v>
      </c>
      <c r="H30" s="1124">
        <f>(G30/F30)*100</f>
        <v>94.781474233529025</v>
      </c>
    </row>
    <row r="31" spans="1:10" s="361" customFormat="1" ht="35.25" customHeight="1" thickTop="1" thickBot="1" x14ac:dyDescent="0.3">
      <c r="A31" s="639" t="s">
        <v>257</v>
      </c>
      <c r="B31" s="642"/>
      <c r="C31" s="641"/>
      <c r="D31" s="642"/>
      <c r="E31" s="1050">
        <f>E29+E30</f>
        <v>0</v>
      </c>
      <c r="F31" s="643">
        <f>SUM(F29,F30)</f>
        <v>1799</v>
      </c>
      <c r="G31" s="643">
        <f>SUM(G29,G30)</f>
        <v>1719</v>
      </c>
      <c r="H31" s="658">
        <f>(G31/F31)*100</f>
        <v>95.553085047248473</v>
      </c>
    </row>
    <row r="32" spans="1:10" s="361" customFormat="1" ht="15.75" customHeight="1" thickTop="1" x14ac:dyDescent="0.25">
      <c r="A32" s="359"/>
      <c r="B32" s="360"/>
      <c r="C32" s="57"/>
      <c r="D32" s="360"/>
      <c r="E32" s="17"/>
      <c r="F32" s="17"/>
      <c r="G32" s="17"/>
      <c r="H32" s="961"/>
    </row>
    <row r="33" spans="1:8" s="361" customFormat="1" ht="15.75" customHeight="1" x14ac:dyDescent="0.25">
      <c r="A33" s="359"/>
      <c r="B33" s="360"/>
      <c r="C33" s="57"/>
      <c r="D33" s="360"/>
      <c r="E33" s="17"/>
      <c r="F33" s="17"/>
      <c r="G33" s="17"/>
      <c r="H33" s="961"/>
    </row>
    <row r="34" spans="1:8" s="669" customFormat="1" ht="16.5" x14ac:dyDescent="0.25">
      <c r="A34" s="362" t="s">
        <v>1406</v>
      </c>
      <c r="B34" s="363"/>
      <c r="C34" s="364"/>
      <c r="D34" s="364"/>
      <c r="E34" s="974">
        <f>E35+E36+E37+E38</f>
        <v>22369</v>
      </c>
      <c r="F34" s="974">
        <f>F35+F36+F37+F38</f>
        <v>22963</v>
      </c>
      <c r="G34" s="974">
        <f>G35+G36+G37+G38</f>
        <v>22428</v>
      </c>
      <c r="H34" s="821">
        <f>(G34/F34)*100</f>
        <v>97.670165048120893</v>
      </c>
    </row>
    <row r="35" spans="1:8" s="1325" customFormat="1" ht="15" x14ac:dyDescent="0.2">
      <c r="A35" s="557" t="s">
        <v>277</v>
      </c>
      <c r="B35" s="587"/>
      <c r="C35" s="588"/>
      <c r="D35" s="588"/>
      <c r="E35" s="975">
        <f>E18</f>
        <v>22369</v>
      </c>
      <c r="F35" s="975">
        <f>F18</f>
        <v>21164</v>
      </c>
      <c r="G35" s="975">
        <f>G18</f>
        <v>20709</v>
      </c>
      <c r="H35" s="970">
        <f>(G35/F35)*100</f>
        <v>97.850122850122844</v>
      </c>
    </row>
    <row r="36" spans="1:8" s="1325" customFormat="1" ht="15" x14ac:dyDescent="0.2">
      <c r="A36" s="557" t="s">
        <v>278</v>
      </c>
      <c r="B36" s="592"/>
      <c r="C36" s="588"/>
      <c r="D36" s="588"/>
      <c r="E36" s="976">
        <f>E31</f>
        <v>0</v>
      </c>
      <c r="F36" s="976">
        <f>F31</f>
        <v>1799</v>
      </c>
      <c r="G36" s="976">
        <f>G31</f>
        <v>1719</v>
      </c>
      <c r="H36" s="970">
        <f>(G36/F36)*100</f>
        <v>95.553085047248473</v>
      </c>
    </row>
    <row r="37" spans="1:8" s="1325" customFormat="1" ht="15" x14ac:dyDescent="0.2">
      <c r="A37" s="557" t="s">
        <v>221</v>
      </c>
      <c r="B37" s="592"/>
      <c r="C37" s="588"/>
      <c r="D37" s="588"/>
      <c r="E37" s="975">
        <v>0</v>
      </c>
      <c r="F37" s="590">
        <v>0</v>
      </c>
      <c r="G37" s="590">
        <v>0</v>
      </c>
      <c r="H37" s="970">
        <v>0</v>
      </c>
    </row>
    <row r="38" spans="1:8" s="1325" customFormat="1" ht="15" x14ac:dyDescent="0.2">
      <c r="A38" s="557" t="s">
        <v>1206</v>
      </c>
      <c r="B38" s="592"/>
      <c r="C38" s="588"/>
      <c r="D38" s="588"/>
      <c r="E38" s="975">
        <v>0</v>
      </c>
      <c r="F38" s="594">
        <v>0</v>
      </c>
      <c r="G38" s="594">
        <v>0</v>
      </c>
      <c r="H38" s="970">
        <v>0</v>
      </c>
    </row>
    <row r="39" spans="1:8" s="361" customFormat="1" ht="12.75" customHeight="1" x14ac:dyDescent="0.25">
      <c r="A39" s="359"/>
      <c r="B39" s="360"/>
      <c r="C39" s="57"/>
      <c r="D39" s="360"/>
      <c r="E39" s="17"/>
      <c r="F39" s="17"/>
      <c r="G39" s="17"/>
      <c r="H39" s="961"/>
    </row>
    <row r="40" spans="1:8" ht="15.75" customHeight="1" x14ac:dyDescent="0.2">
      <c r="A40" s="631"/>
      <c r="B40" s="987"/>
      <c r="H40" s="1346"/>
    </row>
    <row r="41" spans="1:8" s="58" customFormat="1" ht="47.25" customHeight="1" thickBot="1" x14ac:dyDescent="0.4">
      <c r="A41" s="2650" t="s">
        <v>418</v>
      </c>
      <c r="B41" s="2651"/>
      <c r="C41" s="2651"/>
      <c r="D41" s="2651"/>
      <c r="E41" s="595">
        <f>SUM(E31,E18)</f>
        <v>22369</v>
      </c>
      <c r="F41" s="595">
        <f>SUM(F31,F18)</f>
        <v>22963</v>
      </c>
      <c r="G41" s="595">
        <f>SUM(G31,G18)</f>
        <v>22428</v>
      </c>
      <c r="H41" s="778">
        <f>(G41/F41)*100</f>
        <v>97.670165048120893</v>
      </c>
    </row>
    <row r="42" spans="1:8" ht="13.5" thickTop="1" x14ac:dyDescent="0.2"/>
  </sheetData>
  <mergeCells count="1">
    <mergeCell ref="A41:D41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7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 enableFormatConditionsCalculation="0">
    <tabColor rgb="FF00B0F0"/>
  </sheetPr>
  <dimension ref="A1:N85"/>
  <sheetViews>
    <sheetView showGridLines="0" view="pageBreakPreview" zoomScaleNormal="100" zoomScaleSheetLayoutView="100" workbookViewId="0">
      <selection activeCell="D67" sqref="D67"/>
    </sheetView>
  </sheetViews>
  <sheetFormatPr defaultRowHeight="12.75" x14ac:dyDescent="0.2"/>
  <cols>
    <col min="1" max="1" width="4.7109375" style="645" customWidth="1"/>
    <col min="2" max="2" width="4.7109375" style="534" customWidth="1"/>
    <col min="3" max="3" width="8.5703125" style="852" customWidth="1"/>
    <col min="4" max="4" width="47.28515625" style="534" customWidth="1"/>
    <col min="5" max="5" width="14.140625" style="495" customWidth="1"/>
    <col min="6" max="6" width="14.42578125" style="495" customWidth="1"/>
    <col min="7" max="7" width="13.85546875" style="495" customWidth="1"/>
    <col min="8" max="8" width="9.140625" style="668"/>
    <col min="9" max="10" width="9.140625" style="495"/>
    <col min="11" max="16384" width="9.140625" style="534"/>
  </cols>
  <sheetData>
    <row r="1" spans="1:10" ht="18.75" thickBot="1" x14ac:dyDescent="0.3">
      <c r="A1" s="465" t="s">
        <v>901</v>
      </c>
      <c r="B1" s="466"/>
      <c r="C1" s="490"/>
      <c r="D1" s="477"/>
      <c r="E1" s="494"/>
      <c r="F1" s="469" t="s">
        <v>211</v>
      </c>
      <c r="I1" s="17"/>
    </row>
    <row r="2" spans="1:10" ht="12.75" customHeight="1" x14ac:dyDescent="0.25">
      <c r="A2" s="6"/>
      <c r="B2" s="28"/>
      <c r="C2" s="57"/>
      <c r="D2" s="10"/>
      <c r="E2" s="137"/>
      <c r="F2" s="137"/>
      <c r="G2" s="16"/>
      <c r="H2" s="194"/>
      <c r="I2" s="17"/>
    </row>
    <row r="3" spans="1:10" ht="12.75" customHeight="1" x14ac:dyDescent="0.25">
      <c r="A3" s="67" t="s">
        <v>387</v>
      </c>
      <c r="B3" s="28"/>
      <c r="C3" s="504" t="s">
        <v>894</v>
      </c>
      <c r="D3" s="629"/>
      <c r="E3" s="137"/>
      <c r="F3" s="16"/>
      <c r="G3" s="17"/>
      <c r="H3" s="194"/>
      <c r="I3" s="534"/>
      <c r="J3" s="534"/>
    </row>
    <row r="4" spans="1:10" ht="12.75" customHeight="1" x14ac:dyDescent="0.25">
      <c r="A4" s="6"/>
      <c r="B4" s="28"/>
      <c r="C4" s="504" t="s">
        <v>895</v>
      </c>
      <c r="D4" s="675"/>
      <c r="E4" s="138"/>
      <c r="F4" s="16"/>
      <c r="G4" s="17"/>
      <c r="H4" s="194"/>
      <c r="I4" s="534"/>
      <c r="J4" s="534"/>
    </row>
    <row r="5" spans="1:10" ht="12.75" customHeight="1" x14ac:dyDescent="0.25">
      <c r="A5" s="6"/>
      <c r="B5" s="28"/>
      <c r="C5" s="504"/>
      <c r="D5" s="675"/>
      <c r="E5" s="138"/>
      <c r="F5" s="16"/>
      <c r="G5" s="17"/>
      <c r="H5" s="194"/>
      <c r="I5" s="534"/>
      <c r="J5" s="534"/>
    </row>
    <row r="6" spans="1:10" ht="12.75" customHeight="1" x14ac:dyDescent="0.25">
      <c r="A6" s="6"/>
      <c r="B6" s="28"/>
      <c r="C6" s="504"/>
      <c r="D6" s="675"/>
      <c r="E6" s="138"/>
      <c r="F6" s="16"/>
      <c r="G6" s="17"/>
      <c r="H6" s="194"/>
      <c r="I6" s="534"/>
      <c r="J6" s="534"/>
    </row>
    <row r="7" spans="1:10" ht="12.75" customHeight="1" x14ac:dyDescent="0.25">
      <c r="A7" s="33" t="s">
        <v>925</v>
      </c>
      <c r="B7" s="28"/>
      <c r="C7" s="504"/>
      <c r="D7" s="675"/>
      <c r="E7" s="138"/>
      <c r="F7" s="16"/>
      <c r="G7" s="17"/>
      <c r="H7" s="194"/>
      <c r="I7" s="534"/>
      <c r="J7" s="534"/>
    </row>
    <row r="8" spans="1:10" ht="12.75" customHeight="1" x14ac:dyDescent="0.25">
      <c r="A8" s="33"/>
      <c r="B8" s="28"/>
      <c r="C8" s="504"/>
      <c r="D8" s="675"/>
      <c r="E8" s="138"/>
      <c r="F8" s="16"/>
      <c r="G8" s="17"/>
      <c r="H8" s="194"/>
      <c r="I8" s="534"/>
      <c r="J8" s="534"/>
    </row>
    <row r="9" spans="1:10" ht="12.75" customHeight="1" thickBot="1" x14ac:dyDescent="0.3">
      <c r="A9" s="6"/>
      <c r="B9" s="28"/>
      <c r="C9" s="57"/>
      <c r="D9" s="10"/>
      <c r="E9" s="137"/>
      <c r="F9" s="137"/>
      <c r="G9" s="16"/>
      <c r="H9" s="200" t="s">
        <v>173</v>
      </c>
      <c r="I9" s="17"/>
    </row>
    <row r="10" spans="1:10" s="1030" customFormat="1" ht="20.25" customHeight="1" thickTop="1" thickBot="1" x14ac:dyDescent="0.25">
      <c r="A10" s="1024" t="s">
        <v>174</v>
      </c>
      <c r="B10" s="1025" t="s">
        <v>175</v>
      </c>
      <c r="C10" s="1026" t="s">
        <v>744</v>
      </c>
      <c r="D10" s="1026" t="s">
        <v>176</v>
      </c>
      <c r="E10" s="1026" t="s">
        <v>177</v>
      </c>
      <c r="F10" s="1026" t="s">
        <v>922</v>
      </c>
      <c r="G10" s="1027" t="s">
        <v>923</v>
      </c>
      <c r="H10" s="1028" t="s">
        <v>924</v>
      </c>
      <c r="I10" s="1029"/>
      <c r="J10" s="1029"/>
    </row>
    <row r="11" spans="1:10" s="384" customFormat="1" ht="13.5" thickTop="1" thickBot="1" x14ac:dyDescent="0.25">
      <c r="A11" s="568">
        <v>1</v>
      </c>
      <c r="B11" s="569">
        <v>2</v>
      </c>
      <c r="C11" s="569">
        <v>3</v>
      </c>
      <c r="D11" s="569">
        <v>4</v>
      </c>
      <c r="E11" s="569">
        <v>5</v>
      </c>
      <c r="F11" s="543">
        <v>6</v>
      </c>
      <c r="G11" s="543">
        <v>7</v>
      </c>
      <c r="H11" s="638" t="s">
        <v>61</v>
      </c>
      <c r="I11" s="107"/>
    </row>
    <row r="12" spans="1:10" s="1159" customFormat="1" ht="15.75" thickTop="1" x14ac:dyDescent="0.25">
      <c r="A12" s="1220">
        <v>3636</v>
      </c>
      <c r="B12" s="268">
        <v>5325</v>
      </c>
      <c r="C12" s="1166"/>
      <c r="D12" s="128" t="s">
        <v>565</v>
      </c>
      <c r="E12" s="60">
        <v>500</v>
      </c>
      <c r="F12" s="149">
        <v>500</v>
      </c>
      <c r="G12" s="60">
        <v>500</v>
      </c>
      <c r="H12" s="1113">
        <f>(G12/F12)*100</f>
        <v>100</v>
      </c>
    </row>
    <row r="13" spans="1:10" s="1159" customFormat="1" ht="15" x14ac:dyDescent="0.25">
      <c r="A13" s="1220">
        <v>4372</v>
      </c>
      <c r="B13" s="268">
        <v>5901</v>
      </c>
      <c r="C13" s="1166"/>
      <c r="D13" s="1163" t="s">
        <v>639</v>
      </c>
      <c r="E13" s="60"/>
      <c r="F13" s="149">
        <v>3952</v>
      </c>
      <c r="G13" s="60">
        <v>0</v>
      </c>
      <c r="H13" s="1113">
        <v>0</v>
      </c>
    </row>
    <row r="14" spans="1:10" s="1159" customFormat="1" ht="15" x14ac:dyDescent="0.25">
      <c r="A14" s="1220"/>
      <c r="B14" s="268"/>
      <c r="C14" s="1120" t="s">
        <v>612</v>
      </c>
      <c r="D14" s="2652" t="s">
        <v>1066</v>
      </c>
      <c r="E14" s="60"/>
      <c r="F14" s="123">
        <v>3952</v>
      </c>
      <c r="G14" s="124">
        <v>0</v>
      </c>
      <c r="H14" s="1116">
        <v>0</v>
      </c>
    </row>
    <row r="15" spans="1:10" s="1159" customFormat="1" ht="15" x14ac:dyDescent="0.25">
      <c r="A15" s="1220"/>
      <c r="B15" s="268"/>
      <c r="C15" s="1120"/>
      <c r="D15" s="2652"/>
      <c r="E15" s="60"/>
      <c r="F15" s="149"/>
      <c r="G15" s="60"/>
      <c r="H15" s="1113"/>
    </row>
    <row r="16" spans="1:10" s="1159" customFormat="1" ht="15" x14ac:dyDescent="0.25">
      <c r="A16" s="1220">
        <v>6172</v>
      </c>
      <c r="B16" s="268">
        <v>5141</v>
      </c>
      <c r="C16" s="1166"/>
      <c r="D16" s="128" t="s">
        <v>993</v>
      </c>
      <c r="E16" s="60">
        <f>E17+E18+E19</f>
        <v>121584</v>
      </c>
      <c r="F16" s="60">
        <f>F17+F18+F19</f>
        <v>29970</v>
      </c>
      <c r="G16" s="60">
        <f>G17+G18+G19</f>
        <v>29871</v>
      </c>
      <c r="H16" s="1113">
        <f t="shared" ref="H16:H27" si="0">(G16/F16)*100</f>
        <v>99.669669669669673</v>
      </c>
    </row>
    <row r="17" spans="1:11" s="1159" customFormat="1" ht="14.25" x14ac:dyDescent="0.2">
      <c r="A17" s="1220"/>
      <c r="B17" s="268"/>
      <c r="C17" s="1166" t="s">
        <v>607</v>
      </c>
      <c r="D17" s="166" t="s">
        <v>1075</v>
      </c>
      <c r="E17" s="124">
        <v>18838</v>
      </c>
      <c r="F17" s="314">
        <v>4818</v>
      </c>
      <c r="G17" s="316">
        <v>4818</v>
      </c>
      <c r="H17" s="1116">
        <f t="shared" si="0"/>
        <v>100</v>
      </c>
    </row>
    <row r="18" spans="1:11" s="1159" customFormat="1" ht="14.25" x14ac:dyDescent="0.2">
      <c r="A18" s="1220"/>
      <c r="B18" s="268"/>
      <c r="C18" s="1166" t="s">
        <v>1076</v>
      </c>
      <c r="D18" s="166" t="s">
        <v>1077</v>
      </c>
      <c r="E18" s="124">
        <v>81514</v>
      </c>
      <c r="F18" s="314">
        <v>17315</v>
      </c>
      <c r="G18" s="316">
        <v>17315</v>
      </c>
      <c r="H18" s="1116">
        <f t="shared" si="0"/>
        <v>100</v>
      </c>
    </row>
    <row r="19" spans="1:11" s="1159" customFormat="1" ht="14.25" x14ac:dyDescent="0.2">
      <c r="A19" s="1220"/>
      <c r="B19" s="268"/>
      <c r="C19" s="1166" t="s">
        <v>1413</v>
      </c>
      <c r="D19" s="166" t="s">
        <v>1414</v>
      </c>
      <c r="E19" s="124">
        <v>21232</v>
      </c>
      <c r="F19" s="314">
        <v>7837</v>
      </c>
      <c r="G19" s="316">
        <v>7738</v>
      </c>
      <c r="H19" s="1116">
        <f t="shared" si="0"/>
        <v>98.736761515886187</v>
      </c>
    </row>
    <row r="20" spans="1:11" s="1159" customFormat="1" ht="13.5" customHeight="1" x14ac:dyDescent="0.25">
      <c r="A20" s="1220">
        <v>6172</v>
      </c>
      <c r="B20" s="268">
        <v>5142</v>
      </c>
      <c r="C20" s="1153"/>
      <c r="D20" s="128" t="s">
        <v>310</v>
      </c>
      <c r="E20" s="60">
        <v>2000</v>
      </c>
      <c r="F20" s="313">
        <v>2000</v>
      </c>
      <c r="G20" s="315">
        <v>81</v>
      </c>
      <c r="H20" s="1113">
        <f t="shared" si="0"/>
        <v>4.05</v>
      </c>
    </row>
    <row r="21" spans="1:11" s="1159" customFormat="1" ht="13.5" customHeight="1" x14ac:dyDescent="0.25">
      <c r="A21" s="1220">
        <v>6172</v>
      </c>
      <c r="B21" s="268">
        <v>5144</v>
      </c>
      <c r="C21" s="1153"/>
      <c r="D21" s="128" t="s">
        <v>1585</v>
      </c>
      <c r="E21" s="60">
        <v>5</v>
      </c>
      <c r="F21" s="313">
        <v>305</v>
      </c>
      <c r="G21" s="315">
        <v>225</v>
      </c>
      <c r="H21" s="1113">
        <f t="shared" si="0"/>
        <v>73.770491803278688</v>
      </c>
    </row>
    <row r="22" spans="1:11" s="1159" customFormat="1" ht="13.5" customHeight="1" x14ac:dyDescent="0.25">
      <c r="A22" s="1220">
        <v>6172</v>
      </c>
      <c r="B22" s="268">
        <v>5163</v>
      </c>
      <c r="C22" s="1153"/>
      <c r="D22" s="128" t="s">
        <v>934</v>
      </c>
      <c r="E22" s="60">
        <v>506</v>
      </c>
      <c r="F22" s="313">
        <v>506</v>
      </c>
      <c r="G22" s="315">
        <v>291</v>
      </c>
      <c r="H22" s="1113">
        <f t="shared" si="0"/>
        <v>57.509881422924906</v>
      </c>
    </row>
    <row r="23" spans="1:11" s="1159" customFormat="1" ht="13.5" customHeight="1" x14ac:dyDescent="0.25">
      <c r="A23" s="1220">
        <v>6172</v>
      </c>
      <c r="B23" s="268">
        <v>5164</v>
      </c>
      <c r="C23" s="1153"/>
      <c r="D23" s="128" t="s">
        <v>182</v>
      </c>
      <c r="E23" s="60">
        <v>5</v>
      </c>
      <c r="F23" s="313">
        <v>5</v>
      </c>
      <c r="G23" s="315">
        <v>5</v>
      </c>
      <c r="H23" s="1113">
        <f t="shared" si="0"/>
        <v>100</v>
      </c>
    </row>
    <row r="24" spans="1:11" s="1107" customFormat="1" ht="15" x14ac:dyDescent="0.25">
      <c r="A24" s="34">
        <v>6172</v>
      </c>
      <c r="B24" s="1139">
        <v>5166</v>
      </c>
      <c r="C24" s="1167"/>
      <c r="D24" s="1108" t="s">
        <v>646</v>
      </c>
      <c r="E24" s="48">
        <v>2000</v>
      </c>
      <c r="F24" s="168">
        <v>1966</v>
      </c>
      <c r="G24" s="315">
        <v>1622</v>
      </c>
      <c r="H24" s="1113">
        <f t="shared" si="0"/>
        <v>82.502543234994917</v>
      </c>
    </row>
    <row r="25" spans="1:11" s="1107" customFormat="1" ht="15" x14ac:dyDescent="0.25">
      <c r="A25" s="34">
        <v>6172</v>
      </c>
      <c r="B25" s="1139">
        <v>5169</v>
      </c>
      <c r="C25" s="1167"/>
      <c r="D25" s="1108" t="s">
        <v>892</v>
      </c>
      <c r="E25" s="48">
        <v>200</v>
      </c>
      <c r="F25" s="168">
        <v>200</v>
      </c>
      <c r="G25" s="315">
        <v>0</v>
      </c>
      <c r="H25" s="1113">
        <f t="shared" si="0"/>
        <v>0</v>
      </c>
    </row>
    <row r="26" spans="1:11" s="1107" customFormat="1" ht="15" x14ac:dyDescent="0.25">
      <c r="A26" s="34">
        <v>6172</v>
      </c>
      <c r="B26" s="1139">
        <v>5362</v>
      </c>
      <c r="C26" s="1167"/>
      <c r="D26" s="1163" t="s">
        <v>638</v>
      </c>
      <c r="E26" s="48">
        <v>5000</v>
      </c>
      <c r="F26" s="48">
        <v>19494</v>
      </c>
      <c r="G26" s="48">
        <v>16020</v>
      </c>
      <c r="H26" s="1113">
        <f t="shared" si="0"/>
        <v>82.179132040627891</v>
      </c>
    </row>
    <row r="27" spans="1:11" s="1107" customFormat="1" ht="15" x14ac:dyDescent="0.25">
      <c r="A27" s="34">
        <v>6172</v>
      </c>
      <c r="B27" s="1139">
        <v>5901</v>
      </c>
      <c r="C27" s="1167"/>
      <c r="D27" s="1163" t="s">
        <v>639</v>
      </c>
      <c r="E27" s="48"/>
      <c r="F27" s="447">
        <v>233209</v>
      </c>
      <c r="G27" s="447">
        <v>0</v>
      </c>
      <c r="H27" s="1113">
        <f t="shared" si="0"/>
        <v>0</v>
      </c>
    </row>
    <row r="28" spans="1:11" s="1107" customFormat="1" ht="15" x14ac:dyDescent="0.25">
      <c r="A28" s="34">
        <v>6172</v>
      </c>
      <c r="B28" s="1139">
        <v>5909</v>
      </c>
      <c r="C28" s="1167"/>
      <c r="D28" s="1109" t="s">
        <v>467</v>
      </c>
      <c r="E28" s="48"/>
      <c r="F28" s="168">
        <v>0</v>
      </c>
      <c r="G28" s="315">
        <v>1435</v>
      </c>
      <c r="H28" s="1113">
        <v>0</v>
      </c>
    </row>
    <row r="29" spans="1:11" s="1107" customFormat="1" ht="30" x14ac:dyDescent="0.25">
      <c r="A29" s="1408">
        <v>6402</v>
      </c>
      <c r="B29" s="1405">
        <v>5364</v>
      </c>
      <c r="C29" s="1167"/>
      <c r="D29" s="1163" t="s">
        <v>1078</v>
      </c>
      <c r="E29" s="48"/>
      <c r="F29" s="1406">
        <v>1702</v>
      </c>
      <c r="G29" s="448">
        <v>1702</v>
      </c>
      <c r="H29" s="1407">
        <f>(G29/F29)*100</f>
        <v>100</v>
      </c>
    </row>
    <row r="30" spans="1:11" s="1107" customFormat="1" ht="15" x14ac:dyDescent="0.25">
      <c r="A30" s="1408"/>
      <c r="B30" s="1405"/>
      <c r="C30" s="1166" t="s">
        <v>608</v>
      </c>
      <c r="D30" s="1130" t="s">
        <v>473</v>
      </c>
      <c r="E30" s="48"/>
      <c r="F30" s="314">
        <v>1702</v>
      </c>
      <c r="G30" s="316">
        <v>1702</v>
      </c>
      <c r="H30" s="1116">
        <f>(G30/F30)*100</f>
        <v>100</v>
      </c>
    </row>
    <row r="31" spans="1:11" s="1107" customFormat="1" ht="15" x14ac:dyDescent="0.25">
      <c r="A31" s="34">
        <v>6409</v>
      </c>
      <c r="B31" s="1139">
        <v>5229</v>
      </c>
      <c r="C31" s="1135"/>
      <c r="D31" s="1108" t="s">
        <v>609</v>
      </c>
      <c r="E31" s="48">
        <f>E33+E34</f>
        <v>27000</v>
      </c>
      <c r="F31" s="48">
        <f>F33+F34</f>
        <v>0</v>
      </c>
      <c r="G31" s="48">
        <f>G33+G34</f>
        <v>0</v>
      </c>
      <c r="H31" s="1113">
        <v>0</v>
      </c>
    </row>
    <row r="32" spans="1:11" s="1107" customFormat="1" ht="15" x14ac:dyDescent="0.25">
      <c r="A32" s="34"/>
      <c r="B32" s="1139"/>
      <c r="C32" s="1167"/>
      <c r="D32" s="1108" t="s">
        <v>610</v>
      </c>
      <c r="E32" s="48"/>
      <c r="F32" s="168"/>
      <c r="G32" s="315"/>
      <c r="H32" s="1113"/>
      <c r="K32" s="1162"/>
    </row>
    <row r="33" spans="1:14" s="1107" customFormat="1" ht="14.25" x14ac:dyDescent="0.2">
      <c r="A33" s="34"/>
      <c r="B33" s="1139"/>
      <c r="C33" s="1135" t="s">
        <v>262</v>
      </c>
      <c r="D33" s="1114" t="s">
        <v>333</v>
      </c>
      <c r="E33" s="55">
        <v>20000</v>
      </c>
      <c r="F33" s="314">
        <v>0</v>
      </c>
      <c r="G33" s="316">
        <v>0</v>
      </c>
      <c r="H33" s="1116">
        <v>0</v>
      </c>
      <c r="K33" s="1162"/>
    </row>
    <row r="34" spans="1:14" s="1107" customFormat="1" ht="14.25" x14ac:dyDescent="0.2">
      <c r="A34" s="34"/>
      <c r="B34" s="1139"/>
      <c r="C34" s="1135" t="s">
        <v>1262</v>
      </c>
      <c r="D34" s="1727" t="s">
        <v>1757</v>
      </c>
      <c r="E34" s="55">
        <v>7000</v>
      </c>
      <c r="F34" s="314">
        <v>0</v>
      </c>
      <c r="G34" s="316">
        <v>0</v>
      </c>
      <c r="H34" s="1116">
        <v>0</v>
      </c>
      <c r="K34" s="1162"/>
    </row>
    <row r="35" spans="1:14" s="1107" customFormat="1" ht="15" customHeight="1" x14ac:dyDescent="0.25">
      <c r="A35" s="34">
        <v>6409</v>
      </c>
      <c r="B35" s="1139">
        <v>5901</v>
      </c>
      <c r="C35" s="1167"/>
      <c r="D35" s="1163" t="s">
        <v>639</v>
      </c>
      <c r="E35" s="48">
        <f>E36</f>
        <v>30000</v>
      </c>
      <c r="F35" s="447">
        <f>F36+F37</f>
        <v>250324</v>
      </c>
      <c r="G35" s="447">
        <f>G36+G37</f>
        <v>0</v>
      </c>
      <c r="H35" s="1113">
        <v>0</v>
      </c>
    </row>
    <row r="36" spans="1:14" s="1107" customFormat="1" ht="15" customHeight="1" x14ac:dyDescent="0.2">
      <c r="A36" s="34"/>
      <c r="B36" s="1139"/>
      <c r="C36" s="1120" t="s">
        <v>792</v>
      </c>
      <c r="D36" s="1114" t="s">
        <v>1321</v>
      </c>
      <c r="E36" s="55">
        <v>30000</v>
      </c>
      <c r="F36" s="314">
        <v>30000</v>
      </c>
      <c r="G36" s="316">
        <v>0</v>
      </c>
      <c r="H36" s="1116">
        <v>0</v>
      </c>
    </row>
    <row r="37" spans="1:14" s="1107" customFormat="1" ht="15" customHeight="1" x14ac:dyDescent="0.25">
      <c r="A37" s="34"/>
      <c r="B37" s="1139"/>
      <c r="C37" s="1120" t="s">
        <v>1076</v>
      </c>
      <c r="D37" s="1404" t="s">
        <v>466</v>
      </c>
      <c r="E37" s="48"/>
      <c r="F37" s="314">
        <v>220324</v>
      </c>
      <c r="G37" s="316">
        <v>0</v>
      </c>
      <c r="H37" s="1116">
        <v>0</v>
      </c>
      <c r="J37" s="1148"/>
    </row>
    <row r="38" spans="1:14" s="1107" customFormat="1" ht="15" customHeight="1" thickBot="1" x14ac:dyDescent="0.3">
      <c r="A38" s="34">
        <v>6409</v>
      </c>
      <c r="B38" s="1139">
        <v>5909</v>
      </c>
      <c r="C38" s="1167"/>
      <c r="D38" s="1109" t="s">
        <v>467</v>
      </c>
      <c r="E38" s="48"/>
      <c r="F38" s="168">
        <v>17</v>
      </c>
      <c r="G38" s="315">
        <v>199</v>
      </c>
      <c r="H38" s="1113">
        <v>0</v>
      </c>
      <c r="J38" s="1164" t="s">
        <v>566</v>
      </c>
      <c r="L38" s="1141">
        <f>E17+E18</f>
        <v>100352</v>
      </c>
      <c r="M38" s="1141">
        <f>F37+F17+F18</f>
        <v>242457</v>
      </c>
      <c r="N38" s="1141">
        <f>G37+G17+G18</f>
        <v>22133</v>
      </c>
    </row>
    <row r="39" spans="1:14" s="361" customFormat="1" ht="35.85" customHeight="1" thickTop="1" thickBot="1" x14ac:dyDescent="0.35">
      <c r="A39" s="1031" t="s">
        <v>258</v>
      </c>
      <c r="B39" s="1032"/>
      <c r="C39" s="1033"/>
      <c r="D39" s="1034"/>
      <c r="E39" s="643">
        <f>E12+E16+E20+E22+E24+E25+E26+E27+E31+E35+E23+E21</f>
        <v>188800</v>
      </c>
      <c r="F39" s="643">
        <f>F12+F13+F16+F20+F22+F23+F24+F25+F26+F27+F29+F35+F31+F21+F38</f>
        <v>544150</v>
      </c>
      <c r="G39" s="643">
        <f>G12+G13+G16+G20+G22+G23+G24+G25+G26+G27+G29+G35+G31+G21+G38+G28</f>
        <v>51951</v>
      </c>
      <c r="H39" s="644">
        <f>G39/F39*100</f>
        <v>9.5471836809703206</v>
      </c>
    </row>
    <row r="40" spans="1:14" ht="13.5" thickTop="1" x14ac:dyDescent="0.2"/>
    <row r="42" spans="1:14" ht="18" x14ac:dyDescent="0.25">
      <c r="A42" s="33" t="s">
        <v>1310</v>
      </c>
      <c r="B42" s="28"/>
      <c r="C42" s="10"/>
      <c r="D42" s="139"/>
      <c r="E42" s="137"/>
      <c r="F42" s="16"/>
      <c r="G42" s="17"/>
      <c r="H42" s="194"/>
      <c r="I42" s="534"/>
      <c r="J42" s="534"/>
    </row>
    <row r="43" spans="1:14" ht="13.5" thickBot="1" x14ac:dyDescent="0.25">
      <c r="A43" s="631"/>
      <c r="B43" s="631"/>
      <c r="C43" s="632"/>
      <c r="F43" s="980"/>
      <c r="H43" s="668" t="s">
        <v>173</v>
      </c>
      <c r="I43" s="534"/>
      <c r="J43" s="534"/>
    </row>
    <row r="44" spans="1:14" s="107" customFormat="1" ht="20.25" customHeight="1" thickTop="1" thickBot="1" x14ac:dyDescent="0.25">
      <c r="A44" s="633" t="s">
        <v>174</v>
      </c>
      <c r="B44" s="634" t="s">
        <v>175</v>
      </c>
      <c r="C44" s="636" t="s">
        <v>744</v>
      </c>
      <c r="D44" s="810" t="s">
        <v>176</v>
      </c>
      <c r="E44" s="810" t="s">
        <v>177</v>
      </c>
      <c r="F44" s="810" t="s">
        <v>922</v>
      </c>
      <c r="G44" s="810" t="s">
        <v>923</v>
      </c>
      <c r="H44" s="637" t="s">
        <v>924</v>
      </c>
    </row>
    <row r="45" spans="1:14" s="384" customFormat="1" ht="13.5" thickTop="1" thickBot="1" x14ac:dyDescent="0.25">
      <c r="A45" s="568">
        <v>1</v>
      </c>
      <c r="B45" s="569">
        <v>2</v>
      </c>
      <c r="C45" s="569">
        <v>3</v>
      </c>
      <c r="D45" s="569">
        <v>4</v>
      </c>
      <c r="E45" s="569">
        <v>5</v>
      </c>
      <c r="F45" s="543">
        <v>6</v>
      </c>
      <c r="G45" s="543">
        <v>7</v>
      </c>
      <c r="H45" s="638" t="s">
        <v>61</v>
      </c>
      <c r="I45" s="107"/>
    </row>
    <row r="46" spans="1:14" s="1107" customFormat="1" ht="17.25" thickTop="1" thickBot="1" x14ac:dyDescent="0.3">
      <c r="A46" s="222">
        <v>3399</v>
      </c>
      <c r="B46" s="1111">
        <v>6441</v>
      </c>
      <c r="C46" s="1117"/>
      <c r="D46" s="1112" t="s">
        <v>1586</v>
      </c>
      <c r="E46" s="1123"/>
      <c r="F46" s="451">
        <v>1000</v>
      </c>
      <c r="G46" s="371">
        <v>1000</v>
      </c>
      <c r="H46" s="1161">
        <f>(G46/F46)*100</f>
        <v>100</v>
      </c>
      <c r="J46" s="1122"/>
    </row>
    <row r="47" spans="1:14" s="361" customFormat="1" ht="35.25" customHeight="1" thickTop="1" thickBot="1" x14ac:dyDescent="0.3">
      <c r="A47" s="639" t="s">
        <v>257</v>
      </c>
      <c r="B47" s="642"/>
      <c r="C47" s="641"/>
      <c r="D47" s="642"/>
      <c r="E47" s="1050">
        <v>0</v>
      </c>
      <c r="F47" s="643">
        <v>1000</v>
      </c>
      <c r="G47" s="643">
        <v>1000</v>
      </c>
      <c r="H47" s="658">
        <f>(G47/F47)*100</f>
        <v>100</v>
      </c>
    </row>
    <row r="48" spans="1:14" ht="13.5" thickTop="1" x14ac:dyDescent="0.2"/>
    <row r="49" spans="1:10" x14ac:dyDescent="0.2">
      <c r="A49" s="534"/>
      <c r="C49" s="534"/>
      <c r="E49" s="534"/>
      <c r="G49" s="534"/>
      <c r="I49" s="534"/>
      <c r="J49" s="534"/>
    </row>
    <row r="50" spans="1:10" s="669" customFormat="1" ht="16.5" x14ac:dyDescent="0.25">
      <c r="A50" s="362" t="s">
        <v>628</v>
      </c>
      <c r="B50" s="363"/>
      <c r="C50" s="364"/>
      <c r="D50" s="364"/>
      <c r="E50" s="974">
        <f>E51+E52+E53+E54</f>
        <v>188800</v>
      </c>
      <c r="F50" s="974">
        <f>F51+F52+F53+F54</f>
        <v>545150</v>
      </c>
      <c r="G50" s="974">
        <f>G51+G52+G53+G54</f>
        <v>52951</v>
      </c>
      <c r="H50" s="305">
        <f>G50/F50*100</f>
        <v>9.7131064844538209</v>
      </c>
    </row>
    <row r="51" spans="1:10" s="1325" customFormat="1" ht="15" x14ac:dyDescent="0.2">
      <c r="A51" s="557" t="s">
        <v>277</v>
      </c>
      <c r="B51" s="587"/>
      <c r="C51" s="588"/>
      <c r="D51" s="588"/>
      <c r="E51" s="975">
        <f>E39</f>
        <v>188800</v>
      </c>
      <c r="F51" s="975">
        <f>F39-F53</f>
        <v>540198</v>
      </c>
      <c r="G51" s="975">
        <f>G39-G53</f>
        <v>51951</v>
      </c>
      <c r="H51" s="306">
        <f>G51/F51*100</f>
        <v>9.6170293114746812</v>
      </c>
    </row>
    <row r="52" spans="1:10" s="1325" customFormat="1" ht="15" x14ac:dyDescent="0.2">
      <c r="A52" s="557" t="s">
        <v>278</v>
      </c>
      <c r="B52" s="592"/>
      <c r="C52" s="588"/>
      <c r="D52" s="588"/>
      <c r="E52" s="976">
        <v>0</v>
      </c>
      <c r="F52" s="976">
        <f>F47</f>
        <v>1000</v>
      </c>
      <c r="G52" s="976">
        <f>G47</f>
        <v>1000</v>
      </c>
      <c r="H52" s="306">
        <v>0</v>
      </c>
    </row>
    <row r="53" spans="1:10" s="1325" customFormat="1" ht="15" x14ac:dyDescent="0.2">
      <c r="A53" s="557" t="s">
        <v>221</v>
      </c>
      <c r="B53" s="592"/>
      <c r="C53" s="588"/>
      <c r="D53" s="588"/>
      <c r="E53" s="975">
        <v>0</v>
      </c>
      <c r="F53" s="590">
        <f>F14</f>
        <v>3952</v>
      </c>
      <c r="G53" s="590">
        <f>G14</f>
        <v>0</v>
      </c>
      <c r="H53" s="306">
        <f>G53/F53*100</f>
        <v>0</v>
      </c>
    </row>
    <row r="54" spans="1:10" s="1325" customFormat="1" ht="15" x14ac:dyDescent="0.2">
      <c r="A54" s="557" t="s">
        <v>1206</v>
      </c>
      <c r="B54" s="592"/>
      <c r="C54" s="588"/>
      <c r="D54" s="588"/>
      <c r="E54" s="975">
        <v>0</v>
      </c>
      <c r="F54" s="594">
        <v>0</v>
      </c>
      <c r="G54" s="594">
        <v>0</v>
      </c>
      <c r="H54" s="306">
        <v>0</v>
      </c>
    </row>
    <row r="55" spans="1:10" s="1325" customFormat="1" ht="15" x14ac:dyDescent="0.2">
      <c r="A55" s="557"/>
      <c r="B55" s="592"/>
      <c r="C55" s="588"/>
      <c r="D55" s="588"/>
      <c r="E55" s="975"/>
      <c r="F55" s="594"/>
      <c r="G55" s="594"/>
      <c r="H55" s="306"/>
    </row>
    <row r="56" spans="1:10" s="58" customFormat="1" ht="47.25" customHeight="1" thickBot="1" x14ac:dyDescent="0.4">
      <c r="A56" s="650" t="s">
        <v>1214</v>
      </c>
      <c r="B56" s="651"/>
      <c r="C56" s="652"/>
      <c r="D56" s="653"/>
      <c r="E56" s="595">
        <f>SUM(E39,E47)</f>
        <v>188800</v>
      </c>
      <c r="F56" s="595">
        <f>SUM(F39,F47)</f>
        <v>545150</v>
      </c>
      <c r="G56" s="595">
        <f>SUM(G39,G47)</f>
        <v>52951</v>
      </c>
      <c r="H56" s="1048">
        <f>(G56/F56)*100</f>
        <v>9.7131064844538209</v>
      </c>
    </row>
    <row r="57" spans="1:10" ht="13.5" thickTop="1" x14ac:dyDescent="0.2"/>
    <row r="69" spans="1:10" x14ac:dyDescent="0.2">
      <c r="A69" s="534"/>
      <c r="C69" s="534"/>
      <c r="E69" s="534"/>
      <c r="G69" s="534"/>
      <c r="I69" s="534"/>
      <c r="J69" s="534"/>
    </row>
    <row r="70" spans="1:10" x14ac:dyDescent="0.2">
      <c r="A70" s="534"/>
      <c r="C70" s="534"/>
      <c r="E70" s="534"/>
      <c r="G70" s="534"/>
      <c r="I70" s="534"/>
      <c r="J70" s="534"/>
    </row>
    <row r="71" spans="1:10" x14ac:dyDescent="0.2">
      <c r="A71" s="534"/>
      <c r="C71" s="534"/>
      <c r="E71" s="534"/>
      <c r="G71" s="534"/>
      <c r="I71" s="534"/>
      <c r="J71" s="534"/>
    </row>
    <row r="72" spans="1:10" x14ac:dyDescent="0.2">
      <c r="A72" s="534"/>
      <c r="C72" s="534"/>
      <c r="E72" s="534"/>
      <c r="G72" s="534"/>
      <c r="I72" s="534"/>
      <c r="J72" s="534"/>
    </row>
    <row r="73" spans="1:10" x14ac:dyDescent="0.2">
      <c r="A73" s="534"/>
      <c r="C73" s="534"/>
      <c r="E73" s="534"/>
      <c r="G73" s="534"/>
      <c r="I73" s="534"/>
      <c r="J73" s="534"/>
    </row>
    <row r="74" spans="1:10" s="58" customFormat="1" ht="47.25" customHeight="1" x14ac:dyDescent="0.35">
      <c r="A74" s="534"/>
      <c r="B74" s="534"/>
      <c r="C74" s="534"/>
      <c r="D74" s="534"/>
      <c r="E74" s="534"/>
      <c r="F74" s="495"/>
      <c r="G74" s="534"/>
      <c r="H74" s="668"/>
    </row>
    <row r="75" spans="1:10" s="646" customFormat="1" x14ac:dyDescent="0.2">
      <c r="A75" s="669"/>
      <c r="B75" s="669"/>
      <c r="C75" s="669"/>
      <c r="D75" s="669"/>
      <c r="E75" s="669"/>
      <c r="F75" s="675"/>
      <c r="G75" s="669"/>
      <c r="H75" s="676"/>
      <c r="I75" s="954"/>
      <c r="J75" s="954"/>
    </row>
    <row r="76" spans="1:10" x14ac:dyDescent="0.2">
      <c r="A76" s="534"/>
      <c r="C76" s="534"/>
      <c r="E76" s="534"/>
      <c r="G76" s="534"/>
    </row>
    <row r="77" spans="1:10" x14ac:dyDescent="0.2">
      <c r="A77" s="534"/>
      <c r="C77" s="534"/>
      <c r="E77" s="534"/>
      <c r="G77" s="534"/>
    </row>
    <row r="78" spans="1:10" x14ac:dyDescent="0.2">
      <c r="A78" s="534"/>
      <c r="C78" s="534"/>
      <c r="E78" s="534"/>
      <c r="G78" s="534"/>
    </row>
    <row r="79" spans="1:10" x14ac:dyDescent="0.2">
      <c r="A79" s="534"/>
      <c r="C79" s="534"/>
      <c r="E79" s="534"/>
      <c r="G79" s="534"/>
    </row>
    <row r="80" spans="1:10" x14ac:dyDescent="0.2">
      <c r="A80" s="534"/>
      <c r="C80" s="534"/>
      <c r="E80" s="534"/>
      <c r="G80" s="534"/>
    </row>
    <row r="81" spans="1:7" x14ac:dyDescent="0.2">
      <c r="A81" s="534"/>
      <c r="C81" s="534"/>
      <c r="E81" s="534"/>
      <c r="G81" s="534"/>
    </row>
    <row r="82" spans="1:7" x14ac:dyDescent="0.2">
      <c r="A82" s="534"/>
      <c r="C82" s="534"/>
      <c r="E82" s="534"/>
      <c r="G82" s="534"/>
    </row>
    <row r="83" spans="1:7" x14ac:dyDescent="0.2">
      <c r="A83" s="534"/>
      <c r="C83" s="534"/>
      <c r="E83" s="534"/>
      <c r="G83" s="534"/>
    </row>
    <row r="84" spans="1:7" x14ac:dyDescent="0.2">
      <c r="A84" s="534"/>
      <c r="C84" s="534"/>
      <c r="E84" s="534"/>
      <c r="G84" s="534"/>
    </row>
    <row r="85" spans="1:7" x14ac:dyDescent="0.2">
      <c r="A85" s="534"/>
      <c r="C85" s="534"/>
      <c r="E85" s="534"/>
      <c r="G85" s="534"/>
    </row>
  </sheetData>
  <mergeCells count="1">
    <mergeCell ref="D14:D15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8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63</vt:i4>
      </vt:variant>
      <vt:variant>
        <vt:lpstr>Pojmenované oblasti</vt:lpstr>
      </vt:variant>
      <vt:variant>
        <vt:i4>62</vt:i4>
      </vt:variant>
    </vt:vector>
  </HeadingPairs>
  <TitlesOfParts>
    <vt:vector size="125" baseType="lpstr">
      <vt:lpstr>Rekapitulace</vt:lpstr>
      <vt:lpstr>Odbor celkem</vt:lpstr>
      <vt:lpstr>01 </vt:lpstr>
      <vt:lpstr>02</vt:lpstr>
      <vt:lpstr>03</vt:lpstr>
      <vt:lpstr>04</vt:lpstr>
      <vt:lpstr>05</vt:lpstr>
      <vt:lpstr>06</vt:lpstr>
      <vt:lpstr>07</vt:lpstr>
      <vt:lpstr>08</vt:lpstr>
      <vt:lpstr>OPOK</vt:lpstr>
      <vt:lpstr>SROP</vt:lpstr>
      <vt:lpstr>List1</vt:lpstr>
      <vt:lpstr>09</vt:lpstr>
      <vt:lpstr>10</vt:lpstr>
      <vt:lpstr>10 - PO</vt:lpstr>
      <vt:lpstr>10 - soukr.šk.</vt:lpstr>
      <vt:lpstr>11</vt:lpstr>
      <vt:lpstr>12</vt:lpstr>
      <vt:lpstr>13 </vt:lpstr>
      <vt:lpstr>14</vt:lpstr>
      <vt:lpstr>15</vt:lpstr>
      <vt:lpstr>16</vt:lpstr>
      <vt:lpstr>17</vt:lpstr>
      <vt:lpstr>17-st. akce</vt:lpstr>
      <vt:lpstr>18</vt:lpstr>
      <vt:lpstr>30 </vt:lpstr>
      <vt:lpstr>32 </vt:lpstr>
      <vt:lpstr>37 </vt:lpstr>
      <vt:lpstr>38</vt:lpstr>
      <vt:lpstr>39 </vt:lpstr>
      <vt:lpstr>41 </vt:lpstr>
      <vt:lpstr>42 </vt:lpstr>
      <vt:lpstr>47 </vt:lpstr>
      <vt:lpstr>48 </vt:lpstr>
      <vt:lpstr>49 </vt:lpstr>
      <vt:lpstr>36</vt:lpstr>
      <vt:lpstr>37</vt:lpstr>
      <vt:lpstr>50</vt:lpstr>
      <vt:lpstr> 52  </vt:lpstr>
      <vt:lpstr>56</vt:lpstr>
      <vt:lpstr>57  </vt:lpstr>
      <vt:lpstr>58  </vt:lpstr>
      <vt:lpstr>59  </vt:lpstr>
      <vt:lpstr>60  </vt:lpstr>
      <vt:lpstr>61   </vt:lpstr>
      <vt:lpstr>63</vt:lpstr>
      <vt:lpstr>64</vt:lpstr>
      <vt:lpstr>66  </vt:lpstr>
      <vt:lpstr>67 </vt:lpstr>
      <vt:lpstr>68 </vt:lpstr>
      <vt:lpstr>69 </vt:lpstr>
      <vt:lpstr>71 </vt:lpstr>
      <vt:lpstr>72 </vt:lpstr>
      <vt:lpstr>73 </vt:lpstr>
      <vt:lpstr>74 </vt:lpstr>
      <vt:lpstr>75</vt:lpstr>
      <vt:lpstr>46</vt:lpstr>
      <vt:lpstr>F - 99</vt:lpstr>
      <vt:lpstr>F -199 </vt:lpstr>
      <vt:lpstr>199</vt:lpstr>
      <vt:lpstr>99</vt:lpstr>
      <vt:lpstr>List2</vt:lpstr>
      <vt:lpstr>'59  '!Názvy_tisku</vt:lpstr>
      <vt:lpstr>'74 '!Názvy_tisku</vt:lpstr>
      <vt:lpstr>' 52  '!Oblast_tisku</vt:lpstr>
      <vt:lpstr>'01 '!Oblast_tisku</vt:lpstr>
      <vt:lpstr>'02'!Oblast_tisku</vt:lpstr>
      <vt:lpstr>'03'!Oblast_tisku</vt:lpstr>
      <vt:lpstr>'04'!Oblast_tisku</vt:lpstr>
      <vt:lpstr>'05'!Oblast_tisku</vt:lpstr>
      <vt:lpstr>'06'!Oblast_tisku</vt:lpstr>
      <vt:lpstr>'07'!Oblast_tisku</vt:lpstr>
      <vt:lpstr>'08'!Oblast_tisku</vt:lpstr>
      <vt:lpstr>'09'!Oblast_tisku</vt:lpstr>
      <vt:lpstr>'10'!Oblast_tisku</vt:lpstr>
      <vt:lpstr>'10 - PO'!Oblast_tisku</vt:lpstr>
      <vt:lpstr>'10 - soukr.šk.'!Oblast_tisku</vt:lpstr>
      <vt:lpstr>'11'!Oblast_tisku</vt:lpstr>
      <vt:lpstr>'12'!Oblast_tisku</vt:lpstr>
      <vt:lpstr>'13 '!Oblast_tisku</vt:lpstr>
      <vt:lpstr>'14'!Oblast_tisku</vt:lpstr>
      <vt:lpstr>'15'!Oblast_tisku</vt:lpstr>
      <vt:lpstr>'16'!Oblast_tisku</vt:lpstr>
      <vt:lpstr>'17'!Oblast_tisku</vt:lpstr>
      <vt:lpstr>'17-st. akce'!Oblast_tisku</vt:lpstr>
      <vt:lpstr>'18'!Oblast_tisku</vt:lpstr>
      <vt:lpstr>'199'!Oblast_tisku</vt:lpstr>
      <vt:lpstr>'30 '!Oblast_tisku</vt:lpstr>
      <vt:lpstr>'32 '!Oblast_tisku</vt:lpstr>
      <vt:lpstr>'36'!Oblast_tisku</vt:lpstr>
      <vt:lpstr>'37'!Oblast_tisku</vt:lpstr>
      <vt:lpstr>'37 '!Oblast_tisku</vt:lpstr>
      <vt:lpstr>'38'!Oblast_tisku</vt:lpstr>
      <vt:lpstr>'39 '!Oblast_tisku</vt:lpstr>
      <vt:lpstr>'41 '!Oblast_tisku</vt:lpstr>
      <vt:lpstr>'42 '!Oblast_tisku</vt:lpstr>
      <vt:lpstr>'47 '!Oblast_tisku</vt:lpstr>
      <vt:lpstr>'48 '!Oblast_tisku</vt:lpstr>
      <vt:lpstr>'49 '!Oblast_tisku</vt:lpstr>
      <vt:lpstr>'50'!Oblast_tisku</vt:lpstr>
      <vt:lpstr>'56'!Oblast_tisku</vt:lpstr>
      <vt:lpstr>'57  '!Oblast_tisku</vt:lpstr>
      <vt:lpstr>'58  '!Oblast_tisku</vt:lpstr>
      <vt:lpstr>'59  '!Oblast_tisku</vt:lpstr>
      <vt:lpstr>'60  '!Oblast_tisku</vt:lpstr>
      <vt:lpstr>'61   '!Oblast_tisku</vt:lpstr>
      <vt:lpstr>'63'!Oblast_tisku</vt:lpstr>
      <vt:lpstr>'64'!Oblast_tisku</vt:lpstr>
      <vt:lpstr>'66  '!Oblast_tisku</vt:lpstr>
      <vt:lpstr>'67 '!Oblast_tisku</vt:lpstr>
      <vt:lpstr>'68 '!Oblast_tisku</vt:lpstr>
      <vt:lpstr>'69 '!Oblast_tisku</vt:lpstr>
      <vt:lpstr>'71 '!Oblast_tisku</vt:lpstr>
      <vt:lpstr>'72 '!Oblast_tisku</vt:lpstr>
      <vt:lpstr>'73 '!Oblast_tisku</vt:lpstr>
      <vt:lpstr>'74 '!Oblast_tisku</vt:lpstr>
      <vt:lpstr>'75'!Oblast_tisku</vt:lpstr>
      <vt:lpstr>'99'!Oblast_tisku</vt:lpstr>
      <vt:lpstr>'F - 99'!Oblast_tisku</vt:lpstr>
      <vt:lpstr>'F -199 '!Oblast_tisku</vt:lpstr>
      <vt:lpstr>'Odbor celkem'!Oblast_tisku</vt:lpstr>
      <vt:lpstr>OPOK!Oblast_tisku</vt:lpstr>
      <vt:lpstr>Rekapitulace!Oblast_tisku</vt:lpstr>
      <vt:lpstr>SROP!Oblast_tisku</vt:lpstr>
    </vt:vector>
  </TitlesOfParts>
  <Company>Krajský úřad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Petra Vítková</dc:creator>
  <cp:lastModifiedBy>Foret Oldřich</cp:lastModifiedBy>
  <cp:lastPrinted>2014-06-02T12:37:58Z</cp:lastPrinted>
  <dcterms:created xsi:type="dcterms:W3CDTF">2003-03-17T17:09:55Z</dcterms:created>
  <dcterms:modified xsi:type="dcterms:W3CDTF">2014-06-02T12:38:08Z</dcterms:modified>
</cp:coreProperties>
</file>