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7490" windowHeight="7755" tabRatio="994"/>
  </bookViews>
  <sheets>
    <sheet name="Rekapitulace " sheetId="70" r:id="rId1"/>
    <sheet name="1000" sheetId="23" r:id="rId2"/>
    <sheet name="1001" sheetId="22" r:id="rId3"/>
    <sheet name="1010" sheetId="20" r:id="rId4"/>
    <sheet name="1012" sheetId="18" r:id="rId5"/>
    <sheet name="1013" sheetId="17" r:id="rId6"/>
    <sheet name="1014" sheetId="16" r:id="rId7"/>
    <sheet name="1015" sheetId="15" r:id="rId8"/>
    <sheet name="1032" sheetId="26" r:id="rId9"/>
    <sheet name="1033" sheetId="27" r:id="rId10"/>
    <sheet name="1034" sheetId="28" r:id="rId11"/>
    <sheet name="1100" sheetId="29" r:id="rId12"/>
    <sheet name="1101" sheetId="30" r:id="rId13"/>
    <sheet name="1102" sheetId="31" r:id="rId14"/>
    <sheet name="1103" sheetId="32" r:id="rId15"/>
    <sheet name="1104" sheetId="33" r:id="rId16"/>
    <sheet name="1105" sheetId="34" r:id="rId17"/>
    <sheet name="1120" sheetId="35" r:id="rId18"/>
    <sheet name="1121" sheetId="36" r:id="rId19"/>
    <sheet name="1122" sheetId="37" r:id="rId20"/>
    <sheet name="1123" sheetId="38" r:id="rId21"/>
    <sheet name="1124" sheetId="77" r:id="rId22"/>
    <sheet name="1150" sheetId="40" r:id="rId23"/>
    <sheet name="1160" sheetId="68" r:id="rId24"/>
    <sheet name="1200" sheetId="43" r:id="rId25"/>
    <sheet name="1201" sheetId="44" r:id="rId26"/>
    <sheet name="1202" sheetId="45" r:id="rId27"/>
    <sheet name="1204" sheetId="47" r:id="rId28"/>
    <sheet name="1205" sheetId="48" r:id="rId29"/>
    <sheet name="1206" sheetId="49" r:id="rId30"/>
    <sheet name="1207" sheetId="50" r:id="rId31"/>
    <sheet name="1208" sheetId="53" r:id="rId32"/>
    <sheet name="1300" sheetId="54" r:id="rId33"/>
    <sheet name="1301" sheetId="55" r:id="rId34"/>
    <sheet name="1302" sheetId="56" r:id="rId35"/>
    <sheet name="1303" sheetId="57" r:id="rId36"/>
    <sheet name="1304" sheetId="58" r:id="rId37"/>
    <sheet name="1350" sheetId="59" r:id="rId38"/>
    <sheet name="1351" sheetId="60" r:id="rId39"/>
    <sheet name="1352" sheetId="61" r:id="rId40"/>
    <sheet name="1400" sheetId="62" r:id="rId41"/>
    <sheet name="1420" sheetId="71" r:id="rId42"/>
    <sheet name="1450" sheetId="63" r:id="rId43"/>
    <sheet name="List5" sheetId="76" state="hidden" r:id="rId44"/>
  </sheets>
  <definedNames>
    <definedName name="A">#REF!</definedName>
    <definedName name="aa">#REF!</definedName>
    <definedName name="názvy.tisku">#REF!</definedName>
    <definedName name="_xlnm.Print_Titles" localSheetId="0">'Rekapitulace '!$7:$10</definedName>
    <definedName name="_xlnm.Print_Area" localSheetId="3">'1010'!$A$1:$I$56</definedName>
    <definedName name="_xlnm.Print_Area" localSheetId="4">'1012'!$A$1:$I$57</definedName>
    <definedName name="_xlnm.Print_Area" localSheetId="6">'1014'!$A$1:$I$54</definedName>
    <definedName name="_xlnm.Print_Area" localSheetId="11">'1100'!$A$1:$I$59</definedName>
    <definedName name="_xlnm.Print_Area" localSheetId="12">'1101'!$A$1:$I$57</definedName>
    <definedName name="_xlnm.Print_Area" localSheetId="14">'1103'!$A$1:$I$56</definedName>
    <definedName name="_xlnm.Print_Area" localSheetId="15">'1104'!$A$1:$I$54</definedName>
    <definedName name="_xlnm.Print_Area" localSheetId="18">'1121'!$A$1:$I$54</definedName>
    <definedName name="_xlnm.Print_Area" localSheetId="19">'1122'!$A$1:$I$54</definedName>
    <definedName name="_xlnm.Print_Area" localSheetId="22">'1150'!$A$1:$I$57</definedName>
    <definedName name="_xlnm.Print_Area" localSheetId="23">'1160'!$A$1:$I$54</definedName>
    <definedName name="_xlnm.Print_Area" localSheetId="26">'1202'!$A$1:$I$56</definedName>
    <definedName name="_xlnm.Print_Area" localSheetId="27">'1204'!$A$1:$I$54</definedName>
    <definedName name="_xlnm.Print_Area" localSheetId="28">'1205'!$A$1:$I$55</definedName>
    <definedName name="_xlnm.Print_Area" localSheetId="29">'1206'!$A$1:$I$58</definedName>
    <definedName name="_xlnm.Print_Area" localSheetId="30">'1207'!$A$1:$I$53</definedName>
    <definedName name="_xlnm.Print_Area" localSheetId="32">'1300'!$A$1:$I$57</definedName>
    <definedName name="_xlnm.Print_Area" localSheetId="37">'1350'!$A$1:$I$57</definedName>
    <definedName name="_xlnm.Print_Area" localSheetId="39">'1352'!$A$1:$I$55</definedName>
    <definedName name="_xlnm.Print_Area" localSheetId="40">'1400'!$A$1:$I$57</definedName>
    <definedName name="_xlnm.Print_Area" localSheetId="41">'1420'!$A$1:$I$54</definedName>
    <definedName name="_xlnm.Print_Area" localSheetId="42">'1450'!$A$1:$I$57</definedName>
    <definedName name="_xlnm.Print_Area" localSheetId="0">'Rekapitulace '!$A$1:$N$111</definedName>
  </definedNames>
  <calcPr calcId="145621" calcMode="manual"/>
</workbook>
</file>

<file path=xl/calcChain.xml><?xml version="1.0" encoding="utf-8"?>
<calcChain xmlns="http://schemas.openxmlformats.org/spreadsheetml/2006/main">
  <c r="I39" i="30" l="1"/>
  <c r="I39" i="59" l="1"/>
  <c r="N96" i="70" l="1"/>
  <c r="M93" i="70" l="1"/>
  <c r="L93" i="70"/>
  <c r="M91" i="70"/>
  <c r="L91" i="70"/>
  <c r="M89" i="70"/>
  <c r="L89" i="70"/>
  <c r="M87" i="70"/>
  <c r="L87" i="70"/>
  <c r="M85" i="70"/>
  <c r="L85" i="70"/>
  <c r="M83" i="70"/>
  <c r="L83" i="70"/>
  <c r="M81" i="70"/>
  <c r="L81" i="70"/>
  <c r="M79" i="70"/>
  <c r="L79" i="70"/>
  <c r="M77" i="70"/>
  <c r="L77" i="70"/>
  <c r="M75" i="70"/>
  <c r="L75" i="70"/>
  <c r="M73" i="70"/>
  <c r="L73" i="70"/>
  <c r="M71" i="70"/>
  <c r="L71" i="70"/>
  <c r="M69" i="70"/>
  <c r="L69" i="70"/>
  <c r="M67" i="70"/>
  <c r="L67" i="70"/>
  <c r="M65" i="70"/>
  <c r="L65" i="70"/>
  <c r="M63" i="70"/>
  <c r="L63" i="70"/>
  <c r="M61" i="70"/>
  <c r="L61" i="70"/>
  <c r="M59" i="70"/>
  <c r="L59" i="70"/>
  <c r="M57" i="70"/>
  <c r="L57" i="70"/>
  <c r="M55" i="70"/>
  <c r="L55" i="70"/>
  <c r="M53" i="70"/>
  <c r="L53" i="70"/>
  <c r="M51" i="70"/>
  <c r="L51" i="70"/>
  <c r="M49" i="70"/>
  <c r="L49" i="70"/>
  <c r="M47" i="70"/>
  <c r="L47" i="70"/>
  <c r="L45" i="70"/>
  <c r="M45" i="70"/>
  <c r="M43" i="70" l="1"/>
  <c r="L43" i="70"/>
  <c r="M41" i="70"/>
  <c r="L41" i="70"/>
  <c r="M39" i="70"/>
  <c r="L39" i="70"/>
  <c r="M37" i="70"/>
  <c r="L37" i="70"/>
  <c r="M35" i="70"/>
  <c r="L35" i="70"/>
  <c r="M33" i="70"/>
  <c r="L33" i="70"/>
  <c r="M31" i="70"/>
  <c r="L31" i="70"/>
  <c r="M29" i="70"/>
  <c r="L29" i="70"/>
  <c r="M27" i="70"/>
  <c r="L27" i="70"/>
  <c r="M25" i="70"/>
  <c r="L25" i="70"/>
  <c r="M23" i="70"/>
  <c r="L23" i="70"/>
  <c r="M21" i="70"/>
  <c r="L21" i="70"/>
  <c r="M19" i="70"/>
  <c r="L19" i="70"/>
  <c r="M17" i="70"/>
  <c r="L17" i="70"/>
  <c r="M15" i="70"/>
  <c r="L15" i="70"/>
  <c r="M13" i="70"/>
  <c r="L13" i="70"/>
  <c r="M11" i="70"/>
  <c r="M96" i="70" s="1"/>
  <c r="L11" i="70"/>
  <c r="L96" i="70" l="1"/>
  <c r="N97" i="70" s="1"/>
  <c r="I69" i="70"/>
  <c r="I67" i="70"/>
  <c r="I65" i="70"/>
  <c r="I63" i="70"/>
  <c r="I61" i="70"/>
  <c r="I59" i="70"/>
  <c r="I57" i="70"/>
  <c r="I55" i="70"/>
  <c r="I51" i="70"/>
  <c r="I49" i="70"/>
  <c r="I47" i="70"/>
  <c r="I45" i="70"/>
  <c r="I39" i="70"/>
  <c r="I37" i="70"/>
  <c r="I35" i="70"/>
  <c r="I33" i="70"/>
  <c r="I21" i="70"/>
  <c r="I96" i="70" l="1"/>
  <c r="I51" i="62"/>
  <c r="G51" i="62"/>
  <c r="F51" i="62"/>
  <c r="F51" i="61"/>
  <c r="G51" i="60"/>
  <c r="F51" i="60"/>
  <c r="F51" i="59"/>
  <c r="F51" i="53"/>
  <c r="F51" i="50"/>
  <c r="F53" i="48" l="1"/>
  <c r="F52" i="47"/>
  <c r="G51" i="45"/>
  <c r="F51" i="45"/>
  <c r="I52" i="44" l="1"/>
  <c r="G52" i="44"/>
  <c r="G52" i="68" l="1"/>
  <c r="F52" i="68"/>
  <c r="F51" i="40"/>
  <c r="F52" i="77"/>
  <c r="F54" i="77" s="1"/>
  <c r="G52" i="37" l="1"/>
  <c r="F52" i="37"/>
  <c r="G52" i="36"/>
  <c r="F52" i="36"/>
  <c r="F51" i="35" l="1"/>
  <c r="F51" i="34"/>
  <c r="F52" i="33"/>
  <c r="G52" i="33"/>
  <c r="G55" i="32" l="1"/>
  <c r="F55" i="32"/>
  <c r="E55" i="32"/>
  <c r="H54" i="32"/>
  <c r="I54" i="32" s="1"/>
  <c r="H53" i="32"/>
  <c r="I53" i="32" s="1"/>
  <c r="H52" i="32"/>
  <c r="I51" i="32"/>
  <c r="H51" i="32"/>
  <c r="I42" i="32"/>
  <c r="I40" i="32"/>
  <c r="G32" i="32"/>
  <c r="G29" i="32"/>
  <c r="I24" i="32"/>
  <c r="H24" i="32"/>
  <c r="G22" i="32"/>
  <c r="G37" i="70" s="1"/>
  <c r="G18" i="32"/>
  <c r="G16" i="32"/>
  <c r="E37" i="70" s="1"/>
  <c r="G24" i="32" l="1"/>
  <c r="G25" i="32" s="1"/>
  <c r="F37" i="70"/>
  <c r="H37" i="70" s="1"/>
  <c r="K37" i="70" s="1"/>
  <c r="H55" i="32"/>
  <c r="I55" i="32"/>
  <c r="I52" i="31"/>
  <c r="G52" i="31"/>
  <c r="F52" i="31"/>
  <c r="F52" i="30" l="1"/>
  <c r="I52" i="29"/>
  <c r="G52" i="29"/>
  <c r="F52" i="29"/>
  <c r="I51" i="28" l="1"/>
  <c r="F51" i="28"/>
  <c r="G51" i="27"/>
  <c r="F51" i="27"/>
  <c r="G51" i="26"/>
  <c r="F51" i="15"/>
  <c r="G52" i="16"/>
  <c r="F52" i="16"/>
  <c r="F51" i="17"/>
  <c r="F51" i="20" l="1"/>
  <c r="F51" i="22"/>
  <c r="F51" i="23"/>
  <c r="G31" i="63" l="1"/>
  <c r="G28" i="63"/>
  <c r="I23" i="63"/>
  <c r="H23" i="63"/>
  <c r="G31" i="71"/>
  <c r="G28" i="71"/>
  <c r="I23" i="71"/>
  <c r="H23" i="71"/>
  <c r="G31" i="62"/>
  <c r="G28" i="62"/>
  <c r="I23" i="62"/>
  <c r="H23" i="62"/>
  <c r="G31" i="61"/>
  <c r="G28" i="61"/>
  <c r="I23" i="61"/>
  <c r="H23" i="61"/>
  <c r="G31" i="60"/>
  <c r="G28" i="60"/>
  <c r="I23" i="60"/>
  <c r="H23" i="60"/>
  <c r="G31" i="59"/>
  <c r="G28" i="59"/>
  <c r="I23" i="59"/>
  <c r="H23" i="59"/>
  <c r="G31" i="58"/>
  <c r="G28" i="58"/>
  <c r="I23" i="58"/>
  <c r="H23" i="58"/>
  <c r="G31" i="57"/>
  <c r="G28" i="57"/>
  <c r="I23" i="57"/>
  <c r="H23" i="57"/>
  <c r="G31" i="56"/>
  <c r="G28" i="56"/>
  <c r="I23" i="56"/>
  <c r="H23" i="56"/>
  <c r="G31" i="55"/>
  <c r="G28" i="55"/>
  <c r="I23" i="55"/>
  <c r="H23" i="55"/>
  <c r="G31" i="54"/>
  <c r="G28" i="54"/>
  <c r="I23" i="54"/>
  <c r="H23" i="54"/>
  <c r="G31" i="53"/>
  <c r="G28" i="53"/>
  <c r="I23" i="53"/>
  <c r="H23" i="53"/>
  <c r="G31" i="50"/>
  <c r="G28" i="50"/>
  <c r="I23" i="50"/>
  <c r="H23" i="50"/>
  <c r="G31" i="49"/>
  <c r="G28" i="49"/>
  <c r="I23" i="49"/>
  <c r="H23" i="49"/>
  <c r="G31" i="48"/>
  <c r="G28" i="48"/>
  <c r="I23" i="48"/>
  <c r="H23" i="48"/>
  <c r="G31" i="47"/>
  <c r="G28" i="47"/>
  <c r="I23" i="47"/>
  <c r="H23" i="47"/>
  <c r="G31" i="45"/>
  <c r="G28" i="45"/>
  <c r="I23" i="45"/>
  <c r="H23" i="45"/>
  <c r="G31" i="44"/>
  <c r="G28" i="44"/>
  <c r="I23" i="44"/>
  <c r="H23" i="44"/>
  <c r="G31" i="43"/>
  <c r="G28" i="43"/>
  <c r="I23" i="43"/>
  <c r="H23" i="43"/>
  <c r="G31" i="68"/>
  <c r="G28" i="68"/>
  <c r="I23" i="68"/>
  <c r="H23" i="68"/>
  <c r="G31" i="40"/>
  <c r="G28" i="40"/>
  <c r="I23" i="40"/>
  <c r="H23" i="40"/>
  <c r="G32" i="77"/>
  <c r="G29" i="77"/>
  <c r="I24" i="77"/>
  <c r="H24" i="77"/>
  <c r="G31" i="38"/>
  <c r="G28" i="38"/>
  <c r="I23" i="38"/>
  <c r="H23" i="38"/>
  <c r="G31" i="37"/>
  <c r="G28" i="37"/>
  <c r="I23" i="37"/>
  <c r="H23" i="37"/>
  <c r="G31" i="36"/>
  <c r="G28" i="36"/>
  <c r="I23" i="36"/>
  <c r="H23" i="36"/>
  <c r="G31" i="35"/>
  <c r="G28" i="35"/>
  <c r="I23" i="35"/>
  <c r="H23" i="35"/>
  <c r="G31" i="34"/>
  <c r="G28" i="34"/>
  <c r="I23" i="34"/>
  <c r="H23" i="34"/>
  <c r="G31" i="33"/>
  <c r="G28" i="33"/>
  <c r="I23" i="33"/>
  <c r="H23" i="33"/>
  <c r="G31" i="31"/>
  <c r="G28" i="31"/>
  <c r="I23" i="31"/>
  <c r="H23" i="31"/>
  <c r="G31" i="30"/>
  <c r="G28" i="30"/>
  <c r="I23" i="30"/>
  <c r="H23" i="30"/>
  <c r="G31" i="29"/>
  <c r="G28" i="29"/>
  <c r="I23" i="29"/>
  <c r="H23" i="29"/>
  <c r="G31" i="28"/>
  <c r="G28" i="28"/>
  <c r="I23" i="28"/>
  <c r="H23" i="28"/>
  <c r="G31" i="27"/>
  <c r="G28" i="27"/>
  <c r="I23" i="27"/>
  <c r="H23" i="27"/>
  <c r="G31" i="26"/>
  <c r="G28" i="26"/>
  <c r="I23" i="26"/>
  <c r="H23" i="26"/>
  <c r="G31" i="15"/>
  <c r="G28" i="15"/>
  <c r="I23" i="15"/>
  <c r="H23" i="15"/>
  <c r="G31" i="16"/>
  <c r="G28" i="16"/>
  <c r="I23" i="16"/>
  <c r="H23" i="16"/>
  <c r="G31" i="17"/>
  <c r="G28" i="17"/>
  <c r="I23" i="17"/>
  <c r="H23" i="17"/>
  <c r="G31" i="18"/>
  <c r="G28" i="18"/>
  <c r="I23" i="18"/>
  <c r="H23" i="18"/>
  <c r="G31" i="20"/>
  <c r="G28" i="20"/>
  <c r="I23" i="20"/>
  <c r="H23" i="20"/>
  <c r="G31" i="22"/>
  <c r="G28" i="22"/>
  <c r="I23" i="22"/>
  <c r="H23" i="22"/>
  <c r="G31" i="23"/>
  <c r="G28" i="23"/>
  <c r="I23" i="23"/>
  <c r="H23" i="23"/>
  <c r="I38" i="61" l="1"/>
  <c r="I39" i="33" l="1"/>
  <c r="G17" i="26" l="1"/>
  <c r="I37" i="63" l="1"/>
  <c r="I37" i="61"/>
  <c r="I37" i="60"/>
  <c r="I38" i="60"/>
  <c r="I37" i="59"/>
  <c r="I37" i="53"/>
  <c r="I37" i="50"/>
  <c r="I37" i="49"/>
  <c r="I39" i="48"/>
  <c r="I38" i="47"/>
  <c r="I38" i="44"/>
  <c r="I37" i="43"/>
  <c r="I38" i="68"/>
  <c r="I38" i="77"/>
  <c r="I37" i="38"/>
  <c r="I38" i="31"/>
  <c r="I38" i="30"/>
  <c r="I38" i="29"/>
  <c r="I37" i="15"/>
  <c r="I37" i="17"/>
  <c r="I37" i="23"/>
  <c r="G54" i="77" l="1"/>
  <c r="E54" i="77"/>
  <c r="H53" i="77"/>
  <c r="I53" i="77" s="1"/>
  <c r="H52" i="77"/>
  <c r="I52" i="77" s="1"/>
  <c r="H51" i="77"/>
  <c r="H50" i="77"/>
  <c r="I50" i="77" s="1"/>
  <c r="G22" i="77"/>
  <c r="G51" i="70" s="1"/>
  <c r="G18" i="77"/>
  <c r="G16" i="77"/>
  <c r="E51" i="70" s="1"/>
  <c r="F51" i="70" l="1"/>
  <c r="H51" i="70" s="1"/>
  <c r="K51" i="70" s="1"/>
  <c r="G24" i="77"/>
  <c r="G25" i="77" s="1"/>
  <c r="I54" i="77"/>
  <c r="H54" i="77"/>
  <c r="G53" i="63"/>
  <c r="F53" i="63"/>
  <c r="E53" i="63"/>
  <c r="H52" i="63"/>
  <c r="H51" i="63"/>
  <c r="H50" i="63"/>
  <c r="H49" i="63"/>
  <c r="I40" i="63"/>
  <c r="I38" i="63"/>
  <c r="G21" i="63"/>
  <c r="G17" i="63"/>
  <c r="G15" i="63"/>
  <c r="G54" i="71"/>
  <c r="F54" i="71"/>
  <c r="E54" i="71"/>
  <c r="H53" i="71"/>
  <c r="I53" i="71" s="1"/>
  <c r="H52" i="71"/>
  <c r="I52" i="71" s="1"/>
  <c r="H51" i="71"/>
  <c r="H50" i="71"/>
  <c r="I50" i="71" s="1"/>
  <c r="I41" i="71"/>
  <c r="I39" i="71"/>
  <c r="G21" i="71"/>
  <c r="G17" i="71"/>
  <c r="G15" i="71"/>
  <c r="G53" i="62"/>
  <c r="F53" i="62"/>
  <c r="E53" i="62"/>
  <c r="H52" i="62"/>
  <c r="I52" i="62" s="1"/>
  <c r="H51" i="62"/>
  <c r="H50" i="62"/>
  <c r="H49" i="62"/>
  <c r="I40" i="62"/>
  <c r="I38" i="62"/>
  <c r="G21" i="62"/>
  <c r="G17" i="62"/>
  <c r="G15" i="62"/>
  <c r="G53" i="61"/>
  <c r="F53" i="61"/>
  <c r="E53" i="61"/>
  <c r="H52" i="61"/>
  <c r="I52" i="61" s="1"/>
  <c r="H51" i="61"/>
  <c r="I51" i="61" s="1"/>
  <c r="H50" i="61"/>
  <c r="H49" i="61"/>
  <c r="I49" i="61" s="1"/>
  <c r="I40" i="61"/>
  <c r="G21" i="61"/>
  <c r="G17" i="61"/>
  <c r="G15" i="61"/>
  <c r="G53" i="60"/>
  <c r="F53" i="60"/>
  <c r="E53" i="60"/>
  <c r="H52" i="60"/>
  <c r="I52" i="60" s="1"/>
  <c r="H51" i="60"/>
  <c r="I51" i="60" s="1"/>
  <c r="H50" i="60"/>
  <c r="H49" i="60"/>
  <c r="I49" i="60" s="1"/>
  <c r="I40" i="60"/>
  <c r="G21" i="60"/>
  <c r="G17" i="60"/>
  <c r="G15" i="60"/>
  <c r="G53" i="59"/>
  <c r="F53" i="59"/>
  <c r="E53" i="59"/>
  <c r="H52" i="59"/>
  <c r="H51" i="59"/>
  <c r="I51" i="59" s="1"/>
  <c r="H50" i="59"/>
  <c r="H49" i="59"/>
  <c r="I49" i="59" s="1"/>
  <c r="I40" i="59"/>
  <c r="I38" i="59"/>
  <c r="G21" i="59"/>
  <c r="G17" i="59"/>
  <c r="G15" i="59"/>
  <c r="G53" i="58"/>
  <c r="F53" i="58"/>
  <c r="E53" i="58"/>
  <c r="H52" i="58"/>
  <c r="I52" i="58" s="1"/>
  <c r="H51" i="58"/>
  <c r="I51" i="58" s="1"/>
  <c r="H50" i="58"/>
  <c r="H49" i="58"/>
  <c r="I49" i="58" s="1"/>
  <c r="I40" i="58"/>
  <c r="I38" i="58"/>
  <c r="G21" i="58"/>
  <c r="G17" i="58"/>
  <c r="G15" i="58"/>
  <c r="G53" i="57"/>
  <c r="F53" i="57"/>
  <c r="E53" i="57"/>
  <c r="H52" i="57"/>
  <c r="I52" i="57" s="1"/>
  <c r="H51" i="57"/>
  <c r="I51" i="57" s="1"/>
  <c r="H50" i="57"/>
  <c r="H49" i="57"/>
  <c r="I49" i="57" s="1"/>
  <c r="I40" i="57"/>
  <c r="I38" i="57"/>
  <c r="G21" i="57"/>
  <c r="G17" i="57"/>
  <c r="G15" i="57"/>
  <c r="G53" i="56"/>
  <c r="F53" i="56"/>
  <c r="E53" i="56"/>
  <c r="H52" i="56"/>
  <c r="I52" i="56" s="1"/>
  <c r="H51" i="56"/>
  <c r="I51" i="56" s="1"/>
  <c r="H50" i="56"/>
  <c r="H49" i="56"/>
  <c r="I49" i="56" s="1"/>
  <c r="I40" i="56"/>
  <c r="I38" i="56"/>
  <c r="G21" i="56"/>
  <c r="G17" i="56"/>
  <c r="G15" i="56"/>
  <c r="G53" i="55"/>
  <c r="F53" i="55"/>
  <c r="E53" i="55"/>
  <c r="H52" i="55"/>
  <c r="I52" i="55" s="1"/>
  <c r="H51" i="55"/>
  <c r="I51" i="55" s="1"/>
  <c r="H50" i="55"/>
  <c r="H49" i="55"/>
  <c r="I49" i="55" s="1"/>
  <c r="I40" i="55"/>
  <c r="I38" i="55"/>
  <c r="G21" i="55"/>
  <c r="G17" i="55"/>
  <c r="G15" i="55"/>
  <c r="G53" i="54"/>
  <c r="F53" i="54"/>
  <c r="E53" i="54"/>
  <c r="H52" i="54"/>
  <c r="I52" i="54" s="1"/>
  <c r="H51" i="54"/>
  <c r="I51" i="54" s="1"/>
  <c r="H50" i="54"/>
  <c r="H49" i="54"/>
  <c r="I49" i="54" s="1"/>
  <c r="I40" i="54"/>
  <c r="I38" i="54"/>
  <c r="G21" i="54"/>
  <c r="G17" i="54"/>
  <c r="G15" i="54"/>
  <c r="G53" i="53"/>
  <c r="F53" i="53"/>
  <c r="E53" i="53"/>
  <c r="H52" i="53"/>
  <c r="I52" i="53" s="1"/>
  <c r="H51" i="53"/>
  <c r="I51" i="53" s="1"/>
  <c r="H50" i="53"/>
  <c r="H49" i="53"/>
  <c r="I49" i="53" s="1"/>
  <c r="I40" i="53"/>
  <c r="I38" i="53"/>
  <c r="G21" i="53"/>
  <c r="G17" i="53"/>
  <c r="G15" i="53"/>
  <c r="G53" i="50"/>
  <c r="F53" i="50"/>
  <c r="E53" i="50"/>
  <c r="H52" i="50"/>
  <c r="I52" i="50" s="1"/>
  <c r="H51" i="50"/>
  <c r="I51" i="50" s="1"/>
  <c r="H50" i="50"/>
  <c r="H49" i="50"/>
  <c r="I49" i="50" s="1"/>
  <c r="I40" i="50"/>
  <c r="I38" i="50"/>
  <c r="G21" i="50"/>
  <c r="G69" i="70" s="1"/>
  <c r="G17" i="50"/>
  <c r="G15" i="50"/>
  <c r="G53" i="49"/>
  <c r="F53" i="49"/>
  <c r="E53" i="49"/>
  <c r="H52" i="49"/>
  <c r="I52" i="49" s="1"/>
  <c r="H51" i="49"/>
  <c r="I51" i="49" s="1"/>
  <c r="H50" i="49"/>
  <c r="H49" i="49"/>
  <c r="I49" i="49" s="1"/>
  <c r="I40" i="49"/>
  <c r="I38" i="49"/>
  <c r="G21" i="49"/>
  <c r="G17" i="49"/>
  <c r="G15" i="49"/>
  <c r="G55" i="48"/>
  <c r="F55" i="48"/>
  <c r="E55" i="48"/>
  <c r="H54" i="48"/>
  <c r="I54" i="48" s="1"/>
  <c r="H53" i="48"/>
  <c r="I53" i="48" s="1"/>
  <c r="H52" i="48"/>
  <c r="H51" i="48"/>
  <c r="I51" i="48" s="1"/>
  <c r="I42" i="48"/>
  <c r="I40" i="48"/>
  <c r="G21" i="48"/>
  <c r="G17" i="48"/>
  <c r="G15" i="48"/>
  <c r="G54" i="47"/>
  <c r="F54" i="47"/>
  <c r="E54" i="47"/>
  <c r="H53" i="47"/>
  <c r="I53" i="47" s="1"/>
  <c r="H52" i="47"/>
  <c r="I52" i="47" s="1"/>
  <c r="H51" i="47"/>
  <c r="H50" i="47"/>
  <c r="I50" i="47" s="1"/>
  <c r="I41" i="47"/>
  <c r="I39" i="47"/>
  <c r="G21" i="47"/>
  <c r="G17" i="47"/>
  <c r="G15" i="47"/>
  <c r="G53" i="45"/>
  <c r="F53" i="45"/>
  <c r="E53" i="45"/>
  <c r="H52" i="45"/>
  <c r="I52" i="45" s="1"/>
  <c r="H51" i="45"/>
  <c r="I51" i="45" s="1"/>
  <c r="H50" i="45"/>
  <c r="H49" i="45"/>
  <c r="I40" i="45"/>
  <c r="I38" i="45"/>
  <c r="G21" i="45"/>
  <c r="G17" i="45"/>
  <c r="G15" i="45"/>
  <c r="G54" i="44"/>
  <c r="F54" i="44"/>
  <c r="E54" i="44"/>
  <c r="H53" i="44"/>
  <c r="I53" i="44" s="1"/>
  <c r="H52" i="44"/>
  <c r="H51" i="44"/>
  <c r="H50" i="44"/>
  <c r="I50" i="44" s="1"/>
  <c r="I41" i="44"/>
  <c r="I39" i="44"/>
  <c r="G21" i="44"/>
  <c r="G17" i="44"/>
  <c r="G15" i="44"/>
  <c r="G53" i="43"/>
  <c r="F53" i="43"/>
  <c r="E53" i="43"/>
  <c r="H52" i="43"/>
  <c r="I52" i="43" s="1"/>
  <c r="H51" i="43"/>
  <c r="I51" i="43" s="1"/>
  <c r="H50" i="43"/>
  <c r="H49" i="43"/>
  <c r="I49" i="43" s="1"/>
  <c r="I40" i="43"/>
  <c r="I38" i="43"/>
  <c r="G21" i="43"/>
  <c r="G17" i="43"/>
  <c r="G15" i="43"/>
  <c r="G54" i="68"/>
  <c r="F54" i="68"/>
  <c r="E54" i="68"/>
  <c r="H53" i="68"/>
  <c r="I53" i="68" s="1"/>
  <c r="H52" i="68"/>
  <c r="I52" i="68" s="1"/>
  <c r="H51" i="68"/>
  <c r="H50" i="68"/>
  <c r="I50" i="68" s="1"/>
  <c r="I41" i="68"/>
  <c r="I39" i="68"/>
  <c r="G21" i="68"/>
  <c r="G17" i="68"/>
  <c r="G15" i="68"/>
  <c r="G53" i="40"/>
  <c r="F53" i="40"/>
  <c r="E53" i="40"/>
  <c r="H52" i="40"/>
  <c r="I52" i="40" s="1"/>
  <c r="H51" i="40"/>
  <c r="I51" i="40" s="1"/>
  <c r="H50" i="40"/>
  <c r="H49" i="40"/>
  <c r="I40" i="40"/>
  <c r="I38" i="40"/>
  <c r="G21" i="40"/>
  <c r="G17" i="40"/>
  <c r="G15" i="40"/>
  <c r="G53" i="38"/>
  <c r="F53" i="38"/>
  <c r="E53" i="38"/>
  <c r="H52" i="38"/>
  <c r="I52" i="38" s="1"/>
  <c r="H51" i="38"/>
  <c r="I51" i="38" s="1"/>
  <c r="H50" i="38"/>
  <c r="H49" i="38"/>
  <c r="I49" i="38" s="1"/>
  <c r="I40" i="38"/>
  <c r="I38" i="38"/>
  <c r="G21" i="38"/>
  <c r="G49" i="70" s="1"/>
  <c r="G17" i="38"/>
  <c r="G15" i="38"/>
  <c r="E49" i="70" s="1"/>
  <c r="G54" i="37"/>
  <c r="F54" i="37"/>
  <c r="E54" i="37"/>
  <c r="H53" i="37"/>
  <c r="I53" i="37" s="1"/>
  <c r="H52" i="37"/>
  <c r="I52" i="37" s="1"/>
  <c r="H51" i="37"/>
  <c r="H50" i="37"/>
  <c r="I50" i="37" s="1"/>
  <c r="I41" i="37"/>
  <c r="I39" i="37"/>
  <c r="G21" i="37"/>
  <c r="G17" i="37"/>
  <c r="G15" i="37"/>
  <c r="G54" i="36"/>
  <c r="F54" i="36"/>
  <c r="E54" i="36"/>
  <c r="H53" i="36"/>
  <c r="I53" i="36" s="1"/>
  <c r="H52" i="36"/>
  <c r="I52" i="36" s="1"/>
  <c r="H51" i="36"/>
  <c r="H50" i="36"/>
  <c r="I50" i="36" s="1"/>
  <c r="I41" i="36"/>
  <c r="I39" i="36"/>
  <c r="G21" i="36"/>
  <c r="G17" i="36"/>
  <c r="G15" i="36"/>
  <c r="G53" i="35"/>
  <c r="F53" i="35"/>
  <c r="E53" i="35"/>
  <c r="H52" i="35"/>
  <c r="I52" i="35" s="1"/>
  <c r="H51" i="35"/>
  <c r="I51" i="35" s="1"/>
  <c r="H50" i="35"/>
  <c r="H49" i="35"/>
  <c r="I40" i="35"/>
  <c r="I38" i="35"/>
  <c r="G21" i="35"/>
  <c r="G17" i="35"/>
  <c r="G15" i="35"/>
  <c r="G53" i="34"/>
  <c r="F53" i="34"/>
  <c r="E53" i="34"/>
  <c r="H52" i="34"/>
  <c r="I52" i="34" s="1"/>
  <c r="H51" i="34"/>
  <c r="I51" i="34" s="1"/>
  <c r="H50" i="34"/>
  <c r="H49" i="34"/>
  <c r="I40" i="34"/>
  <c r="I38" i="34"/>
  <c r="G21" i="34"/>
  <c r="G17" i="34"/>
  <c r="G15" i="34"/>
  <c r="G54" i="33"/>
  <c r="F54" i="33"/>
  <c r="E54" i="33"/>
  <c r="H53" i="33"/>
  <c r="I53" i="33" s="1"/>
  <c r="H52" i="33"/>
  <c r="I52" i="33" s="1"/>
  <c r="H51" i="33"/>
  <c r="H50" i="33"/>
  <c r="I50" i="33" s="1"/>
  <c r="I41" i="33"/>
  <c r="G21" i="33"/>
  <c r="G17" i="33"/>
  <c r="G15" i="33"/>
  <c r="G54" i="31"/>
  <c r="F54" i="31"/>
  <c r="E54" i="31"/>
  <c r="H53" i="31"/>
  <c r="H52" i="31"/>
  <c r="H51" i="31"/>
  <c r="H50" i="31"/>
  <c r="I50" i="31" s="1"/>
  <c r="I41" i="31"/>
  <c r="I39" i="31"/>
  <c r="G21" i="31"/>
  <c r="G17" i="31"/>
  <c r="G15" i="31"/>
  <c r="G54" i="30"/>
  <c r="F54" i="30"/>
  <c r="E54" i="30"/>
  <c r="H53" i="30"/>
  <c r="I53" i="30" s="1"/>
  <c r="H52" i="30"/>
  <c r="I52" i="30" s="1"/>
  <c r="H51" i="30"/>
  <c r="H50" i="30"/>
  <c r="I41" i="30"/>
  <c r="G21" i="30"/>
  <c r="G17" i="30"/>
  <c r="G15" i="30"/>
  <c r="G54" i="29"/>
  <c r="F54" i="29"/>
  <c r="E54" i="29"/>
  <c r="H53" i="29"/>
  <c r="I53" i="29" s="1"/>
  <c r="H52" i="29"/>
  <c r="H51" i="29"/>
  <c r="H50" i="29"/>
  <c r="I41" i="29"/>
  <c r="I39" i="29"/>
  <c r="G21" i="29"/>
  <c r="G17" i="29"/>
  <c r="G15" i="29"/>
  <c r="G53" i="28"/>
  <c r="F53" i="28"/>
  <c r="E53" i="28"/>
  <c r="H52" i="28"/>
  <c r="I52" i="28" s="1"/>
  <c r="H51" i="28"/>
  <c r="H50" i="28"/>
  <c r="H49" i="28"/>
  <c r="I49" i="28" s="1"/>
  <c r="I40" i="28"/>
  <c r="I38" i="28"/>
  <c r="G21" i="28"/>
  <c r="G17" i="28"/>
  <c r="G15" i="28"/>
  <c r="G53" i="27"/>
  <c r="F53" i="27"/>
  <c r="E53" i="27"/>
  <c r="H52" i="27"/>
  <c r="I52" i="27" s="1"/>
  <c r="H51" i="27"/>
  <c r="I51" i="27" s="1"/>
  <c r="H50" i="27"/>
  <c r="H49" i="27"/>
  <c r="I40" i="27"/>
  <c r="I38" i="27"/>
  <c r="G21" i="27"/>
  <c r="G17" i="27"/>
  <c r="G15" i="27"/>
  <c r="G53" i="26"/>
  <c r="F53" i="26"/>
  <c r="E53" i="26"/>
  <c r="H52" i="26"/>
  <c r="I52" i="26" s="1"/>
  <c r="H51" i="26"/>
  <c r="I51" i="26" s="1"/>
  <c r="H50" i="26"/>
  <c r="H49" i="26"/>
  <c r="I49" i="26" s="1"/>
  <c r="I40" i="26"/>
  <c r="I38" i="26"/>
  <c r="G21" i="26"/>
  <c r="G15" i="26"/>
  <c r="G53" i="15"/>
  <c r="F53" i="15"/>
  <c r="E53" i="15"/>
  <c r="H52" i="15"/>
  <c r="I52" i="15" s="1"/>
  <c r="H51" i="15"/>
  <c r="I51" i="15" s="1"/>
  <c r="H50" i="15"/>
  <c r="H49" i="15"/>
  <c r="I49" i="15" s="1"/>
  <c r="I40" i="15"/>
  <c r="I38" i="15"/>
  <c r="G21" i="15"/>
  <c r="G17" i="15"/>
  <c r="G15" i="15"/>
  <c r="G54" i="16"/>
  <c r="F54" i="16"/>
  <c r="E54" i="16"/>
  <c r="H53" i="16"/>
  <c r="I53" i="16" s="1"/>
  <c r="H52" i="16"/>
  <c r="I52" i="16" s="1"/>
  <c r="H51" i="16"/>
  <c r="H50" i="16"/>
  <c r="I50" i="16" s="1"/>
  <c r="I41" i="16"/>
  <c r="I39" i="16"/>
  <c r="G21" i="16"/>
  <c r="G17" i="16"/>
  <c r="G15" i="16"/>
  <c r="G53" i="17"/>
  <c r="F53" i="17"/>
  <c r="E53" i="17"/>
  <c r="H52" i="17"/>
  <c r="I52" i="17" s="1"/>
  <c r="H51" i="17"/>
  <c r="I51" i="17" s="1"/>
  <c r="H50" i="17"/>
  <c r="H49" i="17"/>
  <c r="I49" i="17" s="1"/>
  <c r="I40" i="17"/>
  <c r="I38" i="17"/>
  <c r="G21" i="17"/>
  <c r="G17" i="17"/>
  <c r="G15" i="17"/>
  <c r="G53" i="18"/>
  <c r="F53" i="18"/>
  <c r="E53" i="18"/>
  <c r="H52" i="18"/>
  <c r="I52" i="18" s="1"/>
  <c r="H51" i="18"/>
  <c r="I51" i="18" s="1"/>
  <c r="H50" i="18"/>
  <c r="H49" i="18"/>
  <c r="I49" i="18" s="1"/>
  <c r="I40" i="18"/>
  <c r="I38" i="18"/>
  <c r="G21" i="18"/>
  <c r="G17" i="18"/>
  <c r="G15" i="18"/>
  <c r="G53" i="20"/>
  <c r="F53" i="20"/>
  <c r="E53" i="20"/>
  <c r="H52" i="20"/>
  <c r="I52" i="20" s="1"/>
  <c r="H51" i="20"/>
  <c r="I51" i="20" s="1"/>
  <c r="H50" i="20"/>
  <c r="H49" i="20"/>
  <c r="I49" i="20" s="1"/>
  <c r="G21" i="20"/>
  <c r="G17" i="20"/>
  <c r="G15" i="20"/>
  <c r="G53" i="22"/>
  <c r="F53" i="22"/>
  <c r="E53" i="22"/>
  <c r="H52" i="22"/>
  <c r="I52" i="22" s="1"/>
  <c r="H51" i="22"/>
  <c r="I51" i="22" s="1"/>
  <c r="H50" i="22"/>
  <c r="H49" i="22"/>
  <c r="I49" i="22" s="1"/>
  <c r="I40" i="22"/>
  <c r="I38" i="22"/>
  <c r="G21" i="22"/>
  <c r="G17" i="22"/>
  <c r="G15" i="22"/>
  <c r="G53" i="23"/>
  <c r="F53" i="23"/>
  <c r="E53" i="23"/>
  <c r="H52" i="23"/>
  <c r="I52" i="23" s="1"/>
  <c r="H51" i="23"/>
  <c r="I51" i="23" s="1"/>
  <c r="H50" i="23"/>
  <c r="H49" i="23"/>
  <c r="I49" i="23" s="1"/>
  <c r="G21" i="23"/>
  <c r="G17" i="23"/>
  <c r="G15" i="23"/>
  <c r="G23" i="18" l="1"/>
  <c r="G24" i="18" s="1"/>
  <c r="G23" i="15"/>
  <c r="G24" i="15" s="1"/>
  <c r="G23" i="62"/>
  <c r="G24" i="62" s="1"/>
  <c r="G23" i="71"/>
  <c r="G24" i="71" s="1"/>
  <c r="G23" i="63"/>
  <c r="G24" i="63" s="1"/>
  <c r="G23" i="36"/>
  <c r="G24" i="36" s="1"/>
  <c r="G23" i="40"/>
  <c r="G24" i="40" s="1"/>
  <c r="G23" i="68"/>
  <c r="G24" i="68" s="1"/>
  <c r="G23" i="43"/>
  <c r="G24" i="43" s="1"/>
  <c r="G23" i="44"/>
  <c r="G24" i="44" s="1"/>
  <c r="G23" i="45"/>
  <c r="G24" i="45" s="1"/>
  <c r="G23" i="47"/>
  <c r="G24" i="47" s="1"/>
  <c r="G23" i="48"/>
  <c r="G24" i="48" s="1"/>
  <c r="G23" i="49"/>
  <c r="G24" i="49" s="1"/>
  <c r="G23" i="50"/>
  <c r="G24" i="50" s="1"/>
  <c r="G23" i="53"/>
  <c r="G24" i="53" s="1"/>
  <c r="G23" i="54"/>
  <c r="G24" i="54" s="1"/>
  <c r="G23" i="55"/>
  <c r="G24" i="55" s="1"/>
  <c r="G23" i="56"/>
  <c r="G24" i="56" s="1"/>
  <c r="G23" i="57"/>
  <c r="G24" i="57" s="1"/>
  <c r="G23" i="38"/>
  <c r="G24" i="38" s="1"/>
  <c r="G23" i="23"/>
  <c r="G24" i="23" s="1"/>
  <c r="G23" i="26"/>
  <c r="G24" i="26" s="1"/>
  <c r="G23" i="27"/>
  <c r="G24" i="27" s="1"/>
  <c r="G23" i="28"/>
  <c r="G24" i="28" s="1"/>
  <c r="G23" i="29"/>
  <c r="G24" i="29" s="1"/>
  <c r="G23" i="30"/>
  <c r="G24" i="30" s="1"/>
  <c r="G23" i="31"/>
  <c r="G24" i="31" s="1"/>
  <c r="G23" i="33"/>
  <c r="G24" i="33" s="1"/>
  <c r="G23" i="37"/>
  <c r="G24" i="37" s="1"/>
  <c r="G23" i="61"/>
  <c r="G24" i="61" s="1"/>
  <c r="G23" i="22"/>
  <c r="G24" i="22" s="1"/>
  <c r="G23" i="20"/>
  <c r="G24" i="20" s="1"/>
  <c r="G23" i="34"/>
  <c r="G24" i="34" s="1"/>
  <c r="G23" i="35"/>
  <c r="G24" i="35" s="1"/>
  <c r="G23" i="58"/>
  <c r="G24" i="58" s="1"/>
  <c r="G23" i="59"/>
  <c r="G24" i="59" s="1"/>
  <c r="G23" i="60"/>
  <c r="G24" i="60" s="1"/>
  <c r="H53" i="27"/>
  <c r="G23" i="16"/>
  <c r="G24" i="16" s="1"/>
  <c r="G23" i="17"/>
  <c r="G24" i="17" s="1"/>
  <c r="I53" i="23"/>
  <c r="H53" i="23"/>
  <c r="I53" i="63"/>
  <c r="H53" i="63"/>
  <c r="H54" i="71"/>
  <c r="H53" i="62"/>
  <c r="I53" i="61"/>
  <c r="H53" i="61"/>
  <c r="H53" i="60"/>
  <c r="H53" i="59"/>
  <c r="H53" i="58"/>
  <c r="H53" i="57"/>
  <c r="H53" i="56"/>
  <c r="H53" i="55"/>
  <c r="H53" i="54"/>
  <c r="I53" i="53"/>
  <c r="H53" i="53"/>
  <c r="H53" i="50"/>
  <c r="I53" i="50"/>
  <c r="I53" i="49"/>
  <c r="H53" i="49"/>
  <c r="H55" i="48"/>
  <c r="H54" i="47"/>
  <c r="H53" i="45"/>
  <c r="H53" i="43"/>
  <c r="H53" i="40"/>
  <c r="H53" i="38"/>
  <c r="H54" i="37"/>
  <c r="H54" i="36"/>
  <c r="H53" i="34"/>
  <c r="H54" i="33"/>
  <c r="H54" i="31"/>
  <c r="H54" i="29"/>
  <c r="H53" i="28"/>
  <c r="I53" i="15"/>
  <c r="H53" i="15"/>
  <c r="H54" i="16"/>
  <c r="H53" i="17"/>
  <c r="H53" i="18"/>
  <c r="H53" i="20"/>
  <c r="H53" i="22"/>
  <c r="I53" i="22"/>
  <c r="H54" i="68"/>
  <c r="I54" i="71"/>
  <c r="I49" i="62"/>
  <c r="I53" i="62" s="1"/>
  <c r="I53" i="60"/>
  <c r="I53" i="59"/>
  <c r="I53" i="58"/>
  <c r="I53" i="57"/>
  <c r="I53" i="56"/>
  <c r="I53" i="55"/>
  <c r="I53" i="54"/>
  <c r="I55" i="48"/>
  <c r="I54" i="47"/>
  <c r="I49" i="45"/>
  <c r="I53" i="45" s="1"/>
  <c r="H54" i="44"/>
  <c r="I54" i="44"/>
  <c r="I53" i="43"/>
  <c r="I54" i="68"/>
  <c r="I49" i="40"/>
  <c r="I53" i="40" s="1"/>
  <c r="I53" i="38"/>
  <c r="I54" i="37"/>
  <c r="I54" i="36"/>
  <c r="H53" i="35"/>
  <c r="I53" i="35"/>
  <c r="I49" i="34"/>
  <c r="I53" i="34" s="1"/>
  <c r="I54" i="33"/>
  <c r="I54" i="31"/>
  <c r="H54" i="30"/>
  <c r="I50" i="30"/>
  <c r="I54" i="30" s="1"/>
  <c r="I50" i="29"/>
  <c r="I54" i="29" s="1"/>
  <c r="I53" i="28"/>
  <c r="I49" i="27"/>
  <c r="I53" i="27" s="1"/>
  <c r="I53" i="26"/>
  <c r="H53" i="26"/>
  <c r="I54" i="16"/>
  <c r="I53" i="17"/>
  <c r="I53" i="18"/>
  <c r="I53" i="20"/>
  <c r="I52" i="76" l="1"/>
  <c r="G52" i="76"/>
  <c r="F52" i="76"/>
  <c r="I51" i="76"/>
  <c r="H51" i="76"/>
  <c r="G51" i="76"/>
  <c r="F51" i="76"/>
  <c r="I50" i="76"/>
  <c r="H50" i="76"/>
  <c r="G50" i="76"/>
  <c r="F50" i="76"/>
  <c r="I49" i="76"/>
  <c r="G49" i="76"/>
  <c r="F49" i="76"/>
  <c r="I48" i="76"/>
  <c r="H48" i="76"/>
  <c r="G48" i="76"/>
  <c r="F48" i="76"/>
  <c r="E51" i="76"/>
  <c r="E50" i="76"/>
  <c r="E49" i="76"/>
  <c r="E48" i="76"/>
  <c r="G40" i="76"/>
  <c r="F40" i="76"/>
  <c r="G39" i="76"/>
  <c r="F39" i="76"/>
  <c r="G38" i="76"/>
  <c r="F38" i="76"/>
  <c r="G37" i="76"/>
  <c r="F37" i="76"/>
  <c r="G36" i="76"/>
  <c r="F36" i="76"/>
  <c r="G30" i="76"/>
  <c r="G29" i="76"/>
  <c r="G28" i="76"/>
  <c r="G27" i="76"/>
  <c r="I23" i="76"/>
  <c r="H23" i="76"/>
  <c r="G23" i="76"/>
  <c r="I21" i="76"/>
  <c r="H21" i="76"/>
  <c r="G21" i="76"/>
  <c r="I17" i="76"/>
  <c r="H17" i="76"/>
  <c r="G17" i="76"/>
  <c r="F17" i="76"/>
  <c r="E17" i="76"/>
  <c r="I15" i="76"/>
  <c r="H15" i="76"/>
  <c r="G15" i="76"/>
  <c r="F15" i="76"/>
  <c r="E15" i="76"/>
  <c r="I39" i="76" l="1"/>
  <c r="I37" i="76"/>
  <c r="H49" i="76" l="1"/>
  <c r="G91" i="70" l="1"/>
  <c r="F91" i="70"/>
  <c r="E91" i="70"/>
  <c r="H91" i="70" l="1"/>
  <c r="K91" i="70" s="1"/>
  <c r="F43" i="70"/>
  <c r="E43" i="70"/>
  <c r="F27" i="70"/>
  <c r="E27" i="70"/>
  <c r="F93" i="70"/>
  <c r="E93" i="70"/>
  <c r="F89" i="70"/>
  <c r="E89" i="70"/>
  <c r="F87" i="70"/>
  <c r="E87" i="70"/>
  <c r="F85" i="70"/>
  <c r="E85" i="70"/>
  <c r="F83" i="70"/>
  <c r="E83" i="70"/>
  <c r="F81" i="70"/>
  <c r="E81" i="70"/>
  <c r="F79" i="70"/>
  <c r="E79" i="70"/>
  <c r="F77" i="70"/>
  <c r="E77" i="70"/>
  <c r="F75" i="70"/>
  <c r="E75" i="70"/>
  <c r="F73" i="70"/>
  <c r="E73" i="70"/>
  <c r="F71" i="70"/>
  <c r="E71" i="70"/>
  <c r="F69" i="70"/>
  <c r="E69" i="70"/>
  <c r="F67" i="70"/>
  <c r="E67" i="70"/>
  <c r="F65" i="70"/>
  <c r="E65" i="70"/>
  <c r="G65" i="70"/>
  <c r="F63" i="70"/>
  <c r="E63" i="70"/>
  <c r="G63" i="70"/>
  <c r="F61" i="70"/>
  <c r="E61" i="70"/>
  <c r="F59" i="70"/>
  <c r="E59" i="70"/>
  <c r="F57" i="70"/>
  <c r="E57" i="70"/>
  <c r="G57" i="70"/>
  <c r="F55" i="70"/>
  <c r="E55" i="70"/>
  <c r="F53" i="70"/>
  <c r="E53" i="70"/>
  <c r="F49" i="70"/>
  <c r="F47" i="70"/>
  <c r="E47" i="70"/>
  <c r="F45" i="70"/>
  <c r="E45" i="70"/>
  <c r="F41" i="70"/>
  <c r="E41" i="70"/>
  <c r="F39" i="70"/>
  <c r="E39" i="70"/>
  <c r="F35" i="70"/>
  <c r="E35" i="70"/>
  <c r="F33" i="70"/>
  <c r="E33" i="70"/>
  <c r="F31" i="70"/>
  <c r="E31" i="70"/>
  <c r="F29" i="70"/>
  <c r="E29" i="70"/>
  <c r="F25" i="70"/>
  <c r="E25" i="70"/>
  <c r="F23" i="70"/>
  <c r="E23" i="70"/>
  <c r="F21" i="70"/>
  <c r="E21" i="70"/>
  <c r="F19" i="70"/>
  <c r="E19" i="70"/>
  <c r="F17" i="70"/>
  <c r="E17" i="70"/>
  <c r="F15" i="70"/>
  <c r="E15" i="70"/>
  <c r="F13" i="70"/>
  <c r="E13" i="70"/>
  <c r="E11" i="70"/>
  <c r="F11" i="70"/>
  <c r="H52" i="76"/>
  <c r="E52" i="76"/>
  <c r="G35" i="70"/>
  <c r="G31" i="70"/>
  <c r="H33" i="70" l="1"/>
  <c r="K33" i="70" s="1"/>
  <c r="E96" i="70"/>
  <c r="H31" i="70"/>
  <c r="K31" i="70" s="1"/>
  <c r="K96" i="70" s="1"/>
  <c r="H35" i="70"/>
  <c r="K35" i="70" s="1"/>
  <c r="F96" i="70"/>
  <c r="H11" i="70"/>
  <c r="J11" i="70" s="1"/>
  <c r="H69" i="70"/>
  <c r="J69" i="70" s="1"/>
  <c r="H85" i="70"/>
  <c r="J85" i="70" s="1"/>
  <c r="H43" i="70"/>
  <c r="J43" i="70" s="1"/>
  <c r="G71" i="70"/>
  <c r="H71" i="70" s="1"/>
  <c r="J71" i="70" s="1"/>
  <c r="G45" i="70"/>
  <c r="H45" i="70" s="1"/>
  <c r="J45" i="70" s="1"/>
  <c r="H39" i="70"/>
  <c r="J39" i="70" s="1"/>
  <c r="H49" i="70"/>
  <c r="J49" i="70" s="1"/>
  <c r="H63" i="70"/>
  <c r="J63" i="70" s="1"/>
  <c r="H13" i="70"/>
  <c r="J13" i="70" s="1"/>
  <c r="H15" i="70"/>
  <c r="J15" i="70" s="1"/>
  <c r="H17" i="70"/>
  <c r="J17" i="70" s="1"/>
  <c r="H19" i="70"/>
  <c r="J19" i="70" s="1"/>
  <c r="H21" i="70"/>
  <c r="J21" i="70" s="1"/>
  <c r="H23" i="70"/>
  <c r="J23" i="70" s="1"/>
  <c r="H25" i="70"/>
  <c r="J25" i="70" s="1"/>
  <c r="H29" i="70"/>
  <c r="J29" i="70" s="1"/>
  <c r="H41" i="70"/>
  <c r="J41" i="70" s="1"/>
  <c r="H47" i="70"/>
  <c r="H61" i="70"/>
  <c r="J61" i="70" s="1"/>
  <c r="H67" i="70"/>
  <c r="J67" i="70" s="1"/>
  <c r="H73" i="70"/>
  <c r="J73" i="70" s="1"/>
  <c r="H75" i="70"/>
  <c r="J75" i="70" s="1"/>
  <c r="H77" i="70"/>
  <c r="J77" i="70" s="1"/>
  <c r="H79" i="70"/>
  <c r="J79" i="70" s="1"/>
  <c r="H81" i="70"/>
  <c r="J81" i="70" s="1"/>
  <c r="H87" i="70"/>
  <c r="J87" i="70" s="1"/>
  <c r="H89" i="70"/>
  <c r="J89" i="70" s="1"/>
  <c r="H93" i="70"/>
  <c r="J93" i="70" s="1"/>
  <c r="H27" i="70"/>
  <c r="J27" i="70" s="1"/>
  <c r="G59" i="70"/>
  <c r="H59" i="70" s="1"/>
  <c r="J59" i="70" s="1"/>
  <c r="G83" i="70"/>
  <c r="H83" i="70" s="1"/>
  <c r="J83" i="70" s="1"/>
  <c r="H53" i="70"/>
  <c r="J53" i="70" s="1"/>
  <c r="H55" i="70"/>
  <c r="J55" i="70" s="1"/>
  <c r="H57" i="70"/>
  <c r="J57" i="70" s="1"/>
  <c r="H65" i="70"/>
  <c r="J65" i="70" s="1"/>
  <c r="G96" i="70" l="1"/>
  <c r="H96" i="70"/>
  <c r="J47" i="70"/>
  <c r="J96" i="70" s="1"/>
  <c r="K97" i="70" s="1"/>
</calcChain>
</file>

<file path=xl/sharedStrings.xml><?xml version="1.0" encoding="utf-8"?>
<sst xmlns="http://schemas.openxmlformats.org/spreadsheetml/2006/main" count="3015" uniqueCount="347">
  <si>
    <t>Skutečnost</t>
  </si>
  <si>
    <t>Hlavní činnost</t>
  </si>
  <si>
    <t>celkem</t>
  </si>
  <si>
    <t>Náklady</t>
  </si>
  <si>
    <t>Výnosy</t>
  </si>
  <si>
    <t>b)</t>
  </si>
  <si>
    <t>Fond odměn</t>
  </si>
  <si>
    <t>Fond rezervní</t>
  </si>
  <si>
    <t>FKSP</t>
  </si>
  <si>
    <t>Tvorba</t>
  </si>
  <si>
    <t>Čerpání</t>
  </si>
  <si>
    <t>d)</t>
  </si>
  <si>
    <t>Fondy</t>
  </si>
  <si>
    <t xml:space="preserve">Stav k </t>
  </si>
  <si>
    <t>Doplňující údaje :</t>
  </si>
  <si>
    <t>Investiční fond</t>
  </si>
  <si>
    <t>Doplňková  činnost</t>
  </si>
  <si>
    <t>z toho:</t>
  </si>
  <si>
    <t xml:space="preserve">celkem   </t>
  </si>
  <si>
    <t xml:space="preserve">Schválený </t>
  </si>
  <si>
    <t>rozpočet</t>
  </si>
  <si>
    <t xml:space="preserve">a)    Náklady a výnosy    </t>
  </si>
  <si>
    <t>Upravený</t>
  </si>
  <si>
    <t>CELKEM</t>
  </si>
  <si>
    <t>IČ</t>
  </si>
  <si>
    <t>Střední škola</t>
  </si>
  <si>
    <t>REKAPITULACE ZA ORGANIZACI :</t>
  </si>
  <si>
    <t>Adresa :</t>
  </si>
  <si>
    <t xml:space="preserve"> - Návrh na příděly do fondů:</t>
  </si>
  <si>
    <t xml:space="preserve"> - Způsob krytí ztráty :</t>
  </si>
  <si>
    <t>c)</t>
  </si>
  <si>
    <t>Závazné ukazatele</t>
  </si>
  <si>
    <t>Limit mzdových prostředků</t>
  </si>
  <si>
    <t>Základní škola a Mateřská škola logopedická</t>
  </si>
  <si>
    <t>VOŠ a SPŠ elektrotechnická</t>
  </si>
  <si>
    <t>a) Příspěvkové organizace v oblasti školství</t>
  </si>
  <si>
    <t>ORJ -10</t>
  </si>
  <si>
    <t>ORG</t>
  </si>
  <si>
    <t xml:space="preserve">Název školy </t>
  </si>
  <si>
    <t>Adresa</t>
  </si>
  <si>
    <t>Daň</t>
  </si>
  <si>
    <t>zlepšený VH</t>
  </si>
  <si>
    <t>ztráta</t>
  </si>
  <si>
    <t>Náměstí 150</t>
  </si>
  <si>
    <t>783 04  Město Libavá</t>
  </si>
  <si>
    <t>Blanická 16</t>
  </si>
  <si>
    <t>772 00 Olomouc</t>
  </si>
  <si>
    <t>Základní škola a Mateřská škola při FN Olomouc</t>
  </si>
  <si>
    <t>I.P.Pavlova 6</t>
  </si>
  <si>
    <t xml:space="preserve">775 20 Olomouc </t>
  </si>
  <si>
    <t>785 01 Šternberk</t>
  </si>
  <si>
    <t>B. Dvorského 17</t>
  </si>
  <si>
    <t xml:space="preserve">783 51 </t>
  </si>
  <si>
    <t>Olomouc-Sv.K.</t>
  </si>
  <si>
    <t>784 01 Litovel</t>
  </si>
  <si>
    <t>Svatoplukova 11</t>
  </si>
  <si>
    <t>779 00 Olomouc</t>
  </si>
  <si>
    <t>Olomoucká 76</t>
  </si>
  <si>
    <t>Šternberská 35</t>
  </si>
  <si>
    <t xml:space="preserve">783 91 Uničov </t>
  </si>
  <si>
    <t>Palackého 938</t>
  </si>
  <si>
    <t>Opletalova 189</t>
  </si>
  <si>
    <t>Čajkovského 9</t>
  </si>
  <si>
    <t>771 11 Olomouc</t>
  </si>
  <si>
    <t>Tomkova 45</t>
  </si>
  <si>
    <t xml:space="preserve">779 00 </t>
  </si>
  <si>
    <t>Olomouc-Hejčín</t>
  </si>
  <si>
    <t>Horní nám. 5</t>
  </si>
  <si>
    <t>Gymnazijní 257</t>
  </si>
  <si>
    <t>Božetěchova 3</t>
  </si>
  <si>
    <t>tř. 17.listopadu 49</t>
  </si>
  <si>
    <t>772 11 Olomouc</t>
  </si>
  <si>
    <t>Školní 164</t>
  </si>
  <si>
    <t>U Hradiska 4</t>
  </si>
  <si>
    <t xml:space="preserve">774 00 Olomouc </t>
  </si>
  <si>
    <t>tř. Spojenců 11</t>
  </si>
  <si>
    <t>771 00 Olomouc</t>
  </si>
  <si>
    <t>Komenského 677</t>
  </si>
  <si>
    <t>J. Sigmunda 242</t>
  </si>
  <si>
    <t>793 49 Lutín</t>
  </si>
  <si>
    <t>Rooseveltova 79</t>
  </si>
  <si>
    <t>Štursova 14</t>
  </si>
  <si>
    <t>772 86 Olomouc</t>
  </si>
  <si>
    <t>Opavská 4</t>
  </si>
  <si>
    <t>Na Vozovce 32</t>
  </si>
  <si>
    <t>Kavaleristů 6</t>
  </si>
  <si>
    <t>Základní umělecká škola M. Stibora - výtv. obor</t>
  </si>
  <si>
    <t>Pionýrská 4</t>
  </si>
  <si>
    <t>Jungmannova 740</t>
  </si>
  <si>
    <t>tř. 17.listopadu 47</t>
  </si>
  <si>
    <t>771 74 Olomouc</t>
  </si>
  <si>
    <t>Komenského 719/6</t>
  </si>
  <si>
    <t>Nádražní 530</t>
  </si>
  <si>
    <t>U Sportovní haly 1a</t>
  </si>
  <si>
    <t>Základní škola a Mateřská škola Libavá</t>
  </si>
  <si>
    <t>Základní škola Šternberk</t>
  </si>
  <si>
    <t>Základní škola, Dětský domov a Školní jídelna Litovel</t>
  </si>
  <si>
    <t>Střední průmyslová škola strojnická Olomouc</t>
  </si>
  <si>
    <t>Dům dětí a mládeže Olomouc</t>
  </si>
  <si>
    <t>Název organizace :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</si>
  <si>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</si>
  <si>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</si>
  <si>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daň z příjmů,dodatečné odvody daně z příjmů (nákladová položka)</t>
  </si>
  <si>
    <t>Výsledek hospodaření /po zdanění/</t>
  </si>
  <si>
    <t>Rozdělení výsledku hospodaření</t>
  </si>
  <si>
    <t>v Kč</t>
  </si>
  <si>
    <t>Schválená částka</t>
  </si>
  <si>
    <t>% plnění</t>
  </si>
  <si>
    <t>Neinvestiční příspěvek /odpisy/</t>
  </si>
  <si>
    <t>Neinvestiční příspěvek /nájemné/</t>
  </si>
  <si>
    <t>jednotka -  Kč na 2 des. místa</t>
  </si>
  <si>
    <t>Finanční krytí k</t>
  </si>
  <si>
    <t>Gymnázium, Olomouc, Čajkovského 9</t>
  </si>
  <si>
    <t>Gymnázium, Šternberk</t>
  </si>
  <si>
    <t>Střední škola polygrafická, Olomouc</t>
  </si>
  <si>
    <t>Mateřská škola Olomouc</t>
  </si>
  <si>
    <t>Gymnázium Jana Opletala, Litovel</t>
  </si>
  <si>
    <t>Slovanské gymnázium Olomouc</t>
  </si>
  <si>
    <t>Gymnázium Olomouc - Hejčín</t>
  </si>
  <si>
    <t>Gymnázium, Uničov, Gymnazijní 257</t>
  </si>
  <si>
    <t>Obchodní akademie Olomouc</t>
  </si>
  <si>
    <t>Sigmundova střední škola strojírenská, Lutín</t>
  </si>
  <si>
    <t>Střední škola polytechnická, Olomouc</t>
  </si>
  <si>
    <t>Olomouc</t>
  </si>
  <si>
    <t>Olomouckého kraje</t>
  </si>
  <si>
    <t xml:space="preserve">                Mgr. Miroslav Gajdůšek, MBA</t>
  </si>
  <si>
    <t>tř. Svornosti 37/900</t>
  </si>
  <si>
    <t>Náměstí 150, Město Libavá</t>
  </si>
  <si>
    <t>Blanická 16, Olomouc</t>
  </si>
  <si>
    <t>I.P.Pavlova 6, Olomouc</t>
  </si>
  <si>
    <t>tř. Svornosti 37/900, Olomouc</t>
  </si>
  <si>
    <t>00601683</t>
  </si>
  <si>
    <t>00601802</t>
  </si>
  <si>
    <t>Svatoplukova 11, Olomouc - Řepčín</t>
  </si>
  <si>
    <t>B. Dvorského 17, Olomouc - Svatý Kopeček</t>
  </si>
  <si>
    <t>00601691</t>
  </si>
  <si>
    <t>Olomoucká 76, Šternberk</t>
  </si>
  <si>
    <t>61989789</t>
  </si>
  <si>
    <t>Základní škola, Šternberská 35, Uničov</t>
  </si>
  <si>
    <t>Šternberská 35, Uničov</t>
  </si>
  <si>
    <t>61989762</t>
  </si>
  <si>
    <t>Palackého 938, Litovel</t>
  </si>
  <si>
    <t>61989771</t>
  </si>
  <si>
    <t>Opletalova 189, Litovel</t>
  </si>
  <si>
    <t>00601772</t>
  </si>
  <si>
    <t>Čajkovského 9, Olomouc</t>
  </si>
  <si>
    <t>00848956</t>
  </si>
  <si>
    <t>00601781</t>
  </si>
  <si>
    <t>Tomkova 45, Olomouc - Hejčín</t>
  </si>
  <si>
    <t>00601799</t>
  </si>
  <si>
    <t>Horní nám. 5, Šternberk</t>
  </si>
  <si>
    <t>00601764</t>
  </si>
  <si>
    <t>Gymnazijní 257, Uničov</t>
  </si>
  <si>
    <t>00601756</t>
  </si>
  <si>
    <t>Božetěchova 3, Olomouc</t>
  </si>
  <si>
    <t>00844012</t>
  </si>
  <si>
    <t>00601748</t>
  </si>
  <si>
    <t>Školní 164, Uničov</t>
  </si>
  <si>
    <t>00601730</t>
  </si>
  <si>
    <t>Střední škola zemědělská, Olomouc, U Hradiska 4</t>
  </si>
  <si>
    <t>U Hradiska 4, Olomouc</t>
  </si>
  <si>
    <t>00602035</t>
  </si>
  <si>
    <t>Pöttingova 2, Olomouc</t>
  </si>
  <si>
    <t>00601713</t>
  </si>
  <si>
    <t>00601721</t>
  </si>
  <si>
    <t>00600938</t>
  </si>
  <si>
    <t>Komenského 677, Litovel</t>
  </si>
  <si>
    <t>00848875</t>
  </si>
  <si>
    <t>J. Sigmunda 242, Lutín</t>
  </si>
  <si>
    <t>66935733</t>
  </si>
  <si>
    <t>00845337</t>
  </si>
  <si>
    <t>Rooseveltova 79, Olomouc</t>
  </si>
  <si>
    <t>13643606</t>
  </si>
  <si>
    <t>Střední Novosadská 55, Olomouc</t>
  </si>
  <si>
    <t>00848778</t>
  </si>
  <si>
    <t>Štursova 14, Olomouc</t>
  </si>
  <si>
    <t>00577448</t>
  </si>
  <si>
    <t>Střední škola technická a obchodní, Olomouc</t>
  </si>
  <si>
    <t>14451085</t>
  </si>
  <si>
    <t>Opavská 4, Šternberk</t>
  </si>
  <si>
    <t>00848794</t>
  </si>
  <si>
    <t>Základní umělecká škola Iši Krejčího Olomouc</t>
  </si>
  <si>
    <t>Na Vozovce 32, Olomouc</t>
  </si>
  <si>
    <t>47654236</t>
  </si>
  <si>
    <t>Základní umělecká škola "Žerotín", Olomouc</t>
  </si>
  <si>
    <t>Kavaleristů 6, Olomouc</t>
  </si>
  <si>
    <t>00096725</t>
  </si>
  <si>
    <t>ZUŠ Miloslava Stibora - výtvarný obor, Olomouc</t>
  </si>
  <si>
    <t>Pionýrská 4, Olomouc</t>
  </si>
  <si>
    <t>47654279</t>
  </si>
  <si>
    <t>Základní umělecká škola Litovel</t>
  </si>
  <si>
    <t>Jungmannova 740, Litovel</t>
  </si>
  <si>
    <t>47654325</t>
  </si>
  <si>
    <t>Základní umělecká škola, Uničov, Litovelská 190</t>
  </si>
  <si>
    <t>Litovelská 190, Uničov</t>
  </si>
  <si>
    <t>47654244</t>
  </si>
  <si>
    <t>00096792</t>
  </si>
  <si>
    <t>Dům dětí a mládeže Litovel</t>
  </si>
  <si>
    <t>Komenského 719/6, Litovel</t>
  </si>
  <si>
    <t>61989738</t>
  </si>
  <si>
    <t>Dům dětí a mládeže Vila Tereza, Uničov</t>
  </si>
  <si>
    <t>Nádražní 530, Uničov</t>
  </si>
  <si>
    <t>47654392</t>
  </si>
  <si>
    <t>Dětský domov a Školní jídelna, Olomouc</t>
  </si>
  <si>
    <t>00849235</t>
  </si>
  <si>
    <t>60338911</t>
  </si>
  <si>
    <t>Odvody z investičního fondu /odpisy/</t>
  </si>
  <si>
    <t>Odvody z investičního fondu /spolufin. akcí/</t>
  </si>
  <si>
    <t>Jazyková škola s právem státní jazykové zkoušky</t>
  </si>
  <si>
    <t xml:space="preserve">Částka </t>
  </si>
  <si>
    <t>Správce:  vedoucí odboru</t>
  </si>
  <si>
    <t>nerozp.</t>
  </si>
  <si>
    <t>Základní škola a Mateřská škola</t>
  </si>
  <si>
    <t>Mateřská škola</t>
  </si>
  <si>
    <t xml:space="preserve">Základní škola a Mateřská škola při FN </t>
  </si>
  <si>
    <t xml:space="preserve">Základní škola </t>
  </si>
  <si>
    <t>Základní škola</t>
  </si>
  <si>
    <t xml:space="preserve">Základní škola, Dětský domov a Školní jídelna </t>
  </si>
  <si>
    <t>Gymnázium Jana Opletala</t>
  </si>
  <si>
    <t>Gymnázium</t>
  </si>
  <si>
    <t>Slovanské gymnázium</t>
  </si>
  <si>
    <t xml:space="preserve">Gymnázium </t>
  </si>
  <si>
    <t>Střední průmyslová škola strojnická</t>
  </si>
  <si>
    <t>Střední škola zemědělská</t>
  </si>
  <si>
    <t xml:space="preserve">Jazyková škola s právem SJZ </t>
  </si>
  <si>
    <t>Obchodní akademie</t>
  </si>
  <si>
    <t>Sigmundova střední škola strojírenská</t>
  </si>
  <si>
    <t>Střední škola polytechnická</t>
  </si>
  <si>
    <t>Střední škola polygrafická</t>
  </si>
  <si>
    <t>Střední škola technická a obchodní</t>
  </si>
  <si>
    <t xml:space="preserve">Základní umělecká škola  Iši Krejčího </t>
  </si>
  <si>
    <t>Základní umělecká škola „Žerotín“</t>
  </si>
  <si>
    <t>Základní umělecká škola</t>
  </si>
  <si>
    <t xml:space="preserve">Dům dětí a mládeže </t>
  </si>
  <si>
    <t>Dům dětí a mládeže</t>
  </si>
  <si>
    <t>Dům dětí a mládeže Vila Tereza</t>
  </si>
  <si>
    <t>Dětský domov a Školní jídelna</t>
  </si>
  <si>
    <t>Střední škola logistiky a chemie</t>
  </si>
  <si>
    <t>U Hradiska 29</t>
  </si>
  <si>
    <t xml:space="preserve">Střední škola logistiky a chemie, Olomouc </t>
  </si>
  <si>
    <t>U Hradiska 29, Olomouc</t>
  </si>
  <si>
    <t>SOŠ obchodu a služeb</t>
  </si>
  <si>
    <t>Litovelská 190</t>
  </si>
  <si>
    <t>Pedagogicko-psychologická poradna  OK</t>
  </si>
  <si>
    <t>Stř. Novosadská 55</t>
  </si>
  <si>
    <t>Pöttingova 2</t>
  </si>
  <si>
    <t>tř. J. z Poděbrad 13</t>
  </si>
  <si>
    <t>SZŠ a VOŠ zdravotnická Emanuela Pöttinga</t>
  </si>
  <si>
    <t>tř. Jiřího z Poděbrad 13, Olomouc</t>
  </si>
  <si>
    <t>tř.  17. listopadu 49, Olomouc</t>
  </si>
  <si>
    <t>tř. Spojenců 11, Olomouc</t>
  </si>
  <si>
    <t>tř. 17. listopadu 47, Olomouc</t>
  </si>
  <si>
    <t>Základní škola a Mateřská škola logopedická Olomouc</t>
  </si>
  <si>
    <t>Pedagogicko - psychologická poradna Olomouckého kraje</t>
  </si>
  <si>
    <t>Střední odborná škola Litovel</t>
  </si>
  <si>
    <t xml:space="preserve">Střední odborná škola  </t>
  </si>
  <si>
    <t>Kosinova 872/4, Olomouc</t>
  </si>
  <si>
    <t>Kosinova 872/4</t>
  </si>
  <si>
    <t>Školní jídelna Olomouc - Hejčín, p.o.</t>
  </si>
  <si>
    <t>Olomouc - Hejčín</t>
  </si>
  <si>
    <t xml:space="preserve">772 00 </t>
  </si>
  <si>
    <t>Školní jídelna Olomouc - Hejčín, příspěvková organizace</t>
  </si>
  <si>
    <t>jednotka - Kč na 2 des. místa</t>
  </si>
  <si>
    <t>U Sportovní haly 1a/544, Olomouc</t>
  </si>
  <si>
    <t>72543850</t>
  </si>
  <si>
    <t>U Sportovní haly 1a, Olomouc</t>
  </si>
  <si>
    <t>Stav k 1.1.2012</t>
  </si>
  <si>
    <t>Základní škola a Mateřská škola prof. V. Vejdovského</t>
  </si>
  <si>
    <t>Tomkova 42</t>
  </si>
  <si>
    <t>Střední průmyslová škola a SOU</t>
  </si>
  <si>
    <t>Střední průmyslová škola a SOU Uničov</t>
  </si>
  <si>
    <t xml:space="preserve">Základní škola a Mateřská škola prof. V. Vejdovského </t>
  </si>
  <si>
    <t>Tomkova 42, 779 00 Olomouc - Hejčín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</si>
  <si>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</si>
  <si>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</si>
  <si>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</si>
  <si>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</si>
  <si>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</si>
  <si>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Odvody z investičního fondu</t>
  </si>
  <si>
    <t xml:space="preserve"> /spolufin. akcí/</t>
  </si>
  <si>
    <t>4)</t>
  </si>
  <si>
    <t>Stav k 1.1.2013</t>
  </si>
  <si>
    <t xml:space="preserve">SZdrŠ a VOŠ zdravotnická Emanuela Pöttinga </t>
  </si>
  <si>
    <t>Pozn.: Odvod z investičního fondu (k navýšení neinvestičního příspěvku na provoz ) ve výši 100 000,- Kč.</t>
  </si>
  <si>
    <t>Střední škola a Základní škola prof. Z. Matějčka Olomouc</t>
  </si>
  <si>
    <t>Střední škola a Základní škola prof. Z. Matějčka</t>
  </si>
  <si>
    <t>Z celkového počtu 42 organizací okresu Olomouc skončilo:</t>
  </si>
  <si>
    <t xml:space="preserve"> -   3 organizace s vyrovnaným výsledkem hospodaření</t>
  </si>
  <si>
    <t xml:space="preserve"> - 33 organizací se zlepšeným výsledkem hospodaření v celkové výši 8 280 139,11 Kč</t>
  </si>
  <si>
    <t>a) Výsledek hospodaření po zdanění (bez transf. podílu)</t>
  </si>
  <si>
    <t xml:space="preserve">z toho: </t>
  </si>
  <si>
    <t xml:space="preserve"> -  Nerozdělený výsledek hospodaření (transfer)    
</t>
  </si>
  <si>
    <t>b) Výsledek hospod. minulých účet. období k 31.12.2013</t>
  </si>
  <si>
    <t>Výše výsledku hospodaření za rok 2013 je ovlivněna transferovým podílem, což je pouze účetní zápis bez vazby na finanční prostředky. Po odečtení transferového podílu z výsledku hospodaření příspěvkové organizace, skončila tato organizace ve ztrátě, která činí 355 612,86 Kč. Ztráta bude uhrazena ze zlepšeného VH v dalších letech.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</si>
  <si>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</si>
  <si>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</si>
  <si>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</si>
  <si>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</si>
  <si>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</si>
  <si>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</si>
  <si>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</si>
  <si>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</si>
  <si>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Saldo</t>
  </si>
  <si>
    <t xml:space="preserve">    Celkem rozděleno:</t>
  </si>
  <si>
    <t>Rekapitulace hospodaření /výsledek hospodaření/  za rok  2013  - okres Olomouc</t>
  </si>
  <si>
    <t>Pozn. Odvod z investičního fondu (k navýšení neinvestičního příspěvku na provoz - mzdové náklady ) ve výši 648 000,- Kč.</t>
  </si>
  <si>
    <t xml:space="preserve">Pozn. Vynaložené odpisy nad stanovený limit byly finančně pokryty z vlastních zdrojů organizace- 13 611,50 Kč.     </t>
  </si>
  <si>
    <t xml:space="preserve">Pozn. Vynaložené odpisy nad stanovený limit byly finančně pokryty z provozních prostředků organizace- 356,- Kč.        
"        
</t>
  </si>
  <si>
    <t xml:space="preserve">Ztráta -55,31 Kč bude pokryta z prostředků rezervního fondu v souladu s ust. § 30, odst. 3d) zákona č. 250/2000 Sb., o rozpočtových pravidlech územních  rozpočtů ve znění pozdějších předpisů - použití prostředků rezervního fondu, vyjma poskytnutých darů. Částka - 30 060,10 Kč bude pokryta ze zlepšeného HV v  násl. letech.  </t>
  </si>
  <si>
    <t>Výše výsledku hospodaření za rok 2013 je ovlivněna transferovým podílem, což je pouze účetní zápis bez vazby na finanční prostředky. Po odečtení transferového podílu z výsledku hospodaření příspěvkové organizace, skončila tato organizace ve ztrátě, která činí 78 231,66 Kč. Ztráta bude kryta na vrub rezervního fondu příspěvkové organizace.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</si>
  <si>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423 643,67 Kč.        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</si>
  <si>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ve ztrátě, která činí 139 764,14 Kč. Ztráta bude kryta na vrub rezervního fondu (6 699,98 Kč) a ze zlepšeného HV v násl. letech (133 064,16 Kč) příspěvkové organizace.   </t>
  </si>
  <si>
    <t xml:space="preserve">Pozn. Neinvestiční příspěvek - odpisy - příspěvková organizace vrátila částku 69 862,- Kč dne 15.1.2014 na účet Ol. kraje         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</si>
  <si>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73 633,16 Kč.        </t>
  </si>
  <si>
    <t xml:space="preserve">Pozn. Vynaložené odpisy nad stanovený limit byly finančně pokryty z provozních prostředků organizace- 1 602,61 Kč. 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</si>
  <si>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445 534,76 Kč.        </t>
  </si>
  <si>
    <t xml:space="preserve">Pozn. Neinvestiční příspěvek - odpisy - příspěvková organizace vrátila částku  5 811,- Kč dne 15.1.2014 na účet Olom. kraje         
</t>
  </si>
  <si>
    <t xml:space="preserve">Pozn. Neinvestiční příspěvek - odpisy - příspěvková organizace vrátila částku 1 069,- Kč dne 10.1.2014 na účet Olom. kraje         </t>
  </si>
  <si>
    <t>Pozn. Neinvestiční příspěvek - odpisy - příspěvková organizace vrátila částku 48 424,47 Kč dne 15.1.2014 na účet Ol. kraje.</t>
  </si>
  <si>
    <t>Pozn. Neinvestiční příspěvek - odpisy - příspěvková organizace vrátila částku 969,- Kč dne 10.1.2014 na účet Olom. kraje</t>
  </si>
  <si>
    <t xml:space="preserve">Pozn. Vynaložené odpisy nad stanovený limit byly finančně pokryty z vlastních zdrojů organizace-  1 768,- Kč.     </t>
  </si>
  <si>
    <t xml:space="preserve">Pozn. Vynaložené odpisy nad stanovený limit byly finančně pokryty z provozních zdrojů organizace- 16 181,- Kč.     </t>
  </si>
  <si>
    <t xml:space="preserve">Pozn. Vynaložené odpisy nad stanovený limit byly finančně pokryty z provozních zdrojů organizace- 111,- Kč.     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</si>
  <si>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28 607,71 Kč. </t>
  </si>
  <si>
    <t xml:space="preserve">Pozn. Vynaložené odpisy nad stanovený limit byly finančně pokryty z vlastních zdrojů organizace- 2 245,45 Kč.     </t>
  </si>
  <si>
    <t xml:space="preserve">Ztráta 126 370,71 Kč bude pokryta z prostředků rezervního fondu v souladu s ust. § 30, odst. 3d) zákona č. 250/2000 Sb., o rozpočtových pravidlech územních rozpočtů ve znění pozdějších předpisů - použití prostředků rezervního fondu, vyjma poskytnutých darů.  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</si>
  <si>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213 447,98 Kč.     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</si>
  <si>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1 113 341,86 Kč.  </t>
  </si>
  <si>
    <t xml:space="preserve"> </t>
  </si>
  <si>
    <t>Pozn. Vynaložené odpisy nad stanovený limit byly finančně pokryty z provozních prostředků organizace-     4,- Kč.</t>
  </si>
  <si>
    <t xml:space="preserve">Pozn. Neinvestiční příspěvek - odpisy - příspěvková organizace vrátila částku 9 492,- Kč dne 10.1.2014 na účet Ol. kraje         </t>
  </si>
  <si>
    <t>Pozn. Neinvestiční příspěvek - odpisy - příspěvková organizace vrátila částku 33,30 Kč dne 14.1.2014 na účet Olom. kraje</t>
  </si>
  <si>
    <t xml:space="preserve">Pozn. Vynaložené odpisy nad stanovený limit byly finančně pokryty z vlastních příjmů organizace- 1 864,- Kč.     </t>
  </si>
  <si>
    <t>Pozn. Odvod z odpisů nad stanovený limit ve výši 7 109,- byl organizaci vrácen dne 11. 12. 2013</t>
  </si>
  <si>
    <t xml:space="preserve"> -   6 organizací se zhoršeným výsledkem hospodaření v celkové výši -1 166 021,77 Kč  </t>
  </si>
  <si>
    <t xml:space="preserve"> - 6 organizace se zhoršeným výsledkem hospodaření v celkové výši  -1 229 392,77 Kč   </t>
  </si>
  <si>
    <t xml:space="preserve"> - 33 organizací se zlepšeným výsledkem hospodaření v celkové výši  5 405 056,11 Kč</t>
  </si>
  <si>
    <t xml:space="preserve">Po vyloučení transferového podílu jsou výsledky příspěvkových organizací následující:   4 175 663,34  Kč                                                 </t>
  </si>
  <si>
    <t>Ztrátu z hospodaření ve výši 499 297,99 Kč převezme nástupnická organizace Střední zdravotnická škola a Vyšší odborná škola zdravotnická Emanuela Pöttinga Olomouc.</t>
  </si>
  <si>
    <t xml:space="preserve">SOU lesnické a strojírenské </t>
  </si>
  <si>
    <t>Fornd odměn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</si>
  <si>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386 283,46 Kč.        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</si>
  <si>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2 451,01 Kč. </t>
  </si>
  <si>
    <t xml:space="preserve">Pozn. Neinvestiční příspěvek - odpisy - příspěvková organizace vrátila částku 36 566,20,- Kč dne 14.1.2014 na účet Ol. kraje </t>
  </si>
  <si>
    <t>Pozn. Neinvestiční příspěvek - odpisy - příspěvková organizace vrátila částku 59 068,16- Kč dne 13.1.2014 na účet Ol. kraje</t>
  </si>
  <si>
    <t xml:space="preserve">Zlepšený výsledek hospodaření ve výši 40 416,04 Kč bude použit ke krytí ztráty minulých let,  která je k 31.12.2013 ve výši     -3 888 866,63 Kč.    </t>
  </si>
  <si>
    <t>Pozn. Vynaložené odpisy nad stanovený limit byly finančně pokryty z provozních prostředků organizace-  16,-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</si>
</sst>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Kč&quot;;[Red]\-#,##0.00\ &quot;Kč&quot;"/>
  </numFmts>
  <fonts count="4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Comic Sans MS"/>
      <family val="4"/>
      <charset val="238"/>
    </font>
    <font>
      <b/>
      <sz val="11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b/>
      <sz val="10"/>
      <color indexed="19"/>
      <name val="Comic Sans MS"/>
      <family val="4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2"/>
      <name val="Arial Black"/>
      <family val="2"/>
      <charset val="238"/>
    </font>
    <font>
      <b/>
      <sz val="11"/>
      <name val="Arial Black"/>
      <family val="2"/>
      <charset val="238"/>
    </font>
    <font>
      <sz val="10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sz val="11"/>
      <name val="Arial Black"/>
      <family val="2"/>
      <charset val="238"/>
    </font>
    <font>
      <sz val="8"/>
      <name val="Arial"/>
      <family val="2"/>
      <charset val="238"/>
    </font>
    <font>
      <b/>
      <sz val="10"/>
      <name val="Comic Sans MS"/>
      <family val="4"/>
      <charset val="238"/>
    </font>
    <font>
      <b/>
      <sz val="11"/>
      <name val="Arial"/>
      <family val="2"/>
      <charset val="238"/>
    </font>
    <font>
      <b/>
      <sz val="12"/>
      <name val="Comic Sans MS"/>
      <family val="4"/>
      <charset val="238"/>
    </font>
    <font>
      <sz val="10"/>
      <name val="Comic Sans MS"/>
      <family val="4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u/>
      <sz val="12"/>
      <name val="Arial Black"/>
      <family val="2"/>
      <charset val="238"/>
    </font>
    <font>
      <sz val="11"/>
      <name val="Arial"/>
      <family val="2"/>
      <charset val="238"/>
    </font>
    <font>
      <sz val="11"/>
      <name val="Comic Sans MS"/>
      <family val="4"/>
      <charset val="238"/>
    </font>
    <font>
      <sz val="12"/>
      <name val="Arial Black"/>
      <family val="2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 Black"/>
      <family val="2"/>
      <charset val="238"/>
    </font>
    <font>
      <sz val="14"/>
      <name val="Arial Black"/>
      <family val="2"/>
      <charset val="238"/>
    </font>
    <font>
      <sz val="10"/>
      <color indexed="19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808000"/>
      <name val="Comic Sans MS"/>
      <family val="4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9"/>
      <name val="Arial Black"/>
      <family val="2"/>
      <charset val="238"/>
    </font>
    <font>
      <b/>
      <sz val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name val="Arial Blac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1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rgb="FF000000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0">
    <xf numFmtId="0" fontId="0" fillId="0" borderId="0" xfId="0"/>
    <xf numFmtId="4" fontId="5" fillId="0" borderId="0" xfId="0" applyNumberFormat="1" applyFont="1" applyFill="1" applyBorder="1" applyAlignment="1" applyProtection="1">
      <alignment shrinkToFit="1"/>
      <protection hidden="1"/>
    </xf>
    <xf numFmtId="0" fontId="17" fillId="0" borderId="0" xfId="0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28" fillId="0" borderId="0" xfId="0" applyFont="1" applyFill="1"/>
    <xf numFmtId="0" fontId="0" fillId="0" borderId="0" xfId="0" applyFill="1" applyBorder="1"/>
    <xf numFmtId="4" fontId="23" fillId="0" borderId="0" xfId="0" applyNumberFormat="1" applyFont="1" applyFill="1" applyBorder="1" applyAlignment="1" applyProtection="1">
      <alignment shrinkToFit="1"/>
      <protection hidden="1"/>
    </xf>
    <xf numFmtId="4" fontId="23" fillId="0" borderId="0" xfId="0" applyNumberFormat="1" applyFont="1" applyFill="1" applyAlignment="1" applyProtection="1">
      <alignment shrinkToFit="1"/>
      <protection hidden="1"/>
    </xf>
    <xf numFmtId="4" fontId="2" fillId="0" borderId="0" xfId="0" applyNumberFormat="1" applyFont="1" applyFill="1" applyBorder="1" applyAlignment="1" applyProtection="1">
      <alignment shrinkToFit="1"/>
      <protection hidden="1"/>
    </xf>
    <xf numFmtId="4" fontId="18" fillId="0" borderId="0" xfId="0" applyNumberFormat="1" applyFont="1" applyFill="1" applyBorder="1" applyAlignment="1" applyProtection="1">
      <alignment shrinkToFit="1"/>
      <protection hidden="1"/>
    </xf>
    <xf numFmtId="4" fontId="25" fillId="0" borderId="0" xfId="0" applyNumberFormat="1" applyFont="1" applyFill="1" applyBorder="1" applyAlignment="1" applyProtection="1">
      <alignment shrinkToFit="1"/>
      <protection hidden="1"/>
    </xf>
    <xf numFmtId="0" fontId="24" fillId="0" borderId="0" xfId="0" applyFont="1" applyFill="1" applyProtection="1">
      <protection hidden="1"/>
    </xf>
    <xf numFmtId="0" fontId="21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/>
    <xf numFmtId="0" fontId="11" fillId="0" borderId="0" xfId="0" applyFont="1" applyFill="1" applyAlignment="1" applyProtection="1">
      <protection hidden="1"/>
    </xf>
    <xf numFmtId="0" fontId="0" fillId="0" borderId="0" xfId="0" applyFill="1" applyAlignment="1"/>
    <xf numFmtId="0" fontId="23" fillId="0" borderId="0" xfId="0" applyFont="1" applyFill="1" applyProtection="1">
      <protection hidden="1"/>
    </xf>
    <xf numFmtId="0" fontId="11" fillId="0" borderId="0" xfId="0" applyFont="1" applyFill="1" applyProtection="1">
      <protection hidden="1"/>
    </xf>
    <xf numFmtId="49" fontId="3" fillId="0" borderId="0" xfId="0" applyNumberFormat="1" applyFont="1" applyFill="1" applyAlignment="1" applyProtection="1">
      <alignment horizontal="left"/>
      <protection hidden="1"/>
    </xf>
    <xf numFmtId="0" fontId="0" fillId="0" borderId="0" xfId="0" applyFill="1" applyAlignment="1" applyProtection="1">
      <alignment horizontal="left"/>
      <protection hidden="1"/>
    </xf>
    <xf numFmtId="0" fontId="13" fillId="0" borderId="0" xfId="0" applyFont="1" applyFill="1" applyAlignment="1" applyProtection="1">
      <alignment shrinkToFit="1"/>
      <protection hidden="1"/>
    </xf>
    <xf numFmtId="0" fontId="3" fillId="0" borderId="0" xfId="0" applyFont="1" applyFill="1" applyAlignment="1" applyProtection="1">
      <alignment horizontal="right" vertical="center"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horizontal="right"/>
      <protection hidden="1"/>
    </xf>
    <xf numFmtId="0" fontId="2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right" shrinkToFit="1"/>
      <protection hidden="1"/>
    </xf>
    <xf numFmtId="0" fontId="3" fillId="0" borderId="0" xfId="0" applyFont="1" applyFill="1" applyBorder="1" applyAlignment="1" applyProtection="1">
      <alignment horizontal="center" shrinkToFit="1"/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Protection="1">
      <protection hidden="1"/>
    </xf>
    <xf numFmtId="0" fontId="14" fillId="0" borderId="0" xfId="0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1" fillId="0" borderId="0" xfId="0" applyFont="1" applyFill="1"/>
    <xf numFmtId="0" fontId="5" fillId="0" borderId="0" xfId="0" applyFont="1" applyFill="1" applyBorder="1" applyProtection="1"/>
    <xf numFmtId="0" fontId="5" fillId="0" borderId="0" xfId="0" applyFont="1" applyFill="1" applyBorder="1"/>
    <xf numFmtId="0" fontId="19" fillId="0" borderId="0" xfId="0" applyFont="1" applyFill="1" applyBorder="1" applyProtection="1"/>
    <xf numFmtId="4" fontId="5" fillId="0" borderId="0" xfId="0" applyNumberFormat="1" applyFont="1" applyFill="1" applyBorder="1"/>
    <xf numFmtId="0" fontId="16" fillId="0" borderId="0" xfId="0" applyFont="1" applyFill="1" applyBorder="1" applyProtection="1"/>
    <xf numFmtId="0" fontId="31" fillId="0" borderId="0" xfId="0" applyFont="1" applyFill="1" applyBorder="1" applyProtection="1"/>
    <xf numFmtId="0" fontId="32" fillId="0" borderId="0" xfId="0" applyFont="1" applyFill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2" fillId="0" borderId="0" xfId="0" applyFont="1" applyFill="1" applyBorder="1" applyProtection="1"/>
    <xf numFmtId="0" fontId="13" fillId="0" borderId="0" xfId="0" applyFont="1" applyFill="1" applyBorder="1" applyProtection="1"/>
    <xf numFmtId="0" fontId="20" fillId="0" borderId="0" xfId="0" applyFont="1" applyFill="1" applyBorder="1" applyProtection="1"/>
    <xf numFmtId="0" fontId="26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hidden="1"/>
    </xf>
    <xf numFmtId="4" fontId="27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3" fillId="0" borderId="0" xfId="0" applyFont="1" applyFill="1" applyBorder="1" applyAlignment="1" applyProtection="1">
      <alignment horizontal="left" indent="2"/>
      <protection hidden="1"/>
    </xf>
    <xf numFmtId="0" fontId="20" fillId="0" borderId="0" xfId="0" applyFont="1" applyFill="1" applyBorder="1" applyProtection="1">
      <protection hidden="1"/>
    </xf>
    <xf numFmtId="4" fontId="3" fillId="0" borderId="0" xfId="0" applyNumberFormat="1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9" fillId="0" borderId="0" xfId="0" applyFont="1" applyFill="1" applyBorder="1" applyProtection="1">
      <protection hidden="1"/>
    </xf>
    <xf numFmtId="14" fontId="0" fillId="0" borderId="0" xfId="0" applyNumberFormat="1" applyFill="1"/>
    <xf numFmtId="10" fontId="0" fillId="0" borderId="0" xfId="0" applyNumberFormat="1" applyFill="1" applyAlignment="1" applyProtection="1">
      <alignment horizontal="right" indent="4"/>
      <protection locked="0"/>
    </xf>
    <xf numFmtId="0" fontId="6" fillId="0" borderId="0" xfId="0" applyFont="1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3" fillId="0" borderId="0" xfId="0" applyFont="1" applyFill="1" applyAlignment="1" applyProtection="1">
      <alignment vertical="top"/>
      <protection hidden="1"/>
    </xf>
    <xf numFmtId="0" fontId="0" fillId="0" borderId="0" xfId="0" applyFill="1" applyBorder="1" applyProtection="1">
      <protection hidden="1"/>
    </xf>
    <xf numFmtId="4" fontId="2" fillId="0" borderId="0" xfId="0" applyNumberFormat="1" applyFont="1" applyFill="1" applyBorder="1" applyProtection="1">
      <protection hidden="1"/>
    </xf>
    <xf numFmtId="0" fontId="0" fillId="0" borderId="23" xfId="0" applyFill="1" applyBorder="1" applyProtection="1">
      <protection hidden="1"/>
    </xf>
    <xf numFmtId="0" fontId="0" fillId="0" borderId="24" xfId="0" applyFill="1" applyBorder="1" applyProtection="1">
      <protection hidden="1"/>
    </xf>
    <xf numFmtId="4" fontId="0" fillId="0" borderId="25" xfId="0" applyNumberFormat="1" applyFill="1" applyBorder="1" applyProtection="1">
      <protection hidden="1"/>
    </xf>
    <xf numFmtId="0" fontId="0" fillId="0" borderId="27" xfId="0" applyFill="1" applyBorder="1" applyProtection="1">
      <protection hidden="1"/>
    </xf>
    <xf numFmtId="0" fontId="0" fillId="0" borderId="28" xfId="0" applyFill="1" applyBorder="1" applyProtection="1">
      <protection hidden="1"/>
    </xf>
    <xf numFmtId="4" fontId="0" fillId="0" borderId="29" xfId="0" applyNumberForma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2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4" fontId="33" fillId="0" borderId="0" xfId="0" applyNumberFormat="1" applyFont="1" applyFill="1" applyBorder="1" applyProtection="1">
      <protection hidden="1"/>
    </xf>
    <xf numFmtId="4" fontId="33" fillId="0" borderId="0" xfId="0" applyNumberFormat="1" applyFont="1" applyFill="1" applyBorder="1" applyAlignment="1" applyProtection="1">
      <alignment horizontal="left"/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22" fillId="0" borderId="0" xfId="0" applyFont="1" applyFill="1"/>
    <xf numFmtId="0" fontId="29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22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" fillId="0" borderId="14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20" xfId="0" applyFont="1" applyFill="1" applyBorder="1" applyAlignment="1"/>
    <xf numFmtId="0" fontId="1" fillId="0" borderId="39" xfId="0" applyFont="1" applyFill="1" applyBorder="1" applyAlignment="1"/>
    <xf numFmtId="0" fontId="22" fillId="0" borderId="11" xfId="0" applyFont="1" applyFill="1" applyBorder="1"/>
    <xf numFmtId="4" fontId="0" fillId="0" borderId="0" xfId="0" applyNumberFormat="1" applyFill="1"/>
    <xf numFmtId="0" fontId="1" fillId="0" borderId="0" xfId="0" applyFont="1" applyAlignment="1">
      <alignment horizontal="right"/>
    </xf>
    <xf numFmtId="4" fontId="0" fillId="0" borderId="0" xfId="0" applyNumberFormat="1" applyFill="1" applyBorder="1"/>
    <xf numFmtId="0" fontId="11" fillId="0" borderId="0" xfId="0" applyFont="1" applyFill="1" applyAlignment="1" applyProtection="1">
      <protection hidden="1"/>
    </xf>
    <xf numFmtId="0" fontId="0" fillId="0" borderId="0" xfId="0" applyFill="1"/>
    <xf numFmtId="0" fontId="35" fillId="0" borderId="0" xfId="0" applyFont="1" applyFill="1" applyBorder="1"/>
    <xf numFmtId="0" fontId="5" fillId="0" borderId="2" xfId="0" applyFont="1" applyBorder="1" applyProtection="1">
      <protection hidden="1"/>
    </xf>
    <xf numFmtId="0" fontId="1" fillId="0" borderId="3" xfId="0" applyFont="1" applyBorder="1" applyProtection="1">
      <protection hidden="1"/>
    </xf>
    <xf numFmtId="0" fontId="36" fillId="0" borderId="3" xfId="0" applyFont="1" applyBorder="1" applyProtection="1"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43" xfId="0" applyFont="1" applyBorder="1" applyAlignment="1" applyProtection="1">
      <alignment horizontal="center"/>
      <protection hidden="1"/>
    </xf>
    <xf numFmtId="0" fontId="1" fillId="0" borderId="55" xfId="0" applyFont="1" applyBorder="1" applyAlignment="1" applyProtection="1">
      <alignment horizontal="center"/>
      <protection hidden="1"/>
    </xf>
    <xf numFmtId="0" fontId="1" fillId="0" borderId="55" xfId="0" applyFont="1" applyBorder="1" applyAlignment="1" applyProtection="1">
      <alignment horizontal="left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1" fillId="0" borderId="7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56" xfId="0" applyFont="1" applyBorder="1" applyProtection="1">
      <protection hidden="1"/>
    </xf>
    <xf numFmtId="14" fontId="1" fillId="0" borderId="56" xfId="0" applyNumberFormat="1" applyFont="1" applyBorder="1" applyAlignment="1" applyProtection="1">
      <alignment horizontal="right"/>
      <protection hidden="1"/>
    </xf>
    <xf numFmtId="14" fontId="1" fillId="0" borderId="6" xfId="0" applyNumberFormat="1" applyFont="1" applyBorder="1" applyAlignment="1" applyProtection="1">
      <alignment horizontal="right"/>
      <protection hidden="1"/>
    </xf>
    <xf numFmtId="0" fontId="1" fillId="0" borderId="56" xfId="0" applyFont="1" applyBorder="1" applyAlignment="1" applyProtection="1">
      <alignment horizontal="center"/>
      <protection hidden="1"/>
    </xf>
    <xf numFmtId="0" fontId="1" fillId="0" borderId="6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1" xfId="0" applyFont="1" applyBorder="1" applyProtection="1">
      <protection hidden="1"/>
    </xf>
    <xf numFmtId="0" fontId="1" fillId="0" borderId="22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" fillId="0" borderId="12" xfId="0" applyFont="1" applyBorder="1" applyProtection="1">
      <protection hidden="1"/>
    </xf>
    <xf numFmtId="49" fontId="1" fillId="0" borderId="0" xfId="0" applyNumberFormat="1" applyFont="1" applyFill="1" applyAlignment="1" applyProtection="1">
      <alignment horizontal="lef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Alignment="1" applyProtection="1">
      <alignment horizontal="center"/>
      <protection hidden="1"/>
    </xf>
    <xf numFmtId="0" fontId="37" fillId="0" borderId="0" xfId="0" applyFont="1" applyFill="1"/>
    <xf numFmtId="0" fontId="38" fillId="0" borderId="0" xfId="0" applyFont="1" applyFill="1"/>
    <xf numFmtId="4" fontId="22" fillId="0" borderId="0" xfId="0" applyNumberFormat="1" applyFont="1" applyFill="1"/>
    <xf numFmtId="0" fontId="11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horizontal="right"/>
      <protection hidden="1"/>
    </xf>
    <xf numFmtId="0" fontId="3" fillId="0" borderId="0" xfId="0" applyFont="1" applyFill="1" applyAlignment="1">
      <alignment horizontal="right"/>
    </xf>
    <xf numFmtId="0" fontId="0" fillId="0" borderId="0" xfId="0" applyFill="1" applyAlignment="1"/>
    <xf numFmtId="0" fontId="0" fillId="0" borderId="0" xfId="0" applyFill="1"/>
    <xf numFmtId="4" fontId="1" fillId="0" borderId="29" xfId="0" applyNumberFormat="1" applyFont="1" applyFill="1" applyBorder="1" applyAlignment="1" applyProtection="1">
      <alignment shrinkToFit="1"/>
      <protection hidden="1"/>
    </xf>
    <xf numFmtId="4" fontId="1" fillId="0" borderId="58" xfId="0" applyNumberFormat="1" applyFont="1" applyFill="1" applyBorder="1" applyAlignment="1" applyProtection="1">
      <alignment shrinkToFit="1"/>
      <protection hidden="1"/>
    </xf>
    <xf numFmtId="4" fontId="1" fillId="0" borderId="30" xfId="0" applyNumberFormat="1" applyFont="1" applyFill="1" applyBorder="1" applyAlignment="1" applyProtection="1">
      <alignment shrinkToFit="1"/>
      <protection hidden="1"/>
    </xf>
    <xf numFmtId="4" fontId="1" fillId="0" borderId="31" xfId="0" applyNumberFormat="1" applyFont="1" applyFill="1" applyBorder="1" applyAlignment="1" applyProtection="1">
      <alignment shrinkToFit="1"/>
      <protection hidden="1"/>
    </xf>
    <xf numFmtId="0" fontId="0" fillId="0" borderId="25" xfId="0" applyFill="1" applyBorder="1" applyProtection="1">
      <protection hidden="1"/>
    </xf>
    <xf numFmtId="4" fontId="1" fillId="0" borderId="25" xfId="0" applyNumberFormat="1" applyFont="1" applyFill="1" applyBorder="1" applyAlignment="1" applyProtection="1">
      <alignment shrinkToFit="1"/>
      <protection hidden="1"/>
    </xf>
    <xf numFmtId="4" fontId="1" fillId="0" borderId="57" xfId="0" applyNumberFormat="1" applyFont="1" applyFill="1" applyBorder="1" applyAlignment="1" applyProtection="1">
      <alignment shrinkToFit="1"/>
      <protection hidden="1"/>
    </xf>
    <xf numFmtId="0" fontId="5" fillId="0" borderId="59" xfId="0" applyFont="1" applyFill="1" applyBorder="1" applyProtection="1">
      <protection hidden="1"/>
    </xf>
    <xf numFmtId="0" fontId="0" fillId="0" borderId="60" xfId="0" applyFill="1" applyBorder="1" applyProtection="1">
      <protection hidden="1"/>
    </xf>
    <xf numFmtId="0" fontId="0" fillId="0" borderId="61" xfId="0" applyFill="1" applyBorder="1" applyProtection="1">
      <protection hidden="1"/>
    </xf>
    <xf numFmtId="0" fontId="9" fillId="0" borderId="62" xfId="0" applyFont="1" applyFill="1" applyBorder="1" applyProtection="1">
      <protection hidden="1"/>
    </xf>
    <xf numFmtId="0" fontId="9" fillId="0" borderId="63" xfId="0" applyFont="1" applyFill="1" applyBorder="1" applyProtection="1">
      <protection hidden="1"/>
    </xf>
    <xf numFmtId="4" fontId="0" fillId="0" borderId="0" xfId="0" applyNumberFormat="1" applyFill="1" applyBorder="1" applyAlignment="1">
      <alignment shrinkToFit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0" fillId="0" borderId="0" xfId="0" applyFill="1"/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0" fillId="0" borderId="0" xfId="0" applyFont="1" applyFill="1" applyBorder="1" applyProtection="1"/>
    <xf numFmtId="4" fontId="9" fillId="0" borderId="0" xfId="0" applyNumberFormat="1" applyFont="1" applyFill="1" applyBorder="1" applyAlignment="1" applyProtection="1">
      <alignment shrinkToFit="1"/>
      <protection hidden="1"/>
    </xf>
    <xf numFmtId="4" fontId="8" fillId="0" borderId="0" xfId="0" applyNumberFormat="1" applyFont="1" applyFill="1" applyBorder="1" applyAlignment="1" applyProtection="1">
      <alignment shrinkToFit="1"/>
      <protection hidden="1"/>
    </xf>
    <xf numFmtId="0" fontId="19" fillId="0" borderId="0" xfId="0" applyFont="1" applyFill="1" applyBorder="1"/>
    <xf numFmtId="0" fontId="1" fillId="0" borderId="0" xfId="0" applyFont="1" applyFill="1" applyBorder="1" applyAlignment="1" applyProtection="1">
      <alignment vertical="top" wrapText="1" shrinkToFit="1"/>
      <protection locked="0"/>
    </xf>
    <xf numFmtId="0" fontId="1" fillId="0" borderId="0" xfId="0" applyFont="1" applyFill="1" applyAlignment="1">
      <alignment vertical="top" wrapText="1" shrinkToFit="1"/>
    </xf>
    <xf numFmtId="0" fontId="1" fillId="0" borderId="0" xfId="0" applyFont="1" applyFill="1" applyBorder="1"/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10" fontId="0" fillId="0" borderId="0" xfId="0" applyNumberFormat="1" applyFill="1" applyBorder="1" applyAlignment="1" applyProtection="1">
      <alignment horizontal="right" indent="4" shrinkToFit="1"/>
      <protection locked="0"/>
    </xf>
    <xf numFmtId="0" fontId="5" fillId="0" borderId="64" xfId="0" applyFont="1" applyBorder="1" applyProtection="1">
      <protection hidden="1"/>
    </xf>
    <xf numFmtId="0" fontId="0" fillId="0" borderId="65" xfId="0" applyBorder="1" applyProtection="1">
      <protection hidden="1"/>
    </xf>
    <xf numFmtId="0" fontId="36" fillId="0" borderId="65" xfId="0" applyFont="1" applyBorder="1" applyProtection="1">
      <protection hidden="1"/>
    </xf>
    <xf numFmtId="0" fontId="1" fillId="0" borderId="66" xfId="0" applyFont="1" applyBorder="1" applyAlignment="1" applyProtection="1">
      <alignment horizontal="center"/>
      <protection hidden="1"/>
    </xf>
    <xf numFmtId="0" fontId="1" fillId="0" borderId="67" xfId="0" applyFont="1" applyBorder="1" applyAlignment="1" applyProtection="1">
      <alignment horizontal="center"/>
      <protection hidden="1"/>
    </xf>
    <xf numFmtId="0" fontId="1" fillId="0" borderId="67" xfId="0" applyFont="1" applyBorder="1" applyAlignment="1" applyProtection="1">
      <alignment horizontal="left"/>
      <protection hidden="1"/>
    </xf>
    <xf numFmtId="0" fontId="1" fillId="0" borderId="68" xfId="0" applyFont="1" applyBorder="1" applyAlignment="1" applyProtection="1">
      <alignment horizontal="left"/>
      <protection hidden="1"/>
    </xf>
    <xf numFmtId="0" fontId="0" fillId="0" borderId="38" xfId="0" applyBorder="1" applyProtection="1">
      <protection hidden="1"/>
    </xf>
    <xf numFmtId="0" fontId="0" fillId="0" borderId="0" xfId="0" applyBorder="1" applyProtection="1">
      <protection hidden="1"/>
    </xf>
    <xf numFmtId="14" fontId="1" fillId="0" borderId="69" xfId="0" applyNumberFormat="1" applyFont="1" applyBorder="1" applyAlignment="1" applyProtection="1">
      <alignment horizontal="right"/>
      <protection hidden="1"/>
    </xf>
    <xf numFmtId="0" fontId="1" fillId="0" borderId="69" xfId="0" applyFont="1" applyBorder="1" applyProtection="1">
      <protection hidden="1"/>
    </xf>
    <xf numFmtId="0" fontId="0" fillId="0" borderId="37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36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70" xfId="0" applyBorder="1" applyProtection="1">
      <protection hidden="1"/>
    </xf>
    <xf numFmtId="0" fontId="0" fillId="0" borderId="54" xfId="0" applyFill="1" applyBorder="1" applyProtection="1">
      <protection hidden="1"/>
    </xf>
    <xf numFmtId="4" fontId="0" fillId="0" borderId="15" xfId="0" applyNumberFormat="1" applyFill="1" applyBorder="1" applyProtection="1">
      <protection hidden="1"/>
    </xf>
    <xf numFmtId="4" fontId="0" fillId="0" borderId="60" xfId="0" applyNumberFormat="1" applyFill="1" applyBorder="1" applyAlignment="1" applyProtection="1">
      <alignment horizontal="right"/>
      <protection hidden="1"/>
    </xf>
    <xf numFmtId="4" fontId="0" fillId="0" borderId="71" xfId="0" applyNumberFormat="1" applyFill="1" applyBorder="1" applyProtection="1">
      <protection hidden="1"/>
    </xf>
    <xf numFmtId="0" fontId="0" fillId="0" borderId="72" xfId="0" applyFill="1" applyBorder="1" applyProtection="1">
      <protection hidden="1"/>
    </xf>
    <xf numFmtId="4" fontId="0" fillId="0" borderId="73" xfId="0" applyNumberFormat="1" applyFill="1" applyBorder="1" applyProtection="1">
      <protection hidden="1"/>
    </xf>
    <xf numFmtId="4" fontId="0" fillId="0" borderId="61" xfId="0" applyNumberFormat="1" applyFill="1" applyBorder="1" applyAlignment="1" applyProtection="1">
      <alignment horizontal="right"/>
      <protection hidden="1"/>
    </xf>
    <xf numFmtId="4" fontId="0" fillId="0" borderId="74" xfId="0" applyNumberFormat="1" applyFill="1" applyBorder="1" applyProtection="1">
      <protection hidden="1"/>
    </xf>
    <xf numFmtId="0" fontId="5" fillId="0" borderId="75" xfId="0" applyFont="1" applyFill="1" applyBorder="1" applyProtection="1">
      <protection hidden="1"/>
    </xf>
    <xf numFmtId="0" fontId="9" fillId="0" borderId="76" xfId="0" applyFont="1" applyFill="1" applyBorder="1" applyProtection="1">
      <protection hidden="1"/>
    </xf>
    <xf numFmtId="4" fontId="9" fillId="0" borderId="77" xfId="0" applyNumberFormat="1" applyFont="1" applyFill="1" applyBorder="1" applyProtection="1">
      <protection hidden="1"/>
    </xf>
    <xf numFmtId="4" fontId="9" fillId="0" borderId="78" xfId="0" applyNumberFormat="1" applyFont="1" applyFill="1" applyBorder="1" applyProtection="1">
      <protection hidden="1"/>
    </xf>
    <xf numFmtId="4" fontId="9" fillId="0" borderId="79" xfId="0" applyNumberFormat="1" applyFont="1" applyFill="1" applyBorder="1" applyProtection="1">
      <protection hidden="1"/>
    </xf>
    <xf numFmtId="4" fontId="9" fillId="0" borderId="80" xfId="0" applyNumberFormat="1" applyFont="1" applyFill="1" applyBorder="1" applyProtection="1">
      <protection hidden="1"/>
    </xf>
    <xf numFmtId="0" fontId="24" fillId="0" borderId="0" xfId="1" applyFont="1" applyFill="1" applyProtection="1">
      <protection hidden="1"/>
    </xf>
    <xf numFmtId="0" fontId="2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1" fillId="0" borderId="0" xfId="1" applyFill="1"/>
    <xf numFmtId="0" fontId="1" fillId="0" borderId="0" xfId="1" applyFill="1" applyAlignment="1"/>
    <xf numFmtId="0" fontId="11" fillId="0" borderId="0" xfId="1" applyFont="1" applyFill="1" applyAlignment="1" applyProtection="1">
      <protection hidden="1"/>
    </xf>
    <xf numFmtId="0" fontId="23" fillId="0" borderId="0" xfId="1" applyFont="1" applyFill="1" applyProtection="1">
      <protection hidden="1"/>
    </xf>
    <xf numFmtId="0" fontId="11" fillId="0" borderId="0" xfId="1" applyFont="1" applyFill="1" applyProtection="1">
      <protection hidden="1"/>
    </xf>
    <xf numFmtId="49" fontId="1" fillId="0" borderId="0" xfId="1" applyNumberFormat="1" applyFont="1" applyFill="1" applyAlignment="1" applyProtection="1">
      <alignment horizontal="left"/>
      <protection hidden="1"/>
    </xf>
    <xf numFmtId="0" fontId="1" fillId="0" borderId="0" xfId="1" applyFill="1" applyAlignment="1" applyProtection="1">
      <alignment horizontal="left"/>
      <protection hidden="1"/>
    </xf>
    <xf numFmtId="0" fontId="13" fillId="0" borderId="0" xfId="1" applyFont="1" applyFill="1" applyAlignment="1" applyProtection="1">
      <alignment shrinkToFit="1"/>
      <protection hidden="1"/>
    </xf>
    <xf numFmtId="0" fontId="1" fillId="0" borderId="0" xfId="1" applyFont="1" applyFill="1" applyAlignment="1" applyProtection="1">
      <alignment horizontal="right" vertical="center" shrinkToFit="1"/>
      <protection hidden="1"/>
    </xf>
    <xf numFmtId="0" fontId="1" fillId="0" borderId="0" xfId="1" applyFill="1" applyAlignment="1" applyProtection="1">
      <alignment horizontal="left" shrinkToFit="1"/>
      <protection hidden="1"/>
    </xf>
    <xf numFmtId="0" fontId="1" fillId="0" borderId="0" xfId="1" applyFill="1" applyAlignment="1" applyProtection="1">
      <alignment horizontal="right"/>
      <protection hidden="1"/>
    </xf>
    <xf numFmtId="0" fontId="8" fillId="0" borderId="0" xfId="1" applyFont="1" applyFill="1" applyProtection="1">
      <protection hidden="1"/>
    </xf>
    <xf numFmtId="0" fontId="8" fillId="0" borderId="0" xfId="1" applyFont="1" applyFill="1" applyBorder="1" applyProtection="1">
      <protection hidden="1"/>
    </xf>
    <xf numFmtId="0" fontId="6" fillId="0" borderId="0" xfId="1" applyFont="1" applyFill="1" applyBorder="1" applyProtection="1">
      <protection hidden="1"/>
    </xf>
    <xf numFmtId="0" fontId="1" fillId="0" borderId="0" xfId="1" applyFill="1" applyBorder="1" applyProtection="1">
      <protection hidden="1"/>
    </xf>
    <xf numFmtId="0" fontId="4" fillId="0" borderId="0" xfId="1" applyFont="1" applyFill="1" applyBorder="1" applyProtection="1">
      <protection hidden="1"/>
    </xf>
    <xf numFmtId="4" fontId="22" fillId="0" borderId="0" xfId="1" applyNumberFormat="1" applyFont="1" applyFill="1" applyProtection="1">
      <protection locked="0"/>
    </xf>
    <xf numFmtId="0" fontId="1" fillId="0" borderId="0" xfId="1" applyFill="1" applyBorder="1" applyProtection="1"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8" fillId="0" borderId="0" xfId="1" applyFont="1" applyFill="1" applyBorder="1" applyProtection="1">
      <protection locked="0"/>
    </xf>
    <xf numFmtId="0" fontId="1" fillId="0" borderId="0" xfId="1" applyFill="1" applyProtection="1">
      <protection locked="0"/>
    </xf>
    <xf numFmtId="4" fontId="0" fillId="0" borderId="81" xfId="0" applyNumberFormat="1" applyBorder="1" applyProtection="1">
      <protection hidden="1"/>
    </xf>
    <xf numFmtId="4" fontId="0" fillId="0" borderId="15" xfId="0" applyNumberFormat="1" applyBorder="1" applyProtection="1">
      <protection hidden="1"/>
    </xf>
    <xf numFmtId="0" fontId="41" fillId="0" borderId="0" xfId="0" applyFont="1" applyFill="1" applyBorder="1" applyAlignment="1" applyProtection="1">
      <alignment horizontal="left"/>
      <protection hidden="1"/>
    </xf>
    <xf numFmtId="4" fontId="1" fillId="0" borderId="0" xfId="0" applyNumberFormat="1" applyFont="1" applyFill="1" applyProtection="1">
      <protection hidden="1"/>
    </xf>
    <xf numFmtId="4" fontId="1" fillId="0" borderId="0" xfId="0" applyNumberFormat="1" applyFont="1" applyFill="1"/>
    <xf numFmtId="0" fontId="11" fillId="0" borderId="0" xfId="0" applyFont="1" applyFill="1" applyAlignment="1" applyProtection="1">
      <protection hidden="1"/>
    </xf>
    <xf numFmtId="0" fontId="2" fillId="0" borderId="0" xfId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3" fillId="0" borderId="0" xfId="1" applyFont="1" applyFill="1" applyBorder="1" applyAlignment="1" applyProtection="1">
      <alignment horizontal="center" vertical="center"/>
      <protection hidden="1"/>
    </xf>
    <xf numFmtId="0" fontId="15" fillId="0" borderId="0" xfId="1" applyFont="1" applyFill="1" applyBorder="1" applyAlignment="1" applyProtection="1">
      <alignment horizontal="right"/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/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right" shrinkToFit="1"/>
      <protection hidden="1"/>
    </xf>
    <xf numFmtId="0" fontId="1" fillId="0" borderId="0" xfId="1" applyFont="1" applyFill="1" applyBorder="1" applyAlignment="1" applyProtection="1">
      <alignment horizontal="center" shrinkToFit="1"/>
      <protection hidden="1"/>
    </xf>
    <xf numFmtId="0" fontId="8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>
      <alignment horizontal="right"/>
    </xf>
    <xf numFmtId="0" fontId="12" fillId="0" borderId="0" xfId="1" applyFont="1" applyFill="1" applyBorder="1" applyProtection="1">
      <protection hidden="1"/>
    </xf>
    <xf numFmtId="0" fontId="13" fillId="0" borderId="0" xfId="1" applyFont="1" applyFill="1" applyProtection="1">
      <protection hidden="1"/>
    </xf>
    <xf numFmtId="0" fontId="14" fillId="0" borderId="0" xfId="1" applyFont="1" applyFill="1" applyBorder="1" applyProtection="1">
      <protection hidden="1"/>
    </xf>
    <xf numFmtId="0" fontId="7" fillId="0" borderId="0" xfId="1" applyFont="1" applyFill="1" applyBorder="1" applyProtection="1">
      <protection hidden="1"/>
    </xf>
    <xf numFmtId="0" fontId="19" fillId="0" borderId="0" xfId="1" applyFont="1" applyFill="1" applyBorder="1" applyProtection="1">
      <protection hidden="1"/>
    </xf>
    <xf numFmtId="4" fontId="1" fillId="0" borderId="0" xfId="1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23" fillId="0" borderId="0" xfId="1" applyNumberFormat="1" applyFont="1" applyFill="1" applyBorder="1" applyAlignment="1" applyProtection="1">
      <alignment shrinkToFit="1"/>
      <protection hidden="1"/>
    </xf>
    <xf numFmtId="0" fontId="17" fillId="0" borderId="0" xfId="1" applyFont="1" applyFill="1" applyBorder="1" applyProtection="1">
      <protection hidden="1"/>
    </xf>
    <xf numFmtId="0" fontId="5" fillId="0" borderId="0" xfId="1" applyFont="1" applyFill="1" applyBorder="1" applyProtection="1">
      <protection hidden="1"/>
    </xf>
    <xf numFmtId="4" fontId="23" fillId="0" borderId="0" xfId="1" applyNumberFormat="1" applyFont="1" applyFill="1" applyAlignment="1" applyProtection="1">
      <alignment shrinkToFit="1"/>
      <protection hidden="1"/>
    </xf>
    <xf numFmtId="4" fontId="2" fillId="0" borderId="0" xfId="1" applyNumberFormat="1" applyFont="1" applyFill="1" applyBorder="1" applyAlignment="1" applyProtection="1">
      <alignment shrinkToFit="1"/>
      <protection hidden="1"/>
    </xf>
    <xf numFmtId="0" fontId="5" fillId="0" borderId="0" xfId="1" applyFont="1" applyFill="1" applyBorder="1" applyProtection="1"/>
    <xf numFmtId="0" fontId="5" fillId="0" borderId="0" xfId="1" applyFont="1" applyFill="1" applyBorder="1"/>
    <xf numFmtId="4" fontId="5" fillId="0" borderId="0" xfId="1" applyNumberFormat="1" applyFont="1" applyFill="1" applyBorder="1" applyAlignment="1" applyProtection="1">
      <alignment shrinkToFit="1"/>
      <protection hidden="1"/>
    </xf>
    <xf numFmtId="0" fontId="19" fillId="0" borderId="0" xfId="1" applyFont="1" applyFill="1" applyBorder="1" applyProtection="1"/>
    <xf numFmtId="4" fontId="5" fillId="0" borderId="0" xfId="1" applyNumberFormat="1" applyFont="1" applyFill="1" applyBorder="1"/>
    <xf numFmtId="0" fontId="10" fillId="0" borderId="0" xfId="1" applyFont="1" applyFill="1" applyBorder="1" applyProtection="1"/>
    <xf numFmtId="4" fontId="9" fillId="0" borderId="0" xfId="1" applyNumberFormat="1" applyFont="1" applyFill="1" applyBorder="1" applyAlignment="1" applyProtection="1">
      <alignment shrinkToFit="1"/>
      <protection hidden="1"/>
    </xf>
    <xf numFmtId="4" fontId="8" fillId="0" borderId="0" xfId="1" applyNumberFormat="1" applyFont="1" applyFill="1" applyBorder="1" applyAlignment="1" applyProtection="1">
      <alignment shrinkToFit="1"/>
      <protection hidden="1"/>
    </xf>
    <xf numFmtId="0" fontId="39" fillId="0" borderId="0" xfId="1" applyFont="1" applyFill="1" applyBorder="1" applyProtection="1"/>
    <xf numFmtId="0" fontId="13" fillId="0" borderId="0" xfId="1" applyFont="1" applyFill="1"/>
    <xf numFmtId="4" fontId="13" fillId="0" borderId="0" xfId="1" applyNumberFormat="1" applyFont="1" applyFill="1" applyBorder="1" applyAlignment="1" applyProtection="1">
      <alignment shrinkToFit="1"/>
      <protection hidden="1"/>
    </xf>
    <xf numFmtId="4" fontId="13" fillId="0" borderId="0" xfId="1" applyNumberFormat="1" applyFont="1" applyFill="1" applyProtection="1">
      <protection hidden="1"/>
    </xf>
    <xf numFmtId="0" fontId="39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locked="0"/>
    </xf>
    <xf numFmtId="4" fontId="30" fillId="0" borderId="0" xfId="1" applyNumberFormat="1" applyFont="1" applyFill="1" applyBorder="1" applyAlignment="1" applyProtection="1">
      <alignment shrinkToFit="1"/>
      <protection hidden="1"/>
    </xf>
    <xf numFmtId="0" fontId="12" fillId="0" borderId="0" xfId="1" applyFont="1" applyFill="1" applyBorder="1" applyProtection="1"/>
    <xf numFmtId="0" fontId="40" fillId="0" borderId="0" xfId="1" applyFont="1" applyFill="1" applyBorder="1" applyProtection="1"/>
    <xf numFmtId="0" fontId="20" fillId="0" borderId="0" xfId="1" applyFont="1" applyFill="1" applyBorder="1" applyProtection="1"/>
    <xf numFmtId="0" fontId="22" fillId="0" borderId="0" xfId="1" applyFont="1" applyFill="1" applyBorder="1" applyAlignment="1" applyProtection="1">
      <alignment horizontal="right"/>
    </xf>
    <xf numFmtId="0" fontId="22" fillId="0" borderId="0" xfId="1" applyFont="1" applyFill="1" applyBorder="1" applyProtection="1"/>
    <xf numFmtId="4" fontId="22" fillId="0" borderId="0" xfId="1" applyNumberFormat="1" applyFont="1" applyFill="1" applyBorder="1" applyAlignment="1" applyProtection="1">
      <alignment shrinkToFit="1"/>
      <protection hidden="1"/>
    </xf>
    <xf numFmtId="0" fontId="13" fillId="0" borderId="0" xfId="1" applyFont="1" applyFill="1" applyBorder="1" applyProtection="1"/>
    <xf numFmtId="0" fontId="26" fillId="0" borderId="0" xfId="1" applyFont="1" applyFill="1" applyBorder="1" applyProtection="1"/>
    <xf numFmtId="0" fontId="30" fillId="0" borderId="0" xfId="1" applyFont="1" applyFill="1" applyBorder="1" applyAlignment="1" applyProtection="1"/>
    <xf numFmtId="0" fontId="1" fillId="0" borderId="0" xfId="1" applyFont="1" applyFill="1" applyBorder="1" applyAlignment="1" applyProtection="1">
      <alignment vertical="top" wrapText="1" shrinkToFit="1"/>
      <protection locked="0"/>
    </xf>
    <xf numFmtId="4" fontId="39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 applyAlignment="1">
      <alignment vertical="top" wrapText="1" shrinkToFit="1"/>
    </xf>
    <xf numFmtId="0" fontId="15" fillId="0" borderId="0" xfId="1" applyFont="1" applyFill="1" applyBorder="1" applyProtection="1">
      <protection hidden="1"/>
    </xf>
    <xf numFmtId="4" fontId="27" fillId="0" borderId="0" xfId="1" applyNumberFormat="1" applyFont="1" applyFill="1" applyBorder="1" applyProtection="1">
      <protection hidden="1"/>
    </xf>
    <xf numFmtId="0" fontId="1" fillId="0" borderId="0" xfId="1" applyFont="1" applyFill="1" applyBorder="1" applyAlignment="1" applyProtection="1">
      <alignment shrinkToFit="1"/>
      <protection hidden="1"/>
    </xf>
    <xf numFmtId="0" fontId="1" fillId="0" borderId="0" xfId="1" applyFont="1" applyFill="1" applyBorder="1" applyAlignment="1" applyProtection="1">
      <alignment horizontal="right" indent="4"/>
      <protection locked="0"/>
    </xf>
    <xf numFmtId="0" fontId="1" fillId="0" borderId="0" xfId="1" applyFont="1" applyFill="1" applyBorder="1" applyAlignment="1" applyProtection="1">
      <alignment horizontal="left" indent="2"/>
      <protection hidden="1"/>
    </xf>
    <xf numFmtId="0" fontId="20" fillId="0" borderId="0" xfId="1" applyFont="1" applyFill="1" applyBorder="1" applyProtection="1">
      <protection hidden="1"/>
    </xf>
    <xf numFmtId="4" fontId="1" fillId="0" borderId="0" xfId="1" applyNumberFormat="1" applyFont="1" applyFill="1" applyBorder="1" applyProtection="1">
      <protection hidden="1"/>
    </xf>
    <xf numFmtId="0" fontId="1" fillId="0" borderId="0" xfId="1" applyFont="1" applyAlignment="1" applyProtection="1">
      <alignment horizontal="center"/>
      <protection hidden="1"/>
    </xf>
    <xf numFmtId="10" fontId="1" fillId="0" borderId="0" xfId="1" applyNumberFormat="1" applyFont="1" applyFill="1" applyBorder="1" applyAlignment="1" applyProtection="1">
      <alignment horizontal="right" indent="4"/>
      <protection locked="0"/>
    </xf>
    <xf numFmtId="0" fontId="9" fillId="0" borderId="0" xfId="1" applyFont="1" applyFill="1" applyBorder="1" applyProtection="1">
      <protection hidden="1"/>
    </xf>
    <xf numFmtId="10" fontId="1" fillId="0" borderId="0" xfId="1" applyNumberFormat="1" applyFill="1" applyBorder="1" applyAlignment="1" applyProtection="1">
      <alignment horizontal="right" indent="4" shrinkToFit="1"/>
      <protection locked="0"/>
    </xf>
    <xf numFmtId="0" fontId="1" fillId="0" borderId="0" xfId="1" applyFont="1" applyFill="1" applyBorder="1" applyAlignment="1" applyProtection="1">
      <alignment vertical="top"/>
      <protection hidden="1"/>
    </xf>
    <xf numFmtId="4" fontId="2" fillId="0" borderId="0" xfId="1" applyNumberFormat="1" applyFont="1" applyFill="1" applyBorder="1" applyProtection="1">
      <protection hidden="1"/>
    </xf>
    <xf numFmtId="0" fontId="5" fillId="0" borderId="2" xfId="1" applyFont="1" applyBorder="1" applyProtection="1">
      <protection hidden="1"/>
    </xf>
    <xf numFmtId="0" fontId="1" fillId="0" borderId="3" xfId="1" applyBorder="1" applyProtection="1">
      <protection hidden="1"/>
    </xf>
    <xf numFmtId="0" fontId="36" fillId="0" borderId="3" xfId="1" applyFont="1" applyBorder="1" applyProtection="1">
      <protection hidden="1"/>
    </xf>
    <xf numFmtId="0" fontId="1" fillId="0" borderId="2" xfId="1" applyFont="1" applyBorder="1" applyAlignment="1" applyProtection="1">
      <alignment horizontal="center"/>
      <protection hidden="1"/>
    </xf>
    <xf numFmtId="0" fontId="1" fillId="0" borderId="43" xfId="1" applyFont="1" applyBorder="1" applyAlignment="1" applyProtection="1">
      <alignment horizontal="center"/>
      <protection hidden="1"/>
    </xf>
    <xf numFmtId="0" fontId="1" fillId="0" borderId="55" xfId="1" applyFont="1" applyBorder="1" applyAlignment="1" applyProtection="1">
      <alignment horizontal="center"/>
      <protection hidden="1"/>
    </xf>
    <xf numFmtId="0" fontId="1" fillId="0" borderId="55" xfId="1" applyFont="1" applyBorder="1" applyAlignment="1" applyProtection="1">
      <alignment horizontal="left"/>
      <protection hidden="1"/>
    </xf>
    <xf numFmtId="0" fontId="1" fillId="0" borderId="4" xfId="1" applyFont="1" applyBorder="1" applyAlignment="1" applyProtection="1">
      <alignment horizontal="left"/>
      <protection hidden="1"/>
    </xf>
    <xf numFmtId="0" fontId="1" fillId="0" borderId="7" xfId="1" applyBorder="1" applyProtection="1">
      <protection hidden="1"/>
    </xf>
    <xf numFmtId="0" fontId="1" fillId="0" borderId="7" xfId="1" applyFont="1" applyBorder="1" applyProtection="1">
      <protection hidden="1"/>
    </xf>
    <xf numFmtId="0" fontId="1" fillId="0" borderId="56" xfId="1" applyFont="1" applyBorder="1" applyProtection="1">
      <protection hidden="1"/>
    </xf>
    <xf numFmtId="14" fontId="1" fillId="0" borderId="56" xfId="1" applyNumberFormat="1" applyFont="1" applyBorder="1" applyAlignment="1" applyProtection="1">
      <alignment horizontal="right"/>
      <protection hidden="1"/>
    </xf>
    <xf numFmtId="14" fontId="1" fillId="0" borderId="6" xfId="1" applyNumberFormat="1" applyFont="1" applyBorder="1" applyAlignment="1" applyProtection="1">
      <alignment horizontal="right"/>
      <protection hidden="1"/>
    </xf>
    <xf numFmtId="0" fontId="1" fillId="0" borderId="56" xfId="1" applyFont="1" applyBorder="1" applyAlignment="1" applyProtection="1">
      <alignment horizontal="center"/>
      <protection hidden="1"/>
    </xf>
    <xf numFmtId="0" fontId="1" fillId="0" borderId="6" xfId="1" applyFont="1" applyBorder="1" applyProtection="1">
      <protection hidden="1"/>
    </xf>
    <xf numFmtId="0" fontId="1" fillId="0" borderId="10" xfId="1" applyBorder="1" applyProtection="1">
      <protection hidden="1"/>
    </xf>
    <xf numFmtId="0" fontId="1" fillId="0" borderId="11" xfId="1" applyBorder="1" applyProtection="1">
      <protection hidden="1"/>
    </xf>
    <xf numFmtId="0" fontId="1" fillId="0" borderId="22" xfId="1" applyBorder="1" applyProtection="1">
      <protection hidden="1"/>
    </xf>
    <xf numFmtId="0" fontId="1" fillId="0" borderId="9" xfId="1" applyBorder="1" applyProtection="1">
      <protection hidden="1"/>
    </xf>
    <xf numFmtId="0" fontId="1" fillId="0" borderId="12" xfId="1" applyBorder="1" applyProtection="1">
      <protection hidden="1"/>
    </xf>
    <xf numFmtId="0" fontId="1" fillId="0" borderId="23" xfId="1" applyFill="1" applyBorder="1" applyProtection="1">
      <protection hidden="1"/>
    </xf>
    <xf numFmtId="0" fontId="1" fillId="0" borderId="24" xfId="1" applyFill="1" applyBorder="1" applyProtection="1">
      <protection hidden="1"/>
    </xf>
    <xf numFmtId="4" fontId="1" fillId="0" borderId="23" xfId="1" applyNumberFormat="1" applyFill="1" applyBorder="1" applyProtection="1">
      <protection hidden="1"/>
    </xf>
    <xf numFmtId="4" fontId="1" fillId="0" borderId="25" xfId="1" applyNumberFormat="1" applyFill="1" applyBorder="1" applyAlignment="1" applyProtection="1">
      <alignment horizontal="right"/>
      <protection hidden="1"/>
    </xf>
    <xf numFmtId="4" fontId="1" fillId="0" borderId="25" xfId="1" applyNumberFormat="1" applyFill="1" applyBorder="1" applyProtection="1">
      <protection hidden="1"/>
    </xf>
    <xf numFmtId="4" fontId="1" fillId="0" borderId="26" xfId="1" applyNumberFormat="1" applyFill="1" applyBorder="1" applyProtection="1">
      <protection hidden="1"/>
    </xf>
    <xf numFmtId="0" fontId="1" fillId="0" borderId="27" xfId="1" applyFill="1" applyBorder="1" applyProtection="1">
      <protection hidden="1"/>
    </xf>
    <xf numFmtId="0" fontId="1" fillId="0" borderId="28" xfId="1" applyFill="1" applyBorder="1" applyProtection="1">
      <protection hidden="1"/>
    </xf>
    <xf numFmtId="4" fontId="1" fillId="0" borderId="27" xfId="1" applyNumberFormat="1" applyFill="1" applyBorder="1" applyProtection="1">
      <protection hidden="1"/>
    </xf>
    <xf numFmtId="4" fontId="1" fillId="0" borderId="29" xfId="1" applyNumberFormat="1" applyFill="1" applyBorder="1" applyAlignment="1" applyProtection="1">
      <alignment horizontal="right"/>
      <protection hidden="1"/>
    </xf>
    <xf numFmtId="4" fontId="1" fillId="0" borderId="29" xfId="1" applyNumberFormat="1" applyFill="1" applyBorder="1" applyProtection="1">
      <protection hidden="1"/>
    </xf>
    <xf numFmtId="4" fontId="1" fillId="0" borderId="82" xfId="1" applyNumberFormat="1" applyFill="1" applyBorder="1" applyProtection="1">
      <protection hidden="1"/>
    </xf>
    <xf numFmtId="0" fontId="5" fillId="0" borderId="10" xfId="1" applyFont="1" applyFill="1" applyBorder="1" applyProtection="1">
      <protection hidden="1"/>
    </xf>
    <xf numFmtId="0" fontId="9" fillId="0" borderId="11" xfId="1" applyFont="1" applyFill="1" applyBorder="1" applyProtection="1">
      <protection hidden="1"/>
    </xf>
    <xf numFmtId="4" fontId="9" fillId="0" borderId="10" xfId="1" applyNumberFormat="1" applyFont="1" applyFill="1" applyBorder="1" applyProtection="1">
      <protection hidden="1"/>
    </xf>
    <xf numFmtId="0" fontId="30" fillId="0" borderId="6" xfId="0" applyFont="1" applyFill="1" applyBorder="1"/>
    <xf numFmtId="0" fontId="1" fillId="0" borderId="1" xfId="0" applyFont="1" applyFill="1" applyBorder="1"/>
    <xf numFmtId="0" fontId="1" fillId="0" borderId="14" xfId="0" applyFont="1" applyFill="1" applyBorder="1"/>
    <xf numFmtId="0" fontId="1" fillId="0" borderId="20" xfId="0" applyNumberFormat="1" applyFont="1" applyFill="1" applyBorder="1"/>
    <xf numFmtId="0" fontId="1" fillId="0" borderId="6" xfId="0" applyFont="1" applyFill="1" applyBorder="1"/>
    <xf numFmtId="0" fontId="1" fillId="0" borderId="39" xfId="0" applyNumberFormat="1" applyFont="1" applyFill="1" applyBorder="1"/>
    <xf numFmtId="0" fontId="1" fillId="0" borderId="1" xfId="0" quotePrefix="1" applyNumberFormat="1" applyFont="1" applyFill="1" applyBorder="1"/>
    <xf numFmtId="0" fontId="1" fillId="0" borderId="39" xfId="0" quotePrefix="1" applyNumberFormat="1" applyFont="1" applyFill="1" applyBorder="1"/>
    <xf numFmtId="0" fontId="1" fillId="0" borderId="1" xfId="0" applyNumberFormat="1" applyFont="1" applyFill="1" applyBorder="1"/>
    <xf numFmtId="0" fontId="1" fillId="0" borderId="2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20" xfId="0" applyFont="1" applyFill="1" applyBorder="1"/>
    <xf numFmtId="0" fontId="1" fillId="0" borderId="39" xfId="0" applyFont="1" applyFill="1" applyBorder="1"/>
    <xf numFmtId="0" fontId="1" fillId="0" borderId="17" xfId="0" applyFont="1" applyFill="1" applyBorder="1"/>
    <xf numFmtId="0" fontId="1" fillId="0" borderId="20" xfId="0" applyNumberFormat="1" applyFont="1" applyFill="1" applyBorder="1" applyAlignment="1">
      <alignment wrapText="1"/>
    </xf>
    <xf numFmtId="0" fontId="1" fillId="0" borderId="39" xfId="0" applyNumberFormat="1" applyFont="1" applyFill="1" applyBorder="1" applyAlignment="1">
      <alignment wrapText="1"/>
    </xf>
    <xf numFmtId="0" fontId="1" fillId="0" borderId="2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1" fillId="0" borderId="21" xfId="0" applyFont="1" applyFill="1" applyBorder="1" applyAlignment="1"/>
    <xf numFmtId="0" fontId="1" fillId="0" borderId="42" xfId="0" applyFont="1" applyFill="1" applyBorder="1"/>
    <xf numFmtId="0" fontId="1" fillId="0" borderId="40" xfId="0" applyFont="1" applyFill="1" applyBorder="1"/>
    <xf numFmtId="0" fontId="1" fillId="0" borderId="20" xfId="0" applyFont="1" applyFill="1" applyBorder="1" applyAlignment="1">
      <alignment wrapText="1"/>
    </xf>
    <xf numFmtId="0" fontId="1" fillId="0" borderId="39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4" fontId="10" fillId="0" borderId="6" xfId="0" applyNumberFormat="1" applyFont="1" applyFill="1" applyBorder="1"/>
    <xf numFmtId="4" fontId="10" fillId="0" borderId="45" xfId="0" applyNumberFormat="1" applyFont="1" applyFill="1" applyBorder="1"/>
    <xf numFmtId="4" fontId="10" fillId="0" borderId="41" xfId="0" applyNumberFormat="1" applyFont="1" applyFill="1" applyBorder="1"/>
    <xf numFmtId="4" fontId="10" fillId="0" borderId="46" xfId="0" applyNumberFormat="1" applyFont="1" applyFill="1" applyBorder="1"/>
    <xf numFmtId="4" fontId="10" fillId="0" borderId="19" xfId="0" applyNumberFormat="1" applyFont="1" applyFill="1" applyBorder="1"/>
    <xf numFmtId="0" fontId="21" fillId="0" borderId="2" xfId="0" applyFont="1" applyFill="1" applyBorder="1"/>
    <xf numFmtId="0" fontId="21" fillId="0" borderId="3" xfId="0" applyFont="1" applyFill="1" applyBorder="1"/>
    <xf numFmtId="0" fontId="22" fillId="0" borderId="3" xfId="0" applyFont="1" applyFill="1" applyBorder="1"/>
    <xf numFmtId="0" fontId="9" fillId="0" borderId="7" xfId="0" applyFont="1" applyFill="1" applyBorder="1"/>
    <xf numFmtId="0" fontId="9" fillId="0" borderId="0" xfId="0" applyFont="1" applyFill="1" applyBorder="1"/>
    <xf numFmtId="0" fontId="30" fillId="0" borderId="0" xfId="0" applyFont="1" applyFill="1" applyBorder="1"/>
    <xf numFmtId="4" fontId="42" fillId="0" borderId="7" xfId="0" applyNumberFormat="1" applyFont="1" applyFill="1" applyBorder="1"/>
    <xf numFmtId="4" fontId="42" fillId="0" borderId="0" xfId="0" applyNumberFormat="1" applyFont="1" applyFill="1" applyBorder="1"/>
    <xf numFmtId="4" fontId="42" fillId="0" borderId="6" xfId="0" applyNumberFormat="1" applyFont="1" applyFill="1" applyBorder="1"/>
    <xf numFmtId="0" fontId="21" fillId="0" borderId="10" xfId="0" applyFont="1" applyFill="1" applyBorder="1"/>
    <xf numFmtId="0" fontId="21" fillId="0" borderId="11" xfId="0" applyFont="1" applyFill="1" applyBorder="1"/>
    <xf numFmtId="4" fontId="34" fillId="0" borderId="10" xfId="0" applyNumberFormat="1" applyFont="1" applyFill="1" applyBorder="1"/>
    <xf numFmtId="0" fontId="34" fillId="0" borderId="11" xfId="0" applyFont="1" applyFill="1" applyBorder="1"/>
    <xf numFmtId="4" fontId="0" fillId="0" borderId="11" xfId="0" applyNumberFormat="1" applyFill="1" applyBorder="1"/>
    <xf numFmtId="2" fontId="0" fillId="0" borderId="3" xfId="0" applyNumberFormat="1" applyFill="1" applyBorder="1"/>
    <xf numFmtId="4" fontId="44" fillId="0" borderId="47" xfId="0" applyNumberFormat="1" applyFont="1" applyFill="1" applyBorder="1"/>
    <xf numFmtId="2" fontId="0" fillId="0" borderId="85" xfId="0" applyNumberFormat="1" applyFill="1" applyBorder="1"/>
    <xf numFmtId="2" fontId="0" fillId="0" borderId="87" xfId="0" applyNumberFormat="1" applyFill="1" applyBorder="1"/>
    <xf numFmtId="4" fontId="9" fillId="0" borderId="22" xfId="1" applyNumberFormat="1" applyFont="1" applyFill="1" applyBorder="1" applyProtection="1">
      <protection hidden="1"/>
    </xf>
    <xf numFmtId="4" fontId="9" fillId="0" borderId="47" xfId="1" applyNumberFormat="1" applyFont="1" applyFill="1" applyBorder="1" applyProtection="1">
      <protection hidden="1"/>
    </xf>
    <xf numFmtId="0" fontId="1" fillId="0" borderId="0" xfId="1" applyBorder="1" applyProtection="1">
      <protection hidden="1"/>
    </xf>
    <xf numFmtId="0" fontId="1" fillId="0" borderId="0" xfId="0" applyFont="1" applyFill="1" applyAlignment="1" applyProtection="1">
      <alignment horizontal="right" vertical="center" shrinkToFit="1"/>
      <protection hidden="1"/>
    </xf>
    <xf numFmtId="0" fontId="35" fillId="0" borderId="0" xfId="0" applyFont="1" applyAlignment="1">
      <alignment wrapText="1"/>
    </xf>
    <xf numFmtId="4" fontId="42" fillId="0" borderId="86" xfId="0" applyNumberFormat="1" applyFont="1" applyFill="1" applyBorder="1"/>
    <xf numFmtId="4" fontId="42" fillId="0" borderId="88" xfId="0" applyNumberFormat="1" applyFont="1" applyFill="1" applyBorder="1"/>
    <xf numFmtId="4" fontId="10" fillId="0" borderId="0" xfId="0" applyNumberFormat="1" applyFont="1" applyFill="1"/>
    <xf numFmtId="0" fontId="35" fillId="0" borderId="0" xfId="0" applyFont="1" applyFill="1"/>
    <xf numFmtId="2" fontId="1" fillId="0" borderId="0" xfId="0" applyNumberFormat="1" applyFont="1" applyFill="1"/>
    <xf numFmtId="4" fontId="10" fillId="0" borderId="51" xfId="0" applyNumberFormat="1" applyFont="1" applyFill="1" applyBorder="1"/>
    <xf numFmtId="4" fontId="10" fillId="0" borderId="16" xfId="0" applyNumberFormat="1" applyFont="1" applyFill="1" applyBorder="1"/>
    <xf numFmtId="4" fontId="10" fillId="0" borderId="52" xfId="0" applyNumberFormat="1" applyFont="1" applyFill="1" applyBorder="1"/>
    <xf numFmtId="4" fontId="10" fillId="0" borderId="0" xfId="0" applyNumberFormat="1" applyFont="1" applyFill="1" applyBorder="1"/>
    <xf numFmtId="4" fontId="10" fillId="0" borderId="50" xfId="0" applyNumberFormat="1" applyFont="1" applyFill="1" applyBorder="1"/>
    <xf numFmtId="4" fontId="10" fillId="0" borderId="18" xfId="0" applyNumberFormat="1" applyFont="1" applyFill="1" applyBorder="1"/>
    <xf numFmtId="4" fontId="10" fillId="0" borderId="84" xfId="0" applyNumberFormat="1" applyFont="1" applyFill="1" applyBorder="1"/>
    <xf numFmtId="4" fontId="10" fillId="0" borderId="5" xfId="0" applyNumberFormat="1" applyFont="1" applyFill="1" applyBorder="1"/>
    <xf numFmtId="4" fontId="10" fillId="0" borderId="89" xfId="0" applyNumberFormat="1" applyFont="1" applyFill="1" applyBorder="1"/>
    <xf numFmtId="4" fontId="42" fillId="0" borderId="16" xfId="0" applyNumberFormat="1" applyFont="1" applyFill="1" applyBorder="1"/>
    <xf numFmtId="4" fontId="42" fillId="0" borderId="45" xfId="0" applyNumberFormat="1" applyFont="1" applyFill="1" applyBorder="1"/>
    <xf numFmtId="4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Border="1"/>
    <xf numFmtId="4" fontId="2" fillId="0" borderId="11" xfId="0" applyNumberFormat="1" applyFont="1" applyFill="1" applyBorder="1"/>
    <xf numFmtId="4" fontId="10" fillId="0" borderId="91" xfId="0" applyNumberFormat="1" applyFont="1" applyFill="1" applyBorder="1" applyAlignment="1">
      <alignment horizontal="right"/>
    </xf>
    <xf numFmtId="4" fontId="10" fillId="0" borderId="92" xfId="0" applyNumberFormat="1" applyFont="1" applyFill="1" applyBorder="1"/>
    <xf numFmtId="4" fontId="10" fillId="0" borderId="86" xfId="0" applyNumberFormat="1" applyFont="1" applyFill="1" applyBorder="1"/>
    <xf numFmtId="4" fontId="10" fillId="0" borderId="91" xfId="0" applyNumberFormat="1" applyFont="1" applyFill="1" applyBorder="1"/>
    <xf numFmtId="4" fontId="43" fillId="0" borderId="92" xfId="0" applyNumberFormat="1" applyFont="1" applyFill="1" applyBorder="1"/>
    <xf numFmtId="4" fontId="10" fillId="0" borderId="86" xfId="0" applyNumberFormat="1" applyFont="1" applyFill="1" applyBorder="1" applyAlignment="1"/>
    <xf numFmtId="2" fontId="10" fillId="0" borderId="91" xfId="0" applyNumberFormat="1" applyFont="1" applyFill="1" applyBorder="1"/>
    <xf numFmtId="2" fontId="10" fillId="0" borderId="92" xfId="0" applyNumberFormat="1" applyFont="1" applyFill="1" applyBorder="1"/>
    <xf numFmtId="2" fontId="10" fillId="0" borderId="86" xfId="0" applyNumberFormat="1" applyFont="1" applyFill="1" applyBorder="1"/>
    <xf numFmtId="0" fontId="10" fillId="0" borderId="86" xfId="0" applyFont="1" applyFill="1" applyBorder="1" applyAlignment="1">
      <alignment horizontal="left"/>
    </xf>
    <xf numFmtId="4" fontId="0" fillId="0" borderId="3" xfId="0" applyNumberFormat="1" applyFill="1" applyBorder="1"/>
    <xf numFmtId="4" fontId="10" fillId="0" borderId="93" xfId="0" applyNumberFormat="1" applyFont="1" applyFill="1" applyBorder="1"/>
    <xf numFmtId="4" fontId="10" fillId="0" borderId="44" xfId="0" applyNumberFormat="1" applyFont="1" applyFill="1" applyBorder="1"/>
    <xf numFmtId="4" fontId="10" fillId="0" borderId="56" xfId="0" applyNumberFormat="1" applyFont="1" applyFill="1" applyBorder="1" applyAlignment="1">
      <alignment horizontal="right"/>
    </xf>
    <xf numFmtId="4" fontId="10" fillId="0" borderId="94" xfId="0" applyNumberFormat="1" applyFont="1" applyFill="1" applyBorder="1" applyAlignment="1">
      <alignment horizontal="right"/>
    </xf>
    <xf numFmtId="4" fontId="10" fillId="0" borderId="95" xfId="0" applyNumberFormat="1" applyFont="1" applyFill="1" applyBorder="1"/>
    <xf numFmtId="4" fontId="10" fillId="0" borderId="95" xfId="0" applyNumberFormat="1" applyFont="1" applyFill="1" applyBorder="1" applyAlignment="1">
      <alignment horizontal="left"/>
    </xf>
    <xf numFmtId="4" fontId="10" fillId="0" borderId="95" xfId="0" applyNumberFormat="1" applyFont="1" applyFill="1" applyBorder="1" applyAlignment="1">
      <alignment horizontal="right"/>
    </xf>
    <xf numFmtId="4" fontId="43" fillId="0" borderId="95" xfId="0" applyNumberFormat="1" applyFont="1" applyFill="1" applyBorder="1" applyAlignment="1">
      <alignment horizontal="right"/>
    </xf>
    <xf numFmtId="4" fontId="43" fillId="0" borderId="56" xfId="0" applyNumberFormat="1" applyFont="1" applyFill="1" applyBorder="1" applyAlignment="1">
      <alignment horizontal="right"/>
    </xf>
    <xf numFmtId="4" fontId="10" fillId="0" borderId="56" xfId="0" applyNumberFormat="1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22" fillId="0" borderId="4" xfId="0" applyFont="1" applyFill="1" applyBorder="1"/>
    <xf numFmtId="0" fontId="22" fillId="0" borderId="12" xfId="0" applyFont="1" applyFill="1" applyBorder="1"/>
    <xf numFmtId="4" fontId="10" fillId="0" borderId="17" xfId="0" applyNumberFormat="1" applyFont="1" applyFill="1" applyBorder="1"/>
    <xf numFmtId="4" fontId="10" fillId="0" borderId="19" xfId="0" quotePrefix="1" applyNumberFormat="1" applyFont="1" applyFill="1" applyBorder="1"/>
    <xf numFmtId="4" fontId="10" fillId="0" borderId="19" xfId="0" applyNumberFormat="1" applyFont="1" applyFill="1" applyBorder="1" applyAlignment="1"/>
    <xf numFmtId="4" fontId="10" fillId="0" borderId="12" xfId="0" applyNumberFormat="1" applyFont="1" applyFill="1" applyBorder="1"/>
    <xf numFmtId="0" fontId="10" fillId="0" borderId="17" xfId="0" applyFont="1" applyFill="1" applyBorder="1" applyAlignment="1">
      <alignment horizontal="left"/>
    </xf>
    <xf numFmtId="0" fontId="10" fillId="0" borderId="93" xfId="0" applyFont="1" applyFill="1" applyBorder="1" applyAlignment="1">
      <alignment horizontal="left"/>
    </xf>
    <xf numFmtId="0" fontId="34" fillId="0" borderId="12" xfId="0" applyFont="1" applyFill="1" applyBorder="1"/>
    <xf numFmtId="8" fontId="1" fillId="0" borderId="0" xfId="0" applyNumberFormat="1" applyFont="1" applyFill="1"/>
    <xf numFmtId="0" fontId="1" fillId="0" borderId="40" xfId="0" applyFont="1" applyFill="1" applyBorder="1" applyAlignment="1">
      <alignment shrinkToFit="1"/>
    </xf>
    <xf numFmtId="0" fontId="2" fillId="0" borderId="32" xfId="0" applyFont="1" applyBorder="1"/>
    <xf numFmtId="0" fontId="2" fillId="0" borderId="33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52" xfId="0" applyFont="1" applyBorder="1"/>
    <xf numFmtId="0" fontId="23" fillId="0" borderId="83" xfId="0" applyFont="1" applyBorder="1"/>
    <xf numFmtId="0" fontId="30" fillId="0" borderId="6" xfId="0" applyFont="1" applyBorder="1"/>
    <xf numFmtId="0" fontId="23" fillId="0" borderId="6" xfId="0" applyFont="1" applyBorder="1" applyAlignment="1">
      <alignment horizontal="center"/>
    </xf>
    <xf numFmtId="0" fontId="42" fillId="0" borderId="0" xfId="0" applyFont="1" applyAlignment="1">
      <alignment vertical="top" wrapText="1"/>
    </xf>
    <xf numFmtId="0" fontId="42" fillId="0" borderId="0" xfId="0" applyFont="1" applyAlignment="1">
      <alignment vertical="top" wrapText="1" shrinkToFit="1"/>
    </xf>
    <xf numFmtId="0" fontId="42" fillId="0" borderId="0" xfId="0" applyFont="1" applyAlignment="1">
      <alignment wrapText="1"/>
    </xf>
    <xf numFmtId="0" fontId="2" fillId="0" borderId="34" xfId="0" applyFont="1" applyBorder="1"/>
    <xf numFmtId="0" fontId="23" fillId="0" borderId="35" xfId="0" applyFont="1" applyBorder="1"/>
    <xf numFmtId="0" fontId="30" fillId="0" borderId="11" xfId="0" applyFont="1" applyBorder="1"/>
    <xf numFmtId="0" fontId="30" fillId="0" borderId="12" xfId="0" applyFont="1" applyBorder="1"/>
    <xf numFmtId="0" fontId="1" fillId="0" borderId="12" xfId="0" applyFont="1" applyBorder="1"/>
    <xf numFmtId="0" fontId="10" fillId="0" borderId="97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63" xfId="0" applyFont="1" applyBorder="1" applyAlignment="1">
      <alignment horizontal="left" vertical="center"/>
    </xf>
    <xf numFmtId="0" fontId="10" fillId="0" borderId="62" xfId="0" applyFont="1" applyBorder="1" applyAlignment="1">
      <alignment horizontal="center"/>
    </xf>
    <xf numFmtId="0" fontId="1" fillId="0" borderId="106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4" fontId="10" fillId="0" borderId="5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9" xfId="0" applyFont="1" applyFill="1" applyBorder="1"/>
    <xf numFmtId="4" fontId="10" fillId="0" borderId="107" xfId="0" applyNumberFormat="1" applyFont="1" applyFill="1" applyBorder="1"/>
    <xf numFmtId="0" fontId="10" fillId="0" borderId="46" xfId="0" applyFont="1" applyFill="1" applyBorder="1" applyAlignment="1">
      <alignment horizontal="right"/>
    </xf>
    <xf numFmtId="0" fontId="1" fillId="0" borderId="110" xfId="0" applyNumberFormat="1" applyFont="1" applyFill="1" applyBorder="1"/>
    <xf numFmtId="0" fontId="1" fillId="0" borderId="111" xfId="0" applyFont="1" applyFill="1" applyBorder="1"/>
    <xf numFmtId="4" fontId="10" fillId="0" borderId="112" xfId="0" applyNumberFormat="1" applyFont="1" applyFill="1" applyBorder="1"/>
    <xf numFmtId="4" fontId="10" fillId="0" borderId="113" xfId="0" applyNumberFormat="1" applyFont="1" applyFill="1" applyBorder="1"/>
    <xf numFmtId="4" fontId="10" fillId="0" borderId="111" xfId="0" applyNumberFormat="1" applyFont="1" applyFill="1" applyBorder="1"/>
    <xf numFmtId="4" fontId="10" fillId="0" borderId="114" xfId="0" applyNumberFormat="1" applyFont="1" applyFill="1" applyBorder="1" applyAlignment="1">
      <alignment horizontal="right"/>
    </xf>
    <xf numFmtId="4" fontId="10" fillId="0" borderId="76" xfId="0" applyNumberFormat="1" applyFont="1" applyFill="1" applyBorder="1"/>
    <xf numFmtId="4" fontId="10" fillId="0" borderId="115" xfId="0" applyNumberFormat="1" applyFont="1" applyFill="1" applyBorder="1"/>
    <xf numFmtId="4" fontId="10" fillId="0" borderId="116" xfId="0" applyNumberFormat="1" applyFont="1" applyFill="1" applyBorder="1"/>
    <xf numFmtId="4" fontId="10" fillId="0" borderId="108" xfId="0" applyNumberFormat="1" applyFont="1" applyFill="1" applyBorder="1"/>
    <xf numFmtId="4" fontId="10" fillId="0" borderId="52" xfId="0" applyNumberFormat="1" applyFont="1" applyFill="1" applyBorder="1" applyAlignment="1">
      <alignment horizontal="right"/>
    </xf>
    <xf numFmtId="4" fontId="1" fillId="0" borderId="76" xfId="0" applyNumberFormat="1" applyFont="1" applyFill="1" applyBorder="1"/>
    <xf numFmtId="0" fontId="1" fillId="0" borderId="76" xfId="0" applyFont="1" applyFill="1" applyBorder="1"/>
    <xf numFmtId="0" fontId="1" fillId="0" borderId="117" xfId="0" applyFont="1" applyFill="1" applyBorder="1"/>
    <xf numFmtId="2" fontId="10" fillId="0" borderId="115" xfId="0" applyNumberFormat="1" applyFont="1" applyFill="1" applyBorder="1"/>
    <xf numFmtId="0" fontId="0" fillId="0" borderId="76" xfId="0" applyFill="1" applyBorder="1"/>
    <xf numFmtId="4" fontId="0" fillId="0" borderId="76" xfId="0" applyNumberFormat="1" applyFill="1" applyBorder="1"/>
    <xf numFmtId="4" fontId="0" fillId="0" borderId="7" xfId="0" applyNumberFormat="1" applyFill="1" applyBorder="1"/>
    <xf numFmtId="0" fontId="0" fillId="0" borderId="6" xfId="0" applyFill="1" applyBorder="1"/>
    <xf numFmtId="0" fontId="23" fillId="0" borderId="7" xfId="0" applyFont="1" applyBorder="1" applyAlignment="1">
      <alignment horizontal="center"/>
    </xf>
    <xf numFmtId="0" fontId="1" fillId="0" borderId="10" xfId="0" applyFont="1" applyBorder="1"/>
    <xf numFmtId="4" fontId="10" fillId="0" borderId="7" xfId="0" applyNumberFormat="1" applyFont="1" applyFill="1" applyBorder="1"/>
    <xf numFmtId="4" fontId="10" fillId="0" borderId="96" xfId="0" applyNumberFormat="1" applyFont="1" applyFill="1" applyBorder="1"/>
    <xf numFmtId="4" fontId="10" fillId="0" borderId="107" xfId="0" applyNumberFormat="1" applyFont="1" applyFill="1" applyBorder="1" applyAlignment="1"/>
    <xf numFmtId="0" fontId="10" fillId="0" borderId="96" xfId="0" applyFont="1" applyFill="1" applyBorder="1" applyAlignment="1">
      <alignment horizontal="left"/>
    </xf>
    <xf numFmtId="4" fontId="10" fillId="0" borderId="10" xfId="0" applyNumberFormat="1" applyFont="1" applyFill="1" applyBorder="1"/>
    <xf numFmtId="0" fontId="2" fillId="0" borderId="4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1" fillId="0" borderId="22" xfId="0" applyFont="1" applyBorder="1"/>
    <xf numFmtId="4" fontId="10" fillId="0" borderId="90" xfId="0" applyNumberFormat="1" applyFont="1" applyFill="1" applyBorder="1"/>
    <xf numFmtId="4" fontId="10" fillId="0" borderId="90" xfId="0" applyNumberFormat="1" applyFont="1" applyFill="1" applyBorder="1" applyAlignment="1"/>
    <xf numFmtId="4" fontId="10" fillId="0" borderId="22" xfId="0" applyNumberFormat="1" applyFont="1" applyFill="1" applyBorder="1"/>
    <xf numFmtId="2" fontId="0" fillId="0" borderId="55" xfId="0" applyNumberFormat="1" applyFill="1" applyBorder="1"/>
    <xf numFmtId="4" fontId="42" fillId="0" borderId="95" xfId="0" applyNumberFormat="1" applyFont="1" applyFill="1" applyBorder="1"/>
    <xf numFmtId="4" fontId="42" fillId="0" borderId="9" xfId="0" applyNumberFormat="1" applyFont="1" applyFill="1" applyBorder="1"/>
    <xf numFmtId="2" fontId="10" fillId="0" borderId="41" xfId="0" applyNumberFormat="1" applyFont="1" applyFill="1" applyBorder="1"/>
    <xf numFmtId="2" fontId="10" fillId="0" borderId="44" xfId="0" applyNumberFormat="1" applyFont="1" applyFill="1" applyBorder="1"/>
    <xf numFmtId="0" fontId="0" fillId="0" borderId="2" xfId="0" applyFill="1" applyBorder="1"/>
    <xf numFmtId="2" fontId="0" fillId="0" borderId="4" xfId="0" applyNumberFormat="1" applyFill="1" applyBorder="1"/>
    <xf numFmtId="0" fontId="2" fillId="0" borderId="10" xfId="0" applyFont="1" applyFill="1" applyBorder="1" applyAlignment="1">
      <alignment horizontal="right"/>
    </xf>
    <xf numFmtId="4" fontId="42" fillId="0" borderId="12" xfId="0" applyNumberFormat="1" applyFont="1" applyFill="1" applyBorder="1"/>
    <xf numFmtId="0" fontId="1" fillId="0" borderId="0" xfId="0" applyFont="1" applyFill="1" applyProtection="1">
      <protection locked="0"/>
    </xf>
    <xf numFmtId="3" fontId="10" fillId="0" borderId="50" xfId="0" applyNumberFormat="1" applyFont="1" applyFill="1" applyBorder="1" applyAlignment="1">
      <alignment horizontal="right"/>
    </xf>
    <xf numFmtId="4" fontId="10" fillId="0" borderId="18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2" fillId="0" borderId="2" xfId="0" applyFont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center" shrinkToFit="1"/>
    </xf>
    <xf numFmtId="0" fontId="42" fillId="0" borderId="98" xfId="0" applyFont="1" applyBorder="1" applyAlignment="1">
      <alignment horizontal="center" vertical="center" shrinkToFit="1"/>
    </xf>
    <xf numFmtId="0" fontId="10" fillId="0" borderId="9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42" fillId="0" borderId="50" xfId="0" applyFont="1" applyBorder="1" applyAlignment="1">
      <alignment horizontal="left" vertical="top" wrapText="1"/>
    </xf>
    <xf numFmtId="0" fontId="42" fillId="0" borderId="101" xfId="0" applyFont="1" applyBorder="1" applyAlignment="1">
      <alignment horizontal="left" vertical="top" wrapText="1"/>
    </xf>
    <xf numFmtId="0" fontId="10" fillId="0" borderId="90" xfId="0" applyFont="1" applyBorder="1" applyAlignment="1">
      <alignment horizontal="left" vertical="top" wrapText="1" shrinkToFit="1"/>
    </xf>
    <xf numFmtId="0" fontId="10" fillId="0" borderId="102" xfId="0" applyFont="1" applyBorder="1" applyAlignment="1">
      <alignment horizontal="left" vertical="top" wrapText="1" shrinkToFit="1"/>
    </xf>
    <xf numFmtId="0" fontId="10" fillId="0" borderId="103" xfId="0" applyFont="1" applyBorder="1" applyAlignment="1">
      <alignment horizontal="center" vertical="center" wrapText="1"/>
    </xf>
    <xf numFmtId="0" fontId="10" fillId="0" borderId="104" xfId="0" applyFont="1" applyBorder="1" applyAlignment="1">
      <alignment horizontal="center" vertical="center" wrapText="1"/>
    </xf>
    <xf numFmtId="0" fontId="10" fillId="0" borderId="105" xfId="0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/>
    </xf>
    <xf numFmtId="0" fontId="10" fillId="2" borderId="46" xfId="0" applyFont="1" applyFill="1" applyBorder="1" applyAlignment="1">
      <alignment horizontal="left" vertical="top" wrapText="1"/>
    </xf>
    <xf numFmtId="0" fontId="10" fillId="2" borderId="99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48" xfId="0" applyFont="1" applyFill="1" applyBorder="1" applyAlignment="1">
      <alignment vertical="center" shrinkToFit="1"/>
    </xf>
    <xf numFmtId="0" fontId="1" fillId="0" borderId="49" xfId="0" applyFont="1" applyBorder="1" applyAlignment="1">
      <alignment vertical="center" shrinkToFit="1"/>
    </xf>
    <xf numFmtId="0" fontId="1" fillId="0" borderId="53" xfId="0" applyFont="1" applyFill="1" applyBorder="1" applyAlignment="1">
      <alignment vertical="center"/>
    </xf>
    <xf numFmtId="0" fontId="1" fillId="0" borderId="50" xfId="0" applyFont="1" applyFill="1" applyBorder="1" applyAlignment="1">
      <alignment horizontal="right" vertical="center"/>
    </xf>
    <xf numFmtId="0" fontId="1" fillId="0" borderId="108" xfId="0" applyFont="1" applyFill="1" applyBorder="1" applyAlignment="1">
      <alignment horizontal="right" vertical="center"/>
    </xf>
    <xf numFmtId="0" fontId="1" fillId="0" borderId="48" xfId="0" applyNumberFormat="1" applyFont="1" applyFill="1" applyBorder="1" applyAlignment="1">
      <alignment horizontal="left" vertical="center"/>
    </xf>
    <xf numFmtId="0" fontId="1" fillId="0" borderId="109" xfId="0" applyFont="1" applyFill="1" applyBorder="1" applyAlignment="1">
      <alignment horizontal="left" vertical="center"/>
    </xf>
    <xf numFmtId="0" fontId="1" fillId="0" borderId="52" xfId="0" applyFont="1" applyFill="1" applyBorder="1" applyAlignment="1">
      <alignment vertical="center"/>
    </xf>
    <xf numFmtId="0" fontId="1" fillId="0" borderId="108" xfId="0" applyFont="1" applyBorder="1" applyAlignment="1">
      <alignment vertical="center"/>
    </xf>
    <xf numFmtId="0" fontId="1" fillId="0" borderId="109" xfId="0" applyFont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1" fillId="0" borderId="0" xfId="0" applyFont="1" applyFill="1" applyAlignment="1" applyProtection="1">
      <protection hidden="1"/>
    </xf>
    <xf numFmtId="0" fontId="11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16" fillId="0" borderId="0" xfId="0" applyFont="1" applyFill="1" applyAlignment="1" applyProtection="1">
      <alignment horizontal="left" shrinkToFit="1"/>
      <protection hidden="1"/>
    </xf>
    <xf numFmtId="0" fontId="3" fillId="0" borderId="0" xfId="0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13" xfId="0" applyFont="1" applyBorder="1" applyAlignment="1" applyProtection="1">
      <alignment vertical="justify"/>
      <protection hidden="1"/>
    </xf>
    <xf numFmtId="0" fontId="1" fillId="0" borderId="56" xfId="0" applyFont="1" applyBorder="1" applyAlignment="1" applyProtection="1">
      <alignment vertical="justify"/>
      <protection hidden="1"/>
    </xf>
    <xf numFmtId="0" fontId="1" fillId="0" borderId="0" xfId="0" applyFont="1" applyFill="1" applyAlignment="1">
      <alignment horizontal="center" vertical="top" wrapText="1" shrinkToFit="1"/>
    </xf>
    <xf numFmtId="0" fontId="1" fillId="0" borderId="0" xfId="0" applyFont="1" applyFill="1" applyBorder="1" applyAlignment="1" applyProtection="1">
      <alignment vertical="top"/>
      <protection hidden="1"/>
    </xf>
    <xf numFmtId="0" fontId="30" fillId="0" borderId="0" xfId="1" applyFont="1" applyFill="1" applyBorder="1" applyAlignment="1" applyProtection="1">
      <alignment horizontal="left"/>
      <protection hidden="1"/>
    </xf>
    <xf numFmtId="0" fontId="30" fillId="0" borderId="0" xfId="1" applyFont="1" applyFill="1" applyBorder="1" applyAlignment="1" applyProtection="1">
      <alignment horizontal="left"/>
    </xf>
    <xf numFmtId="0" fontId="39" fillId="0" borderId="0" xfId="1" applyFont="1" applyFill="1" applyBorder="1" applyAlignment="1" applyProtection="1">
      <alignment horizontal="left" shrinkToFit="1"/>
      <protection hidden="1"/>
    </xf>
    <xf numFmtId="0" fontId="3" fillId="0" borderId="0" xfId="0" applyFont="1" applyFill="1" applyAlignment="1" applyProtection="1">
      <alignment horizontal="left" vertical="center" shrinkToFit="1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0" fillId="0" borderId="0" xfId="0" applyAlignment="1">
      <alignment vertical="top" wrapText="1"/>
    </xf>
    <xf numFmtId="0" fontId="11" fillId="0" borderId="0" xfId="0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Alignment="1" applyProtection="1">
      <alignment vertical="top" wrapText="1"/>
      <protection hidden="1"/>
    </xf>
    <xf numFmtId="0" fontId="1" fillId="0" borderId="0" xfId="0" applyFont="1" applyAlignment="1" applyProtection="1">
      <alignment vertical="top"/>
      <protection hidden="1"/>
    </xf>
    <xf numFmtId="0" fontId="1" fillId="0" borderId="0" xfId="0" applyFont="1" applyFill="1" applyAlignment="1">
      <alignment horizontal="left" vertical="top" wrapText="1" shrinkToFit="1"/>
    </xf>
    <xf numFmtId="0" fontId="1" fillId="0" borderId="0" xfId="0" applyFont="1" applyFill="1" applyAlignment="1">
      <alignment horizontal="justify" vertical="top" wrapText="1" shrinkToFit="1"/>
    </xf>
    <xf numFmtId="0" fontId="1" fillId="0" borderId="0" xfId="0" applyFont="1" applyAlignment="1">
      <alignment horizontal="left" vertical="top" wrapText="1" shrinkToFit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Border="1" applyAlignment="1" applyProtection="1">
      <alignment horizontal="left" vertical="top"/>
      <protection hidden="1"/>
    </xf>
    <xf numFmtId="0" fontId="1" fillId="0" borderId="44" xfId="1" applyFont="1" applyBorder="1" applyAlignment="1" applyProtection="1">
      <alignment vertical="justify"/>
      <protection hidden="1"/>
    </xf>
    <xf numFmtId="0" fontId="10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left" vertical="center" shrinkToFit="1"/>
      <protection hidden="1"/>
    </xf>
    <xf numFmtId="0" fontId="1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>
      <alignment horizontal="right"/>
    </xf>
    <xf numFmtId="0" fontId="1" fillId="0" borderId="0" xfId="1" applyFont="1" applyFill="1" applyAlignment="1">
      <alignment horizontal="left" vertical="top" wrapText="1" shrinkToFit="1"/>
    </xf>
    <xf numFmtId="0" fontId="1" fillId="0" borderId="0" xfId="1" applyFont="1" applyFill="1" applyBorder="1" applyAlignment="1" applyProtection="1">
      <alignment vertical="top"/>
      <protection hidden="1"/>
    </xf>
    <xf numFmtId="0" fontId="10" fillId="0" borderId="0" xfId="1" applyFont="1" applyFill="1" applyAlignment="1" applyProtection="1">
      <alignment horizontal="left" shrinkToFit="1"/>
      <protection hidden="1"/>
    </xf>
    <xf numFmtId="0" fontId="1" fillId="0" borderId="0" xfId="0" applyFont="1" applyAlignment="1">
      <alignment horizontal="justify" vertical="top" wrapText="1" shrinkToFit="1"/>
    </xf>
    <xf numFmtId="0" fontId="1" fillId="0" borderId="8" xfId="0" applyFont="1" applyBorder="1" applyAlignment="1" applyProtection="1">
      <alignment vertical="justify"/>
      <protection hidden="1"/>
    </xf>
    <xf numFmtId="0" fontId="1" fillId="0" borderId="76" xfId="0" applyFont="1" applyFill="1" applyBorder="1" applyAlignment="1" applyProtection="1">
      <alignment horizontal="right"/>
      <protection hidden="1"/>
    </xf>
    <xf numFmtId="0" fontId="11" fillId="0" borderId="0" xfId="1" applyFont="1" applyFill="1" applyAlignment="1" applyProtection="1">
      <protection hidden="1"/>
    </xf>
    <xf numFmtId="0" fontId="11" fillId="0" borderId="0" xfId="1" applyFont="1" applyFill="1" applyAlignment="1" applyProtection="1">
      <alignment horizontal="left"/>
      <protection hidden="1"/>
    </xf>
    <xf numFmtId="0" fontId="11" fillId="0" borderId="0" xfId="1" applyFont="1" applyFill="1" applyAlignment="1" applyProtection="1">
      <alignment horizontal="left" shrinkToFit="1"/>
      <protection hidden="1"/>
    </xf>
    <xf numFmtId="0" fontId="1" fillId="0" borderId="0" xfId="1" applyFont="1" applyFill="1" applyAlignment="1" applyProtection="1">
      <alignment horizontal="left" vertical="center" shrinkToFit="1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12" fillId="0" borderId="0" xfId="0" applyFont="1" applyFill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horizontal="right"/>
      <protection hidden="1"/>
    </xf>
    <xf numFmtId="0" fontId="12" fillId="0" borderId="0" xfId="0" applyFont="1" applyFill="1" applyBorder="1" applyAlignment="1" applyProtection="1">
      <alignment wrapText="1" shrinkToFit="1"/>
      <protection locked="0"/>
    </xf>
    <xf numFmtId="0" fontId="0" fillId="0" borderId="0" xfId="0" applyFill="1" applyAlignment="1">
      <alignment wrapText="1" shrinkToFit="1"/>
    </xf>
    <xf numFmtId="0" fontId="3" fillId="0" borderId="0" xfId="0" applyFont="1" applyFill="1" applyAlignment="1" applyProtection="1">
      <alignment horizontal="right"/>
      <protection hidden="1"/>
    </xf>
    <xf numFmtId="0" fontId="3" fillId="0" borderId="0" xfId="0" applyFont="1" applyFill="1" applyAlignment="1">
      <alignment horizontal="right"/>
    </xf>
    <xf numFmtId="0" fontId="1" fillId="0" borderId="44" xfId="0" applyFont="1" applyBorder="1" applyAlignment="1" applyProtection="1">
      <alignment vertical="justify"/>
      <protection hidden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3" tint="-0.249977111117893"/>
  </sheetPr>
  <dimension ref="A1:R118"/>
  <sheetViews>
    <sheetView tabSelected="1" zoomScaleNormal="100" workbookViewId="0">
      <selection activeCell="B3" sqref="B3"/>
    </sheetView>
  </sheetViews>
  <sheetFormatPr defaultRowHeight="12.75" x14ac:dyDescent="0.2"/>
  <cols>
    <col min="1" max="1" width="5.85546875" style="14" customWidth="1"/>
    <col min="2" max="2" width="40.140625" style="14" customWidth="1"/>
    <col min="3" max="3" width="17" style="14" customWidth="1"/>
    <col min="4" max="4" width="15.140625" style="14" customWidth="1"/>
    <col min="5" max="6" width="13" style="14" customWidth="1"/>
    <col min="7" max="7" width="10.140625" style="14" customWidth="1"/>
    <col min="8" max="13" width="10.7109375" style="14" customWidth="1"/>
    <col min="14" max="14" width="11.85546875" style="14" customWidth="1"/>
    <col min="15" max="15" width="12.5703125" style="14" customWidth="1"/>
    <col min="16" max="16" width="11.28515625" style="14" customWidth="1"/>
    <col min="17" max="17" width="9.140625" style="14"/>
    <col min="18" max="18" width="11.7109375" style="14" bestFit="1" customWidth="1"/>
    <col min="19" max="16384" width="9.140625" style="14"/>
  </cols>
  <sheetData>
    <row r="1" spans="1:18" s="5" customFormat="1" ht="20.25" x14ac:dyDescent="0.3">
      <c r="A1" s="130" t="s">
        <v>35</v>
      </c>
      <c r="B1" s="4"/>
      <c r="C1" s="90"/>
      <c r="D1" s="90"/>
      <c r="E1" s="14"/>
      <c r="F1" s="14"/>
      <c r="G1" s="14"/>
      <c r="H1" s="14"/>
      <c r="I1" s="91"/>
      <c r="M1" s="91" t="s">
        <v>36</v>
      </c>
    </row>
    <row r="2" spans="1:18" s="5" customFormat="1" ht="15" x14ac:dyDescent="0.2">
      <c r="A2" s="92" t="s">
        <v>210</v>
      </c>
      <c r="B2" s="4"/>
      <c r="C2" s="90"/>
      <c r="D2" s="93"/>
      <c r="E2" s="14"/>
      <c r="F2" s="14"/>
      <c r="G2" s="14"/>
      <c r="H2" s="14"/>
      <c r="I2" s="14"/>
    </row>
    <row r="3" spans="1:18" s="5" customFormat="1" ht="15" x14ac:dyDescent="0.2">
      <c r="A3" s="92" t="s">
        <v>125</v>
      </c>
      <c r="B3" s="4"/>
      <c r="C3" s="90"/>
      <c r="D3" s="93"/>
      <c r="E3" s="14"/>
      <c r="F3" s="14"/>
      <c r="G3" s="14"/>
      <c r="H3" s="14"/>
      <c r="I3" s="14"/>
    </row>
    <row r="4" spans="1:18" s="5" customFormat="1" ht="22.5" customHeight="1" x14ac:dyDescent="0.2">
      <c r="A4" s="14"/>
      <c r="B4" s="4"/>
      <c r="C4" s="90"/>
      <c r="D4" s="90"/>
      <c r="E4" s="14"/>
      <c r="F4" s="14"/>
      <c r="G4" s="14"/>
      <c r="H4" s="14"/>
      <c r="I4" s="14"/>
    </row>
    <row r="5" spans="1:18" s="5" customFormat="1" ht="15.75" x14ac:dyDescent="0.25">
      <c r="A5" s="131" t="s">
        <v>304</v>
      </c>
      <c r="B5" s="4"/>
      <c r="C5" s="90"/>
      <c r="D5" s="90"/>
      <c r="E5" s="14"/>
      <c r="F5" s="14"/>
      <c r="G5" s="14"/>
      <c r="H5" s="14"/>
      <c r="I5" s="14"/>
    </row>
    <row r="6" spans="1:18" s="5" customFormat="1" ht="20.100000000000001" customHeight="1" thickBot="1" x14ac:dyDescent="0.25">
      <c r="A6" s="14"/>
      <c r="B6" s="4"/>
      <c r="C6" s="90"/>
      <c r="D6" s="90"/>
      <c r="E6" s="14"/>
      <c r="F6" s="14"/>
      <c r="G6" s="14"/>
      <c r="H6" s="14"/>
      <c r="I6" s="94"/>
      <c r="M6" s="101" t="s">
        <v>105</v>
      </c>
    </row>
    <row r="7" spans="1:18" s="5" customFormat="1" ht="16.5" customHeight="1" thickTop="1" x14ac:dyDescent="0.2">
      <c r="A7" s="434" t="s">
        <v>37</v>
      </c>
      <c r="B7" s="435" t="s">
        <v>38</v>
      </c>
      <c r="C7" s="436" t="s">
        <v>39</v>
      </c>
      <c r="D7" s="438"/>
      <c r="E7" s="458" t="s">
        <v>3</v>
      </c>
      <c r="F7" s="489" t="s">
        <v>4</v>
      </c>
      <c r="G7" s="459" t="s">
        <v>40</v>
      </c>
      <c r="H7" s="507" t="s">
        <v>294</v>
      </c>
      <c r="I7" s="508"/>
      <c r="J7" s="508"/>
      <c r="K7" s="509"/>
      <c r="L7" s="510" t="s">
        <v>295</v>
      </c>
      <c r="M7" s="511"/>
      <c r="N7" s="512"/>
    </row>
    <row r="8" spans="1:18" s="5" customFormat="1" ht="15" customHeight="1" x14ac:dyDescent="0.25">
      <c r="A8" s="439"/>
      <c r="B8" s="440"/>
      <c r="C8" s="437"/>
      <c r="D8" s="441"/>
      <c r="E8" s="482"/>
      <c r="F8" s="490"/>
      <c r="G8" s="442"/>
      <c r="H8" s="443"/>
      <c r="I8" s="444"/>
      <c r="J8" s="445"/>
      <c r="K8" s="445"/>
      <c r="L8" s="513" t="s">
        <v>296</v>
      </c>
      <c r="M8" s="514"/>
      <c r="N8" s="515"/>
    </row>
    <row r="9" spans="1:18" s="5" customFormat="1" ht="33.75" customHeight="1" x14ac:dyDescent="0.25">
      <c r="A9" s="439"/>
      <c r="B9" s="440"/>
      <c r="C9" s="437"/>
      <c r="D9" s="441"/>
      <c r="E9" s="482"/>
      <c r="F9" s="490"/>
      <c r="G9" s="442"/>
      <c r="H9" s="516" t="s">
        <v>297</v>
      </c>
      <c r="I9" s="518" t="s">
        <v>298</v>
      </c>
      <c r="J9" s="520" t="s">
        <v>299</v>
      </c>
      <c r="K9" s="521"/>
      <c r="L9" s="522" t="s">
        <v>300</v>
      </c>
      <c r="M9" s="523"/>
      <c r="N9" s="524" t="s">
        <v>301</v>
      </c>
    </row>
    <row r="10" spans="1:18" s="5" customFormat="1" ht="15" customHeight="1" thickBot="1" x14ac:dyDescent="0.3">
      <c r="A10" s="446"/>
      <c r="B10" s="447"/>
      <c r="C10" s="448"/>
      <c r="D10" s="449"/>
      <c r="E10" s="483"/>
      <c r="F10" s="491"/>
      <c r="G10" s="450"/>
      <c r="H10" s="517"/>
      <c r="I10" s="519"/>
      <c r="J10" s="451" t="s">
        <v>41</v>
      </c>
      <c r="K10" s="452" t="s">
        <v>42</v>
      </c>
      <c r="L10" s="453" t="s">
        <v>340</v>
      </c>
      <c r="M10" s="454" t="s">
        <v>7</v>
      </c>
      <c r="N10" s="525"/>
    </row>
    <row r="11" spans="1:18" s="5" customFormat="1" ht="12.75" customHeight="1" thickTop="1" x14ac:dyDescent="0.2">
      <c r="A11" s="537">
        <v>1000</v>
      </c>
      <c r="B11" s="532" t="s">
        <v>212</v>
      </c>
      <c r="C11" s="330" t="s">
        <v>43</v>
      </c>
      <c r="D11" s="433" t="s">
        <v>44</v>
      </c>
      <c r="E11" s="484">
        <f>'1000'!G15</f>
        <v>8945641.4000000004</v>
      </c>
      <c r="F11" s="413">
        <f>'1000'!G17</f>
        <v>8969554.1500000004</v>
      </c>
      <c r="G11" s="354">
        <v>0</v>
      </c>
      <c r="H11" s="414">
        <f>F11-E11-G11</f>
        <v>23912.75</v>
      </c>
      <c r="I11" s="398">
        <v>0</v>
      </c>
      <c r="J11" s="413">
        <f>H11-I11</f>
        <v>23912.75</v>
      </c>
      <c r="K11" s="356">
        <v>0</v>
      </c>
      <c r="L11" s="389">
        <f>'1000'!G29</f>
        <v>8000</v>
      </c>
      <c r="M11" s="390">
        <f>'1000'!G30</f>
        <v>15912.75</v>
      </c>
      <c r="N11" s="356"/>
      <c r="O11" s="102"/>
      <c r="R11" s="102"/>
    </row>
    <row r="12" spans="1:18" s="5" customFormat="1" ht="12" customHeight="1" x14ac:dyDescent="0.2">
      <c r="A12" s="540"/>
      <c r="B12" s="527"/>
      <c r="C12" s="330"/>
      <c r="D12" s="331"/>
      <c r="E12" s="485"/>
      <c r="F12" s="413"/>
      <c r="G12" s="425"/>
      <c r="H12" s="414"/>
      <c r="I12" s="398"/>
      <c r="J12" s="412"/>
      <c r="K12" s="355"/>
      <c r="L12" s="387"/>
      <c r="M12" s="388"/>
      <c r="N12" s="355"/>
      <c r="R12" s="102"/>
    </row>
    <row r="13" spans="1:18" s="5" customFormat="1" ht="12" customHeight="1" x14ac:dyDescent="0.2">
      <c r="A13" s="528">
        <v>1001</v>
      </c>
      <c r="B13" s="526" t="s">
        <v>213</v>
      </c>
      <c r="C13" s="332" t="s">
        <v>45</v>
      </c>
      <c r="D13" s="333" t="s">
        <v>46</v>
      </c>
      <c r="E13" s="484">
        <f>'1001'!G15</f>
        <v>3256291.7</v>
      </c>
      <c r="F13" s="492">
        <f>'1001'!G17</f>
        <v>3256922.51</v>
      </c>
      <c r="G13" s="354">
        <v>0</v>
      </c>
      <c r="H13" s="415">
        <f>F13-E13-G13</f>
        <v>630.80999999959022</v>
      </c>
      <c r="I13" s="401">
        <v>0</v>
      </c>
      <c r="J13" s="413">
        <f>H13-I13</f>
        <v>630.80999999959022</v>
      </c>
      <c r="K13" s="356">
        <v>0</v>
      </c>
      <c r="L13" s="389">
        <f>'1001'!G29</f>
        <v>0</v>
      </c>
      <c r="M13" s="390">
        <f>'1001'!G30</f>
        <v>630.80999999999995</v>
      </c>
      <c r="N13" s="356"/>
      <c r="O13" s="102"/>
      <c r="R13" s="102"/>
    </row>
    <row r="14" spans="1:18" s="5" customFormat="1" ht="12" customHeight="1" x14ac:dyDescent="0.2">
      <c r="A14" s="529"/>
      <c r="B14" s="527"/>
      <c r="C14" s="334"/>
      <c r="D14" s="331"/>
      <c r="E14" s="485"/>
      <c r="F14" s="412"/>
      <c r="G14" s="425"/>
      <c r="H14" s="416"/>
      <c r="I14" s="402"/>
      <c r="J14" s="412"/>
      <c r="K14" s="355"/>
      <c r="L14" s="387"/>
      <c r="M14" s="388"/>
      <c r="N14" s="355"/>
      <c r="R14" s="102"/>
    </row>
    <row r="15" spans="1:18" s="5" customFormat="1" ht="12" customHeight="1" x14ac:dyDescent="0.2">
      <c r="A15" s="528">
        <v>1010</v>
      </c>
      <c r="B15" s="526" t="s">
        <v>214</v>
      </c>
      <c r="C15" s="335" t="s">
        <v>48</v>
      </c>
      <c r="D15" s="333" t="s">
        <v>49</v>
      </c>
      <c r="E15" s="484">
        <f>'1010'!G15</f>
        <v>6739208.7599999998</v>
      </c>
      <c r="F15" s="413">
        <f>'1010'!G17</f>
        <v>6739305.8899999997</v>
      </c>
      <c r="G15" s="354">
        <v>0</v>
      </c>
      <c r="H15" s="414">
        <f>F15-E15-G15</f>
        <v>97.129999999888241</v>
      </c>
      <c r="I15" s="403">
        <v>0</v>
      </c>
      <c r="J15" s="413">
        <f>H15-I15</f>
        <v>97.129999999888241</v>
      </c>
      <c r="K15" s="356">
        <v>0</v>
      </c>
      <c r="L15" s="389">
        <f>'1010'!G29</f>
        <v>0</v>
      </c>
      <c r="M15" s="390">
        <f>'1010'!G30</f>
        <v>97.13</v>
      </c>
      <c r="N15" s="356"/>
      <c r="O15" s="102"/>
      <c r="R15" s="102"/>
    </row>
    <row r="16" spans="1:18" s="5" customFormat="1" ht="12" customHeight="1" x14ac:dyDescent="0.2">
      <c r="A16" s="529"/>
      <c r="B16" s="527"/>
      <c r="C16" s="336"/>
      <c r="D16" s="333"/>
      <c r="E16" s="485"/>
      <c r="F16" s="412"/>
      <c r="G16" s="425"/>
      <c r="H16" s="417"/>
      <c r="I16" s="403"/>
      <c r="J16" s="412"/>
      <c r="K16" s="355"/>
      <c r="L16" s="387"/>
      <c r="M16" s="388"/>
      <c r="N16" s="355"/>
      <c r="R16" s="102"/>
    </row>
    <row r="17" spans="1:18" s="5" customFormat="1" ht="12" customHeight="1" x14ac:dyDescent="0.2">
      <c r="A17" s="528">
        <v>1012</v>
      </c>
      <c r="B17" s="526" t="s">
        <v>33</v>
      </c>
      <c r="C17" s="337" t="s">
        <v>126</v>
      </c>
      <c r="D17" s="338" t="s">
        <v>56</v>
      </c>
      <c r="E17" s="484">
        <f>'1012'!G15</f>
        <v>32698666.370000001</v>
      </c>
      <c r="F17" s="413">
        <f>'1012'!G17</f>
        <v>32772903.879999999</v>
      </c>
      <c r="G17" s="354">
        <v>0</v>
      </c>
      <c r="H17" s="414">
        <f>F17-E17-G17</f>
        <v>74237.509999997914</v>
      </c>
      <c r="I17" s="404">
        <v>0</v>
      </c>
      <c r="J17" s="413">
        <f t="shared" ref="J17" si="0">H17-I17</f>
        <v>74237.509999997914</v>
      </c>
      <c r="K17" s="356">
        <v>0</v>
      </c>
      <c r="L17" s="389">
        <f>'1012'!G29</f>
        <v>15000</v>
      </c>
      <c r="M17" s="390">
        <f>'1012'!G30</f>
        <v>59237.51</v>
      </c>
      <c r="N17" s="356"/>
      <c r="O17" s="102"/>
      <c r="R17" s="102"/>
    </row>
    <row r="18" spans="1:18" s="5" customFormat="1" ht="12" customHeight="1" x14ac:dyDescent="0.2">
      <c r="A18" s="529"/>
      <c r="B18" s="527"/>
      <c r="C18" s="334"/>
      <c r="D18" s="95"/>
      <c r="E18" s="485"/>
      <c r="F18" s="412"/>
      <c r="G18" s="425"/>
      <c r="H18" s="418"/>
      <c r="I18" s="402"/>
      <c r="J18" s="412"/>
      <c r="K18" s="355"/>
      <c r="L18" s="387"/>
      <c r="M18" s="388"/>
      <c r="N18" s="355"/>
      <c r="R18" s="102"/>
    </row>
    <row r="19" spans="1:18" s="5" customFormat="1" ht="12" customHeight="1" x14ac:dyDescent="0.2">
      <c r="A19" s="528">
        <v>1013</v>
      </c>
      <c r="B19" s="530" t="s">
        <v>267</v>
      </c>
      <c r="C19" s="339" t="s">
        <v>268</v>
      </c>
      <c r="D19" s="333" t="s">
        <v>65</v>
      </c>
      <c r="E19" s="484">
        <f>'1013'!G15</f>
        <v>22607397.900000002</v>
      </c>
      <c r="F19" s="413">
        <f>'1013'!G17</f>
        <v>22903285.329999998</v>
      </c>
      <c r="G19" s="354">
        <v>0</v>
      </c>
      <c r="H19" s="414">
        <f>F19-E19-G19</f>
        <v>295887.42999999598</v>
      </c>
      <c r="I19" s="403">
        <v>0</v>
      </c>
      <c r="J19" s="413">
        <f t="shared" ref="J19" si="1">H19-I19</f>
        <v>295887.42999999598</v>
      </c>
      <c r="K19" s="356">
        <v>0</v>
      </c>
      <c r="L19" s="389">
        <f>'1013'!G29</f>
        <v>40000</v>
      </c>
      <c r="M19" s="390">
        <f>'1013'!G30</f>
        <v>255887.43</v>
      </c>
      <c r="N19" s="356"/>
      <c r="O19" s="102"/>
      <c r="R19" s="102"/>
    </row>
    <row r="20" spans="1:18" s="5" customFormat="1" ht="12" customHeight="1" x14ac:dyDescent="0.2">
      <c r="A20" s="529"/>
      <c r="B20" s="531"/>
      <c r="C20" s="339"/>
      <c r="D20" s="333" t="s">
        <v>66</v>
      </c>
      <c r="E20" s="485"/>
      <c r="F20" s="412"/>
      <c r="G20" s="425"/>
      <c r="H20" s="418"/>
      <c r="I20" s="403"/>
      <c r="J20" s="412"/>
      <c r="K20" s="355"/>
      <c r="L20" s="387"/>
      <c r="M20" s="388"/>
      <c r="N20" s="355"/>
      <c r="R20" s="102"/>
    </row>
    <row r="21" spans="1:18" s="5" customFormat="1" ht="12" customHeight="1" x14ac:dyDescent="0.2">
      <c r="A21" s="528">
        <v>1014</v>
      </c>
      <c r="B21" s="526" t="s">
        <v>285</v>
      </c>
      <c r="C21" s="340" t="s">
        <v>55</v>
      </c>
      <c r="D21" s="338" t="s">
        <v>56</v>
      </c>
      <c r="E21" s="484">
        <f>'1014'!G15</f>
        <v>23040456.98</v>
      </c>
      <c r="F21" s="413">
        <f>'1014'!G17</f>
        <v>23487440.649999999</v>
      </c>
      <c r="G21" s="354">
        <v>0</v>
      </c>
      <c r="H21" s="414">
        <f>F21-E21-G21</f>
        <v>446983.66999999806</v>
      </c>
      <c r="I21" s="404">
        <f>'1014'!G25</f>
        <v>23340</v>
      </c>
      <c r="J21" s="413">
        <f t="shared" ref="J21" si="2">H21-I21</f>
        <v>423643.66999999806</v>
      </c>
      <c r="K21" s="356">
        <v>0</v>
      </c>
      <c r="L21" s="389">
        <f>'1014'!G29</f>
        <v>20000</v>
      </c>
      <c r="M21" s="390">
        <f>'1014'!G30</f>
        <v>403643.67</v>
      </c>
      <c r="N21" s="356"/>
      <c r="O21" s="102"/>
      <c r="R21" s="102"/>
    </row>
    <row r="22" spans="1:18" s="5" customFormat="1" ht="12" customHeight="1" x14ac:dyDescent="0.2">
      <c r="A22" s="529"/>
      <c r="B22" s="527"/>
      <c r="C22" s="341"/>
      <c r="D22" s="331"/>
      <c r="E22" s="485"/>
      <c r="F22" s="412"/>
      <c r="G22" s="425"/>
      <c r="H22" s="417"/>
      <c r="I22" s="403"/>
      <c r="J22" s="412"/>
      <c r="K22" s="355"/>
      <c r="L22" s="387"/>
      <c r="M22" s="388"/>
      <c r="N22" s="355"/>
      <c r="R22" s="102"/>
    </row>
    <row r="23" spans="1:18" s="5" customFormat="1" ht="12" customHeight="1" x14ac:dyDescent="0.2">
      <c r="A23" s="528">
        <v>1015</v>
      </c>
      <c r="B23" s="526" t="s">
        <v>25</v>
      </c>
      <c r="C23" s="330" t="s">
        <v>51</v>
      </c>
      <c r="D23" s="96" t="s">
        <v>52</v>
      </c>
      <c r="E23" s="484">
        <f>'1015'!G15</f>
        <v>21812348.73</v>
      </c>
      <c r="F23" s="413">
        <f>'1015'!G17</f>
        <v>21835170.25</v>
      </c>
      <c r="G23" s="354">
        <v>0</v>
      </c>
      <c r="H23" s="414">
        <f>F23-E23-G23</f>
        <v>22821.519999999553</v>
      </c>
      <c r="I23" s="404">
        <v>0</v>
      </c>
      <c r="J23" s="413">
        <f t="shared" ref="J23" si="3">H23-I23</f>
        <v>22821.519999999553</v>
      </c>
      <c r="K23" s="356">
        <v>0</v>
      </c>
      <c r="L23" s="389">
        <f>'1015'!G29</f>
        <v>3000</v>
      </c>
      <c r="M23" s="390">
        <f>'1015'!G30</f>
        <v>19821.52</v>
      </c>
      <c r="N23" s="356"/>
      <c r="O23" s="102"/>
      <c r="R23" s="102"/>
    </row>
    <row r="24" spans="1:18" s="5" customFormat="1" ht="12" customHeight="1" x14ac:dyDescent="0.2">
      <c r="A24" s="529"/>
      <c r="B24" s="527"/>
      <c r="C24" s="330"/>
      <c r="D24" s="95" t="s">
        <v>53</v>
      </c>
      <c r="E24" s="485"/>
      <c r="F24" s="412"/>
      <c r="G24" s="425"/>
      <c r="H24" s="417"/>
      <c r="I24" s="403"/>
      <c r="J24" s="412"/>
      <c r="K24" s="355"/>
      <c r="L24" s="387"/>
      <c r="M24" s="388"/>
      <c r="N24" s="355"/>
      <c r="R24" s="102"/>
    </row>
    <row r="25" spans="1:18" s="5" customFormat="1" ht="12" customHeight="1" x14ac:dyDescent="0.2">
      <c r="A25" s="528">
        <v>1032</v>
      </c>
      <c r="B25" s="526" t="s">
        <v>215</v>
      </c>
      <c r="C25" s="332" t="s">
        <v>57</v>
      </c>
      <c r="D25" s="333" t="s">
        <v>50</v>
      </c>
      <c r="E25" s="484">
        <f>'1032'!G15</f>
        <v>9274337.2799999993</v>
      </c>
      <c r="F25" s="413">
        <f>'1032'!G17</f>
        <v>9274337.2799999993</v>
      </c>
      <c r="G25" s="354">
        <v>0</v>
      </c>
      <c r="H25" s="414">
        <f>F25-E25-G25</f>
        <v>0</v>
      </c>
      <c r="I25" s="404">
        <v>0</v>
      </c>
      <c r="J25" s="413">
        <f t="shared" ref="J25" si="4">H25-I25</f>
        <v>0</v>
      </c>
      <c r="K25" s="356">
        <v>0</v>
      </c>
      <c r="L25" s="389">
        <f>'1032'!G29</f>
        <v>0</v>
      </c>
      <c r="M25" s="390">
        <f>'1032'!G30</f>
        <v>0</v>
      </c>
      <c r="N25" s="356"/>
      <c r="O25" s="102"/>
      <c r="R25" s="102"/>
    </row>
    <row r="26" spans="1:18" s="5" customFormat="1" ht="12" customHeight="1" x14ac:dyDescent="0.2">
      <c r="A26" s="529"/>
      <c r="B26" s="527"/>
      <c r="C26" s="334"/>
      <c r="D26" s="331"/>
      <c r="E26" s="485"/>
      <c r="F26" s="412"/>
      <c r="G26" s="425"/>
      <c r="H26" s="417"/>
      <c r="I26" s="403"/>
      <c r="J26" s="412"/>
      <c r="K26" s="355"/>
      <c r="L26" s="387"/>
      <c r="M26" s="388"/>
      <c r="N26" s="355"/>
      <c r="R26" s="102"/>
    </row>
    <row r="27" spans="1:18" s="5" customFormat="1" ht="12" customHeight="1" x14ac:dyDescent="0.2">
      <c r="A27" s="528">
        <v>1033</v>
      </c>
      <c r="B27" s="526" t="s">
        <v>216</v>
      </c>
      <c r="C27" s="337" t="s">
        <v>58</v>
      </c>
      <c r="D27" s="333" t="s">
        <v>59</v>
      </c>
      <c r="E27" s="484">
        <f>'1033'!G15</f>
        <v>6015999.8899999997</v>
      </c>
      <c r="F27" s="413">
        <f>'1033'!G17</f>
        <v>6015999.8899999997</v>
      </c>
      <c r="G27" s="354">
        <v>0</v>
      </c>
      <c r="H27" s="414">
        <f>F27-E27-G27</f>
        <v>0</v>
      </c>
      <c r="I27" s="404">
        <v>0</v>
      </c>
      <c r="J27" s="413">
        <f t="shared" ref="J27" si="5">H27-I27</f>
        <v>0</v>
      </c>
      <c r="K27" s="356">
        <v>0</v>
      </c>
      <c r="L27" s="391">
        <f>'1033'!G29</f>
        <v>0</v>
      </c>
      <c r="M27" s="390">
        <f>'1033'!G30</f>
        <v>0</v>
      </c>
      <c r="N27" s="356"/>
      <c r="O27" s="102"/>
      <c r="R27" s="102"/>
    </row>
    <row r="28" spans="1:18" s="5" customFormat="1" ht="12" customHeight="1" x14ac:dyDescent="0.2">
      <c r="A28" s="529"/>
      <c r="B28" s="527"/>
      <c r="C28" s="330"/>
      <c r="D28" s="333"/>
      <c r="E28" s="485"/>
      <c r="F28" s="412"/>
      <c r="G28" s="425"/>
      <c r="H28" s="417"/>
      <c r="I28" s="402"/>
      <c r="J28" s="412"/>
      <c r="K28" s="355"/>
      <c r="L28" s="387"/>
      <c r="M28" s="388"/>
      <c r="N28" s="355"/>
      <c r="R28" s="102"/>
    </row>
    <row r="29" spans="1:18" s="5" customFormat="1" ht="12" customHeight="1" x14ac:dyDescent="0.2">
      <c r="A29" s="528">
        <v>1034</v>
      </c>
      <c r="B29" s="530" t="s">
        <v>217</v>
      </c>
      <c r="C29" s="332" t="s">
        <v>60</v>
      </c>
      <c r="D29" s="338" t="s">
        <v>54</v>
      </c>
      <c r="E29" s="484">
        <f>'1034'!G15</f>
        <v>13408770.01</v>
      </c>
      <c r="F29" s="413">
        <f>'1034'!G17</f>
        <v>13427233.810000001</v>
      </c>
      <c r="G29" s="354">
        <v>0</v>
      </c>
      <c r="H29" s="414">
        <f>F29-E29-G29</f>
        <v>18463.800000000745</v>
      </c>
      <c r="I29" s="403">
        <v>0</v>
      </c>
      <c r="J29" s="413">
        <f t="shared" ref="J29" si="6">H29-I29</f>
        <v>18463.800000000745</v>
      </c>
      <c r="K29" s="356">
        <v>0</v>
      </c>
      <c r="L29" s="389">
        <f>'1034'!G29</f>
        <v>7000</v>
      </c>
      <c r="M29" s="390">
        <f>'1034'!G30</f>
        <v>11463.8</v>
      </c>
      <c r="N29" s="356"/>
      <c r="O29" s="102"/>
      <c r="R29" s="102"/>
    </row>
    <row r="30" spans="1:18" s="5" customFormat="1" ht="12" customHeight="1" x14ac:dyDescent="0.2">
      <c r="A30" s="529"/>
      <c r="B30" s="531"/>
      <c r="C30" s="334"/>
      <c r="D30" s="331"/>
      <c r="E30" s="485"/>
      <c r="F30" s="412"/>
      <c r="G30" s="425"/>
      <c r="H30" s="417"/>
      <c r="I30" s="402"/>
      <c r="J30" s="412"/>
      <c r="K30" s="355"/>
      <c r="L30" s="387"/>
      <c r="M30" s="388"/>
      <c r="N30" s="355"/>
      <c r="R30" s="102"/>
    </row>
    <row r="31" spans="1:18" s="5" customFormat="1" ht="12" customHeight="1" x14ac:dyDescent="0.2">
      <c r="A31" s="528">
        <v>1100</v>
      </c>
      <c r="B31" s="526" t="s">
        <v>218</v>
      </c>
      <c r="C31" s="330" t="s">
        <v>61</v>
      </c>
      <c r="D31" s="333" t="s">
        <v>54</v>
      </c>
      <c r="E31" s="484">
        <f>'1100'!G15</f>
        <v>18426552.010000002</v>
      </c>
      <c r="F31" s="413">
        <f>'1100'!G17</f>
        <v>18396436.600000001</v>
      </c>
      <c r="G31" s="354">
        <f>'1100'!G21</f>
        <v>0</v>
      </c>
      <c r="H31" s="414">
        <f>F31-E31-G31</f>
        <v>-30115.410000000149</v>
      </c>
      <c r="I31" s="403">
        <v>0</v>
      </c>
      <c r="J31" s="413">
        <v>0</v>
      </c>
      <c r="K31" s="356">
        <f>H31-I31</f>
        <v>-30115.410000000149</v>
      </c>
      <c r="L31" s="389">
        <f>'1100'!G29</f>
        <v>0</v>
      </c>
      <c r="M31" s="390">
        <f>'1100'!G30</f>
        <v>0</v>
      </c>
      <c r="N31" s="356"/>
      <c r="O31" s="102"/>
      <c r="R31" s="102"/>
    </row>
    <row r="32" spans="1:18" s="5" customFormat="1" ht="12" customHeight="1" x14ac:dyDescent="0.2">
      <c r="A32" s="529"/>
      <c r="B32" s="527"/>
      <c r="C32" s="341"/>
      <c r="D32" s="331"/>
      <c r="E32" s="484"/>
      <c r="F32" s="413"/>
      <c r="G32" s="425"/>
      <c r="H32" s="417"/>
      <c r="I32" s="402"/>
      <c r="J32" s="412"/>
      <c r="K32" s="355"/>
      <c r="L32" s="389"/>
      <c r="M32" s="388"/>
      <c r="N32" s="355"/>
      <c r="R32" s="102"/>
    </row>
    <row r="33" spans="1:18" s="5" customFormat="1" ht="12" customHeight="1" x14ac:dyDescent="0.2">
      <c r="A33" s="528">
        <v>1101</v>
      </c>
      <c r="B33" s="526" t="s">
        <v>219</v>
      </c>
      <c r="C33" s="330" t="s">
        <v>62</v>
      </c>
      <c r="D33" s="333" t="s">
        <v>46</v>
      </c>
      <c r="E33" s="461">
        <f>'1101'!G15</f>
        <v>34362823.890000001</v>
      </c>
      <c r="F33" s="492">
        <f>'1101'!G17</f>
        <v>34299495.230000004</v>
      </c>
      <c r="G33" s="354">
        <v>0</v>
      </c>
      <c r="H33" s="414">
        <f>F33-E33-G33</f>
        <v>-63328.659999996424</v>
      </c>
      <c r="I33" s="403">
        <f>'1101'!G25</f>
        <v>14903</v>
      </c>
      <c r="J33" s="413">
        <v>0</v>
      </c>
      <c r="K33" s="356">
        <f>H33-I33</f>
        <v>-78231.659999996424</v>
      </c>
      <c r="L33" s="391">
        <f>'1101'!G29</f>
        <v>0</v>
      </c>
      <c r="M33" s="390">
        <f>'1101'!G30</f>
        <v>0</v>
      </c>
      <c r="N33" s="356"/>
      <c r="O33" s="102"/>
      <c r="R33" s="102"/>
    </row>
    <row r="34" spans="1:18" s="5" customFormat="1" ht="12" customHeight="1" x14ac:dyDescent="0.2">
      <c r="A34" s="529"/>
      <c r="B34" s="527"/>
      <c r="C34" s="341"/>
      <c r="D34" s="342"/>
      <c r="E34" s="485"/>
      <c r="F34" s="412"/>
      <c r="G34" s="425"/>
      <c r="H34" s="418"/>
      <c r="I34" s="402"/>
      <c r="J34" s="412"/>
      <c r="K34" s="355"/>
      <c r="L34" s="387"/>
      <c r="M34" s="388"/>
      <c r="N34" s="355"/>
      <c r="R34" s="102"/>
    </row>
    <row r="35" spans="1:18" s="5" customFormat="1" ht="12" customHeight="1" x14ac:dyDescent="0.2">
      <c r="A35" s="528">
        <v>1102</v>
      </c>
      <c r="B35" s="526" t="s">
        <v>220</v>
      </c>
      <c r="C35" s="343" t="s">
        <v>246</v>
      </c>
      <c r="D35" s="338" t="s">
        <v>63</v>
      </c>
      <c r="E35" s="461">
        <f>'1102'!G15</f>
        <v>55720739.630000003</v>
      </c>
      <c r="F35" s="492">
        <f>'1102'!G17</f>
        <v>55653119.489999995</v>
      </c>
      <c r="G35" s="358">
        <f>'1102'!G21</f>
        <v>33300</v>
      </c>
      <c r="H35" s="415">
        <f>F35-E35-G35</f>
        <v>-100920.14000000805</v>
      </c>
      <c r="I35" s="404">
        <f>'1102'!G25</f>
        <v>38844</v>
      </c>
      <c r="J35" s="413">
        <v>0</v>
      </c>
      <c r="K35" s="356">
        <f>H35-I35</f>
        <v>-139764.14000000805</v>
      </c>
      <c r="L35" s="389">
        <f>'1102'!G29</f>
        <v>0</v>
      </c>
      <c r="M35" s="392">
        <f>'1102'!G30</f>
        <v>0</v>
      </c>
      <c r="N35" s="357"/>
      <c r="O35" s="102"/>
      <c r="R35" s="102"/>
    </row>
    <row r="36" spans="1:18" s="5" customFormat="1" ht="12" customHeight="1" x14ac:dyDescent="0.2">
      <c r="A36" s="529"/>
      <c r="B36" s="527"/>
      <c r="C36" s="344"/>
      <c r="D36" s="342"/>
      <c r="E36" s="485"/>
      <c r="F36" s="412"/>
      <c r="G36" s="425"/>
      <c r="H36" s="418"/>
      <c r="I36" s="402"/>
      <c r="J36" s="412"/>
      <c r="K36" s="355"/>
      <c r="L36" s="387"/>
      <c r="M36" s="388"/>
      <c r="N36" s="355"/>
      <c r="R36" s="102"/>
    </row>
    <row r="37" spans="1:18" s="5" customFormat="1" ht="12" customHeight="1" x14ac:dyDescent="0.2">
      <c r="A37" s="528">
        <v>1103</v>
      </c>
      <c r="B37" s="526" t="s">
        <v>221</v>
      </c>
      <c r="C37" s="343" t="s">
        <v>64</v>
      </c>
      <c r="D37" s="345" t="s">
        <v>65</v>
      </c>
      <c r="E37" s="461">
        <f>'1103'!G16</f>
        <v>61645194.160000004</v>
      </c>
      <c r="F37" s="492">
        <f>'1103'!G18</f>
        <v>61346325.300000004</v>
      </c>
      <c r="G37" s="426">
        <f>'1103'!G22</f>
        <v>47120</v>
      </c>
      <c r="H37" s="415">
        <f>F37-E37-G37</f>
        <v>-345988.8599999994</v>
      </c>
      <c r="I37" s="404">
        <f>'1103'!G26</f>
        <v>9624</v>
      </c>
      <c r="J37" s="413">
        <v>0</v>
      </c>
      <c r="K37" s="356">
        <f>H37-I37</f>
        <v>-355612.8599999994</v>
      </c>
      <c r="L37" s="389">
        <f>'1103'!G30</f>
        <v>0</v>
      </c>
      <c r="M37" s="392">
        <f>'1103'!G31</f>
        <v>0</v>
      </c>
      <c r="N37" s="357"/>
      <c r="O37" s="102"/>
      <c r="R37" s="102"/>
    </row>
    <row r="38" spans="1:18" s="5" customFormat="1" ht="12" customHeight="1" x14ac:dyDescent="0.2">
      <c r="A38" s="529"/>
      <c r="B38" s="527"/>
      <c r="C38" s="346"/>
      <c r="D38" s="96" t="s">
        <v>66</v>
      </c>
      <c r="E38" s="484"/>
      <c r="F38" s="413"/>
      <c r="G38" s="354"/>
      <c r="H38" s="419"/>
      <c r="I38" s="405"/>
      <c r="J38" s="412"/>
      <c r="K38" s="355"/>
      <c r="L38" s="387"/>
      <c r="M38" s="388"/>
      <c r="N38" s="355"/>
      <c r="R38" s="102"/>
    </row>
    <row r="39" spans="1:18" s="5" customFormat="1" ht="12" customHeight="1" x14ac:dyDescent="0.2">
      <c r="A39" s="528">
        <v>1104</v>
      </c>
      <c r="B39" s="526" t="s">
        <v>219</v>
      </c>
      <c r="C39" s="343" t="s">
        <v>67</v>
      </c>
      <c r="D39" s="338" t="s">
        <v>50</v>
      </c>
      <c r="E39" s="461">
        <f>'1104'!G15</f>
        <v>26250086.899999999</v>
      </c>
      <c r="F39" s="492">
        <f>'1104'!G17</f>
        <v>26368420.060000002</v>
      </c>
      <c r="G39" s="358">
        <v>0</v>
      </c>
      <c r="H39" s="414">
        <f>F39-E39-G39</f>
        <v>118333.16000000387</v>
      </c>
      <c r="I39" s="403">
        <f>'1104'!G25</f>
        <v>44700</v>
      </c>
      <c r="J39" s="413">
        <f t="shared" ref="J39" si="7">H39-I39</f>
        <v>73633.160000003874</v>
      </c>
      <c r="K39" s="356">
        <v>0</v>
      </c>
      <c r="L39" s="389">
        <f>'1104'!G29</f>
        <v>14358</v>
      </c>
      <c r="M39" s="390">
        <f>'1104'!G30</f>
        <v>59275.16</v>
      </c>
      <c r="N39" s="356"/>
      <c r="O39" s="102"/>
      <c r="R39" s="102"/>
    </row>
    <row r="40" spans="1:18" s="5" customFormat="1" ht="12" customHeight="1" x14ac:dyDescent="0.2">
      <c r="A40" s="529"/>
      <c r="B40" s="527"/>
      <c r="C40" s="346"/>
      <c r="D40" s="333"/>
      <c r="E40" s="484"/>
      <c r="F40" s="413"/>
      <c r="G40" s="354"/>
      <c r="H40" s="420"/>
      <c r="I40" s="405"/>
      <c r="J40" s="412"/>
      <c r="K40" s="355"/>
      <c r="L40" s="387"/>
      <c r="M40" s="388"/>
      <c r="N40" s="355"/>
      <c r="R40" s="102"/>
    </row>
    <row r="41" spans="1:18" s="5" customFormat="1" ht="12" customHeight="1" x14ac:dyDescent="0.2">
      <c r="A41" s="528">
        <v>1105</v>
      </c>
      <c r="B41" s="526" t="s">
        <v>221</v>
      </c>
      <c r="C41" s="343" t="s">
        <v>68</v>
      </c>
      <c r="D41" s="347" t="s">
        <v>59</v>
      </c>
      <c r="E41" s="486">
        <f>'1105'!G15</f>
        <v>17476666.259999998</v>
      </c>
      <c r="F41" s="493">
        <f>'1105'!G17</f>
        <v>17685091.189999998</v>
      </c>
      <c r="G41" s="427">
        <v>0</v>
      </c>
      <c r="H41" s="415">
        <f>F41-E41-G41</f>
        <v>208424.9299999997</v>
      </c>
      <c r="I41" s="406">
        <v>0</v>
      </c>
      <c r="J41" s="413">
        <f t="shared" ref="J41" si="8">H41-I41</f>
        <v>208424.9299999997</v>
      </c>
      <c r="K41" s="356">
        <v>0</v>
      </c>
      <c r="L41" s="389">
        <f>'1105'!G29</f>
        <v>15000</v>
      </c>
      <c r="M41" s="390">
        <f>'1105'!G30</f>
        <v>193424.93</v>
      </c>
      <c r="N41" s="356"/>
      <c r="O41" s="102"/>
      <c r="R41" s="102"/>
    </row>
    <row r="42" spans="1:18" s="5" customFormat="1" ht="12" customHeight="1" x14ac:dyDescent="0.2">
      <c r="A42" s="529"/>
      <c r="B42" s="527"/>
      <c r="C42" s="346"/>
      <c r="D42" s="331"/>
      <c r="E42" s="485"/>
      <c r="F42" s="412"/>
      <c r="G42" s="425"/>
      <c r="H42" s="414"/>
      <c r="I42" s="402"/>
      <c r="J42" s="412"/>
      <c r="K42" s="355"/>
      <c r="L42" s="387"/>
      <c r="M42" s="388"/>
      <c r="N42" s="355"/>
      <c r="R42" s="102"/>
    </row>
    <row r="43" spans="1:18" s="5" customFormat="1" ht="12" customHeight="1" x14ac:dyDescent="0.2">
      <c r="A43" s="528">
        <v>1120</v>
      </c>
      <c r="B43" s="526" t="s">
        <v>34</v>
      </c>
      <c r="C43" s="343" t="s">
        <v>69</v>
      </c>
      <c r="D43" s="333" t="s">
        <v>46</v>
      </c>
      <c r="E43" s="484">
        <f>'1120'!G15</f>
        <v>30411548.23</v>
      </c>
      <c r="F43" s="413">
        <f>'1120'!G17</f>
        <v>30567982.129999999</v>
      </c>
      <c r="G43" s="354">
        <v>0</v>
      </c>
      <c r="H43" s="415">
        <f>F43-E43-G43</f>
        <v>156433.89999999851</v>
      </c>
      <c r="I43" s="403">
        <v>0</v>
      </c>
      <c r="J43" s="413">
        <f t="shared" ref="J43" si="9">H43-I43</f>
        <v>156433.89999999851</v>
      </c>
      <c r="K43" s="356">
        <v>0</v>
      </c>
      <c r="L43" s="389">
        <f>'1120'!G29</f>
        <v>20000</v>
      </c>
      <c r="M43" s="390">
        <f>'1120'!G30</f>
        <v>136433.9</v>
      </c>
      <c r="N43" s="356"/>
      <c r="O43" s="102"/>
      <c r="R43" s="102"/>
    </row>
    <row r="44" spans="1:18" s="5" customFormat="1" ht="12" customHeight="1" x14ac:dyDescent="0.2">
      <c r="A44" s="529"/>
      <c r="B44" s="527"/>
      <c r="C44" s="344"/>
      <c r="D44" s="342"/>
      <c r="E44" s="485"/>
      <c r="F44" s="412"/>
      <c r="G44" s="425"/>
      <c r="H44" s="418"/>
      <c r="I44" s="402"/>
      <c r="J44" s="412"/>
      <c r="K44" s="355"/>
      <c r="L44" s="387"/>
      <c r="M44" s="388"/>
      <c r="N44" s="355"/>
      <c r="R44" s="102"/>
    </row>
    <row r="45" spans="1:18" s="165" customFormat="1" ht="12" customHeight="1" x14ac:dyDescent="0.2">
      <c r="A45" s="533">
        <v>1121</v>
      </c>
      <c r="B45" s="535" t="s">
        <v>222</v>
      </c>
      <c r="C45" s="332" t="s">
        <v>70</v>
      </c>
      <c r="D45" s="460" t="s">
        <v>71</v>
      </c>
      <c r="E45" s="461">
        <f>'1121'!G15</f>
        <v>19278457.829999998</v>
      </c>
      <c r="F45" s="492">
        <f>'1121'!G17</f>
        <v>19935914.59</v>
      </c>
      <c r="G45" s="358">
        <f>'1121'!G21</f>
        <v>66470</v>
      </c>
      <c r="H45" s="415">
        <f>F45-E45-G45</f>
        <v>590986.76000000164</v>
      </c>
      <c r="I45" s="392">
        <f>'1121'!G25</f>
        <v>145452</v>
      </c>
      <c r="J45" s="413">
        <f t="shared" ref="J45" si="10">H45-I45</f>
        <v>445534.76000000164</v>
      </c>
      <c r="K45" s="462">
        <v>0</v>
      </c>
      <c r="L45" s="505">
        <f>'1121'!G29</f>
        <v>20000</v>
      </c>
      <c r="M45" s="506">
        <f>'1121'!G30</f>
        <v>425534.76</v>
      </c>
      <c r="N45" s="357"/>
    </row>
    <row r="46" spans="1:18" s="475" customFormat="1" ht="12" customHeight="1" thickBot="1" x14ac:dyDescent="0.25">
      <c r="A46" s="534"/>
      <c r="B46" s="536"/>
      <c r="C46" s="463"/>
      <c r="D46" s="464"/>
      <c r="E46" s="465"/>
      <c r="F46" s="466"/>
      <c r="G46" s="467"/>
      <c r="H46" s="468"/>
      <c r="I46" s="469"/>
      <c r="J46" s="470"/>
      <c r="K46" s="471"/>
      <c r="L46" s="472"/>
      <c r="M46" s="469"/>
      <c r="N46" s="471"/>
      <c r="O46" s="474"/>
    </row>
    <row r="47" spans="1:18" s="5" customFormat="1" ht="12" customHeight="1" x14ac:dyDescent="0.2">
      <c r="A47" s="537">
        <v>1122</v>
      </c>
      <c r="B47" s="532" t="s">
        <v>269</v>
      </c>
      <c r="C47" s="337" t="s">
        <v>72</v>
      </c>
      <c r="D47" s="349" t="s">
        <v>59</v>
      </c>
      <c r="E47" s="484">
        <f>'1122'!G15</f>
        <v>46971610.599999994</v>
      </c>
      <c r="F47" s="413">
        <f>'1122'!G17</f>
        <v>47354390.579999998</v>
      </c>
      <c r="G47" s="354">
        <v>0</v>
      </c>
      <c r="H47" s="473">
        <f>F47-E47-G47</f>
        <v>382779.98000000417</v>
      </c>
      <c r="I47" s="413">
        <f>'1122'!G25</f>
        <v>169332</v>
      </c>
      <c r="J47" s="413">
        <f t="shared" ref="J47" si="11">H47-I47</f>
        <v>213447.98000000417</v>
      </c>
      <c r="K47" s="356">
        <v>0</v>
      </c>
      <c r="L47" s="389">
        <f>'1122'!G29</f>
        <v>15000</v>
      </c>
      <c r="M47" s="390">
        <f>'1122'!G30</f>
        <v>198447.98</v>
      </c>
      <c r="N47" s="356"/>
      <c r="O47" s="102"/>
      <c r="R47" s="102"/>
    </row>
    <row r="48" spans="1:18" s="5" customFormat="1" ht="12" customHeight="1" x14ac:dyDescent="0.2">
      <c r="A48" s="529"/>
      <c r="B48" s="527"/>
      <c r="C48" s="455"/>
      <c r="D48" s="456"/>
      <c r="E48" s="487"/>
      <c r="F48" s="430"/>
      <c r="G48" s="429"/>
      <c r="H48" s="457"/>
      <c r="I48" s="430"/>
      <c r="J48" s="412"/>
      <c r="K48" s="355"/>
      <c r="L48" s="387"/>
      <c r="M48" s="388"/>
      <c r="N48" s="355"/>
      <c r="R48" s="102"/>
    </row>
    <row r="49" spans="1:18" s="5" customFormat="1" ht="12" customHeight="1" x14ac:dyDescent="0.2">
      <c r="A49" s="528">
        <v>1123</v>
      </c>
      <c r="B49" s="532" t="s">
        <v>223</v>
      </c>
      <c r="C49" s="337" t="s">
        <v>73</v>
      </c>
      <c r="D49" s="349" t="s">
        <v>74</v>
      </c>
      <c r="E49" s="484">
        <f>'1123'!G15</f>
        <v>45060283.68</v>
      </c>
      <c r="F49" s="413">
        <f>'1123'!G17</f>
        <v>45100699.720000006</v>
      </c>
      <c r="G49" s="354">
        <f>'1123'!G21</f>
        <v>0</v>
      </c>
      <c r="H49" s="414">
        <f>F49-E49-G49</f>
        <v>40416.040000006557</v>
      </c>
      <c r="I49" s="403">
        <f>'1123'!G25</f>
        <v>0</v>
      </c>
      <c r="J49" s="413">
        <f t="shared" ref="J49" si="12">H49-I49</f>
        <v>40416.040000006557</v>
      </c>
      <c r="K49" s="356">
        <v>0</v>
      </c>
      <c r="L49" s="389">
        <f>'1123'!G29</f>
        <v>0</v>
      </c>
      <c r="M49" s="390">
        <f>'1123'!G30</f>
        <v>0</v>
      </c>
      <c r="N49" s="356">
        <v>40416.04</v>
      </c>
      <c r="O49" s="102"/>
      <c r="R49" s="102"/>
    </row>
    <row r="50" spans="1:18" s="5" customFormat="1" ht="12" customHeight="1" x14ac:dyDescent="0.2">
      <c r="A50" s="529"/>
      <c r="B50" s="527"/>
      <c r="C50" s="337"/>
      <c r="D50" s="331"/>
      <c r="E50" s="485"/>
      <c r="F50" s="413"/>
      <c r="G50" s="354"/>
      <c r="H50" s="421"/>
      <c r="I50" s="402"/>
      <c r="J50" s="412"/>
      <c r="K50" s="355"/>
      <c r="L50" s="387"/>
      <c r="M50" s="388"/>
      <c r="N50" s="355"/>
      <c r="R50" s="102"/>
    </row>
    <row r="51" spans="1:18" s="5" customFormat="1" ht="12" customHeight="1" x14ac:dyDescent="0.2">
      <c r="A51" s="528">
        <v>1124</v>
      </c>
      <c r="B51" s="526" t="s">
        <v>224</v>
      </c>
      <c r="C51" s="340" t="s">
        <v>245</v>
      </c>
      <c r="D51" s="333" t="s">
        <v>76</v>
      </c>
      <c r="E51" s="484">
        <f>'1124'!G16</f>
        <v>5276741.21</v>
      </c>
      <c r="F51" s="492">
        <f>'1124'!G18</f>
        <v>4798723.22</v>
      </c>
      <c r="G51" s="358">
        <f>'1124'!G22</f>
        <v>21280</v>
      </c>
      <c r="H51" s="415">
        <f>F51-E51-G51</f>
        <v>-499297.99000000022</v>
      </c>
      <c r="I51" s="403">
        <f>'1124'!G26</f>
        <v>0</v>
      </c>
      <c r="J51" s="413">
        <v>0</v>
      </c>
      <c r="K51" s="356">
        <f>H51-I51</f>
        <v>-499297.99000000022</v>
      </c>
      <c r="L51" s="389">
        <f>'1124'!G30</f>
        <v>0</v>
      </c>
      <c r="M51" s="390">
        <f>'1124'!G31</f>
        <v>0</v>
      </c>
      <c r="N51" s="356"/>
      <c r="O51" s="102"/>
      <c r="R51" s="102"/>
    </row>
    <row r="52" spans="1:18" s="5" customFormat="1" ht="12" customHeight="1" x14ac:dyDescent="0.2">
      <c r="A52" s="529"/>
      <c r="B52" s="527"/>
      <c r="C52" s="337"/>
      <c r="D52" s="333"/>
      <c r="E52" s="485"/>
      <c r="F52" s="413"/>
      <c r="G52" s="354"/>
      <c r="H52" s="414"/>
      <c r="I52" s="402"/>
      <c r="J52" s="412"/>
      <c r="K52" s="355"/>
      <c r="L52" s="387"/>
      <c r="M52" s="388"/>
      <c r="N52" s="355"/>
      <c r="R52" s="102"/>
    </row>
    <row r="53" spans="1:18" s="5" customFormat="1" ht="12" customHeight="1" x14ac:dyDescent="0.2">
      <c r="A53" s="528">
        <v>1150</v>
      </c>
      <c r="B53" s="526" t="s">
        <v>225</v>
      </c>
      <c r="C53" s="350" t="s">
        <v>75</v>
      </c>
      <c r="D53" s="338" t="s">
        <v>63</v>
      </c>
      <c r="E53" s="484">
        <f>'1150'!G15</f>
        <v>25824874.280000001</v>
      </c>
      <c r="F53" s="492">
        <f>'1150'!G17</f>
        <v>25855610.580000002</v>
      </c>
      <c r="G53" s="358">
        <v>0</v>
      </c>
      <c r="H53" s="415">
        <f>F53-E53-G53</f>
        <v>30736.300000000745</v>
      </c>
      <c r="I53" s="390">
        <v>0</v>
      </c>
      <c r="J53" s="413">
        <f t="shared" ref="J53" si="13">H53-I53</f>
        <v>30736.300000000745</v>
      </c>
      <c r="K53" s="356">
        <v>0</v>
      </c>
      <c r="L53" s="389">
        <f>'1150'!G29</f>
        <v>5000</v>
      </c>
      <c r="M53" s="390">
        <f>'1150'!G30</f>
        <v>25736.3</v>
      </c>
      <c r="N53" s="356"/>
      <c r="O53" s="102"/>
      <c r="R53" s="102"/>
    </row>
    <row r="54" spans="1:18" s="5" customFormat="1" ht="12" customHeight="1" x14ac:dyDescent="0.2">
      <c r="A54" s="529"/>
      <c r="B54" s="527"/>
      <c r="C54" s="351"/>
      <c r="D54" s="331"/>
      <c r="E54" s="485"/>
      <c r="F54" s="412"/>
      <c r="G54" s="354"/>
      <c r="H54" s="414"/>
      <c r="I54" s="402"/>
      <c r="J54" s="412"/>
      <c r="K54" s="355"/>
      <c r="L54" s="389"/>
      <c r="M54" s="390"/>
      <c r="N54" s="356"/>
      <c r="R54" s="102"/>
    </row>
    <row r="55" spans="1:18" s="5" customFormat="1" ht="12" customHeight="1" x14ac:dyDescent="0.2">
      <c r="A55" s="528">
        <v>1160</v>
      </c>
      <c r="B55" s="526" t="s">
        <v>247</v>
      </c>
      <c r="C55" s="330" t="s">
        <v>245</v>
      </c>
      <c r="D55" s="333" t="s">
        <v>76</v>
      </c>
      <c r="E55" s="484">
        <f>'1160'!G15</f>
        <v>61524467.549999997</v>
      </c>
      <c r="F55" s="413">
        <f>'1160'!G17</f>
        <v>61930117.009999998</v>
      </c>
      <c r="G55" s="358">
        <v>0</v>
      </c>
      <c r="H55" s="415">
        <f>F55-E55-G55</f>
        <v>405649.46000000089</v>
      </c>
      <c r="I55" s="390">
        <f>'1160'!G25</f>
        <v>19366</v>
      </c>
      <c r="J55" s="413">
        <f t="shared" ref="J55" si="14">H55-I55</f>
        <v>386283.46000000089</v>
      </c>
      <c r="K55" s="356">
        <v>0</v>
      </c>
      <c r="L55" s="391">
        <f>'1160'!G29</f>
        <v>0</v>
      </c>
      <c r="M55" s="392">
        <f>'1160'!G30</f>
        <v>386283.46</v>
      </c>
      <c r="N55" s="357"/>
      <c r="O55" s="102"/>
      <c r="R55" s="102"/>
    </row>
    <row r="56" spans="1:18" s="5" customFormat="1" ht="12" customHeight="1" x14ac:dyDescent="0.2">
      <c r="A56" s="529"/>
      <c r="B56" s="527"/>
      <c r="C56" s="330"/>
      <c r="D56" s="333"/>
      <c r="E56" s="485"/>
      <c r="F56" s="412"/>
      <c r="G56" s="354"/>
      <c r="H56" s="414"/>
      <c r="I56" s="402"/>
      <c r="J56" s="412"/>
      <c r="K56" s="355"/>
      <c r="L56" s="389"/>
      <c r="M56" s="390"/>
      <c r="N56" s="356"/>
      <c r="R56" s="102"/>
    </row>
    <row r="57" spans="1:18" s="5" customFormat="1" ht="12" customHeight="1" x14ac:dyDescent="0.2">
      <c r="A57" s="528">
        <v>1200</v>
      </c>
      <c r="B57" s="526" t="s">
        <v>255</v>
      </c>
      <c r="C57" s="340" t="s">
        <v>77</v>
      </c>
      <c r="D57" s="338" t="s">
        <v>54</v>
      </c>
      <c r="E57" s="461">
        <f>'1200'!G15</f>
        <v>17854145.119999997</v>
      </c>
      <c r="F57" s="492">
        <f>'1200'!G17</f>
        <v>18353602.690000001</v>
      </c>
      <c r="G57" s="358">
        <f>'1200'!G21</f>
        <v>0</v>
      </c>
      <c r="H57" s="415">
        <f>F57-E57-G57</f>
        <v>499457.57000000402</v>
      </c>
      <c r="I57" s="390">
        <f>'1200'!G25</f>
        <v>0</v>
      </c>
      <c r="J57" s="413">
        <f t="shared" ref="J57" si="15">H57-I57</f>
        <v>499457.57000000402</v>
      </c>
      <c r="K57" s="356">
        <v>0</v>
      </c>
      <c r="L57" s="391">
        <f>'1200'!G29</f>
        <v>50000</v>
      </c>
      <c r="M57" s="392">
        <f>'1200'!G30</f>
        <v>449457.57</v>
      </c>
      <c r="N57" s="357"/>
      <c r="O57" s="102"/>
      <c r="R57" s="102"/>
    </row>
    <row r="58" spans="1:18" s="5" customFormat="1" ht="12" customHeight="1" x14ac:dyDescent="0.2">
      <c r="A58" s="529"/>
      <c r="B58" s="527"/>
      <c r="C58" s="330"/>
      <c r="D58" s="333"/>
      <c r="E58" s="484"/>
      <c r="F58" s="413"/>
      <c r="G58" s="425"/>
      <c r="H58" s="414"/>
      <c r="I58" s="390"/>
      <c r="J58" s="412"/>
      <c r="K58" s="355"/>
      <c r="L58" s="389"/>
      <c r="M58" s="390"/>
      <c r="N58" s="356"/>
      <c r="R58" s="102"/>
    </row>
    <row r="59" spans="1:18" s="5" customFormat="1" ht="12" customHeight="1" x14ac:dyDescent="0.2">
      <c r="A59" s="528">
        <v>1201</v>
      </c>
      <c r="B59" s="526" t="s">
        <v>226</v>
      </c>
      <c r="C59" s="340" t="s">
        <v>78</v>
      </c>
      <c r="D59" s="338" t="s">
        <v>79</v>
      </c>
      <c r="E59" s="461">
        <f>'1201'!G15</f>
        <v>30351137.91</v>
      </c>
      <c r="F59" s="492">
        <f>'1201'!G17</f>
        <v>32026545.920000002</v>
      </c>
      <c r="G59" s="354">
        <f>'1201'!G21</f>
        <v>5890</v>
      </c>
      <c r="H59" s="415">
        <f>F59-E59-G59</f>
        <v>1669518.0100000016</v>
      </c>
      <c r="I59" s="404">
        <f>'1201'!G25</f>
        <v>1667067</v>
      </c>
      <c r="J59" s="413">
        <f t="shared" ref="J59" si="16">H59-I59</f>
        <v>2451.0100000016391</v>
      </c>
      <c r="K59" s="356">
        <v>0</v>
      </c>
      <c r="L59" s="391">
        <f>'1201'!G29</f>
        <v>1960</v>
      </c>
      <c r="M59" s="392">
        <f>'1201'!G30</f>
        <v>491.01</v>
      </c>
      <c r="N59" s="357"/>
      <c r="O59" s="102"/>
      <c r="R59" s="102"/>
    </row>
    <row r="60" spans="1:18" s="5" customFormat="1" ht="12" customHeight="1" x14ac:dyDescent="0.2">
      <c r="A60" s="529"/>
      <c r="B60" s="527"/>
      <c r="C60" s="341"/>
      <c r="D60" s="333"/>
      <c r="E60" s="484"/>
      <c r="F60" s="413"/>
      <c r="G60" s="354"/>
      <c r="H60" s="418"/>
      <c r="I60" s="390"/>
      <c r="J60" s="412"/>
      <c r="K60" s="355"/>
      <c r="L60" s="389"/>
      <c r="M60" s="390"/>
      <c r="N60" s="356"/>
      <c r="R60" s="102"/>
    </row>
    <row r="61" spans="1:18" s="5" customFormat="1" ht="12" customHeight="1" x14ac:dyDescent="0.2">
      <c r="A61" s="528">
        <v>1202</v>
      </c>
      <c r="B61" s="526" t="s">
        <v>237</v>
      </c>
      <c r="C61" s="337" t="s">
        <v>238</v>
      </c>
      <c r="D61" s="338" t="s">
        <v>74</v>
      </c>
      <c r="E61" s="461">
        <f>'1202'!G15</f>
        <v>32094620.75</v>
      </c>
      <c r="F61" s="492">
        <f>'1202'!G17</f>
        <v>32321795.809999999</v>
      </c>
      <c r="G61" s="358">
        <v>0</v>
      </c>
      <c r="H61" s="414">
        <f>F61-E61-G61</f>
        <v>227175.05999999866</v>
      </c>
      <c r="I61" s="404">
        <f>'1202'!G25</f>
        <v>0</v>
      </c>
      <c r="J61" s="413">
        <f t="shared" ref="J61" si="17">H61-I61</f>
        <v>227175.05999999866</v>
      </c>
      <c r="K61" s="356">
        <v>0</v>
      </c>
      <c r="L61" s="391">
        <f>'1202'!G29</f>
        <v>50000</v>
      </c>
      <c r="M61" s="392">
        <f>'1202'!G30</f>
        <v>177175.06</v>
      </c>
      <c r="N61" s="357"/>
      <c r="O61" s="102"/>
      <c r="R61" s="102"/>
    </row>
    <row r="62" spans="1:18" s="5" customFormat="1" ht="12" customHeight="1" x14ac:dyDescent="0.2">
      <c r="A62" s="529"/>
      <c r="B62" s="527"/>
      <c r="C62" s="334"/>
      <c r="D62" s="331"/>
      <c r="E62" s="485"/>
      <c r="F62" s="412"/>
      <c r="G62" s="425"/>
      <c r="H62" s="417"/>
      <c r="I62" s="402"/>
      <c r="J62" s="412"/>
      <c r="K62" s="355"/>
      <c r="L62" s="387"/>
      <c r="M62" s="388"/>
      <c r="N62" s="355"/>
      <c r="R62" s="102"/>
    </row>
    <row r="63" spans="1:18" s="5" customFormat="1" ht="12" customHeight="1" x14ac:dyDescent="0.2">
      <c r="A63" s="528">
        <v>1204</v>
      </c>
      <c r="B63" s="526" t="s">
        <v>227</v>
      </c>
      <c r="C63" s="332" t="s">
        <v>80</v>
      </c>
      <c r="D63" s="338" t="s">
        <v>56</v>
      </c>
      <c r="E63" s="461">
        <f>'1204'!G15</f>
        <v>71943848.909999996</v>
      </c>
      <c r="F63" s="413">
        <f>'1204'!G17</f>
        <v>72475708.620000005</v>
      </c>
      <c r="G63" s="354">
        <f>'1204'!G21</f>
        <v>140420</v>
      </c>
      <c r="H63" s="415">
        <f>F63-E63-G63</f>
        <v>391439.71000000834</v>
      </c>
      <c r="I63" s="404">
        <f>'1204'!G25</f>
        <v>362832</v>
      </c>
      <c r="J63" s="413">
        <f t="shared" ref="J63" si="18">H63-I63</f>
        <v>28607.710000008345</v>
      </c>
      <c r="K63" s="356">
        <v>0</v>
      </c>
      <c r="L63" s="391">
        <f>'1204'!G29</f>
        <v>22880</v>
      </c>
      <c r="M63" s="390">
        <f>'1204'!G30</f>
        <v>5727.71</v>
      </c>
      <c r="N63" s="356"/>
      <c r="O63" s="102"/>
      <c r="R63" s="102"/>
    </row>
    <row r="64" spans="1:18" s="5" customFormat="1" ht="12" customHeight="1" x14ac:dyDescent="0.2">
      <c r="A64" s="529"/>
      <c r="B64" s="527"/>
      <c r="C64" s="334"/>
      <c r="D64" s="333"/>
      <c r="E64" s="485"/>
      <c r="F64" s="412"/>
      <c r="G64" s="425"/>
      <c r="H64" s="418"/>
      <c r="I64" s="402"/>
      <c r="J64" s="412"/>
      <c r="K64" s="355"/>
      <c r="L64" s="387"/>
      <c r="M64" s="388"/>
      <c r="N64" s="355"/>
      <c r="R64" s="102"/>
    </row>
    <row r="65" spans="1:18" s="5" customFormat="1" ht="12" customHeight="1" x14ac:dyDescent="0.2">
      <c r="A65" s="528">
        <v>1205</v>
      </c>
      <c r="B65" s="526" t="s">
        <v>228</v>
      </c>
      <c r="C65" s="330" t="s">
        <v>244</v>
      </c>
      <c r="D65" s="338" t="s">
        <v>56</v>
      </c>
      <c r="E65" s="484">
        <f>'1205'!G15</f>
        <v>24517327.25</v>
      </c>
      <c r="F65" s="413">
        <f>'1205'!G17</f>
        <v>26096653.109999999</v>
      </c>
      <c r="G65" s="354">
        <f>'1205'!G21</f>
        <v>22990</v>
      </c>
      <c r="H65" s="414">
        <f>F65-E65-G65</f>
        <v>1556335.8599999994</v>
      </c>
      <c r="I65" s="390">
        <f>'1205'!G25</f>
        <v>442994</v>
      </c>
      <c r="J65" s="413">
        <f t="shared" ref="J65" si="19">H65-I65</f>
        <v>1113341.8599999994</v>
      </c>
      <c r="K65" s="356">
        <v>0</v>
      </c>
      <c r="L65" s="389">
        <f>'1205'!G29</f>
        <v>50000</v>
      </c>
      <c r="M65" s="390">
        <f>'1205'!G30</f>
        <v>1063341.8600000001</v>
      </c>
      <c r="N65" s="356"/>
      <c r="O65" s="102"/>
      <c r="R65" s="102"/>
    </row>
    <row r="66" spans="1:18" s="5" customFormat="1" ht="12" customHeight="1" x14ac:dyDescent="0.2">
      <c r="A66" s="529"/>
      <c r="B66" s="527"/>
      <c r="C66" s="341"/>
      <c r="D66" s="331"/>
      <c r="E66" s="485"/>
      <c r="F66" s="412"/>
      <c r="G66" s="425"/>
      <c r="H66" s="418"/>
      <c r="I66" s="402"/>
      <c r="J66" s="412"/>
      <c r="K66" s="355"/>
      <c r="L66" s="387"/>
      <c r="M66" s="388"/>
      <c r="N66" s="355"/>
      <c r="R66" s="102"/>
    </row>
    <row r="67" spans="1:18" s="5" customFormat="1" ht="12" customHeight="1" x14ac:dyDescent="0.2">
      <c r="A67" s="528">
        <v>1206</v>
      </c>
      <c r="B67" s="526" t="s">
        <v>241</v>
      </c>
      <c r="C67" s="340" t="s">
        <v>81</v>
      </c>
      <c r="D67" s="338" t="s">
        <v>82</v>
      </c>
      <c r="E67" s="461">
        <f>'1206'!G15</f>
        <v>36266451.759999998</v>
      </c>
      <c r="F67" s="413">
        <f>'1206'!G17</f>
        <v>36266451.759999998</v>
      </c>
      <c r="G67" s="358">
        <v>0</v>
      </c>
      <c r="H67" s="415">
        <f>F67-E67-G67</f>
        <v>0</v>
      </c>
      <c r="I67" s="390">
        <f>'1206'!G25</f>
        <v>0</v>
      </c>
      <c r="J67" s="413">
        <f t="shared" ref="J67" si="20">H67-I67</f>
        <v>0</v>
      </c>
      <c r="K67" s="356">
        <v>0</v>
      </c>
      <c r="L67" s="391">
        <f>'1206'!G29</f>
        <v>0</v>
      </c>
      <c r="M67" s="392">
        <f>'1206'!G30</f>
        <v>0</v>
      </c>
      <c r="N67" s="357"/>
      <c r="O67" s="102"/>
      <c r="R67" s="102"/>
    </row>
    <row r="68" spans="1:18" s="5" customFormat="1" ht="12" customHeight="1" x14ac:dyDescent="0.2">
      <c r="A68" s="529"/>
      <c r="B68" s="527"/>
      <c r="C68" s="341"/>
      <c r="D68" s="342"/>
      <c r="E68" s="484"/>
      <c r="F68" s="413"/>
      <c r="G68" s="425"/>
      <c r="H68" s="414"/>
      <c r="I68" s="402"/>
      <c r="J68" s="412"/>
      <c r="K68" s="355"/>
      <c r="L68" s="389"/>
      <c r="M68" s="390"/>
      <c r="N68" s="356"/>
      <c r="R68" s="102"/>
    </row>
    <row r="69" spans="1:18" s="5" customFormat="1" ht="12" customHeight="1" x14ac:dyDescent="0.2">
      <c r="A69" s="528">
        <v>1207</v>
      </c>
      <c r="B69" s="526" t="s">
        <v>229</v>
      </c>
      <c r="C69" s="346" t="s">
        <v>257</v>
      </c>
      <c r="D69" s="333" t="s">
        <v>46</v>
      </c>
      <c r="E69" s="461">
        <f>'1207'!G15</f>
        <v>35655925.629999995</v>
      </c>
      <c r="F69" s="492">
        <f>'1207'!G17</f>
        <v>35682720.210000001</v>
      </c>
      <c r="G69" s="354">
        <f>'1207'!G21</f>
        <v>3610</v>
      </c>
      <c r="H69" s="415">
        <f>F69-E69-G69</f>
        <v>23184.580000005662</v>
      </c>
      <c r="I69" s="390">
        <f>'1207'!G25</f>
        <v>0</v>
      </c>
      <c r="J69" s="413">
        <f t="shared" ref="J69" si="21">H69-I69</f>
        <v>23184.580000005662</v>
      </c>
      <c r="K69" s="356">
        <v>0</v>
      </c>
      <c r="L69" s="391">
        <f>'1207'!G29</f>
        <v>18500</v>
      </c>
      <c r="M69" s="392">
        <f>'1207'!G30</f>
        <v>4684.58</v>
      </c>
      <c r="N69" s="357"/>
      <c r="O69" s="102"/>
      <c r="R69" s="102"/>
    </row>
    <row r="70" spans="1:18" s="5" customFormat="1" ht="12" customHeight="1" x14ac:dyDescent="0.2">
      <c r="A70" s="529"/>
      <c r="B70" s="527"/>
      <c r="C70" s="344"/>
      <c r="D70" s="342"/>
      <c r="E70" s="484"/>
      <c r="F70" s="413"/>
      <c r="G70" s="354"/>
      <c r="H70" s="418"/>
      <c r="I70" s="390"/>
      <c r="J70" s="412"/>
      <c r="K70" s="355"/>
      <c r="L70" s="387"/>
      <c r="M70" s="388"/>
      <c r="N70" s="355"/>
      <c r="R70" s="102"/>
    </row>
    <row r="71" spans="1:18" s="5" customFormat="1" ht="12" customHeight="1" x14ac:dyDescent="0.2">
      <c r="A71" s="528">
        <v>1208</v>
      </c>
      <c r="B71" s="526" t="s">
        <v>339</v>
      </c>
      <c r="C71" s="346" t="s">
        <v>83</v>
      </c>
      <c r="D71" s="333" t="s">
        <v>50</v>
      </c>
      <c r="E71" s="461">
        <f>'1208'!G15</f>
        <v>32152106.039999999</v>
      </c>
      <c r="F71" s="492">
        <f>'1208'!G17</f>
        <v>32253137.869999997</v>
      </c>
      <c r="G71" s="358">
        <f>'1208'!G21</f>
        <v>76610</v>
      </c>
      <c r="H71" s="414">
        <f>F71-E71-G71</f>
        <v>24421.829999998212</v>
      </c>
      <c r="I71" s="404">
        <v>0</v>
      </c>
      <c r="J71" s="413">
        <f t="shared" ref="J71" si="22">H71-I71</f>
        <v>24421.829999998212</v>
      </c>
      <c r="K71" s="356">
        <v>0</v>
      </c>
      <c r="L71" s="389">
        <f>'1208'!G29</f>
        <v>19500</v>
      </c>
      <c r="M71" s="390">
        <f>'1208'!G30</f>
        <v>4921.83</v>
      </c>
      <c r="N71" s="356"/>
      <c r="O71" s="102"/>
      <c r="R71" s="102"/>
    </row>
    <row r="72" spans="1:18" s="5" customFormat="1" ht="12" customHeight="1" x14ac:dyDescent="0.2">
      <c r="A72" s="529"/>
      <c r="B72" s="527"/>
      <c r="C72" s="344"/>
      <c r="D72" s="342"/>
      <c r="E72" s="484"/>
      <c r="F72" s="413"/>
      <c r="G72" s="425"/>
      <c r="H72" s="414"/>
      <c r="I72" s="390"/>
      <c r="J72" s="412"/>
      <c r="K72" s="355"/>
      <c r="L72" s="387"/>
      <c r="M72" s="388"/>
      <c r="N72" s="355"/>
      <c r="R72" s="102"/>
    </row>
    <row r="73" spans="1:18" s="5" customFormat="1" ht="12" customHeight="1" x14ac:dyDescent="0.2">
      <c r="A73" s="528">
        <v>1300</v>
      </c>
      <c r="B73" s="526" t="s">
        <v>230</v>
      </c>
      <c r="C73" s="352" t="s">
        <v>84</v>
      </c>
      <c r="D73" s="333" t="s">
        <v>56</v>
      </c>
      <c r="E73" s="461">
        <f>'1300'!G15</f>
        <v>15678416.4</v>
      </c>
      <c r="F73" s="492">
        <f>'1300'!G17</f>
        <v>15804951.16</v>
      </c>
      <c r="G73" s="354">
        <v>0</v>
      </c>
      <c r="H73" s="415">
        <f>F73-E73-G73</f>
        <v>126534.75999999978</v>
      </c>
      <c r="I73" s="404">
        <v>0</v>
      </c>
      <c r="J73" s="413">
        <f t="shared" ref="J73" si="23">H73-I73</f>
        <v>126534.75999999978</v>
      </c>
      <c r="K73" s="356">
        <v>0</v>
      </c>
      <c r="L73" s="389">
        <f>'1300'!G29</f>
        <v>10000</v>
      </c>
      <c r="M73" s="390">
        <f>'1300'!G30</f>
        <v>116534.76</v>
      </c>
      <c r="N73" s="356"/>
      <c r="O73" s="102"/>
      <c r="R73" s="102"/>
    </row>
    <row r="74" spans="1:18" s="5" customFormat="1" ht="12" customHeight="1" x14ac:dyDescent="0.2">
      <c r="A74" s="529"/>
      <c r="B74" s="527"/>
      <c r="C74" s="344"/>
      <c r="D74" s="342"/>
      <c r="E74" s="484"/>
      <c r="F74" s="413"/>
      <c r="G74" s="354"/>
      <c r="H74" s="421"/>
      <c r="I74" s="390"/>
      <c r="J74" s="412"/>
      <c r="K74" s="355"/>
      <c r="L74" s="387"/>
      <c r="M74" s="388"/>
      <c r="N74" s="355"/>
      <c r="R74" s="102"/>
    </row>
    <row r="75" spans="1:18" s="5" customFormat="1" ht="12" customHeight="1" x14ac:dyDescent="0.2">
      <c r="A75" s="528">
        <v>1301</v>
      </c>
      <c r="B75" s="526" t="s">
        <v>231</v>
      </c>
      <c r="C75" s="346" t="s">
        <v>85</v>
      </c>
      <c r="D75" s="333" t="s">
        <v>46</v>
      </c>
      <c r="E75" s="461">
        <f>'1301'!G15</f>
        <v>31724511</v>
      </c>
      <c r="F75" s="492">
        <f>'1301'!G17</f>
        <v>31907793.300000001</v>
      </c>
      <c r="G75" s="358">
        <v>0</v>
      </c>
      <c r="H75" s="415">
        <f>F75-E75-G75</f>
        <v>183282.30000000075</v>
      </c>
      <c r="I75" s="404">
        <v>0</v>
      </c>
      <c r="J75" s="413">
        <f t="shared" ref="J75" si="24">H75-I75</f>
        <v>183282.30000000075</v>
      </c>
      <c r="K75" s="356">
        <v>0</v>
      </c>
      <c r="L75" s="389">
        <f>'1301'!G29</f>
        <v>25000</v>
      </c>
      <c r="M75" s="390">
        <f>'1301'!G30</f>
        <v>158282.29999999999</v>
      </c>
      <c r="N75" s="356"/>
      <c r="O75" s="102"/>
      <c r="R75" s="102"/>
    </row>
    <row r="76" spans="1:18" s="5" customFormat="1" ht="12" customHeight="1" x14ac:dyDescent="0.2">
      <c r="A76" s="529"/>
      <c r="B76" s="527"/>
      <c r="C76" s="344"/>
      <c r="D76" s="342"/>
      <c r="E76" s="485"/>
      <c r="F76" s="413"/>
      <c r="G76" s="354"/>
      <c r="H76" s="414"/>
      <c r="I76" s="390"/>
      <c r="J76" s="412"/>
      <c r="K76" s="355"/>
      <c r="L76" s="387"/>
      <c r="M76" s="388"/>
      <c r="N76" s="355"/>
      <c r="R76" s="102"/>
    </row>
    <row r="77" spans="1:18" s="5" customFormat="1" ht="12" customHeight="1" x14ac:dyDescent="0.2">
      <c r="A77" s="528">
        <v>1302</v>
      </c>
      <c r="B77" s="530" t="s">
        <v>86</v>
      </c>
      <c r="C77" s="346" t="s">
        <v>87</v>
      </c>
      <c r="D77" s="333" t="s">
        <v>56</v>
      </c>
      <c r="E77" s="484">
        <f>'1302'!G15</f>
        <v>5446374.8200000003</v>
      </c>
      <c r="F77" s="492">
        <f>'1302'!G17</f>
        <v>5596372.6500000004</v>
      </c>
      <c r="G77" s="358">
        <v>0</v>
      </c>
      <c r="H77" s="415">
        <f>F77-E77-G77</f>
        <v>149997.83000000007</v>
      </c>
      <c r="I77" s="404">
        <v>0</v>
      </c>
      <c r="J77" s="413">
        <f t="shared" ref="J77" si="25">H77-I77</f>
        <v>149997.83000000007</v>
      </c>
      <c r="K77" s="356">
        <v>0</v>
      </c>
      <c r="L77" s="389">
        <f>'1302'!G29</f>
        <v>60000</v>
      </c>
      <c r="M77" s="390">
        <f>'1302'!G30</f>
        <v>89997.83</v>
      </c>
      <c r="N77" s="356"/>
      <c r="O77" s="102"/>
      <c r="R77" s="102"/>
    </row>
    <row r="78" spans="1:18" s="5" customFormat="1" ht="12" customHeight="1" x14ac:dyDescent="0.2">
      <c r="A78" s="529"/>
      <c r="B78" s="531"/>
      <c r="C78" s="344"/>
      <c r="D78" s="342"/>
      <c r="E78" s="484"/>
      <c r="F78" s="413"/>
      <c r="G78" s="354"/>
      <c r="H78" s="414"/>
      <c r="I78" s="402"/>
      <c r="J78" s="412"/>
      <c r="K78" s="355"/>
      <c r="L78" s="387"/>
      <c r="M78" s="388"/>
      <c r="N78" s="355"/>
      <c r="R78" s="102"/>
    </row>
    <row r="79" spans="1:18" s="5" customFormat="1" ht="12" customHeight="1" x14ac:dyDescent="0.2">
      <c r="A79" s="528">
        <v>1303</v>
      </c>
      <c r="B79" s="526" t="s">
        <v>232</v>
      </c>
      <c r="C79" s="346" t="s">
        <v>88</v>
      </c>
      <c r="D79" s="333" t="s">
        <v>54</v>
      </c>
      <c r="E79" s="461">
        <f>'1303'!G15</f>
        <v>8509304.5199999996</v>
      </c>
      <c r="F79" s="492">
        <f>'1303'!G17</f>
        <v>8577278.9000000004</v>
      </c>
      <c r="G79" s="358">
        <v>0</v>
      </c>
      <c r="H79" s="415">
        <f>F79-E79-G79</f>
        <v>67974.38000000082</v>
      </c>
      <c r="I79" s="403">
        <v>0</v>
      </c>
      <c r="J79" s="413">
        <f t="shared" ref="J79" si="26">H79-I79</f>
        <v>67974.38000000082</v>
      </c>
      <c r="K79" s="356">
        <v>0</v>
      </c>
      <c r="L79" s="389">
        <f>'1303'!G29</f>
        <v>20000</v>
      </c>
      <c r="M79" s="390">
        <f>'1303'!G30</f>
        <v>47974.38</v>
      </c>
      <c r="N79" s="356"/>
      <c r="O79" s="102"/>
      <c r="R79" s="102"/>
    </row>
    <row r="80" spans="1:18" s="5" customFormat="1" ht="12" customHeight="1" x14ac:dyDescent="0.2">
      <c r="A80" s="529"/>
      <c r="B80" s="527"/>
      <c r="C80" s="344"/>
      <c r="D80" s="342"/>
      <c r="E80" s="484"/>
      <c r="F80" s="412"/>
      <c r="G80" s="425"/>
      <c r="H80" s="414"/>
      <c r="I80" s="403"/>
      <c r="J80" s="412"/>
      <c r="K80" s="355"/>
      <c r="L80" s="387"/>
      <c r="M80" s="388"/>
      <c r="N80" s="355"/>
      <c r="R80" s="102"/>
    </row>
    <row r="81" spans="1:18" s="5" customFormat="1" ht="12" customHeight="1" x14ac:dyDescent="0.2">
      <c r="A81" s="528">
        <v>1304</v>
      </c>
      <c r="B81" s="526" t="s">
        <v>232</v>
      </c>
      <c r="C81" s="337" t="s">
        <v>242</v>
      </c>
      <c r="D81" s="349" t="s">
        <v>59</v>
      </c>
      <c r="E81" s="461">
        <f>'1304'!G15</f>
        <v>12988196.27</v>
      </c>
      <c r="F81" s="492">
        <f>'1304'!G17</f>
        <v>12996512.82</v>
      </c>
      <c r="G81" s="354">
        <v>0</v>
      </c>
      <c r="H81" s="415">
        <f>F81-E81-G81</f>
        <v>8316.5500000007451</v>
      </c>
      <c r="I81" s="407">
        <v>0</v>
      </c>
      <c r="J81" s="413">
        <f t="shared" ref="J81" si="27">H81-I81</f>
        <v>8316.5500000007451</v>
      </c>
      <c r="K81" s="356">
        <v>0</v>
      </c>
      <c r="L81" s="389">
        <f>'1304'!G29</f>
        <v>0</v>
      </c>
      <c r="M81" s="390">
        <f>'1304'!G30</f>
        <v>8316.5499999999993</v>
      </c>
      <c r="N81" s="356"/>
      <c r="O81" s="102"/>
      <c r="R81" s="102"/>
    </row>
    <row r="82" spans="1:18" s="5" customFormat="1" ht="12" customHeight="1" x14ac:dyDescent="0.2">
      <c r="A82" s="529"/>
      <c r="B82" s="527"/>
      <c r="C82" s="334"/>
      <c r="D82" s="342"/>
      <c r="E82" s="485"/>
      <c r="F82" s="412"/>
      <c r="G82" s="354"/>
      <c r="H82" s="418"/>
      <c r="I82" s="408"/>
      <c r="J82" s="412"/>
      <c r="K82" s="355"/>
      <c r="L82" s="387"/>
      <c r="M82" s="388"/>
      <c r="N82" s="355"/>
      <c r="R82" s="102"/>
    </row>
    <row r="83" spans="1:18" s="5" customFormat="1" ht="12" customHeight="1" x14ac:dyDescent="0.2">
      <c r="A83" s="528">
        <v>1350</v>
      </c>
      <c r="B83" s="526" t="s">
        <v>233</v>
      </c>
      <c r="C83" s="337" t="s">
        <v>89</v>
      </c>
      <c r="D83" s="333" t="s">
        <v>90</v>
      </c>
      <c r="E83" s="484">
        <f>'1350'!G15</f>
        <v>23869661.07</v>
      </c>
      <c r="F83" s="413">
        <f>'1350'!G17</f>
        <v>24154676.199999999</v>
      </c>
      <c r="G83" s="358">
        <f>'1350'!G21</f>
        <v>0</v>
      </c>
      <c r="H83" s="415">
        <f>F83-E83-G83</f>
        <v>285015.12999999896</v>
      </c>
      <c r="I83" s="407">
        <v>0</v>
      </c>
      <c r="J83" s="413">
        <f t="shared" ref="J83" si="28">H83-I83</f>
        <v>285015.12999999896</v>
      </c>
      <c r="K83" s="356">
        <v>0</v>
      </c>
      <c r="L83" s="391">
        <f>'1350'!G29</f>
        <v>15000</v>
      </c>
      <c r="M83" s="392">
        <f>'1350'!G30</f>
        <v>270015.13</v>
      </c>
      <c r="N83" s="357"/>
      <c r="O83" s="102"/>
      <c r="R83" s="102"/>
    </row>
    <row r="84" spans="1:18" s="5" customFormat="1" ht="12" customHeight="1" x14ac:dyDescent="0.2">
      <c r="A84" s="529"/>
      <c r="B84" s="527"/>
      <c r="C84" s="334"/>
      <c r="D84" s="333"/>
      <c r="E84" s="484"/>
      <c r="F84" s="412"/>
      <c r="G84" s="354"/>
      <c r="H84" s="418"/>
      <c r="I84" s="408"/>
      <c r="J84" s="412"/>
      <c r="K84" s="355"/>
      <c r="L84" s="387"/>
      <c r="M84" s="390"/>
      <c r="N84" s="356"/>
      <c r="R84" s="102"/>
    </row>
    <row r="85" spans="1:18" s="5" customFormat="1" ht="12" customHeight="1" x14ac:dyDescent="0.2">
      <c r="A85" s="528">
        <v>1351</v>
      </c>
      <c r="B85" s="526" t="s">
        <v>234</v>
      </c>
      <c r="C85" s="332" t="s">
        <v>91</v>
      </c>
      <c r="D85" s="338" t="s">
        <v>54</v>
      </c>
      <c r="E85" s="461">
        <f>'1351'!G15</f>
        <v>5707334.5899999999</v>
      </c>
      <c r="F85" s="492">
        <f>'1351'!G17</f>
        <v>5802760.7999999998</v>
      </c>
      <c r="G85" s="358">
        <v>0</v>
      </c>
      <c r="H85" s="415">
        <f>F85-E85-G85</f>
        <v>95426.209999999963</v>
      </c>
      <c r="I85" s="404">
        <v>0</v>
      </c>
      <c r="J85" s="413">
        <f t="shared" ref="J85" si="29">H85-I85</f>
        <v>95426.209999999963</v>
      </c>
      <c r="K85" s="356">
        <v>0</v>
      </c>
      <c r="L85" s="391">
        <f>'1351'!G29</f>
        <v>10000</v>
      </c>
      <c r="M85" s="392">
        <f>'1351'!G30</f>
        <v>85426.21</v>
      </c>
      <c r="N85" s="357"/>
      <c r="O85" s="102"/>
      <c r="R85" s="102"/>
    </row>
    <row r="86" spans="1:18" s="478" customFormat="1" ht="12" customHeight="1" thickBot="1" x14ac:dyDescent="0.25">
      <c r="A86" s="538"/>
      <c r="B86" s="539"/>
      <c r="C86" s="463"/>
      <c r="D86" s="476"/>
      <c r="E86" s="465"/>
      <c r="F86" s="466"/>
      <c r="G86" s="467"/>
      <c r="H86" s="468"/>
      <c r="I86" s="477"/>
      <c r="J86" s="466"/>
      <c r="K86" s="471"/>
      <c r="L86" s="472"/>
      <c r="M86" s="469"/>
      <c r="N86" s="471"/>
      <c r="R86" s="479"/>
    </row>
    <row r="87" spans="1:18" s="5" customFormat="1" ht="12" customHeight="1" x14ac:dyDescent="0.2">
      <c r="A87" s="537">
        <v>1352</v>
      </c>
      <c r="B87" s="532" t="s">
        <v>235</v>
      </c>
      <c r="C87" s="337" t="s">
        <v>92</v>
      </c>
      <c r="D87" s="349" t="s">
        <v>59</v>
      </c>
      <c r="E87" s="484">
        <f>'1352'!G15</f>
        <v>5930611.9400000004</v>
      </c>
      <c r="F87" s="413">
        <f>'1352'!G17</f>
        <v>5948787.3499999996</v>
      </c>
      <c r="G87" s="354">
        <v>0</v>
      </c>
      <c r="H87" s="414">
        <f>F87-E87-G87</f>
        <v>18175.409999999218</v>
      </c>
      <c r="I87" s="409">
        <v>0</v>
      </c>
      <c r="J87" s="413">
        <f t="shared" ref="J87" si="30">H87-I87</f>
        <v>18175.409999999218</v>
      </c>
      <c r="K87" s="356">
        <v>0</v>
      </c>
      <c r="L87" s="389">
        <f>'1352'!G29</f>
        <v>7000</v>
      </c>
      <c r="M87" s="390">
        <f>'1352'!G30</f>
        <v>11175.41</v>
      </c>
      <c r="N87" s="356"/>
      <c r="O87" s="102"/>
      <c r="R87" s="102"/>
    </row>
    <row r="88" spans="1:18" s="5" customFormat="1" ht="12" customHeight="1" x14ac:dyDescent="0.2">
      <c r="A88" s="529"/>
      <c r="B88" s="527"/>
      <c r="C88" s="353"/>
      <c r="D88" s="422"/>
      <c r="E88" s="487"/>
      <c r="F88" s="430"/>
      <c r="G88" s="429"/>
      <c r="H88" s="421"/>
      <c r="I88" s="410"/>
      <c r="J88" s="412"/>
      <c r="K88" s="355"/>
      <c r="L88" s="387"/>
      <c r="M88" s="388"/>
      <c r="N88" s="355"/>
      <c r="R88" s="102"/>
    </row>
    <row r="89" spans="1:18" s="5" customFormat="1" ht="12" customHeight="1" x14ac:dyDescent="0.2">
      <c r="A89" s="528">
        <v>1400</v>
      </c>
      <c r="B89" s="526" t="s">
        <v>236</v>
      </c>
      <c r="C89" s="97" t="s">
        <v>93</v>
      </c>
      <c r="D89" s="338" t="s">
        <v>46</v>
      </c>
      <c r="E89" s="484">
        <f>'1400'!G15</f>
        <v>18725463.579999998</v>
      </c>
      <c r="F89" s="413">
        <f>'1400'!G17</f>
        <v>18726207.789999999</v>
      </c>
      <c r="G89" s="354">
        <v>0</v>
      </c>
      <c r="H89" s="415">
        <f>F89-E89-G89</f>
        <v>744.21000000089407</v>
      </c>
      <c r="I89" s="407">
        <v>0</v>
      </c>
      <c r="J89" s="413">
        <f t="shared" ref="J89" si="31">H89-I89</f>
        <v>744.21000000089407</v>
      </c>
      <c r="K89" s="356">
        <v>0</v>
      </c>
      <c r="L89" s="389">
        <f>'1400'!G29</f>
        <v>0</v>
      </c>
      <c r="M89" s="390">
        <f>'1400'!G30</f>
        <v>744.21</v>
      </c>
      <c r="N89" s="356"/>
      <c r="O89" s="102"/>
      <c r="R89" s="102"/>
    </row>
    <row r="90" spans="1:18" s="5" customFormat="1" ht="12" customHeight="1" x14ac:dyDescent="0.2">
      <c r="A90" s="529"/>
      <c r="B90" s="527"/>
      <c r="C90" s="98"/>
      <c r="D90" s="331"/>
      <c r="E90" s="485"/>
      <c r="F90" s="412"/>
      <c r="G90" s="425"/>
      <c r="H90" s="418"/>
      <c r="I90" s="408"/>
      <c r="J90" s="412"/>
      <c r="K90" s="355"/>
      <c r="L90" s="387"/>
      <c r="M90" s="388"/>
      <c r="N90" s="355"/>
      <c r="R90" s="102"/>
    </row>
    <row r="91" spans="1:18" s="5" customFormat="1" ht="12" customHeight="1" x14ac:dyDescent="0.2">
      <c r="A91" s="528">
        <v>1420</v>
      </c>
      <c r="B91" s="526" t="s">
        <v>258</v>
      </c>
      <c r="C91" s="97" t="s">
        <v>64</v>
      </c>
      <c r="D91" s="338" t="s">
        <v>260</v>
      </c>
      <c r="E91" s="484">
        <f>'1420'!G15</f>
        <v>21385962.09</v>
      </c>
      <c r="F91" s="413">
        <f>'1420'!G17</f>
        <v>21303381.380000003</v>
      </c>
      <c r="G91" s="354">
        <f>'1420'!G21</f>
        <v>43790</v>
      </c>
      <c r="H91" s="415">
        <f>F91-E91-G91</f>
        <v>-126370.70999999717</v>
      </c>
      <c r="I91" s="404">
        <v>0</v>
      </c>
      <c r="J91" s="413">
        <v>0</v>
      </c>
      <c r="K91" s="356">
        <f>H91-I91</f>
        <v>-126370.70999999717</v>
      </c>
      <c r="L91" s="389">
        <f>'1420'!G29</f>
        <v>0</v>
      </c>
      <c r="M91" s="390">
        <f>'1420'!G30</f>
        <v>0</v>
      </c>
      <c r="N91" s="356"/>
      <c r="O91" s="102"/>
      <c r="R91" s="102"/>
    </row>
    <row r="92" spans="1:18" s="5" customFormat="1" ht="12" customHeight="1" x14ac:dyDescent="0.2">
      <c r="A92" s="529"/>
      <c r="B92" s="527"/>
      <c r="C92" s="98"/>
      <c r="D92" s="331" t="s">
        <v>259</v>
      </c>
      <c r="E92" s="485"/>
      <c r="F92" s="412"/>
      <c r="G92" s="425"/>
      <c r="H92" s="418"/>
      <c r="I92" s="408"/>
      <c r="J92" s="412"/>
      <c r="K92" s="355"/>
      <c r="L92" s="387"/>
      <c r="M92" s="388"/>
      <c r="N92" s="355"/>
      <c r="R92" s="102"/>
    </row>
    <row r="93" spans="1:18" s="5" customFormat="1" ht="12" customHeight="1" x14ac:dyDescent="0.2">
      <c r="A93" s="528">
        <v>1450</v>
      </c>
      <c r="B93" s="530" t="s">
        <v>243</v>
      </c>
      <c r="C93" s="340" t="s">
        <v>93</v>
      </c>
      <c r="D93" s="333" t="s">
        <v>46</v>
      </c>
      <c r="E93" s="484">
        <f>'1450'!G15</f>
        <v>27495188.149999999</v>
      </c>
      <c r="F93" s="492">
        <f>'1450'!G17</f>
        <v>27631532.710000001</v>
      </c>
      <c r="G93" s="354">
        <v>0</v>
      </c>
      <c r="H93" s="414">
        <f>F93-E93-G93</f>
        <v>136344.56000000238</v>
      </c>
      <c r="I93" s="409">
        <v>0</v>
      </c>
      <c r="J93" s="413">
        <f t="shared" ref="J93" si="32">H93-I93</f>
        <v>136344.56000000238</v>
      </c>
      <c r="K93" s="356">
        <v>0</v>
      </c>
      <c r="L93" s="391">
        <f>'1450'!G29</f>
        <v>25000</v>
      </c>
      <c r="M93" s="392">
        <f>'1450'!G30</f>
        <v>111344.56</v>
      </c>
      <c r="N93" s="357"/>
      <c r="O93" s="102"/>
      <c r="R93" s="102"/>
    </row>
    <row r="94" spans="1:18" s="5" customFormat="1" ht="12" customHeight="1" thickBot="1" x14ac:dyDescent="0.25">
      <c r="A94" s="529"/>
      <c r="B94" s="531" t="s">
        <v>124</v>
      </c>
      <c r="C94" s="165"/>
      <c r="D94" s="348"/>
      <c r="E94" s="488"/>
      <c r="F94" s="494"/>
      <c r="G94" s="428"/>
      <c r="H94" s="414"/>
      <c r="I94" s="399"/>
      <c r="J94" s="499"/>
      <c r="K94" s="498"/>
      <c r="L94" s="393"/>
      <c r="M94" s="394"/>
      <c r="N94" s="395"/>
      <c r="R94" s="102"/>
    </row>
    <row r="95" spans="1:18" s="5" customFormat="1" ht="12" customHeight="1" thickTop="1" x14ac:dyDescent="0.2">
      <c r="A95" s="359"/>
      <c r="B95" s="360"/>
      <c r="C95" s="361"/>
      <c r="D95" s="423"/>
      <c r="E95" s="480"/>
      <c r="G95" s="481"/>
      <c r="H95" s="500"/>
      <c r="I95" s="411"/>
      <c r="J95" s="375"/>
      <c r="K95" s="501"/>
      <c r="L95" s="495"/>
      <c r="M95" s="373"/>
      <c r="N95" s="376"/>
    </row>
    <row r="96" spans="1:18" s="5" customFormat="1" ht="12" customHeight="1" x14ac:dyDescent="0.25">
      <c r="A96" s="362" t="s">
        <v>23</v>
      </c>
      <c r="B96" s="363"/>
      <c r="C96" s="364"/>
      <c r="D96" s="329"/>
      <c r="E96" s="365">
        <f>SUM(E11:E94)</f>
        <v>1054325753.05</v>
      </c>
      <c r="F96" s="366">
        <f>SUM(F11:F94)</f>
        <v>1061901350.39</v>
      </c>
      <c r="G96" s="367">
        <f>SUM(G11:G94)</f>
        <v>461480</v>
      </c>
      <c r="H96" s="365">
        <f>SUM(H11:H94)</f>
        <v>7114117.3400000259</v>
      </c>
      <c r="I96" s="366">
        <f>SUM(I11:I93)</f>
        <v>2938454</v>
      </c>
      <c r="J96" s="382">
        <f>SUM(J11:J93)</f>
        <v>5405056.1100000273</v>
      </c>
      <c r="K96" s="367">
        <f>SUM(K11:K93)</f>
        <v>-1229392.7700000014</v>
      </c>
      <c r="L96" s="496">
        <f>SUM(L11:L94)</f>
        <v>567198</v>
      </c>
      <c r="M96" s="396">
        <f>SUM(M11:M94)</f>
        <v>4797442.0699999994</v>
      </c>
      <c r="N96" s="397">
        <f>SUM(N11:N94)</f>
        <v>40416.04</v>
      </c>
    </row>
    <row r="97" spans="1:14" s="5" customFormat="1" ht="12" customHeight="1" thickBot="1" x14ac:dyDescent="0.3">
      <c r="A97" s="368"/>
      <c r="B97" s="369"/>
      <c r="C97" s="99"/>
      <c r="D97" s="424"/>
      <c r="E97" s="370"/>
      <c r="F97" s="371"/>
      <c r="G97" s="431"/>
      <c r="H97" s="502"/>
      <c r="I97" s="400"/>
      <c r="J97" s="383" t="s">
        <v>302</v>
      </c>
      <c r="K97" s="503">
        <f>J96+K96</f>
        <v>4175663.3400000259</v>
      </c>
      <c r="L97" s="497" t="s">
        <v>303</v>
      </c>
      <c r="M97" s="372"/>
      <c r="N97" s="374">
        <f>L96+M96+N96</f>
        <v>5405056.1099999994</v>
      </c>
    </row>
    <row r="98" spans="1:14" ht="13.5" thickTop="1" x14ac:dyDescent="0.2">
      <c r="G98" s="100"/>
      <c r="I98" s="100"/>
    </row>
    <row r="99" spans="1:14" x14ac:dyDescent="0.2">
      <c r="G99" s="228"/>
      <c r="H99" s="384"/>
      <c r="I99" s="100"/>
      <c r="L99" s="384"/>
    </row>
    <row r="100" spans="1:14" s="5" customFormat="1" x14ac:dyDescent="0.2">
      <c r="A100" s="165" t="s">
        <v>286</v>
      </c>
      <c r="B100" s="165"/>
      <c r="C100" s="165"/>
      <c r="D100" s="165"/>
      <c r="E100" s="40"/>
      <c r="F100" s="40"/>
      <c r="G100" s="228"/>
      <c r="H100" s="228"/>
      <c r="I100" s="40"/>
      <c r="L100" s="150"/>
    </row>
    <row r="101" spans="1:14" s="5" customFormat="1" x14ac:dyDescent="0.2">
      <c r="A101" s="165"/>
      <c r="B101" s="165"/>
      <c r="C101" s="165" t="s">
        <v>288</v>
      </c>
      <c r="D101" s="105"/>
      <c r="E101" s="385"/>
      <c r="F101" s="385"/>
      <c r="G101" s="385"/>
      <c r="H101" s="228"/>
      <c r="I101" s="40"/>
    </row>
    <row r="102" spans="1:14" s="5" customFormat="1" x14ac:dyDescent="0.2">
      <c r="A102" s="165"/>
      <c r="B102" s="165"/>
      <c r="C102" s="90" t="s">
        <v>334</v>
      </c>
      <c r="D102" s="105"/>
      <c r="E102" s="385"/>
      <c r="F102" s="385"/>
      <c r="G102" s="385"/>
      <c r="H102" s="40"/>
      <c r="I102" s="40"/>
    </row>
    <row r="103" spans="1:14" s="5" customFormat="1" x14ac:dyDescent="0.2">
      <c r="A103" s="165"/>
      <c r="B103" s="165"/>
      <c r="C103" s="165" t="s">
        <v>287</v>
      </c>
      <c r="D103" s="105"/>
      <c r="E103" s="385"/>
      <c r="F103" s="385"/>
      <c r="G103" s="385"/>
      <c r="H103" s="40"/>
      <c r="I103" s="40"/>
    </row>
    <row r="104" spans="1:14" s="5" customFormat="1" x14ac:dyDescent="0.2">
      <c r="A104" s="165"/>
      <c r="B104" s="165"/>
      <c r="C104" s="165"/>
      <c r="D104" s="165"/>
      <c r="E104" s="40"/>
      <c r="F104" s="40"/>
      <c r="G104" s="40"/>
      <c r="H104" s="40"/>
      <c r="I104" s="40"/>
    </row>
    <row r="105" spans="1:14" s="105" customFormat="1" ht="12" customHeight="1" x14ac:dyDescent="0.2">
      <c r="A105" s="40" t="s">
        <v>337</v>
      </c>
      <c r="B105" s="40"/>
      <c r="C105" s="40"/>
      <c r="D105" s="40"/>
      <c r="E105" s="40"/>
      <c r="F105" s="40"/>
      <c r="G105" s="40"/>
      <c r="H105" s="40"/>
      <c r="I105" s="153"/>
      <c r="J105" s="381"/>
      <c r="K105" s="381"/>
      <c r="L105" s="381"/>
      <c r="M105" s="381"/>
    </row>
    <row r="106" spans="1:14" s="5" customFormat="1" ht="12" customHeight="1" x14ac:dyDescent="0.2">
      <c r="A106" s="40"/>
      <c r="B106" s="40"/>
      <c r="C106" s="40" t="s">
        <v>17</v>
      </c>
      <c r="D106" s="40"/>
      <c r="E106" s="40"/>
      <c r="F106" s="40"/>
      <c r="G106" s="40"/>
      <c r="H106" s="40"/>
      <c r="I106" s="153"/>
      <c r="J106" s="381"/>
      <c r="K106" s="381"/>
      <c r="L106" s="381"/>
      <c r="M106" s="381"/>
    </row>
    <row r="107" spans="1:14" s="5" customFormat="1" x14ac:dyDescent="0.2">
      <c r="A107" s="40"/>
      <c r="B107" s="40"/>
      <c r="C107" s="40" t="s">
        <v>336</v>
      </c>
      <c r="D107" s="40"/>
      <c r="E107" s="40"/>
      <c r="F107" s="40"/>
      <c r="G107" s="432"/>
      <c r="H107" s="40"/>
      <c r="I107" s="153"/>
    </row>
    <row r="108" spans="1:14" s="5" customFormat="1" x14ac:dyDescent="0.2">
      <c r="A108" s="40"/>
      <c r="B108" s="40"/>
      <c r="C108" s="40" t="s">
        <v>335</v>
      </c>
      <c r="D108" s="40"/>
      <c r="E108" s="40"/>
      <c r="F108" s="40"/>
      <c r="G108" s="40"/>
      <c r="H108" s="40"/>
      <c r="I108" s="153"/>
    </row>
    <row r="109" spans="1:14" s="5" customFormat="1" x14ac:dyDescent="0.2">
      <c r="A109" s="40"/>
      <c r="B109" s="40"/>
      <c r="C109" s="165" t="s">
        <v>287</v>
      </c>
      <c r="D109" s="386"/>
      <c r="E109" s="40"/>
      <c r="F109" s="40"/>
      <c r="G109" s="40"/>
      <c r="H109" s="40"/>
      <c r="I109" s="14"/>
    </row>
    <row r="110" spans="1:14" s="5" customFormat="1" ht="15" x14ac:dyDescent="0.2">
      <c r="A110" s="4"/>
      <c r="B110" s="4"/>
      <c r="C110" s="132"/>
      <c r="D110" s="132"/>
      <c r="E110" s="100"/>
      <c r="F110" s="153"/>
      <c r="G110" s="153"/>
      <c r="H110" s="153"/>
      <c r="I110" s="14"/>
    </row>
    <row r="111" spans="1:14" s="5" customFormat="1" ht="15" x14ac:dyDescent="0.2">
      <c r="A111" s="4"/>
      <c r="B111" s="4"/>
      <c r="D111" s="90"/>
      <c r="E111" s="153"/>
      <c r="F111" s="153"/>
      <c r="G111" s="153"/>
      <c r="H111" s="153"/>
      <c r="I111" s="14"/>
    </row>
    <row r="112" spans="1:14" s="5" customFormat="1" ht="15" x14ac:dyDescent="0.2">
      <c r="A112" s="4"/>
      <c r="B112" s="4"/>
      <c r="C112" s="90"/>
      <c r="D112" s="90"/>
      <c r="E112" s="153"/>
      <c r="F112" s="153"/>
      <c r="G112" s="153"/>
      <c r="H112" s="153"/>
      <c r="I112" s="14"/>
    </row>
    <row r="113" spans="1:9" s="5" customFormat="1" ht="15" x14ac:dyDescent="0.2">
      <c r="A113" s="4"/>
      <c r="B113" s="4"/>
      <c r="C113" s="90"/>
      <c r="D113" s="90"/>
      <c r="E113" s="100"/>
      <c r="F113" s="153"/>
      <c r="G113" s="153"/>
      <c r="H113" s="153"/>
      <c r="I113" s="14"/>
    </row>
    <row r="114" spans="1:9" s="5" customFormat="1" ht="15" x14ac:dyDescent="0.2">
      <c r="A114" s="4"/>
      <c r="B114" s="4"/>
      <c r="C114" s="90"/>
      <c r="D114" s="90"/>
      <c r="E114" s="100"/>
      <c r="F114" s="153"/>
      <c r="G114" s="153"/>
      <c r="H114" s="153"/>
      <c r="I114" s="14"/>
    </row>
    <row r="115" spans="1:9" x14ac:dyDescent="0.2">
      <c r="A115" s="153"/>
      <c r="B115" s="153"/>
      <c r="C115" s="153"/>
      <c r="D115" s="153"/>
      <c r="E115" s="153"/>
      <c r="F115" s="153"/>
      <c r="G115" s="153"/>
      <c r="H115" s="153"/>
    </row>
    <row r="116" spans="1:9" x14ac:dyDescent="0.2">
      <c r="A116" s="153"/>
      <c r="B116" s="153"/>
      <c r="C116" s="153"/>
      <c r="D116" s="153"/>
      <c r="E116" s="153"/>
      <c r="F116" s="153"/>
      <c r="G116" s="153"/>
      <c r="H116" s="153"/>
    </row>
    <row r="117" spans="1:9" x14ac:dyDescent="0.2">
      <c r="A117" s="153"/>
      <c r="B117" s="153"/>
      <c r="C117" s="153"/>
      <c r="D117" s="153"/>
      <c r="E117" s="153"/>
      <c r="F117" s="153"/>
      <c r="G117" s="153"/>
      <c r="H117" s="153"/>
    </row>
    <row r="118" spans="1:9" x14ac:dyDescent="0.2">
      <c r="A118" s="153"/>
      <c r="B118" s="153"/>
      <c r="C118" s="153"/>
      <c r="D118" s="153"/>
      <c r="E118" s="153"/>
      <c r="F118" s="153"/>
      <c r="G118" s="153"/>
      <c r="H118" s="153"/>
    </row>
  </sheetData>
  <mergeCells count="92">
    <mergeCell ref="B55:B56"/>
    <mergeCell ref="A51:A52"/>
    <mergeCell ref="B51:B52"/>
    <mergeCell ref="A53:A54"/>
    <mergeCell ref="B53:B54"/>
    <mergeCell ref="A55:A56"/>
    <mergeCell ref="A81:A82"/>
    <mergeCell ref="B81:B82"/>
    <mergeCell ref="B63:B64"/>
    <mergeCell ref="A57:A58"/>
    <mergeCell ref="B57:B58"/>
    <mergeCell ref="A59:A60"/>
    <mergeCell ref="B59:B60"/>
    <mergeCell ref="A75:A76"/>
    <mergeCell ref="B79:B80"/>
    <mergeCell ref="B75:B76"/>
    <mergeCell ref="A77:A78"/>
    <mergeCell ref="B77:B78"/>
    <mergeCell ref="A79:A80"/>
    <mergeCell ref="A69:A70"/>
    <mergeCell ref="B69:B70"/>
    <mergeCell ref="A71:A72"/>
    <mergeCell ref="A83:A84"/>
    <mergeCell ref="B83:B84"/>
    <mergeCell ref="A85:A86"/>
    <mergeCell ref="B85:B86"/>
    <mergeCell ref="B11:B12"/>
    <mergeCell ref="A11:A12"/>
    <mergeCell ref="B71:B72"/>
    <mergeCell ref="A73:A74"/>
    <mergeCell ref="B73:B74"/>
    <mergeCell ref="A65:A66"/>
    <mergeCell ref="B65:B66"/>
    <mergeCell ref="A67:A68"/>
    <mergeCell ref="B67:B68"/>
    <mergeCell ref="A61:A62"/>
    <mergeCell ref="B61:B62"/>
    <mergeCell ref="A63:A64"/>
    <mergeCell ref="A93:A94"/>
    <mergeCell ref="B93:B94"/>
    <mergeCell ref="A91:A92"/>
    <mergeCell ref="B91:B92"/>
    <mergeCell ref="A87:A88"/>
    <mergeCell ref="B87:B88"/>
    <mergeCell ref="A89:A90"/>
    <mergeCell ref="B89:B90"/>
    <mergeCell ref="B49:B50"/>
    <mergeCell ref="A43:A44"/>
    <mergeCell ref="B43:B44"/>
    <mergeCell ref="A45:A46"/>
    <mergeCell ref="B45:B46"/>
    <mergeCell ref="A47:A48"/>
    <mergeCell ref="B47:B48"/>
    <mergeCell ref="A49:A50"/>
    <mergeCell ref="A41:A42"/>
    <mergeCell ref="B41:B42"/>
    <mergeCell ref="A35:A36"/>
    <mergeCell ref="B35:B36"/>
    <mergeCell ref="A37:A38"/>
    <mergeCell ref="B37:B38"/>
    <mergeCell ref="A33:A34"/>
    <mergeCell ref="B33:B34"/>
    <mergeCell ref="A29:A30"/>
    <mergeCell ref="B29:B30"/>
    <mergeCell ref="A39:A40"/>
    <mergeCell ref="B39:B40"/>
    <mergeCell ref="A27:A28"/>
    <mergeCell ref="B27:B28"/>
    <mergeCell ref="A23:A24"/>
    <mergeCell ref="B23:B24"/>
    <mergeCell ref="A31:A32"/>
    <mergeCell ref="B31:B32"/>
    <mergeCell ref="B13:B14"/>
    <mergeCell ref="A13:A14"/>
    <mergeCell ref="A15:A16"/>
    <mergeCell ref="B15:B16"/>
    <mergeCell ref="A25:A26"/>
    <mergeCell ref="B25:B26"/>
    <mergeCell ref="A21:A22"/>
    <mergeCell ref="B21:B22"/>
    <mergeCell ref="A17:A18"/>
    <mergeCell ref="B17:B18"/>
    <mergeCell ref="A19:A20"/>
    <mergeCell ref="B19:B20"/>
    <mergeCell ref="H7:K7"/>
    <mergeCell ref="L7:N7"/>
    <mergeCell ref="L8:N8"/>
    <mergeCell ref="H9:H10"/>
    <mergeCell ref="I9:I10"/>
    <mergeCell ref="J9:K9"/>
    <mergeCell ref="L9:M9"/>
    <mergeCell ref="N9:N10"/>
  </mergeCells>
  <phoneticPr fontId="10" type="noConversion"/>
  <pageMargins left="0.39370078740157483" right="0" top="0.78740157480314965" bottom="0.19685039370078741" header="0.51181102362204722" footer="0.51181102362204722"/>
  <pageSetup paperSize="9" scale="75" firstPageNumber="280" orientation="landscape" useFirstPageNumber="1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  <rowBreaks count="2" manualBreakCount="2">
    <brk id="46" max="13" man="1"/>
    <brk id="86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theme="3" tint="0.59999389629810485"/>
  </sheetPr>
  <dimension ref="A1:J58"/>
  <sheetViews>
    <sheetView topLeftCell="A16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138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139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140</v>
      </c>
      <c r="F6" s="20"/>
      <c r="G6" s="21" t="s">
        <v>37</v>
      </c>
      <c r="H6" s="22">
        <v>1033</v>
      </c>
    </row>
    <row r="7" spans="1:10" ht="9.75" customHeight="1" x14ac:dyDescent="0.4">
      <c r="A7" s="18"/>
      <c r="E7" s="544" t="s">
        <v>101</v>
      </c>
      <c r="F7" s="544"/>
      <c r="G7" s="544"/>
      <c r="H7" s="544"/>
      <c r="I7" s="544"/>
    </row>
    <row r="8" spans="1:10" ht="4.5" customHeight="1" x14ac:dyDescent="0.4">
      <c r="A8" s="18"/>
      <c r="E8" s="23"/>
      <c r="F8" s="23"/>
      <c r="G8" s="23"/>
      <c r="H8" s="21"/>
      <c r="I8" s="23"/>
    </row>
    <row r="9" spans="1:10" ht="23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1018000</v>
      </c>
      <c r="F15" s="128">
        <v>5927158</v>
      </c>
      <c r="G15" s="6">
        <f>H15+I15</f>
        <v>6015999.8899999997</v>
      </c>
      <c r="H15" s="127">
        <v>6015999.8899999997</v>
      </c>
      <c r="I15" s="127">
        <v>0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1018000</v>
      </c>
      <c r="F17" s="128">
        <v>6048901</v>
      </c>
      <c r="G17" s="6">
        <f>H17+I17</f>
        <v>6015999.8899999997</v>
      </c>
      <c r="H17" s="127">
        <v>6015999.8899999997</v>
      </c>
      <c r="I17" s="127">
        <v>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0</v>
      </c>
      <c r="H23" s="264">
        <f>H17-H15-H21</f>
        <v>0</v>
      </c>
      <c r="I23" s="264">
        <f>I17-I15-I21</f>
        <v>0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0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0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0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0</v>
      </c>
      <c r="G37" s="167">
        <v>0</v>
      </c>
      <c r="H37" s="129"/>
      <c r="I37" s="64" t="s">
        <v>211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45324</v>
      </c>
      <c r="G38" s="167">
        <v>45324</v>
      </c>
      <c r="H38" s="129"/>
      <c r="I38" s="64">
        <f>G38/F38</f>
        <v>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33743</v>
      </c>
      <c r="G40" s="167">
        <v>33743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16500</v>
      </c>
      <c r="F49" s="187">
        <v>2000</v>
      </c>
      <c r="G49" s="75">
        <v>0</v>
      </c>
      <c r="H49" s="75">
        <f>E49+F49-G49</f>
        <v>18500</v>
      </c>
      <c r="I49" s="188">
        <f>H49</f>
        <v>18500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10868.129999999997</v>
      </c>
      <c r="F50" s="191">
        <v>33390</v>
      </c>
      <c r="G50" s="78">
        <v>23880</v>
      </c>
      <c r="H50" s="78">
        <f>E50+F50-G50</f>
        <v>20378.129999999997</v>
      </c>
      <c r="I50" s="192">
        <v>18788.28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35259.33</v>
      </c>
      <c r="F51" s="191">
        <f>9516.82+127243</f>
        <v>136759.82</v>
      </c>
      <c r="G51" s="78">
        <f>35000+5500</f>
        <v>40500</v>
      </c>
      <c r="H51" s="78">
        <f>E51+F51-G51</f>
        <v>131519.15000000002</v>
      </c>
      <c r="I51" s="192">
        <f>H51</f>
        <v>131519.15000000002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7340</v>
      </c>
      <c r="F52" s="191">
        <v>45324</v>
      </c>
      <c r="G52" s="78">
        <v>33743</v>
      </c>
      <c r="H52" s="78">
        <f>E52+F52-G52</f>
        <v>18921</v>
      </c>
      <c r="I52" s="192">
        <f>H52</f>
        <v>18921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69967.459999999992</v>
      </c>
      <c r="F53" s="196">
        <f>F49+F50+F51+F52</f>
        <v>217473.82</v>
      </c>
      <c r="G53" s="197">
        <f>G49+G50+G51+G52</f>
        <v>98123</v>
      </c>
      <c r="H53" s="197">
        <f>H49+H50+H51+H52</f>
        <v>189318.28000000003</v>
      </c>
      <c r="I53" s="198">
        <f>I49+I50+I51+I52</f>
        <v>187728.43000000002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88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F46:F47"/>
    <mergeCell ref="E5:I5"/>
    <mergeCell ref="E7:I7"/>
    <mergeCell ref="H12:I12"/>
    <mergeCell ref="A42:I42"/>
    <mergeCell ref="E46:E47"/>
    <mergeCell ref="C28:E28"/>
    <mergeCell ref="C31:F31"/>
    <mergeCell ref="B32:F32"/>
    <mergeCell ref="A2:D2"/>
    <mergeCell ref="E2:I2"/>
    <mergeCell ref="E3:I3"/>
    <mergeCell ref="E4:I4"/>
    <mergeCell ref="H44:I44"/>
    <mergeCell ref="A33:I34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theme="3" tint="0.59999389629810485"/>
  </sheetPr>
  <dimension ref="A1:J58"/>
  <sheetViews>
    <sheetView topLeftCell="A16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96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141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142</v>
      </c>
      <c r="F6" s="20"/>
      <c r="G6" s="21" t="s">
        <v>37</v>
      </c>
      <c r="H6" s="22">
        <v>1034</v>
      </c>
    </row>
    <row r="7" spans="1:10" ht="9" customHeight="1" x14ac:dyDescent="0.4">
      <c r="A7" s="18"/>
      <c r="E7" s="544" t="s">
        <v>101</v>
      </c>
      <c r="F7" s="544"/>
      <c r="G7" s="544"/>
      <c r="H7" s="544"/>
      <c r="I7" s="544"/>
    </row>
    <row r="8" spans="1:10" ht="5.25" customHeight="1" x14ac:dyDescent="0.4">
      <c r="A8" s="18"/>
      <c r="E8" s="23"/>
      <c r="F8" s="23"/>
      <c r="G8" s="23"/>
      <c r="H8" s="21"/>
      <c r="I8" s="23"/>
    </row>
    <row r="9" spans="1:10" ht="17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2660000</v>
      </c>
      <c r="F15" s="128">
        <v>13409015.310000001</v>
      </c>
      <c r="G15" s="6">
        <f>H15+I15</f>
        <v>13408770.01</v>
      </c>
      <c r="H15" s="127">
        <v>13203792.51</v>
      </c>
      <c r="I15" s="127">
        <v>204977.5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2671000</v>
      </c>
      <c r="F17" s="128">
        <v>13427724.810000001</v>
      </c>
      <c r="G17" s="6">
        <f>H17+I17</f>
        <v>13427233.810000001</v>
      </c>
      <c r="H17" s="127">
        <v>13203912.810000001</v>
      </c>
      <c r="I17" s="127">
        <v>223321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18463.800000000745</v>
      </c>
      <c r="H23" s="264">
        <f>H17-H15-H21</f>
        <v>120.30000000074506</v>
      </c>
      <c r="I23" s="264">
        <f>I17-I15-I21</f>
        <v>18343.5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18463.800000000745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18463.8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7000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11463.8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0</v>
      </c>
      <c r="G37" s="167">
        <v>0</v>
      </c>
      <c r="H37" s="129"/>
      <c r="I37" s="64" t="s">
        <v>211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281007</v>
      </c>
      <c r="G38" s="167">
        <v>281007</v>
      </c>
      <c r="H38" s="129"/>
      <c r="I38" s="64">
        <f>G38/F38</f>
        <v>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211005</v>
      </c>
      <c r="G40" s="167">
        <v>211005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22000</v>
      </c>
      <c r="F49" s="187">
        <v>5000</v>
      </c>
      <c r="G49" s="75">
        <v>4000</v>
      </c>
      <c r="H49" s="75">
        <f>E49+F49-G49</f>
        <v>23000</v>
      </c>
      <c r="I49" s="188">
        <f>H49</f>
        <v>23000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143691.65000000002</v>
      </c>
      <c r="F50" s="191">
        <v>78590</v>
      </c>
      <c r="G50" s="78">
        <v>96970</v>
      </c>
      <c r="H50" s="78">
        <f>E50+F50-G50</f>
        <v>125311.65000000002</v>
      </c>
      <c r="I50" s="192">
        <v>118232.66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322635.74000000005</v>
      </c>
      <c r="F51" s="191">
        <f>29418.64+30000</f>
        <v>59418.64</v>
      </c>
      <c r="G51" s="78">
        <v>30000</v>
      </c>
      <c r="H51" s="78">
        <f>E51+F51-G51</f>
        <v>352054.38000000006</v>
      </c>
      <c r="I51" s="192">
        <f>340684.38</f>
        <v>340684.38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205337.79000000004</v>
      </c>
      <c r="F52" s="191">
        <v>298571.5</v>
      </c>
      <c r="G52" s="78">
        <v>211005</v>
      </c>
      <c r="H52" s="78">
        <f>E52+F52-G52</f>
        <v>292904.29000000004</v>
      </c>
      <c r="I52" s="192">
        <f>H52</f>
        <v>292904.29000000004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693665.18000000017</v>
      </c>
      <c r="F53" s="196">
        <f>F49+F50+F51+F52</f>
        <v>441580.14</v>
      </c>
      <c r="G53" s="197">
        <f>G49+G50+G51+G52</f>
        <v>341975</v>
      </c>
      <c r="H53" s="197">
        <f>H49+H50+H51+H52</f>
        <v>793270.32000000007</v>
      </c>
      <c r="I53" s="198">
        <f>I49+I50+I51+I52</f>
        <v>774821.33000000007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F46:F47"/>
    <mergeCell ref="E5:I5"/>
    <mergeCell ref="E7:I7"/>
    <mergeCell ref="H12:I12"/>
    <mergeCell ref="A42:I42"/>
    <mergeCell ref="E46:E47"/>
    <mergeCell ref="C28:E28"/>
    <mergeCell ref="C31:F31"/>
    <mergeCell ref="B32:F32"/>
    <mergeCell ref="A2:D2"/>
    <mergeCell ref="E2:I2"/>
    <mergeCell ref="E3:I3"/>
    <mergeCell ref="E4:I4"/>
    <mergeCell ref="H44:I44"/>
    <mergeCell ref="A33:I34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3" tint="0.59999389629810485"/>
  </sheetPr>
  <dimension ref="A1:J59"/>
  <sheetViews>
    <sheetView topLeftCell="A13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140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116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143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144</v>
      </c>
      <c r="F6" s="20"/>
      <c r="G6" s="21" t="s">
        <v>37</v>
      </c>
      <c r="H6" s="22">
        <v>1100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4.5" customHeight="1" x14ac:dyDescent="0.4">
      <c r="A8" s="18"/>
      <c r="E8" s="23"/>
      <c r="F8" s="23"/>
      <c r="G8" s="23"/>
      <c r="H8" s="21"/>
      <c r="I8" s="23"/>
    </row>
    <row r="9" spans="1:10" ht="31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3877000</v>
      </c>
      <c r="F15" s="128">
        <v>18591274.640000001</v>
      </c>
      <c r="G15" s="6">
        <f>H15+I15</f>
        <v>18426552.010000002</v>
      </c>
      <c r="H15" s="127">
        <v>18394632.760000002</v>
      </c>
      <c r="I15" s="127">
        <v>31919.25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3891000</v>
      </c>
      <c r="F17" s="128">
        <v>18591274.640000001</v>
      </c>
      <c r="G17" s="6">
        <f>H17+I17</f>
        <v>18396436.600000001</v>
      </c>
      <c r="H17" s="127">
        <v>18364517.350000001</v>
      </c>
      <c r="I17" s="127">
        <v>31919.25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-30115.410000000149</v>
      </c>
      <c r="H23" s="264">
        <f>H17-H15-H21</f>
        <v>-30115.410000000149</v>
      </c>
      <c r="I23" s="264">
        <f>I17-I15-I21</f>
        <v>0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-30115.410000000149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0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0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63" t="s">
        <v>308</v>
      </c>
      <c r="B33" s="563"/>
      <c r="C33" s="563"/>
      <c r="D33" s="563"/>
      <c r="E33" s="563"/>
      <c r="F33" s="563"/>
      <c r="G33" s="563"/>
      <c r="H33" s="563"/>
      <c r="I33" s="563"/>
    </row>
    <row r="34" spans="1:10" s="40" customFormat="1" x14ac:dyDescent="0.2">
      <c r="A34" s="563"/>
      <c r="B34" s="563"/>
      <c r="C34" s="563"/>
      <c r="D34" s="563"/>
      <c r="E34" s="563"/>
      <c r="F34" s="563"/>
      <c r="G34" s="563"/>
      <c r="H34" s="563"/>
      <c r="I34" s="563"/>
    </row>
    <row r="35" spans="1:10" s="153" customFormat="1" x14ac:dyDescent="0.2">
      <c r="A35" s="563"/>
      <c r="B35" s="563"/>
      <c r="C35" s="563"/>
      <c r="D35" s="563"/>
      <c r="E35" s="563"/>
      <c r="F35" s="563"/>
      <c r="G35" s="563"/>
      <c r="H35" s="563"/>
      <c r="I35" s="563"/>
      <c r="J35" s="165"/>
    </row>
    <row r="36" spans="1:10" s="153" customFormat="1" ht="19.5" x14ac:dyDescent="0.4">
      <c r="A36" s="34" t="s">
        <v>277</v>
      </c>
      <c r="B36" s="34" t="s">
        <v>31</v>
      </c>
      <c r="C36" s="34"/>
      <c r="D36" s="56"/>
      <c r="E36" s="38"/>
      <c r="F36" s="3"/>
      <c r="G36" s="57"/>
      <c r="H36" s="50"/>
      <c r="I36" s="50"/>
      <c r="J36" s="165"/>
    </row>
    <row r="37" spans="1:10" s="153" customFormat="1" ht="18.75" x14ac:dyDescent="0.4">
      <c r="A37" s="34"/>
      <c r="B37" s="34"/>
      <c r="C37" s="34"/>
      <c r="D37" s="56"/>
      <c r="E37" s="13"/>
      <c r="F37" s="58" t="s">
        <v>106</v>
      </c>
      <c r="G37" s="156" t="s">
        <v>0</v>
      </c>
      <c r="H37" s="30"/>
      <c r="I37" s="60" t="s">
        <v>107</v>
      </c>
      <c r="J37" s="165"/>
    </row>
    <row r="38" spans="1:10" s="153" customFormat="1" ht="15" customHeight="1" x14ac:dyDescent="0.35">
      <c r="A38" s="166" t="s">
        <v>32</v>
      </c>
      <c r="B38" s="62"/>
      <c r="C38" s="2"/>
      <c r="D38" s="62"/>
      <c r="E38" s="38"/>
      <c r="F38" s="167">
        <v>4140</v>
      </c>
      <c r="G38" s="167">
        <v>4140</v>
      </c>
      <c r="H38" s="129"/>
      <c r="I38" s="64">
        <f>G38/F38</f>
        <v>1</v>
      </c>
      <c r="J38" s="165"/>
    </row>
    <row r="39" spans="1:10" s="153" customFormat="1" ht="16.5" x14ac:dyDescent="0.35">
      <c r="A39" s="166" t="s">
        <v>108</v>
      </c>
      <c r="B39" s="62"/>
      <c r="C39" s="2"/>
      <c r="D39" s="65"/>
      <c r="E39" s="65"/>
      <c r="F39" s="167">
        <v>27300</v>
      </c>
      <c r="G39" s="167">
        <v>27300</v>
      </c>
      <c r="H39" s="129"/>
      <c r="I39" s="64">
        <f>G39/F39</f>
        <v>1</v>
      </c>
      <c r="J39" s="5"/>
    </row>
    <row r="40" spans="1:10" s="153" customFormat="1" ht="16.5" x14ac:dyDescent="0.35">
      <c r="A40" s="166" t="s">
        <v>109</v>
      </c>
      <c r="B40" s="62"/>
      <c r="C40" s="2"/>
      <c r="D40" s="65"/>
      <c r="E40" s="65"/>
      <c r="F40" s="167">
        <v>0</v>
      </c>
      <c r="G40" s="167">
        <v>0</v>
      </c>
      <c r="H40" s="129"/>
      <c r="I40" s="64" t="s">
        <v>211</v>
      </c>
      <c r="J40" s="5"/>
    </row>
    <row r="41" spans="1:10" s="153" customFormat="1" ht="16.5" x14ac:dyDescent="0.35">
      <c r="A41" s="166" t="s">
        <v>206</v>
      </c>
      <c r="B41" s="62"/>
      <c r="C41" s="2"/>
      <c r="D41" s="38"/>
      <c r="E41" s="38"/>
      <c r="F41" s="167">
        <v>20725</v>
      </c>
      <c r="G41" s="167">
        <v>20725</v>
      </c>
      <c r="H41" s="129"/>
      <c r="I41" s="64">
        <f>G41/F41</f>
        <v>1</v>
      </c>
      <c r="J41" s="5"/>
    </row>
    <row r="42" spans="1:10" s="153" customFormat="1" ht="12.75" customHeight="1" x14ac:dyDescent="0.35">
      <c r="A42" s="166" t="s">
        <v>278</v>
      </c>
      <c r="B42" s="37"/>
      <c r="C42" s="37"/>
      <c r="D42" s="30"/>
      <c r="E42" s="30" t="s">
        <v>279</v>
      </c>
      <c r="F42" s="167">
        <v>0</v>
      </c>
      <c r="G42" s="167">
        <v>0</v>
      </c>
      <c r="H42" s="129"/>
      <c r="I42" s="168" t="s">
        <v>211</v>
      </c>
      <c r="J42" s="5"/>
    </row>
    <row r="43" spans="1:10" s="153" customFormat="1" x14ac:dyDescent="0.2">
      <c r="A43" s="551"/>
      <c r="B43" s="551"/>
      <c r="C43" s="551"/>
      <c r="D43" s="551"/>
      <c r="E43" s="551"/>
      <c r="F43" s="551"/>
      <c r="G43" s="551"/>
      <c r="H43" s="551"/>
      <c r="I43" s="551"/>
      <c r="J43" s="5"/>
    </row>
    <row r="44" spans="1:10" s="153" customFormat="1" hidden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280</v>
      </c>
      <c r="B45" s="34" t="s">
        <v>12</v>
      </c>
      <c r="C45" s="36"/>
      <c r="D45" s="38"/>
      <c r="E45" s="38"/>
      <c r="F45" s="71"/>
      <c r="G45" s="72"/>
      <c r="H45" s="546" t="s">
        <v>110</v>
      </c>
      <c r="I45" s="547"/>
      <c r="J45" s="5"/>
    </row>
    <row r="46" spans="1:10" s="153" customFormat="1" ht="18" x14ac:dyDescent="0.35">
      <c r="A46" s="169"/>
      <c r="B46" s="170"/>
      <c r="C46" s="171"/>
      <c r="D46" s="170"/>
      <c r="E46" s="172" t="s">
        <v>281</v>
      </c>
      <c r="F46" s="173" t="s">
        <v>9</v>
      </c>
      <c r="G46" s="173" t="s">
        <v>10</v>
      </c>
      <c r="H46" s="174" t="s">
        <v>13</v>
      </c>
      <c r="I46" s="175" t="s">
        <v>111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6"/>
      <c r="H47" s="117">
        <v>41639</v>
      </c>
      <c r="I47" s="178">
        <v>41639</v>
      </c>
      <c r="J47" s="5"/>
    </row>
    <row r="48" spans="1:10" s="153" customFormat="1" x14ac:dyDescent="0.2">
      <c r="A48" s="176"/>
      <c r="B48" s="177"/>
      <c r="C48" s="177"/>
      <c r="D48" s="177"/>
      <c r="E48" s="548"/>
      <c r="F48" s="549"/>
      <c r="G48" s="119"/>
      <c r="H48" s="119"/>
      <c r="I48" s="179"/>
      <c r="J48" s="5"/>
    </row>
    <row r="49" spans="1:10" s="153" customFormat="1" ht="13.5" thickBot="1" x14ac:dyDescent="0.25">
      <c r="A49" s="180"/>
      <c r="B49" s="181"/>
      <c r="C49" s="181"/>
      <c r="D49" s="181"/>
      <c r="E49" s="182"/>
      <c r="F49" s="183"/>
      <c r="G49" s="183"/>
      <c r="H49" s="183"/>
      <c r="I49" s="184"/>
      <c r="J49" s="5"/>
    </row>
    <row r="50" spans="1:10" s="153" customFormat="1" ht="13.5" thickTop="1" x14ac:dyDescent="0.2">
      <c r="A50" s="185"/>
      <c r="B50" s="74"/>
      <c r="C50" s="74" t="s">
        <v>6</v>
      </c>
      <c r="D50" s="74"/>
      <c r="E50" s="186">
        <v>2000</v>
      </c>
      <c r="F50" s="187">
        <v>0</v>
      </c>
      <c r="G50" s="75">
        <v>2000</v>
      </c>
      <c r="H50" s="75">
        <f>E50+F50-G50</f>
        <v>0</v>
      </c>
      <c r="I50" s="188">
        <f>H50</f>
        <v>0</v>
      </c>
      <c r="J50" s="5"/>
    </row>
    <row r="51" spans="1:10" s="153" customFormat="1" x14ac:dyDescent="0.2">
      <c r="A51" s="189"/>
      <c r="B51" s="77"/>
      <c r="C51" s="77" t="s">
        <v>8</v>
      </c>
      <c r="D51" s="77"/>
      <c r="E51" s="190">
        <v>239417.83999999997</v>
      </c>
      <c r="F51" s="191">
        <v>91845</v>
      </c>
      <c r="G51" s="78">
        <v>80676</v>
      </c>
      <c r="H51" s="78">
        <f>E51+F51-G51</f>
        <v>250586.83999999997</v>
      </c>
      <c r="I51" s="192">
        <v>221834.29</v>
      </c>
      <c r="J51" s="5"/>
    </row>
    <row r="52" spans="1:10" s="153" customFormat="1" x14ac:dyDescent="0.2">
      <c r="A52" s="189"/>
      <c r="B52" s="77"/>
      <c r="C52" s="77" t="s">
        <v>7</v>
      </c>
      <c r="D52" s="77"/>
      <c r="E52" s="190">
        <v>198572.90000000002</v>
      </c>
      <c r="F52" s="191">
        <f>846.02+542585.11</f>
        <v>543431.13</v>
      </c>
      <c r="G52" s="78">
        <f>790.71+191396</f>
        <v>192186.71</v>
      </c>
      <c r="H52" s="78">
        <f>E52+F52-G52</f>
        <v>549817.32000000007</v>
      </c>
      <c r="I52" s="192">
        <f>55.31+627035.38</f>
        <v>627090.69000000006</v>
      </c>
      <c r="J52" s="5"/>
    </row>
    <row r="53" spans="1:10" s="153" customFormat="1" x14ac:dyDescent="0.2">
      <c r="A53" s="189"/>
      <c r="B53" s="77"/>
      <c r="C53" s="77" t="s">
        <v>15</v>
      </c>
      <c r="D53" s="77"/>
      <c r="E53" s="190">
        <v>54009.09</v>
      </c>
      <c r="F53" s="191">
        <v>27300</v>
      </c>
      <c r="G53" s="78">
        <v>20725</v>
      </c>
      <c r="H53" s="78">
        <f>E53+F53-G53</f>
        <v>60584.09</v>
      </c>
      <c r="I53" s="192">
        <f>H53</f>
        <v>60584.09</v>
      </c>
      <c r="J53" s="5"/>
    </row>
    <row r="54" spans="1:10" s="153" customFormat="1" ht="18.75" thickBot="1" x14ac:dyDescent="0.4">
      <c r="A54" s="193" t="s">
        <v>2</v>
      </c>
      <c r="B54" s="194"/>
      <c r="C54" s="194"/>
      <c r="D54" s="194"/>
      <c r="E54" s="195">
        <f>E50+E51+E52+E53</f>
        <v>493999.82999999996</v>
      </c>
      <c r="F54" s="196">
        <f>F50+F51+F52+F53</f>
        <v>662576.13</v>
      </c>
      <c r="G54" s="197">
        <f>G50+G51+G52+G53</f>
        <v>295587.70999999996</v>
      </c>
      <c r="H54" s="197">
        <f>H50+H51+H52+H53</f>
        <v>860988.25</v>
      </c>
      <c r="I54" s="198">
        <f>I50+I51+I52+I53</f>
        <v>909509.07000000007</v>
      </c>
      <c r="J54" s="5"/>
    </row>
    <row r="55" spans="1:10" ht="18.75" hidden="1" thickTop="1" x14ac:dyDescent="0.35">
      <c r="A55" s="79"/>
      <c r="B55" s="68"/>
      <c r="C55" s="68"/>
      <c r="D55" s="38"/>
      <c r="E55" s="38"/>
      <c r="F55" s="71"/>
      <c r="G55" s="72"/>
      <c r="H55" s="80"/>
      <c r="I55" s="80"/>
    </row>
    <row r="56" spans="1:10" ht="18" hidden="1" x14ac:dyDescent="0.35">
      <c r="A56" s="79"/>
      <c r="B56" s="68"/>
      <c r="C56" s="68"/>
      <c r="D56" s="38"/>
      <c r="E56" s="38"/>
      <c r="F56" s="71"/>
      <c r="G56" s="81"/>
      <c r="H56" s="82"/>
      <c r="I56" s="82"/>
    </row>
    <row r="57" spans="1:10" ht="18" hidden="1" x14ac:dyDescent="0.35">
      <c r="A57" s="83"/>
      <c r="B57" s="84"/>
      <c r="C57" s="84"/>
      <c r="D57" s="85"/>
      <c r="E57" s="85"/>
      <c r="F57" s="82"/>
      <c r="G57" s="82"/>
      <c r="H57" s="82"/>
      <c r="I57" s="82"/>
    </row>
    <row r="58" spans="1:10" hidden="1" x14ac:dyDescent="0.2">
      <c r="A58" s="86"/>
      <c r="B58" s="86"/>
      <c r="C58" s="86"/>
      <c r="D58" s="86"/>
      <c r="E58" s="86"/>
      <c r="F58" s="86"/>
      <c r="G58" s="86"/>
      <c r="H58" s="86"/>
      <c r="I58" s="86"/>
    </row>
    <row r="59" spans="1:10" hidden="1" x14ac:dyDescent="0.2">
      <c r="A59" s="86"/>
      <c r="B59" s="86"/>
      <c r="C59" s="86"/>
      <c r="D59" s="86"/>
      <c r="E59" s="86"/>
      <c r="F59" s="86"/>
      <c r="G59" s="86"/>
      <c r="H59" s="86"/>
      <c r="I59" s="86"/>
    </row>
  </sheetData>
  <mergeCells count="15">
    <mergeCell ref="F47:F48"/>
    <mergeCell ref="E5:I5"/>
    <mergeCell ref="E7:I7"/>
    <mergeCell ref="H12:I12"/>
    <mergeCell ref="A43:I43"/>
    <mergeCell ref="E47:E48"/>
    <mergeCell ref="C28:E28"/>
    <mergeCell ref="C31:F31"/>
    <mergeCell ref="B32:F32"/>
    <mergeCell ref="A2:D2"/>
    <mergeCell ref="E2:I2"/>
    <mergeCell ref="E3:I3"/>
    <mergeCell ref="E4:I4"/>
    <mergeCell ref="H45:I45"/>
    <mergeCell ref="A33:I35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3" tint="0.59999389629810485"/>
  </sheetPr>
  <dimension ref="A1:J59"/>
  <sheetViews>
    <sheetView topLeftCell="A25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42578125" style="13" customWidth="1"/>
    <col min="10" max="10" width="18.85546875" style="14" customWidth="1"/>
    <col min="11" max="11" width="15.425781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112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145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146</v>
      </c>
      <c r="F6" s="20"/>
      <c r="G6" s="21" t="s">
        <v>37</v>
      </c>
      <c r="H6" s="22">
        <v>1101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2.25" customHeight="1" x14ac:dyDescent="0.4">
      <c r="A8" s="18"/>
      <c r="E8" s="23"/>
      <c r="F8" s="23"/>
      <c r="G8" s="23"/>
      <c r="H8" s="21"/>
      <c r="I8" s="23"/>
    </row>
    <row r="9" spans="1:10" ht="22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7535000</v>
      </c>
      <c r="F15" s="128">
        <v>34362823.890000001</v>
      </c>
      <c r="G15" s="6">
        <f>H15+I15</f>
        <v>34362823.890000001</v>
      </c>
      <c r="H15" s="127">
        <v>33430950.010000002</v>
      </c>
      <c r="I15" s="127">
        <v>931873.88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9078704.1600000001</v>
      </c>
      <c r="F17" s="128">
        <v>35550708.140000001</v>
      </c>
      <c r="G17" s="6">
        <f>H17+I17</f>
        <v>34299495.230000004</v>
      </c>
      <c r="H17" s="127">
        <v>33210496.23</v>
      </c>
      <c r="I17" s="127">
        <v>1088999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-63328.659999996424</v>
      </c>
      <c r="H23" s="264">
        <f>H17-H15-H21</f>
        <v>-220453.78000000119</v>
      </c>
      <c r="I23" s="264">
        <f>I17-I15-I21</f>
        <v>157125.12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-78231.659999996424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14903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0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0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14903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ht="12.75" customHeight="1" x14ac:dyDescent="0.2">
      <c r="A33" s="564" t="s">
        <v>309</v>
      </c>
      <c r="B33" s="564"/>
      <c r="C33" s="564"/>
      <c r="D33" s="564"/>
      <c r="E33" s="564"/>
      <c r="F33" s="564"/>
      <c r="G33" s="564"/>
      <c r="H33" s="564"/>
      <c r="I33" s="564"/>
    </row>
    <row r="34" spans="1:10" s="40" customFormat="1" x14ac:dyDescent="0.2">
      <c r="A34" s="564"/>
      <c r="B34" s="564"/>
      <c r="C34" s="564"/>
      <c r="D34" s="564"/>
      <c r="E34" s="564"/>
      <c r="F34" s="564"/>
      <c r="G34" s="564"/>
      <c r="H34" s="564"/>
      <c r="I34" s="564"/>
    </row>
    <row r="35" spans="1:10" s="153" customFormat="1" x14ac:dyDescent="0.2">
      <c r="A35" s="564"/>
      <c r="B35" s="564"/>
      <c r="C35" s="564"/>
      <c r="D35" s="564"/>
      <c r="E35" s="564"/>
      <c r="F35" s="564"/>
      <c r="G35" s="564"/>
      <c r="H35" s="564"/>
      <c r="I35" s="564"/>
      <c r="J35" s="165"/>
    </row>
    <row r="36" spans="1:10" s="153" customFormat="1" ht="19.5" x14ac:dyDescent="0.4">
      <c r="A36" s="34" t="s">
        <v>277</v>
      </c>
      <c r="B36" s="34" t="s">
        <v>31</v>
      </c>
      <c r="C36" s="34"/>
      <c r="D36" s="56"/>
      <c r="E36" s="38"/>
      <c r="F36" s="3"/>
      <c r="G36" s="57"/>
      <c r="H36" s="50"/>
      <c r="I36" s="50"/>
      <c r="J36" s="165"/>
    </row>
    <row r="37" spans="1:10" s="153" customFormat="1" ht="18.75" x14ac:dyDescent="0.4">
      <c r="A37" s="34"/>
      <c r="B37" s="34"/>
      <c r="C37" s="34"/>
      <c r="D37" s="56"/>
      <c r="E37" s="13"/>
      <c r="F37" s="58" t="s">
        <v>106</v>
      </c>
      <c r="G37" s="156" t="s">
        <v>0</v>
      </c>
      <c r="H37" s="30"/>
      <c r="I37" s="60" t="s">
        <v>107</v>
      </c>
      <c r="J37" s="165"/>
    </row>
    <row r="38" spans="1:10" s="153" customFormat="1" ht="15" customHeight="1" x14ac:dyDescent="0.35">
      <c r="A38" s="166" t="s">
        <v>32</v>
      </c>
      <c r="B38" s="62"/>
      <c r="C38" s="2"/>
      <c r="D38" s="62"/>
      <c r="E38" s="38"/>
      <c r="F38" s="167">
        <v>50000</v>
      </c>
      <c r="G38" s="167">
        <v>50000</v>
      </c>
      <c r="H38" s="129"/>
      <c r="I38" s="64">
        <f>G38/F38</f>
        <v>1</v>
      </c>
      <c r="J38" s="165"/>
    </row>
    <row r="39" spans="1:10" s="153" customFormat="1" ht="16.5" x14ac:dyDescent="0.35">
      <c r="A39" s="166" t="s">
        <v>108</v>
      </c>
      <c r="B39" s="62"/>
      <c r="C39" s="2"/>
      <c r="D39" s="65"/>
      <c r="E39" s="65"/>
      <c r="F39" s="167">
        <v>1005195</v>
      </c>
      <c r="G39" s="167">
        <v>1005211</v>
      </c>
      <c r="H39" s="129"/>
      <c r="I39" s="64">
        <f>G39/F39</f>
        <v>1.0000159173095768</v>
      </c>
      <c r="J39" s="5"/>
    </row>
    <row r="40" spans="1:10" s="153" customFormat="1" ht="16.5" x14ac:dyDescent="0.35">
      <c r="A40" s="166" t="s">
        <v>109</v>
      </c>
      <c r="B40" s="62"/>
      <c r="C40" s="2"/>
      <c r="D40" s="65"/>
      <c r="E40" s="65"/>
      <c r="F40" s="167">
        <v>0</v>
      </c>
      <c r="G40" s="167">
        <v>0</v>
      </c>
      <c r="H40" s="129"/>
      <c r="I40" s="64" t="s">
        <v>211</v>
      </c>
      <c r="J40" s="5"/>
    </row>
    <row r="41" spans="1:10" s="153" customFormat="1" ht="16.5" x14ac:dyDescent="0.35">
      <c r="A41" s="166" t="s">
        <v>206</v>
      </c>
      <c r="B41" s="62"/>
      <c r="C41" s="2"/>
      <c r="D41" s="38"/>
      <c r="E41" s="38"/>
      <c r="F41" s="167">
        <v>754396</v>
      </c>
      <c r="G41" s="167">
        <v>754396</v>
      </c>
      <c r="H41" s="129"/>
      <c r="I41" s="64">
        <f>G41/F41</f>
        <v>1</v>
      </c>
      <c r="J41" s="5"/>
    </row>
    <row r="42" spans="1:10" s="153" customFormat="1" ht="15.75" customHeight="1" x14ac:dyDescent="0.35">
      <c r="A42" s="166" t="s">
        <v>278</v>
      </c>
      <c r="B42" s="37"/>
      <c r="C42" s="37"/>
      <c r="D42" s="30"/>
      <c r="E42" s="30" t="s">
        <v>279</v>
      </c>
      <c r="F42" s="167">
        <v>0</v>
      </c>
      <c r="G42" s="167">
        <v>0</v>
      </c>
      <c r="H42" s="129"/>
      <c r="I42" s="168" t="s">
        <v>211</v>
      </c>
      <c r="J42" s="5"/>
    </row>
    <row r="43" spans="1:10" s="153" customFormat="1" x14ac:dyDescent="0.2">
      <c r="A43" s="561" t="s">
        <v>346</v>
      </c>
      <c r="B43" s="561"/>
      <c r="C43" s="561"/>
      <c r="D43" s="561"/>
      <c r="E43" s="561"/>
      <c r="F43" s="561"/>
      <c r="G43" s="561"/>
      <c r="H43" s="561"/>
      <c r="I43" s="561"/>
      <c r="J43" s="5"/>
    </row>
    <row r="44" spans="1:10" s="153" customForma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280</v>
      </c>
      <c r="B45" s="34" t="s">
        <v>12</v>
      </c>
      <c r="C45" s="36"/>
      <c r="D45" s="38"/>
      <c r="E45" s="38"/>
      <c r="F45" s="71"/>
      <c r="G45" s="72"/>
      <c r="H45" s="546" t="s">
        <v>110</v>
      </c>
      <c r="I45" s="547"/>
      <c r="J45" s="5"/>
    </row>
    <row r="46" spans="1:10" s="153" customFormat="1" ht="18" x14ac:dyDescent="0.35">
      <c r="A46" s="169"/>
      <c r="B46" s="170"/>
      <c r="C46" s="171"/>
      <c r="D46" s="170"/>
      <c r="E46" s="172" t="s">
        <v>281</v>
      </c>
      <c r="F46" s="173" t="s">
        <v>9</v>
      </c>
      <c r="G46" s="173" t="s">
        <v>10</v>
      </c>
      <c r="H46" s="174" t="s">
        <v>13</v>
      </c>
      <c r="I46" s="175" t="s">
        <v>111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6"/>
      <c r="H47" s="117">
        <v>41639</v>
      </c>
      <c r="I47" s="178">
        <v>41639</v>
      </c>
      <c r="J47" s="5"/>
    </row>
    <row r="48" spans="1:10" s="153" customFormat="1" x14ac:dyDescent="0.2">
      <c r="A48" s="176"/>
      <c r="B48" s="177"/>
      <c r="C48" s="177"/>
      <c r="D48" s="177"/>
      <c r="E48" s="548"/>
      <c r="F48" s="549"/>
      <c r="G48" s="119"/>
      <c r="H48" s="119"/>
      <c r="I48" s="179"/>
      <c r="J48" s="5"/>
    </row>
    <row r="49" spans="1:10" s="153" customFormat="1" ht="13.5" thickBot="1" x14ac:dyDescent="0.25">
      <c r="A49" s="180"/>
      <c r="B49" s="181"/>
      <c r="C49" s="181"/>
      <c r="D49" s="181"/>
      <c r="E49" s="182"/>
      <c r="F49" s="183"/>
      <c r="G49" s="183"/>
      <c r="H49" s="183"/>
      <c r="I49" s="184"/>
      <c r="J49" s="5"/>
    </row>
    <row r="50" spans="1:10" s="153" customFormat="1" ht="13.5" thickTop="1" x14ac:dyDescent="0.2">
      <c r="A50" s="185"/>
      <c r="B50" s="74"/>
      <c r="C50" s="74" t="s">
        <v>6</v>
      </c>
      <c r="D50" s="74"/>
      <c r="E50" s="186">
        <v>20300</v>
      </c>
      <c r="F50" s="187">
        <v>5000</v>
      </c>
      <c r="G50" s="75">
        <v>0</v>
      </c>
      <c r="H50" s="75">
        <f>E50+F50-G50</f>
        <v>25300</v>
      </c>
      <c r="I50" s="188">
        <f>H50</f>
        <v>25300</v>
      </c>
      <c r="J50" s="5"/>
    </row>
    <row r="51" spans="1:10" s="153" customFormat="1" x14ac:dyDescent="0.2">
      <c r="A51" s="189"/>
      <c r="B51" s="77"/>
      <c r="C51" s="77" t="s">
        <v>8</v>
      </c>
      <c r="D51" s="77"/>
      <c r="E51" s="190">
        <v>368975.99</v>
      </c>
      <c r="F51" s="191">
        <v>178833</v>
      </c>
      <c r="G51" s="78">
        <v>144290.18</v>
      </c>
      <c r="H51" s="78">
        <f>E51+F51-G51</f>
        <v>403518.81</v>
      </c>
      <c r="I51" s="192">
        <v>309842.81</v>
      </c>
      <c r="J51" s="5"/>
    </row>
    <row r="52" spans="1:10" s="153" customFormat="1" x14ac:dyDescent="0.2">
      <c r="A52" s="189"/>
      <c r="B52" s="77"/>
      <c r="C52" s="77" t="s">
        <v>7</v>
      </c>
      <c r="D52" s="77"/>
      <c r="E52" s="190">
        <v>694133.29999999993</v>
      </c>
      <c r="F52" s="191">
        <f>131901.18+996442.88</f>
        <v>1128344.06</v>
      </c>
      <c r="G52" s="78">
        <v>260012.91</v>
      </c>
      <c r="H52" s="78">
        <f>E52+F52-G52</f>
        <v>1562464.45</v>
      </c>
      <c r="I52" s="192">
        <f>H52</f>
        <v>1562464.45</v>
      </c>
      <c r="J52" s="5"/>
    </row>
    <row r="53" spans="1:10" s="153" customFormat="1" x14ac:dyDescent="0.2">
      <c r="A53" s="189"/>
      <c r="B53" s="77"/>
      <c r="C53" s="77" t="s">
        <v>15</v>
      </c>
      <c r="D53" s="77"/>
      <c r="E53" s="190">
        <v>166209.36999999994</v>
      </c>
      <c r="F53" s="191">
        <v>1096391</v>
      </c>
      <c r="G53" s="78">
        <v>823398</v>
      </c>
      <c r="H53" s="78">
        <f>E53+F53-G53</f>
        <v>439202.36999999988</v>
      </c>
      <c r="I53" s="192">
        <f>H53</f>
        <v>439202.36999999988</v>
      </c>
      <c r="J53" s="5"/>
    </row>
    <row r="54" spans="1:10" s="153" customFormat="1" ht="18.75" thickBot="1" x14ac:dyDescent="0.4">
      <c r="A54" s="193" t="s">
        <v>2</v>
      </c>
      <c r="B54" s="194"/>
      <c r="C54" s="194"/>
      <c r="D54" s="194"/>
      <c r="E54" s="195">
        <f>E50+E51+E52+E53</f>
        <v>1249618.6599999999</v>
      </c>
      <c r="F54" s="196">
        <f>F50+F51+F52+F53</f>
        <v>2408568.06</v>
      </c>
      <c r="G54" s="197">
        <f>G50+G51+G52+G53</f>
        <v>1227701.0899999999</v>
      </c>
      <c r="H54" s="197">
        <f>H50+H51+H52+H53</f>
        <v>2430485.63</v>
      </c>
      <c r="I54" s="198">
        <f>I50+I51+I52+I53</f>
        <v>2336809.63</v>
      </c>
      <c r="J54" s="5"/>
    </row>
    <row r="55" spans="1:10" ht="18.75" hidden="1" thickTop="1" x14ac:dyDescent="0.35">
      <c r="A55" s="79"/>
      <c r="B55" s="68"/>
      <c r="C55" s="68"/>
      <c r="D55" s="38"/>
      <c r="E55" s="38"/>
      <c r="F55" s="71"/>
      <c r="G55" s="72"/>
      <c r="H55" s="80"/>
      <c r="I55" s="80"/>
    </row>
    <row r="56" spans="1:10" ht="18" hidden="1" x14ac:dyDescent="0.35">
      <c r="A56" s="79"/>
      <c r="B56" s="68"/>
      <c r="C56" s="68"/>
      <c r="D56" s="38"/>
      <c r="E56" s="38"/>
      <c r="F56" s="71"/>
      <c r="G56" s="81"/>
      <c r="H56" s="82"/>
      <c r="I56" s="82"/>
    </row>
    <row r="57" spans="1:10" ht="18" hidden="1" x14ac:dyDescent="0.35">
      <c r="A57" s="83"/>
      <c r="B57" s="84"/>
      <c r="C57" s="84"/>
      <c r="D57" s="85"/>
      <c r="E57" s="85"/>
      <c r="F57" s="82"/>
      <c r="G57" s="82"/>
      <c r="H57" s="82"/>
      <c r="I57" s="82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  <row r="59" spans="1:10" x14ac:dyDescent="0.2">
      <c r="A59" s="86"/>
      <c r="B59" s="86"/>
      <c r="C59" s="86"/>
      <c r="D59" s="86"/>
      <c r="E59" s="86"/>
      <c r="F59" s="86"/>
      <c r="G59" s="86"/>
      <c r="H59" s="86"/>
      <c r="I59" s="86"/>
    </row>
  </sheetData>
  <mergeCells count="15">
    <mergeCell ref="E47:E48"/>
    <mergeCell ref="F47:F48"/>
    <mergeCell ref="A33:I35"/>
    <mergeCell ref="A43:I43"/>
    <mergeCell ref="H45:I45"/>
    <mergeCell ref="A2:D2"/>
    <mergeCell ref="E2:I2"/>
    <mergeCell ref="E3:I3"/>
    <mergeCell ref="E4:I4"/>
    <mergeCell ref="B32:F32"/>
    <mergeCell ref="C28:E28"/>
    <mergeCell ref="C31:F31"/>
    <mergeCell ref="E5:I5"/>
    <mergeCell ref="E7:I7"/>
    <mergeCell ref="H12:I12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3" tint="0.59999389629810485"/>
  </sheetPr>
  <dimension ref="A1:J59"/>
  <sheetViews>
    <sheetView topLeftCell="A16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140625" style="13" customWidth="1"/>
    <col min="10" max="10" width="18.85546875" style="14" customWidth="1"/>
    <col min="11" max="11" width="17.425781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117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248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147</v>
      </c>
      <c r="F6" s="20"/>
      <c r="G6" s="21" t="s">
        <v>37</v>
      </c>
      <c r="H6" s="22">
        <v>1102</v>
      </c>
    </row>
    <row r="7" spans="1:10" ht="6.75" customHeight="1" x14ac:dyDescent="0.4">
      <c r="A7" s="18"/>
      <c r="E7" s="544" t="s">
        <v>101</v>
      </c>
      <c r="F7" s="544"/>
      <c r="G7" s="544"/>
      <c r="H7" s="544"/>
      <c r="I7" s="544"/>
    </row>
    <row r="8" spans="1:10" ht="1.5" customHeight="1" x14ac:dyDescent="0.4">
      <c r="A8" s="18"/>
      <c r="E8" s="23"/>
      <c r="F8" s="23"/>
      <c r="G8" s="23"/>
      <c r="H8" s="21"/>
      <c r="I8" s="23"/>
    </row>
    <row r="9" spans="1:10" ht="14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11866000</v>
      </c>
      <c r="F15" s="128">
        <v>54624683.07</v>
      </c>
      <c r="G15" s="6">
        <f>H15+I15</f>
        <v>55720739.630000003</v>
      </c>
      <c r="H15" s="127">
        <v>55162603.780000001</v>
      </c>
      <c r="I15" s="127">
        <v>558135.85</v>
      </c>
      <c r="J15" s="227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11866000</v>
      </c>
      <c r="F17" s="128">
        <v>55405189.340000004</v>
      </c>
      <c r="G17" s="6">
        <f>H17+I17</f>
        <v>55653119.489999995</v>
      </c>
      <c r="H17" s="127">
        <v>54564061.409999996</v>
      </c>
      <c r="I17" s="127">
        <v>1089058.08</v>
      </c>
      <c r="J17" s="26"/>
    </row>
    <row r="18" spans="1:10" s="40" customFormat="1" ht="3.7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9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33300</v>
      </c>
      <c r="H21" s="161">
        <v>0</v>
      </c>
      <c r="I21" s="161">
        <v>33300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-100920.14000000805</v>
      </c>
      <c r="H23" s="264">
        <f>H17-H15-H21</f>
        <v>-598542.37000000477</v>
      </c>
      <c r="I23" s="264">
        <f>I17-I15-I21</f>
        <v>497622.2300000001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-139764.14000000805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38844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0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0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38844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2539667.54</v>
      </c>
      <c r="H32" s="280"/>
      <c r="I32" s="280"/>
    </row>
    <row r="33" spans="1:10" s="40" customFormat="1" x14ac:dyDescent="0.2">
      <c r="A33" s="563" t="s">
        <v>311</v>
      </c>
      <c r="B33" s="563"/>
      <c r="C33" s="563"/>
      <c r="D33" s="563"/>
      <c r="E33" s="563"/>
      <c r="F33" s="563"/>
      <c r="G33" s="563"/>
      <c r="H33" s="563"/>
      <c r="I33" s="563"/>
    </row>
    <row r="34" spans="1:10" s="40" customFormat="1" x14ac:dyDescent="0.2">
      <c r="A34" s="563"/>
      <c r="B34" s="563"/>
      <c r="C34" s="563"/>
      <c r="D34" s="563"/>
      <c r="E34" s="563"/>
      <c r="F34" s="563"/>
      <c r="G34" s="563"/>
      <c r="H34" s="563"/>
      <c r="I34" s="563"/>
    </row>
    <row r="35" spans="1:10" s="153" customFormat="1" ht="29.25" customHeight="1" x14ac:dyDescent="0.2">
      <c r="A35" s="563"/>
      <c r="B35" s="563"/>
      <c r="C35" s="563"/>
      <c r="D35" s="563"/>
      <c r="E35" s="563"/>
      <c r="F35" s="563"/>
      <c r="G35" s="563"/>
      <c r="H35" s="563"/>
      <c r="I35" s="563"/>
      <c r="J35" s="165"/>
    </row>
    <row r="36" spans="1:10" s="153" customFormat="1" ht="19.5" x14ac:dyDescent="0.4">
      <c r="A36" s="34" t="s">
        <v>277</v>
      </c>
      <c r="B36" s="34" t="s">
        <v>31</v>
      </c>
      <c r="C36" s="34"/>
      <c r="D36" s="56"/>
      <c r="E36" s="38"/>
      <c r="F36" s="3"/>
      <c r="G36" s="57"/>
      <c r="H36" s="50"/>
      <c r="I36" s="50"/>
      <c r="J36" s="165"/>
    </row>
    <row r="37" spans="1:10" s="153" customFormat="1" ht="18.75" x14ac:dyDescent="0.4">
      <c r="A37" s="34"/>
      <c r="B37" s="34"/>
      <c r="C37" s="34"/>
      <c r="D37" s="56"/>
      <c r="E37" s="13"/>
      <c r="F37" s="58" t="s">
        <v>106</v>
      </c>
      <c r="G37" s="156" t="s">
        <v>0</v>
      </c>
      <c r="H37" s="30"/>
      <c r="I37" s="60" t="s">
        <v>107</v>
      </c>
      <c r="J37" s="165"/>
    </row>
    <row r="38" spans="1:10" s="153" customFormat="1" ht="15" customHeight="1" x14ac:dyDescent="0.35">
      <c r="A38" s="166" t="s">
        <v>32</v>
      </c>
      <c r="B38" s="62"/>
      <c r="C38" s="2"/>
      <c r="D38" s="62"/>
      <c r="E38" s="38"/>
      <c r="F38" s="167">
        <v>150000</v>
      </c>
      <c r="G38" s="167">
        <v>108950</v>
      </c>
      <c r="H38" s="129"/>
      <c r="I38" s="64">
        <f>G38/F38</f>
        <v>0.72633333333333339</v>
      </c>
      <c r="J38" s="165"/>
    </row>
    <row r="39" spans="1:10" s="153" customFormat="1" ht="16.5" x14ac:dyDescent="0.35">
      <c r="A39" s="166" t="s">
        <v>108</v>
      </c>
      <c r="B39" s="62"/>
      <c r="C39" s="2"/>
      <c r="D39" s="65"/>
      <c r="E39" s="65"/>
      <c r="F39" s="167">
        <v>1937000</v>
      </c>
      <c r="G39" s="167">
        <v>1867138</v>
      </c>
      <c r="H39" s="129"/>
      <c r="I39" s="64">
        <f>G39/F39</f>
        <v>0.96393288590604032</v>
      </c>
      <c r="J39" s="5"/>
    </row>
    <row r="40" spans="1:10" s="153" customFormat="1" ht="16.5" x14ac:dyDescent="0.35">
      <c r="A40" s="166" t="s">
        <v>109</v>
      </c>
      <c r="B40" s="62"/>
      <c r="C40" s="2"/>
      <c r="D40" s="65"/>
      <c r="E40" s="65"/>
      <c r="F40" s="167">
        <v>0</v>
      </c>
      <c r="G40" s="167">
        <v>0</v>
      </c>
      <c r="H40" s="129"/>
      <c r="I40" s="64" t="s">
        <v>211</v>
      </c>
      <c r="J40" s="5"/>
    </row>
    <row r="41" spans="1:10" s="153" customFormat="1" ht="16.5" x14ac:dyDescent="0.35">
      <c r="A41" s="166" t="s">
        <v>206</v>
      </c>
      <c r="B41" s="62"/>
      <c r="C41" s="2"/>
      <c r="D41" s="38"/>
      <c r="E41" s="38"/>
      <c r="F41" s="167">
        <v>1453000</v>
      </c>
      <c r="G41" s="167">
        <v>1453000</v>
      </c>
      <c r="H41" s="129"/>
      <c r="I41" s="64">
        <f>G41/F41</f>
        <v>1</v>
      </c>
      <c r="J41" s="5"/>
    </row>
    <row r="42" spans="1:10" s="153" customFormat="1" ht="18" customHeight="1" x14ac:dyDescent="0.35">
      <c r="A42" s="166" t="s">
        <v>278</v>
      </c>
      <c r="B42" s="37"/>
      <c r="C42" s="37"/>
      <c r="D42" s="30"/>
      <c r="E42" s="30" t="s">
        <v>279</v>
      </c>
      <c r="F42" s="167">
        <v>0</v>
      </c>
      <c r="G42" s="167">
        <v>0</v>
      </c>
      <c r="H42" s="129"/>
      <c r="I42" s="168" t="s">
        <v>211</v>
      </c>
      <c r="J42" s="5"/>
    </row>
    <row r="43" spans="1:10" s="153" customFormat="1" x14ac:dyDescent="0.2">
      <c r="A43" s="551" t="s">
        <v>283</v>
      </c>
      <c r="B43" s="551"/>
      <c r="C43" s="551"/>
      <c r="D43" s="551"/>
      <c r="E43" s="551"/>
      <c r="F43" s="551"/>
      <c r="G43" s="551"/>
      <c r="H43" s="551"/>
      <c r="I43" s="551"/>
      <c r="J43" s="5"/>
    </row>
    <row r="44" spans="1:10" s="153" customFormat="1" x14ac:dyDescent="0.2">
      <c r="A44" s="565" t="s">
        <v>312</v>
      </c>
      <c r="B44" s="566"/>
      <c r="C44" s="566"/>
      <c r="D44" s="566"/>
      <c r="E44" s="566"/>
      <c r="F44" s="566"/>
      <c r="G44" s="566"/>
      <c r="H44" s="566"/>
      <c r="I44" s="566"/>
      <c r="J44" s="5"/>
    </row>
    <row r="45" spans="1:10" s="153" customFormat="1" ht="19.5" thickBot="1" x14ac:dyDescent="0.45">
      <c r="A45" s="34" t="s">
        <v>280</v>
      </c>
      <c r="B45" s="34" t="s">
        <v>12</v>
      </c>
      <c r="C45" s="36"/>
      <c r="D45" s="38"/>
      <c r="E45" s="38"/>
      <c r="F45" s="71"/>
      <c r="G45" s="72"/>
      <c r="H45" s="546" t="s">
        <v>110</v>
      </c>
      <c r="I45" s="547"/>
      <c r="J45" s="5"/>
    </row>
    <row r="46" spans="1:10" s="153" customFormat="1" ht="18" x14ac:dyDescent="0.35">
      <c r="A46" s="169"/>
      <c r="B46" s="170"/>
      <c r="C46" s="171"/>
      <c r="D46" s="170"/>
      <c r="E46" s="172" t="s">
        <v>281</v>
      </c>
      <c r="F46" s="173" t="s">
        <v>9</v>
      </c>
      <c r="G46" s="173" t="s">
        <v>10</v>
      </c>
      <c r="H46" s="174" t="s">
        <v>13</v>
      </c>
      <c r="I46" s="175" t="s">
        <v>111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6"/>
      <c r="H47" s="117">
        <v>41639</v>
      </c>
      <c r="I47" s="178">
        <v>41639</v>
      </c>
      <c r="J47" s="5"/>
    </row>
    <row r="48" spans="1:10" s="153" customFormat="1" x14ac:dyDescent="0.2">
      <c r="A48" s="176"/>
      <c r="B48" s="177"/>
      <c r="C48" s="177"/>
      <c r="D48" s="177"/>
      <c r="E48" s="548"/>
      <c r="F48" s="549"/>
      <c r="G48" s="119"/>
      <c r="H48" s="119"/>
      <c r="I48" s="179"/>
      <c r="J48" s="5"/>
    </row>
    <row r="49" spans="1:10" s="153" customFormat="1" ht="13.5" thickBot="1" x14ac:dyDescent="0.25">
      <c r="A49" s="180"/>
      <c r="B49" s="181"/>
      <c r="C49" s="181"/>
      <c r="D49" s="181"/>
      <c r="E49" s="182"/>
      <c r="F49" s="183"/>
      <c r="G49" s="183"/>
      <c r="H49" s="183"/>
      <c r="I49" s="184"/>
      <c r="J49" s="5"/>
    </row>
    <row r="50" spans="1:10" s="153" customFormat="1" ht="13.5" thickTop="1" x14ac:dyDescent="0.2">
      <c r="A50" s="185"/>
      <c r="B50" s="74"/>
      <c r="C50" s="74" t="s">
        <v>6</v>
      </c>
      <c r="D50" s="74"/>
      <c r="E50" s="186">
        <v>0</v>
      </c>
      <c r="F50" s="187">
        <v>20000</v>
      </c>
      <c r="G50" s="75">
        <v>7000</v>
      </c>
      <c r="H50" s="75">
        <f>E50+F50-G50</f>
        <v>13000</v>
      </c>
      <c r="I50" s="188">
        <f>H50</f>
        <v>13000</v>
      </c>
      <c r="J50" s="5"/>
    </row>
    <row r="51" spans="1:10" s="153" customFormat="1" x14ac:dyDescent="0.2">
      <c r="A51" s="189"/>
      <c r="B51" s="77"/>
      <c r="C51" s="77" t="s">
        <v>8</v>
      </c>
      <c r="D51" s="77"/>
      <c r="E51" s="190">
        <v>136688.28000000003</v>
      </c>
      <c r="F51" s="191">
        <v>290860</v>
      </c>
      <c r="G51" s="78">
        <v>207965.5</v>
      </c>
      <c r="H51" s="78">
        <f>E51+F51-G51</f>
        <v>219582.78000000003</v>
      </c>
      <c r="I51" s="192">
        <v>215777.06</v>
      </c>
      <c r="J51" s="5"/>
    </row>
    <row r="52" spans="1:10" s="153" customFormat="1" x14ac:dyDescent="0.2">
      <c r="A52" s="189"/>
      <c r="B52" s="77"/>
      <c r="C52" s="77" t="s">
        <v>7</v>
      </c>
      <c r="D52" s="77"/>
      <c r="E52" s="190">
        <v>2446790.4300000006</v>
      </c>
      <c r="F52" s="191">
        <f>5576.36+1291809.51</f>
        <v>1297385.8700000001</v>
      </c>
      <c r="G52" s="78">
        <f>1932539.8</f>
        <v>1932539.8</v>
      </c>
      <c r="H52" s="78">
        <f>E52+F52-G52</f>
        <v>1811636.5000000007</v>
      </c>
      <c r="I52" s="192">
        <f>6699.98+1083932.4</f>
        <v>1090632.3799999999</v>
      </c>
      <c r="J52" s="5"/>
    </row>
    <row r="53" spans="1:10" s="153" customFormat="1" x14ac:dyDescent="0.2">
      <c r="A53" s="189"/>
      <c r="B53" s="77"/>
      <c r="C53" s="77" t="s">
        <v>15</v>
      </c>
      <c r="D53" s="77"/>
      <c r="E53" s="190">
        <v>358489.69999999995</v>
      </c>
      <c r="F53" s="191">
        <v>1940410</v>
      </c>
      <c r="G53" s="78">
        <v>1674180.65</v>
      </c>
      <c r="H53" s="78">
        <f>E53+F53-G53</f>
        <v>624719.05000000028</v>
      </c>
      <c r="I53" s="192">
        <v>497031.15</v>
      </c>
      <c r="J53" s="5"/>
    </row>
    <row r="54" spans="1:10" s="153" customFormat="1" ht="18.75" thickBot="1" x14ac:dyDescent="0.4">
      <c r="A54" s="193" t="s">
        <v>2</v>
      </c>
      <c r="B54" s="194"/>
      <c r="C54" s="194"/>
      <c r="D54" s="194"/>
      <c r="E54" s="195">
        <f>E50+E51+E52+E53</f>
        <v>2941968.4100000011</v>
      </c>
      <c r="F54" s="196">
        <f>F50+F51+F52+F53</f>
        <v>3548655.87</v>
      </c>
      <c r="G54" s="197">
        <f>G50+G51+G52+G53</f>
        <v>3821685.9499999997</v>
      </c>
      <c r="H54" s="197">
        <f>H50+H51+H52+H53</f>
        <v>2668938.330000001</v>
      </c>
      <c r="I54" s="198">
        <f>I50+I51+I52+I53</f>
        <v>1816440.5899999999</v>
      </c>
      <c r="J54" s="5"/>
    </row>
    <row r="55" spans="1:10" ht="18" x14ac:dyDescent="0.35">
      <c r="A55" s="79"/>
      <c r="B55" s="68"/>
      <c r="C55" s="68"/>
      <c r="D55" s="38"/>
      <c r="E55" s="38"/>
      <c r="F55" s="71"/>
      <c r="G55" s="87"/>
      <c r="H55" s="80"/>
      <c r="I55" s="80"/>
    </row>
    <row r="56" spans="1:10" ht="18" x14ac:dyDescent="0.35">
      <c r="A56" s="79"/>
      <c r="B56" s="68"/>
      <c r="C56" s="68"/>
      <c r="D56" s="38"/>
      <c r="E56" s="38"/>
      <c r="F56" s="71"/>
      <c r="G56" s="81"/>
      <c r="H56" s="82"/>
      <c r="I56" s="82"/>
    </row>
    <row r="57" spans="1:10" ht="18" x14ac:dyDescent="0.35">
      <c r="A57" s="83"/>
      <c r="B57" s="84"/>
      <c r="C57" s="84"/>
      <c r="D57" s="85"/>
      <c r="E57" s="85"/>
      <c r="F57" s="82"/>
      <c r="G57" s="82"/>
      <c r="H57" s="82"/>
      <c r="I57" s="82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  <row r="59" spans="1:10" x14ac:dyDescent="0.2">
      <c r="A59" s="86"/>
      <c r="B59" s="86"/>
      <c r="C59" s="86"/>
      <c r="D59" s="86"/>
      <c r="E59" s="86"/>
      <c r="F59" s="86"/>
      <c r="G59" s="86"/>
      <c r="H59" s="86"/>
      <c r="I59" s="86"/>
    </row>
  </sheetData>
  <mergeCells count="16">
    <mergeCell ref="F47:F48"/>
    <mergeCell ref="E5:I5"/>
    <mergeCell ref="E7:I7"/>
    <mergeCell ref="H12:I12"/>
    <mergeCell ref="A43:I43"/>
    <mergeCell ref="E47:E48"/>
    <mergeCell ref="C28:E28"/>
    <mergeCell ref="C31:F31"/>
    <mergeCell ref="B32:F32"/>
    <mergeCell ref="A2:D2"/>
    <mergeCell ref="E2:I2"/>
    <mergeCell ref="E3:I3"/>
    <mergeCell ref="E4:I4"/>
    <mergeCell ref="H45:I45"/>
    <mergeCell ref="A33:I35"/>
    <mergeCell ref="A44:I44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3" tint="0.59999389629810485"/>
  </sheetPr>
  <dimension ref="A1:J58"/>
  <sheetViews>
    <sheetView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6.42578125" style="13" customWidth="1"/>
    <col min="10" max="10" width="18.85546875" style="14" customWidth="1"/>
    <col min="11" max="11" width="16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118</v>
      </c>
      <c r="F2" s="558"/>
      <c r="G2" s="558"/>
      <c r="H2" s="558"/>
      <c r="I2" s="558"/>
    </row>
    <row r="3" spans="1:10" ht="9.75" customHeight="1" x14ac:dyDescent="0.4">
      <c r="A3" s="229"/>
      <c r="B3" s="229"/>
      <c r="C3" s="229"/>
      <c r="D3" s="229"/>
      <c r="E3" s="568" t="s">
        <v>100</v>
      </c>
      <c r="F3" s="568"/>
      <c r="G3" s="568"/>
      <c r="H3" s="568"/>
      <c r="I3" s="568"/>
    </row>
    <row r="4" spans="1:10" ht="15.75" x14ac:dyDescent="0.25">
      <c r="A4" s="17" t="s">
        <v>27</v>
      </c>
      <c r="E4" s="569" t="s">
        <v>148</v>
      </c>
      <c r="F4" s="569"/>
      <c r="G4" s="569"/>
      <c r="H4" s="569"/>
      <c r="I4" s="569"/>
    </row>
    <row r="5" spans="1:10" ht="9.75" customHeight="1" x14ac:dyDescent="0.25">
      <c r="A5" s="17"/>
      <c r="E5" s="568" t="s">
        <v>100</v>
      </c>
      <c r="F5" s="568"/>
      <c r="G5" s="568"/>
      <c r="H5" s="568"/>
      <c r="I5" s="568"/>
    </row>
    <row r="6" spans="1:10" ht="19.5" x14ac:dyDescent="0.4">
      <c r="A6" s="18" t="s">
        <v>24</v>
      </c>
      <c r="E6" s="126" t="s">
        <v>149</v>
      </c>
      <c r="F6" s="20"/>
      <c r="G6" s="21" t="s">
        <v>37</v>
      </c>
      <c r="H6" s="380">
        <v>1103</v>
      </c>
    </row>
    <row r="7" spans="1:10" ht="6.75" customHeight="1" x14ac:dyDescent="0.4">
      <c r="A7" s="206"/>
      <c r="B7" s="201"/>
      <c r="C7" s="201"/>
      <c r="D7" s="201"/>
      <c r="E7" s="574" t="s">
        <v>101</v>
      </c>
      <c r="F7" s="574"/>
      <c r="G7" s="574"/>
      <c r="H7" s="574"/>
      <c r="I7" s="574"/>
    </row>
    <row r="8" spans="1:10" ht="3" customHeight="1" x14ac:dyDescent="0.4">
      <c r="A8" s="206"/>
      <c r="B8" s="201"/>
      <c r="C8" s="201"/>
      <c r="D8" s="201"/>
      <c r="E8" s="211"/>
      <c r="F8" s="211"/>
      <c r="G8" s="211"/>
      <c r="H8" s="209"/>
      <c r="I8" s="211"/>
    </row>
    <row r="9" spans="1:10" ht="26.25" customHeight="1" x14ac:dyDescent="0.4">
      <c r="A9" s="206"/>
      <c r="B9" s="201"/>
      <c r="C9" s="201"/>
      <c r="D9" s="201"/>
      <c r="E9" s="211"/>
      <c r="F9" s="211"/>
      <c r="G9" s="211"/>
      <c r="H9" s="209"/>
      <c r="I9" s="211"/>
    </row>
    <row r="10" spans="1:10" s="40" customFormat="1" ht="15" customHeight="1" x14ac:dyDescent="0.2">
      <c r="A10" s="201"/>
      <c r="B10" s="201"/>
      <c r="C10" s="201"/>
      <c r="D10" s="201"/>
      <c r="E10" s="201"/>
      <c r="F10" s="201"/>
      <c r="G10" s="201"/>
      <c r="H10" s="201"/>
      <c r="I10" s="201"/>
      <c r="J10" s="26"/>
    </row>
    <row r="11" spans="1:10" s="40" customFormat="1" ht="15" customHeight="1" x14ac:dyDescent="0.4">
      <c r="A11" s="230"/>
      <c r="B11" s="231"/>
      <c r="C11" s="231"/>
      <c r="D11" s="231"/>
      <c r="E11" s="232" t="s">
        <v>19</v>
      </c>
      <c r="F11" s="232" t="s">
        <v>22</v>
      </c>
      <c r="G11" s="233" t="s">
        <v>0</v>
      </c>
      <c r="H11" s="234" t="s">
        <v>17</v>
      </c>
      <c r="I11" s="234"/>
      <c r="J11" s="26"/>
    </row>
    <row r="12" spans="1:10" s="40" customFormat="1" ht="12.75" customHeight="1" x14ac:dyDescent="0.4">
      <c r="A12" s="236"/>
      <c r="B12" s="236"/>
      <c r="C12" s="236"/>
      <c r="D12" s="236"/>
      <c r="E12" s="232" t="s">
        <v>20</v>
      </c>
      <c r="F12" s="232" t="s">
        <v>20</v>
      </c>
      <c r="G12" s="233" t="s">
        <v>18</v>
      </c>
      <c r="H12" s="237" t="s">
        <v>1</v>
      </c>
      <c r="I12" s="238" t="s">
        <v>16</v>
      </c>
      <c r="J12" s="26"/>
    </row>
    <row r="13" spans="1:10" s="40" customFormat="1" ht="12.75" customHeight="1" x14ac:dyDescent="0.2">
      <c r="A13" s="236"/>
      <c r="B13" s="236"/>
      <c r="C13" s="236"/>
      <c r="D13" s="236"/>
      <c r="E13" s="232" t="s">
        <v>2</v>
      </c>
      <c r="F13" s="232" t="s">
        <v>2</v>
      </c>
      <c r="G13" s="239"/>
      <c r="H13" s="570" t="s">
        <v>262</v>
      </c>
      <c r="I13" s="571"/>
      <c r="J13" s="26"/>
    </row>
    <row r="14" spans="1:10" s="40" customFormat="1" ht="15" x14ac:dyDescent="0.2">
      <c r="A14" s="236"/>
      <c r="B14" s="236"/>
      <c r="C14" s="236"/>
      <c r="D14" s="236"/>
      <c r="E14" s="232"/>
      <c r="F14" s="232"/>
      <c r="G14" s="239"/>
      <c r="H14" s="240"/>
      <c r="I14" s="241"/>
      <c r="J14" s="26"/>
    </row>
    <row r="15" spans="1:10" s="40" customFormat="1" ht="18.75" x14ac:dyDescent="0.4">
      <c r="A15" s="242" t="s">
        <v>273</v>
      </c>
      <c r="B15" s="242"/>
      <c r="C15" s="243"/>
      <c r="D15" s="244"/>
      <c r="E15" s="245"/>
      <c r="F15" s="245"/>
      <c r="G15" s="214"/>
      <c r="H15" s="236"/>
      <c r="I15" s="236"/>
      <c r="J15" s="227"/>
    </row>
    <row r="16" spans="1:10" s="40" customFormat="1" ht="20.25" customHeight="1" x14ac:dyDescent="0.4">
      <c r="A16" s="246" t="s">
        <v>3</v>
      </c>
      <c r="B16" s="242"/>
      <c r="C16" s="243"/>
      <c r="D16" s="244"/>
      <c r="E16" s="247">
        <v>8828000</v>
      </c>
      <c r="F16" s="248">
        <v>57245252.159999996</v>
      </c>
      <c r="G16" s="249">
        <f>H16+I16</f>
        <v>61645194.160000004</v>
      </c>
      <c r="H16" s="247">
        <v>60457340.450000003</v>
      </c>
      <c r="I16" s="247">
        <v>1187853.71</v>
      </c>
      <c r="J16" s="26"/>
    </row>
    <row r="17" spans="1:10" s="40" customFormat="1" ht="16.5" x14ac:dyDescent="0.35">
      <c r="A17" s="250"/>
      <c r="B17" s="231"/>
      <c r="C17" s="231"/>
      <c r="D17" s="231"/>
      <c r="E17" s="235"/>
      <c r="F17" s="235"/>
      <c r="G17" s="235"/>
      <c r="H17" s="235"/>
      <c r="I17" s="235"/>
      <c r="J17" s="26"/>
    </row>
    <row r="18" spans="1:10" s="40" customFormat="1" ht="19.5" customHeight="1" x14ac:dyDescent="0.4">
      <c r="A18" s="246" t="s">
        <v>4</v>
      </c>
      <c r="B18" s="251"/>
      <c r="C18" s="251"/>
      <c r="D18" s="251"/>
      <c r="E18" s="247">
        <v>8828000</v>
      </c>
      <c r="F18" s="248">
        <v>57245252.159999996</v>
      </c>
      <c r="G18" s="249">
        <f>H18+I18</f>
        <v>61346325.300000004</v>
      </c>
      <c r="H18" s="247">
        <v>59659242.810000002</v>
      </c>
      <c r="I18" s="247">
        <v>1687082.49</v>
      </c>
      <c r="J18" s="151"/>
    </row>
    <row r="19" spans="1:10" s="40" customFormat="1" ht="14.25" customHeight="1" x14ac:dyDescent="0.35">
      <c r="A19" s="250"/>
      <c r="B19" s="251"/>
      <c r="C19" s="251"/>
      <c r="D19" s="251"/>
      <c r="E19" s="249"/>
      <c r="F19" s="252"/>
      <c r="G19" s="249"/>
      <c r="H19" s="253"/>
      <c r="I19" s="253"/>
      <c r="J19" s="151"/>
    </row>
    <row r="20" spans="1:10" s="153" customFormat="1" ht="7.5" customHeight="1" x14ac:dyDescent="0.35">
      <c r="A20" s="250"/>
      <c r="B20" s="251"/>
      <c r="C20" s="251"/>
      <c r="D20" s="251"/>
      <c r="E20" s="254"/>
      <c r="F20" s="254"/>
      <c r="G20" s="255"/>
      <c r="H20" s="256"/>
      <c r="I20" s="256"/>
      <c r="J20" s="42"/>
    </row>
    <row r="21" spans="1:10" s="153" customFormat="1" ht="19.5" x14ac:dyDescent="0.4">
      <c r="A21" s="257" t="s">
        <v>14</v>
      </c>
      <c r="B21" s="254"/>
      <c r="C21" s="254"/>
      <c r="D21" s="254"/>
      <c r="E21" s="254"/>
      <c r="F21" s="254"/>
      <c r="G21" s="258"/>
      <c r="H21" s="255"/>
      <c r="I21" s="255"/>
      <c r="J21" s="42"/>
    </row>
    <row r="22" spans="1:10" s="153" customFormat="1" ht="18" x14ac:dyDescent="0.35">
      <c r="A22" s="254"/>
      <c r="B22" s="254"/>
      <c r="C22" s="259" t="s">
        <v>102</v>
      </c>
      <c r="D22" s="254"/>
      <c r="E22" s="254"/>
      <c r="F22" s="254"/>
      <c r="G22" s="260">
        <f>H22+I22</f>
        <v>47120</v>
      </c>
      <c r="H22" s="261">
        <v>0</v>
      </c>
      <c r="I22" s="261">
        <v>47120</v>
      </c>
      <c r="J22" s="42"/>
    </row>
    <row r="23" spans="1:10" s="153" customFormat="1" ht="19.5" x14ac:dyDescent="0.4">
      <c r="A23" s="254"/>
      <c r="B23" s="254"/>
      <c r="C23" s="259"/>
      <c r="D23" s="254"/>
      <c r="E23" s="254"/>
      <c r="F23" s="254"/>
      <c r="G23" s="260"/>
      <c r="H23" s="261"/>
      <c r="I23" s="261"/>
      <c r="J23" s="162"/>
    </row>
    <row r="24" spans="1:10" s="153" customFormat="1" ht="15" x14ac:dyDescent="0.3">
      <c r="A24" s="262" t="s">
        <v>103</v>
      </c>
      <c r="B24" s="262"/>
      <c r="C24" s="263"/>
      <c r="D24" s="262"/>
      <c r="E24" s="262"/>
      <c r="F24" s="262"/>
      <c r="G24" s="264">
        <f>G18-G16-G22</f>
        <v>-345988.8599999994</v>
      </c>
      <c r="H24" s="264">
        <f>H18-H16-H22</f>
        <v>-798097.6400000006</v>
      </c>
      <c r="I24" s="264">
        <f>I18-I16-I22</f>
        <v>452108.78</v>
      </c>
      <c r="J24" s="13"/>
    </row>
    <row r="25" spans="1:10" s="153" customFormat="1" ht="15" x14ac:dyDescent="0.3">
      <c r="A25" s="243" t="s">
        <v>289</v>
      </c>
      <c r="B25" s="243"/>
      <c r="C25" s="243"/>
      <c r="D25" s="243"/>
      <c r="E25" s="243"/>
      <c r="F25" s="243"/>
      <c r="G25" s="265">
        <f>G24-G26</f>
        <v>-355612.8599999994</v>
      </c>
      <c r="H25" s="231"/>
      <c r="I25" s="231"/>
      <c r="J25" s="13"/>
    </row>
    <row r="26" spans="1:10" s="153" customFormat="1" ht="15" x14ac:dyDescent="0.3">
      <c r="A26" s="243" t="s">
        <v>274</v>
      </c>
      <c r="B26" s="243"/>
      <c r="C26" s="243"/>
      <c r="D26" s="243"/>
      <c r="E26" s="243"/>
      <c r="F26" s="243"/>
      <c r="G26" s="265">
        <v>9624</v>
      </c>
      <c r="H26" s="231"/>
      <c r="I26" s="231"/>
      <c r="J26" s="13"/>
    </row>
    <row r="27" spans="1:10" s="153" customFormat="1" x14ac:dyDescent="0.2">
      <c r="A27" s="231"/>
      <c r="B27" s="231"/>
      <c r="C27" s="231"/>
      <c r="D27" s="231"/>
      <c r="E27" s="231"/>
      <c r="F27" s="231"/>
      <c r="G27" s="231"/>
      <c r="H27" s="201"/>
      <c r="I27" s="201"/>
      <c r="J27" s="48"/>
    </row>
    <row r="28" spans="1:10" s="40" customFormat="1" ht="16.5" x14ac:dyDescent="0.35">
      <c r="A28" s="266" t="s">
        <v>275</v>
      </c>
      <c r="B28" s="266" t="s">
        <v>276</v>
      </c>
      <c r="C28" s="266"/>
      <c r="D28" s="250"/>
      <c r="E28" s="250"/>
      <c r="F28" s="236"/>
      <c r="G28" s="264"/>
      <c r="H28" s="234"/>
      <c r="I28" s="267"/>
    </row>
    <row r="29" spans="1:10" s="40" customFormat="1" ht="15" x14ac:dyDescent="0.3">
      <c r="A29" s="266"/>
      <c r="B29" s="266"/>
      <c r="C29" s="552" t="s">
        <v>28</v>
      </c>
      <c r="D29" s="552"/>
      <c r="E29" s="552"/>
      <c r="F29" s="236"/>
      <c r="G29" s="268">
        <f>G30+G31</f>
        <v>0</v>
      </c>
      <c r="H29" s="234"/>
      <c r="I29" s="267"/>
    </row>
    <row r="30" spans="1:10" s="40" customFormat="1" ht="18.75" x14ac:dyDescent="0.4">
      <c r="A30" s="269"/>
      <c r="B30" s="269"/>
      <c r="C30" s="270"/>
      <c r="D30" s="271"/>
      <c r="E30" s="272" t="s">
        <v>290</v>
      </c>
      <c r="F30" s="273" t="s">
        <v>6</v>
      </c>
      <c r="G30" s="274">
        <v>0</v>
      </c>
      <c r="H30" s="234"/>
      <c r="I30" s="267"/>
    </row>
    <row r="31" spans="1:10" s="40" customFormat="1" ht="20.25" customHeight="1" x14ac:dyDescent="0.4">
      <c r="A31" s="269"/>
      <c r="B31" s="269"/>
      <c r="C31" s="275"/>
      <c r="D31" s="271"/>
      <c r="E31" s="276"/>
      <c r="F31" s="273" t="s">
        <v>7</v>
      </c>
      <c r="G31" s="274">
        <v>0</v>
      </c>
      <c r="H31" s="234"/>
      <c r="I31" s="267"/>
    </row>
    <row r="32" spans="1:10" s="40" customFormat="1" ht="20.25" customHeight="1" x14ac:dyDescent="0.4">
      <c r="A32" s="269"/>
      <c r="B32" s="277"/>
      <c r="C32" s="553" t="s">
        <v>291</v>
      </c>
      <c r="D32" s="553"/>
      <c r="E32" s="553"/>
      <c r="F32" s="553"/>
      <c r="G32" s="268">
        <f>G26</f>
        <v>9624</v>
      </c>
      <c r="H32" s="234"/>
      <c r="I32" s="267"/>
    </row>
    <row r="33" spans="1:10" s="40" customFormat="1" ht="15" x14ac:dyDescent="0.3">
      <c r="A33" s="278"/>
      <c r="B33" s="554" t="s">
        <v>292</v>
      </c>
      <c r="C33" s="554"/>
      <c r="D33" s="554"/>
      <c r="E33" s="554"/>
      <c r="F33" s="554"/>
      <c r="G33" s="279">
        <v>-719043.53</v>
      </c>
      <c r="H33" s="280"/>
      <c r="I33" s="280"/>
    </row>
    <row r="34" spans="1:10" s="153" customFormat="1" ht="12.75" customHeight="1" x14ac:dyDescent="0.2">
      <c r="A34" s="572" t="s">
        <v>293</v>
      </c>
      <c r="B34" s="572"/>
      <c r="C34" s="572"/>
      <c r="D34" s="572"/>
      <c r="E34" s="572"/>
      <c r="F34" s="572"/>
      <c r="G34" s="572"/>
      <c r="H34" s="572"/>
      <c r="I34" s="572"/>
      <c r="J34" s="165"/>
    </row>
    <row r="35" spans="1:10" s="153" customFormat="1" x14ac:dyDescent="0.2">
      <c r="A35" s="572"/>
      <c r="B35" s="572"/>
      <c r="C35" s="572"/>
      <c r="D35" s="572"/>
      <c r="E35" s="572"/>
      <c r="F35" s="572"/>
      <c r="G35" s="572"/>
      <c r="H35" s="572"/>
      <c r="I35" s="572"/>
      <c r="J35" s="165"/>
    </row>
    <row r="36" spans="1:10" s="153" customFormat="1" ht="13.5" customHeight="1" x14ac:dyDescent="0.2">
      <c r="A36" s="572"/>
      <c r="B36" s="572"/>
      <c r="C36" s="572"/>
      <c r="D36" s="572"/>
      <c r="E36" s="572"/>
      <c r="F36" s="572"/>
      <c r="G36" s="572"/>
      <c r="H36" s="572"/>
      <c r="I36" s="572"/>
      <c r="J36" s="165"/>
    </row>
    <row r="37" spans="1:10" s="153" customFormat="1" ht="19.5" customHeight="1" x14ac:dyDescent="0.4">
      <c r="A37" s="242" t="s">
        <v>277</v>
      </c>
      <c r="B37" s="242" t="s">
        <v>31</v>
      </c>
      <c r="C37" s="242"/>
      <c r="D37" s="281"/>
      <c r="E37" s="214"/>
      <c r="F37" s="251"/>
      <c r="G37" s="282"/>
      <c r="H37" s="267"/>
      <c r="I37" s="267"/>
      <c r="J37" s="165"/>
    </row>
    <row r="38" spans="1:10" s="153" customFormat="1" ht="18.75" x14ac:dyDescent="0.4">
      <c r="A38" s="242"/>
      <c r="B38" s="242"/>
      <c r="C38" s="242"/>
      <c r="D38" s="281"/>
      <c r="E38" s="201"/>
      <c r="F38" s="283" t="s">
        <v>106</v>
      </c>
      <c r="G38" s="238" t="s">
        <v>0</v>
      </c>
      <c r="H38" s="236"/>
      <c r="I38" s="284" t="s">
        <v>107</v>
      </c>
      <c r="J38" s="5"/>
    </row>
    <row r="39" spans="1:10" s="153" customFormat="1" ht="16.5" x14ac:dyDescent="0.35">
      <c r="A39" s="285" t="s">
        <v>32</v>
      </c>
      <c r="B39" s="286"/>
      <c r="C39" s="250"/>
      <c r="D39" s="286"/>
      <c r="E39" s="214"/>
      <c r="F39" s="287">
        <v>7000</v>
      </c>
      <c r="G39" s="287">
        <v>7000</v>
      </c>
      <c r="H39" s="288"/>
      <c r="I39" s="289" t="s">
        <v>211</v>
      </c>
      <c r="J39" s="5"/>
    </row>
    <row r="40" spans="1:10" s="153" customFormat="1" ht="16.5" x14ac:dyDescent="0.35">
      <c r="A40" s="285" t="s">
        <v>108</v>
      </c>
      <c r="B40" s="286"/>
      <c r="C40" s="250"/>
      <c r="D40" s="290"/>
      <c r="E40" s="290"/>
      <c r="F40" s="287">
        <v>2384000</v>
      </c>
      <c r="G40" s="287">
        <v>2347433.7999999998</v>
      </c>
      <c r="H40" s="288"/>
      <c r="I40" s="289">
        <f>G40/F40</f>
        <v>0.98466182885906028</v>
      </c>
      <c r="J40" s="5"/>
    </row>
    <row r="41" spans="1:10" s="153" customFormat="1" ht="16.5" x14ac:dyDescent="0.35">
      <c r="A41" s="285" t="s">
        <v>109</v>
      </c>
      <c r="B41" s="286"/>
      <c r="C41" s="250"/>
      <c r="D41" s="290"/>
      <c r="E41" s="290"/>
      <c r="F41" s="287">
        <v>0</v>
      </c>
      <c r="G41" s="287">
        <v>0</v>
      </c>
      <c r="H41" s="288"/>
      <c r="I41" s="289" t="s">
        <v>211</v>
      </c>
      <c r="J41" s="5"/>
    </row>
    <row r="42" spans="1:10" s="153" customFormat="1" ht="15" customHeight="1" x14ac:dyDescent="0.35">
      <c r="A42" s="285" t="s">
        <v>206</v>
      </c>
      <c r="B42" s="286"/>
      <c r="C42" s="250"/>
      <c r="D42" s="214"/>
      <c r="E42" s="214"/>
      <c r="F42" s="287">
        <v>1788000</v>
      </c>
      <c r="G42" s="287">
        <v>1788000</v>
      </c>
      <c r="H42" s="288"/>
      <c r="I42" s="289">
        <f>G42/F42</f>
        <v>1</v>
      </c>
      <c r="J42" s="5"/>
    </row>
    <row r="43" spans="1:10" s="153" customFormat="1" ht="16.5" x14ac:dyDescent="0.35">
      <c r="A43" s="285" t="s">
        <v>278</v>
      </c>
      <c r="B43" s="245"/>
      <c r="C43" s="245"/>
      <c r="D43" s="236"/>
      <c r="E43" s="236" t="s">
        <v>279</v>
      </c>
      <c r="F43" s="287">
        <v>0</v>
      </c>
      <c r="G43" s="287">
        <v>0</v>
      </c>
      <c r="H43" s="288"/>
      <c r="I43" s="291" t="s">
        <v>211</v>
      </c>
      <c r="J43" s="5"/>
    </row>
    <row r="44" spans="1:10" s="153" customFormat="1" x14ac:dyDescent="0.2">
      <c r="A44" s="573" t="s">
        <v>343</v>
      </c>
      <c r="B44" s="573"/>
      <c r="C44" s="573"/>
      <c r="D44" s="573"/>
      <c r="E44" s="573"/>
      <c r="F44" s="573"/>
      <c r="G44" s="573"/>
      <c r="H44" s="573"/>
      <c r="I44" s="573"/>
      <c r="J44" s="5"/>
    </row>
    <row r="45" spans="1:10" s="153" customFormat="1" ht="6.75" customHeight="1" x14ac:dyDescent="0.2">
      <c r="A45" s="292"/>
      <c r="B45" s="292"/>
      <c r="C45" s="292"/>
      <c r="D45" s="292"/>
      <c r="E45" s="292"/>
      <c r="F45" s="292"/>
      <c r="G45" s="292"/>
      <c r="H45" s="292"/>
      <c r="I45" s="292"/>
      <c r="J45" s="5"/>
    </row>
    <row r="46" spans="1:10" s="153" customFormat="1" ht="19.5" thickBot="1" x14ac:dyDescent="0.45">
      <c r="A46" s="242" t="s">
        <v>280</v>
      </c>
      <c r="B46" s="242" t="s">
        <v>12</v>
      </c>
      <c r="C46" s="244"/>
      <c r="D46" s="214"/>
      <c r="E46" s="214"/>
      <c r="F46" s="216"/>
      <c r="G46" s="293"/>
      <c r="H46" s="570" t="s">
        <v>110</v>
      </c>
      <c r="I46" s="571"/>
      <c r="J46" s="5"/>
    </row>
    <row r="47" spans="1:10" s="153" customFormat="1" ht="18.75" thickTop="1" x14ac:dyDescent="0.35">
      <c r="A47" s="294"/>
      <c r="B47" s="295"/>
      <c r="C47" s="296"/>
      <c r="D47" s="295"/>
      <c r="E47" s="297" t="s">
        <v>281</v>
      </c>
      <c r="F47" s="298" t="s">
        <v>9</v>
      </c>
      <c r="G47" s="299" t="s">
        <v>10</v>
      </c>
      <c r="H47" s="300" t="s">
        <v>13</v>
      </c>
      <c r="I47" s="301" t="s">
        <v>111</v>
      </c>
      <c r="J47" s="5"/>
    </row>
    <row r="48" spans="1:10" s="153" customFormat="1" x14ac:dyDescent="0.2">
      <c r="A48" s="302"/>
      <c r="B48" s="379"/>
      <c r="C48" s="379"/>
      <c r="D48" s="379"/>
      <c r="E48" s="303"/>
      <c r="F48" s="567"/>
      <c r="G48" s="304"/>
      <c r="H48" s="305">
        <v>41639</v>
      </c>
      <c r="I48" s="306">
        <v>41639</v>
      </c>
      <c r="J48" s="5"/>
    </row>
    <row r="49" spans="1:10" s="153" customFormat="1" x14ac:dyDescent="0.2">
      <c r="A49" s="302"/>
      <c r="B49" s="379"/>
      <c r="C49" s="379"/>
      <c r="D49" s="379"/>
      <c r="E49" s="303"/>
      <c r="F49" s="567"/>
      <c r="G49" s="307"/>
      <c r="H49" s="307"/>
      <c r="I49" s="308"/>
      <c r="J49" s="5"/>
    </row>
    <row r="50" spans="1:10" s="153" customFormat="1" ht="13.5" thickBot="1" x14ac:dyDescent="0.25">
      <c r="A50" s="309"/>
      <c r="B50" s="310"/>
      <c r="C50" s="310"/>
      <c r="D50" s="310"/>
      <c r="E50" s="309"/>
      <c r="F50" s="311"/>
      <c r="G50" s="312"/>
      <c r="H50" s="312"/>
      <c r="I50" s="313"/>
      <c r="J50" s="5"/>
    </row>
    <row r="51" spans="1:10" s="153" customFormat="1" ht="13.5" thickTop="1" x14ac:dyDescent="0.2">
      <c r="A51" s="314"/>
      <c r="B51" s="315"/>
      <c r="C51" s="315" t="s">
        <v>6</v>
      </c>
      <c r="D51" s="315"/>
      <c r="E51" s="316">
        <v>0</v>
      </c>
      <c r="F51" s="317">
        <v>0</v>
      </c>
      <c r="G51" s="318">
        <v>0</v>
      </c>
      <c r="H51" s="318">
        <f>E51+F51-G51</f>
        <v>0</v>
      </c>
      <c r="I51" s="319">
        <f>H51</f>
        <v>0</v>
      </c>
      <c r="J51" s="5"/>
    </row>
    <row r="52" spans="1:10" s="153" customFormat="1" x14ac:dyDescent="0.2">
      <c r="A52" s="320"/>
      <c r="B52" s="321"/>
      <c r="C52" s="321" t="s">
        <v>8</v>
      </c>
      <c r="D52" s="321"/>
      <c r="E52" s="322">
        <v>145853.79</v>
      </c>
      <c r="F52" s="323">
        <v>342966.12</v>
      </c>
      <c r="G52" s="324">
        <v>437826</v>
      </c>
      <c r="H52" s="324">
        <f>E52+F52-G52</f>
        <v>50993.910000000033</v>
      </c>
      <c r="I52" s="325">
        <v>31599.91</v>
      </c>
      <c r="J52" s="5"/>
    </row>
    <row r="53" spans="1:10" s="153" customFormat="1" x14ac:dyDescent="0.2">
      <c r="A53" s="320"/>
      <c r="B53" s="321"/>
      <c r="C53" s="321" t="s">
        <v>7</v>
      </c>
      <c r="D53" s="321"/>
      <c r="E53" s="322">
        <v>1629256.94</v>
      </c>
      <c r="F53" s="323">
        <v>1235201.95</v>
      </c>
      <c r="G53" s="324">
        <v>1700493.94</v>
      </c>
      <c r="H53" s="324">
        <f>E53+F53-G53</f>
        <v>1163964.9499999997</v>
      </c>
      <c r="I53" s="325">
        <f>H53</f>
        <v>1163964.9499999997</v>
      </c>
      <c r="J53" s="5"/>
    </row>
    <row r="54" spans="1:10" x14ac:dyDescent="0.2">
      <c r="A54" s="320"/>
      <c r="B54" s="321"/>
      <c r="C54" s="321" t="s">
        <v>15</v>
      </c>
      <c r="D54" s="321"/>
      <c r="E54" s="322">
        <v>361136.98</v>
      </c>
      <c r="F54" s="323">
        <v>2383733.7999999998</v>
      </c>
      <c r="G54" s="324">
        <v>2639800.06</v>
      </c>
      <c r="H54" s="324">
        <f>E54+F54-G54</f>
        <v>105070.71999999974</v>
      </c>
      <c r="I54" s="325">
        <f>H54</f>
        <v>105070.71999999974</v>
      </c>
    </row>
    <row r="55" spans="1:10" ht="18" customHeight="1" thickBot="1" x14ac:dyDescent="0.4">
      <c r="A55" s="326" t="s">
        <v>2</v>
      </c>
      <c r="B55" s="327"/>
      <c r="C55" s="327"/>
      <c r="D55" s="327"/>
      <c r="E55" s="328">
        <f>E51+E52+E53+E54</f>
        <v>2136247.71</v>
      </c>
      <c r="F55" s="377">
        <f>F51+F52+F53+F54</f>
        <v>3961901.8699999996</v>
      </c>
      <c r="G55" s="377">
        <f>G51+G52+G53+G54</f>
        <v>4778120</v>
      </c>
      <c r="H55" s="377">
        <f>H51+H52+H53+H54</f>
        <v>1320029.5799999996</v>
      </c>
      <c r="I55" s="378">
        <f>I51+I52+I53+I54</f>
        <v>1300635.5799999994</v>
      </c>
    </row>
    <row r="56" spans="1:10" ht="9" customHeight="1" thickTop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4">
    <mergeCell ref="F48:F49"/>
    <mergeCell ref="A2:D2"/>
    <mergeCell ref="E2:I2"/>
    <mergeCell ref="E3:I3"/>
    <mergeCell ref="E4:I4"/>
    <mergeCell ref="H13:I13"/>
    <mergeCell ref="C29:E29"/>
    <mergeCell ref="C32:F32"/>
    <mergeCell ref="B33:F33"/>
    <mergeCell ref="A34:I36"/>
    <mergeCell ref="A44:I44"/>
    <mergeCell ref="E5:I5"/>
    <mergeCell ref="E7:I7"/>
    <mergeCell ref="H46:I46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tabColor theme="3" tint="0.59999389629810485"/>
  </sheetPr>
  <dimension ref="A1:J59"/>
  <sheetViews>
    <sheetView topLeftCell="A25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425781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113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150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151</v>
      </c>
      <c r="F6" s="20"/>
      <c r="G6" s="21" t="s">
        <v>37</v>
      </c>
      <c r="H6" s="22">
        <v>1104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28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6550000</v>
      </c>
      <c r="F15" s="128">
        <v>26091960.649999999</v>
      </c>
      <c r="G15" s="6">
        <f>H15+I15</f>
        <v>26250086.899999999</v>
      </c>
      <c r="H15" s="127">
        <v>25536794.16</v>
      </c>
      <c r="I15" s="127">
        <v>713292.74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6694000</v>
      </c>
      <c r="F17" s="128">
        <v>26201960.649999999</v>
      </c>
      <c r="G17" s="6">
        <f>H17+I17</f>
        <v>26368420.060000002</v>
      </c>
      <c r="H17" s="127">
        <v>25582446.010000002</v>
      </c>
      <c r="I17" s="127">
        <v>785974.05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118333.16000000387</v>
      </c>
      <c r="H23" s="264">
        <f>H17-H15-H21</f>
        <v>45651.85000000149</v>
      </c>
      <c r="I23" s="264">
        <f>I17-I15-I21</f>
        <v>72681.310000000056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73633.160000003874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44700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73633.16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14358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59275.16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44700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ht="12.75" customHeight="1" x14ac:dyDescent="0.2">
      <c r="A33" s="564" t="s">
        <v>313</v>
      </c>
      <c r="B33" s="564"/>
      <c r="C33" s="564"/>
      <c r="D33" s="564"/>
      <c r="E33" s="564"/>
      <c r="F33" s="564"/>
      <c r="G33" s="564"/>
      <c r="H33" s="564"/>
      <c r="I33" s="564"/>
    </row>
    <row r="34" spans="1:10" s="40" customFormat="1" x14ac:dyDescent="0.2">
      <c r="A34" s="564"/>
      <c r="B34" s="564"/>
      <c r="C34" s="564"/>
      <c r="D34" s="564"/>
      <c r="E34" s="564"/>
      <c r="F34" s="564"/>
      <c r="G34" s="564"/>
      <c r="H34" s="564"/>
      <c r="I34" s="564"/>
    </row>
    <row r="35" spans="1:10" s="153" customFormat="1" x14ac:dyDescent="0.2">
      <c r="A35" s="564"/>
      <c r="B35" s="564"/>
      <c r="C35" s="564"/>
      <c r="D35" s="564"/>
      <c r="E35" s="564"/>
      <c r="F35" s="564"/>
      <c r="G35" s="564"/>
      <c r="H35" s="564"/>
      <c r="I35" s="564"/>
      <c r="J35" s="165"/>
    </row>
    <row r="36" spans="1:10" s="153" customFormat="1" ht="19.5" x14ac:dyDescent="0.4">
      <c r="A36" s="34" t="s">
        <v>277</v>
      </c>
      <c r="B36" s="34" t="s">
        <v>31</v>
      </c>
      <c r="C36" s="34"/>
      <c r="D36" s="56"/>
      <c r="E36" s="38"/>
      <c r="F36" s="3"/>
      <c r="G36" s="57"/>
      <c r="H36" s="50"/>
      <c r="I36" s="50"/>
      <c r="J36" s="165"/>
    </row>
    <row r="37" spans="1:10" s="153" customFormat="1" ht="18.75" x14ac:dyDescent="0.4">
      <c r="A37" s="34"/>
      <c r="B37" s="34"/>
      <c r="C37" s="34"/>
      <c r="D37" s="56"/>
      <c r="E37" s="13"/>
      <c r="F37" s="58" t="s">
        <v>106</v>
      </c>
      <c r="G37" s="156" t="s">
        <v>0</v>
      </c>
      <c r="H37" s="30"/>
      <c r="I37" s="60" t="s">
        <v>107</v>
      </c>
      <c r="J37" s="165"/>
    </row>
    <row r="38" spans="1:10" s="153" customFormat="1" ht="15" customHeight="1" x14ac:dyDescent="0.35">
      <c r="A38" s="166" t="s">
        <v>32</v>
      </c>
      <c r="B38" s="62"/>
      <c r="C38" s="2"/>
      <c r="D38" s="62"/>
      <c r="E38" s="38"/>
      <c r="F38" s="167">
        <v>0</v>
      </c>
      <c r="G38" s="167">
        <v>0</v>
      </c>
      <c r="H38" s="129"/>
      <c r="I38" s="64" t="s">
        <v>211</v>
      </c>
      <c r="J38" s="165"/>
    </row>
    <row r="39" spans="1:10" s="153" customFormat="1" ht="16.5" x14ac:dyDescent="0.35">
      <c r="A39" s="166" t="s">
        <v>108</v>
      </c>
      <c r="B39" s="62"/>
      <c r="C39" s="2"/>
      <c r="D39" s="65"/>
      <c r="E39" s="65"/>
      <c r="F39" s="167">
        <v>1492303</v>
      </c>
      <c r="G39" s="167">
        <v>1493905.61</v>
      </c>
      <c r="H39" s="129"/>
      <c r="I39" s="64">
        <f>G39/F39</f>
        <v>1.0010739172942762</v>
      </c>
      <c r="J39" s="5"/>
    </row>
    <row r="40" spans="1:10" s="153" customFormat="1" ht="16.5" x14ac:dyDescent="0.35">
      <c r="A40" s="166" t="s">
        <v>109</v>
      </c>
      <c r="B40" s="62"/>
      <c r="C40" s="2"/>
      <c r="D40" s="65"/>
      <c r="E40" s="65"/>
      <c r="F40" s="167">
        <v>0</v>
      </c>
      <c r="G40" s="167">
        <v>0</v>
      </c>
      <c r="H40" s="129"/>
      <c r="I40" s="64" t="s">
        <v>211</v>
      </c>
      <c r="J40" s="5"/>
    </row>
    <row r="41" spans="1:10" s="153" customFormat="1" ht="16.5" x14ac:dyDescent="0.35">
      <c r="A41" s="166" t="s">
        <v>206</v>
      </c>
      <c r="B41" s="62"/>
      <c r="C41" s="2"/>
      <c r="D41" s="38"/>
      <c r="E41" s="38"/>
      <c r="F41" s="167">
        <v>1119227</v>
      </c>
      <c r="G41" s="167">
        <v>1119227</v>
      </c>
      <c r="H41" s="129"/>
      <c r="I41" s="64">
        <f>G41/F41</f>
        <v>1</v>
      </c>
      <c r="J41" s="5"/>
    </row>
    <row r="42" spans="1:10" s="153" customFormat="1" ht="15" customHeight="1" x14ac:dyDescent="0.35">
      <c r="A42" s="166" t="s">
        <v>278</v>
      </c>
      <c r="B42" s="37"/>
      <c r="C42" s="37"/>
      <c r="D42" s="30"/>
      <c r="E42" s="30" t="s">
        <v>279</v>
      </c>
      <c r="F42" s="167">
        <v>0</v>
      </c>
      <c r="G42" s="167">
        <v>0</v>
      </c>
      <c r="H42" s="129"/>
      <c r="I42" s="168" t="s">
        <v>211</v>
      </c>
      <c r="J42" s="5"/>
    </row>
    <row r="43" spans="1:10" s="153" customFormat="1" ht="17.25" customHeight="1" x14ac:dyDescent="0.2">
      <c r="A43" s="560" t="s">
        <v>314</v>
      </c>
      <c r="B43" s="560"/>
      <c r="C43" s="560"/>
      <c r="D43" s="560"/>
      <c r="E43" s="560"/>
      <c r="F43" s="560"/>
      <c r="G43" s="560"/>
      <c r="H43" s="560"/>
      <c r="I43" s="560"/>
      <c r="J43" s="5"/>
    </row>
    <row r="44" spans="1:10" s="153" customForma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280</v>
      </c>
      <c r="B45" s="34" t="s">
        <v>12</v>
      </c>
      <c r="C45" s="36"/>
      <c r="D45" s="38"/>
      <c r="E45" s="38"/>
      <c r="F45" s="71"/>
      <c r="G45" s="72"/>
      <c r="H45" s="546" t="s">
        <v>110</v>
      </c>
      <c r="I45" s="547"/>
      <c r="J45" s="5"/>
    </row>
    <row r="46" spans="1:10" s="153" customFormat="1" ht="18" x14ac:dyDescent="0.35">
      <c r="A46" s="169"/>
      <c r="B46" s="170"/>
      <c r="C46" s="171"/>
      <c r="D46" s="170"/>
      <c r="E46" s="172" t="s">
        <v>281</v>
      </c>
      <c r="F46" s="173" t="s">
        <v>9</v>
      </c>
      <c r="G46" s="173" t="s">
        <v>10</v>
      </c>
      <c r="H46" s="174" t="s">
        <v>13</v>
      </c>
      <c r="I46" s="175" t="s">
        <v>111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6"/>
      <c r="H47" s="117">
        <v>41639</v>
      </c>
      <c r="I47" s="178">
        <v>41639</v>
      </c>
      <c r="J47" s="5"/>
    </row>
    <row r="48" spans="1:10" s="153" customFormat="1" x14ac:dyDescent="0.2">
      <c r="A48" s="176"/>
      <c r="B48" s="177"/>
      <c r="C48" s="177"/>
      <c r="D48" s="177"/>
      <c r="E48" s="548"/>
      <c r="F48" s="549"/>
      <c r="G48" s="119"/>
      <c r="H48" s="119"/>
      <c r="I48" s="179"/>
      <c r="J48" s="5"/>
    </row>
    <row r="49" spans="1:10" s="153" customFormat="1" ht="13.5" thickBot="1" x14ac:dyDescent="0.25">
      <c r="A49" s="180"/>
      <c r="B49" s="181"/>
      <c r="C49" s="181"/>
      <c r="D49" s="181"/>
      <c r="E49" s="182"/>
      <c r="F49" s="183"/>
      <c r="G49" s="183"/>
      <c r="H49" s="183"/>
      <c r="I49" s="184"/>
      <c r="J49" s="5"/>
    </row>
    <row r="50" spans="1:10" s="153" customFormat="1" ht="13.5" thickTop="1" x14ac:dyDescent="0.2">
      <c r="A50" s="185"/>
      <c r="B50" s="74"/>
      <c r="C50" s="74" t="s">
        <v>6</v>
      </c>
      <c r="D50" s="74"/>
      <c r="E50" s="186">
        <v>5097</v>
      </c>
      <c r="F50" s="187">
        <v>3853</v>
      </c>
      <c r="G50" s="75">
        <v>7000</v>
      </c>
      <c r="H50" s="75">
        <f>E50+F50-G50</f>
        <v>1950</v>
      </c>
      <c r="I50" s="188">
        <f>H50</f>
        <v>1950</v>
      </c>
      <c r="J50" s="5"/>
    </row>
    <row r="51" spans="1:10" s="153" customFormat="1" x14ac:dyDescent="0.2">
      <c r="A51" s="189"/>
      <c r="B51" s="77"/>
      <c r="C51" s="77" t="s">
        <v>8</v>
      </c>
      <c r="D51" s="77"/>
      <c r="E51" s="190">
        <v>230312.71999999997</v>
      </c>
      <c r="F51" s="191">
        <v>133000</v>
      </c>
      <c r="G51" s="78">
        <v>121274</v>
      </c>
      <c r="H51" s="78">
        <f>E51+F51-G51</f>
        <v>242038.71999999997</v>
      </c>
      <c r="I51" s="192">
        <v>240228.72</v>
      </c>
      <c r="J51" s="5"/>
    </row>
    <row r="52" spans="1:10" s="153" customFormat="1" x14ac:dyDescent="0.2">
      <c r="A52" s="189"/>
      <c r="B52" s="77"/>
      <c r="C52" s="77" t="s">
        <v>7</v>
      </c>
      <c r="D52" s="77"/>
      <c r="E52" s="190">
        <v>1473359.8199999998</v>
      </c>
      <c r="F52" s="191">
        <f>15906.79+711321.8</f>
        <v>727228.59000000008</v>
      </c>
      <c r="G52" s="78">
        <f>58366.57+1015194.88</f>
        <v>1073561.45</v>
      </c>
      <c r="H52" s="78">
        <f>E52+F52-G52</f>
        <v>1127026.9600000002</v>
      </c>
      <c r="I52" s="192">
        <f>H52</f>
        <v>1127026.9600000002</v>
      </c>
      <c r="J52" s="5"/>
    </row>
    <row r="53" spans="1:10" s="153" customFormat="1" x14ac:dyDescent="0.2">
      <c r="A53" s="189"/>
      <c r="B53" s="77"/>
      <c r="C53" s="77" t="s">
        <v>15</v>
      </c>
      <c r="D53" s="77"/>
      <c r="E53" s="190">
        <v>372549.66000000015</v>
      </c>
      <c r="F53" s="191">
        <v>1601076.61</v>
      </c>
      <c r="G53" s="78">
        <v>1821335.5</v>
      </c>
      <c r="H53" s="78">
        <f>E53+F53-G53</f>
        <v>152290.77000000025</v>
      </c>
      <c r="I53" s="192">
        <f>H53</f>
        <v>152290.77000000025</v>
      </c>
      <c r="J53" s="5"/>
    </row>
    <row r="54" spans="1:10" s="153" customFormat="1" ht="18.75" thickBot="1" x14ac:dyDescent="0.4">
      <c r="A54" s="193" t="s">
        <v>2</v>
      </c>
      <c r="B54" s="194"/>
      <c r="C54" s="194"/>
      <c r="D54" s="194"/>
      <c r="E54" s="195">
        <f>E50+E51+E52+E53</f>
        <v>2081319.2</v>
      </c>
      <c r="F54" s="196">
        <f>F50+F51+F52+F53</f>
        <v>2465158.2000000002</v>
      </c>
      <c r="G54" s="197">
        <f>G50+G51+G52+G53</f>
        <v>3023170.95</v>
      </c>
      <c r="H54" s="197">
        <f>H50+H51+H52+H53</f>
        <v>1523306.4500000004</v>
      </c>
      <c r="I54" s="198">
        <f>I50+I51+I52+I53</f>
        <v>1521496.4500000004</v>
      </c>
      <c r="J54" s="5"/>
    </row>
    <row r="55" spans="1:10" ht="18" x14ac:dyDescent="0.35">
      <c r="A55" s="79"/>
      <c r="B55" s="68"/>
      <c r="C55" s="68"/>
      <c r="D55" s="38"/>
      <c r="E55" s="38"/>
      <c r="F55" s="71"/>
      <c r="G55" s="72"/>
      <c r="H55" s="80"/>
      <c r="I55" s="80"/>
    </row>
    <row r="56" spans="1:10" ht="18" hidden="1" x14ac:dyDescent="0.35">
      <c r="A56" s="79"/>
      <c r="B56" s="68"/>
      <c r="C56" s="68"/>
      <c r="D56" s="38"/>
      <c r="E56" s="38"/>
      <c r="F56" s="71"/>
      <c r="G56" s="81"/>
      <c r="H56" s="82"/>
      <c r="I56" s="82"/>
    </row>
    <row r="57" spans="1:10" ht="18" hidden="1" x14ac:dyDescent="0.35">
      <c r="A57" s="83"/>
      <c r="B57" s="84"/>
      <c r="C57" s="84"/>
      <c r="D57" s="85"/>
      <c r="E57" s="85"/>
      <c r="F57" s="82"/>
      <c r="G57" s="82"/>
      <c r="H57" s="82"/>
      <c r="I57" s="82"/>
    </row>
    <row r="58" spans="1:10" hidden="1" x14ac:dyDescent="0.2">
      <c r="A58" s="86"/>
      <c r="B58" s="86"/>
      <c r="C58" s="86"/>
      <c r="D58" s="86"/>
      <c r="E58" s="86"/>
      <c r="F58" s="86"/>
      <c r="G58" s="86"/>
      <c r="H58" s="86"/>
      <c r="I58" s="86"/>
    </row>
    <row r="59" spans="1:10" hidden="1" x14ac:dyDescent="0.2">
      <c r="A59" s="86"/>
      <c r="B59" s="86"/>
      <c r="C59" s="86"/>
      <c r="D59" s="86"/>
      <c r="E59" s="86"/>
      <c r="F59" s="86"/>
      <c r="G59" s="86"/>
      <c r="H59" s="86"/>
      <c r="I59" s="86"/>
    </row>
  </sheetData>
  <mergeCells count="15">
    <mergeCell ref="A2:D2"/>
    <mergeCell ref="E2:I2"/>
    <mergeCell ref="E3:I3"/>
    <mergeCell ref="E4:I4"/>
    <mergeCell ref="F47:F48"/>
    <mergeCell ref="E5:I5"/>
    <mergeCell ref="E7:I7"/>
    <mergeCell ref="H12:I12"/>
    <mergeCell ref="H45:I45"/>
    <mergeCell ref="A43:I43"/>
    <mergeCell ref="A33:I35"/>
    <mergeCell ref="E47:E48"/>
    <mergeCell ref="C28:E28"/>
    <mergeCell ref="C31:F31"/>
    <mergeCell ref="B32:F32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  <rowBreaks count="1" manualBreakCount="1">
    <brk id="55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3" tint="0.59999389629810485"/>
  </sheetPr>
  <dimension ref="A1:J58"/>
  <sheetViews>
    <sheetView topLeftCell="A31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425781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119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152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153</v>
      </c>
      <c r="F6" s="20"/>
      <c r="G6" s="21" t="s">
        <v>37</v>
      </c>
      <c r="H6" s="22">
        <v>1105</v>
      </c>
    </row>
    <row r="7" spans="1:10" ht="9" customHeight="1" x14ac:dyDescent="0.4">
      <c r="A7" s="18"/>
      <c r="E7" s="544" t="s">
        <v>101</v>
      </c>
      <c r="F7" s="544"/>
      <c r="G7" s="544"/>
      <c r="H7" s="544"/>
      <c r="I7" s="544"/>
    </row>
    <row r="8" spans="1:10" ht="4.5" customHeight="1" x14ac:dyDescent="0.4">
      <c r="A8" s="18"/>
      <c r="E8" s="23"/>
      <c r="F8" s="23"/>
      <c r="G8" s="23"/>
      <c r="H8" s="21"/>
      <c r="I8" s="23"/>
    </row>
    <row r="9" spans="1:10" ht="34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3349000</v>
      </c>
      <c r="F15" s="128">
        <v>17476666.260000002</v>
      </c>
      <c r="G15" s="6">
        <f>H15+I15</f>
        <v>17476666.259999998</v>
      </c>
      <c r="H15" s="127">
        <v>16873102.359999999</v>
      </c>
      <c r="I15" s="127">
        <v>603563.9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3349000</v>
      </c>
      <c r="F17" s="128">
        <v>17864926.420000002</v>
      </c>
      <c r="G17" s="6">
        <f>H17+I17</f>
        <v>17685091.189999998</v>
      </c>
      <c r="H17" s="127">
        <v>16996062.039999999</v>
      </c>
      <c r="I17" s="127">
        <v>689029.15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208424.9299999997</v>
      </c>
      <c r="H23" s="264">
        <f>H17-H15-H21</f>
        <v>122959.6799999997</v>
      </c>
      <c r="I23" s="264">
        <f>I17-I15-I21</f>
        <v>85465.25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208424.9299999997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208424.93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15000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193424.93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0</v>
      </c>
      <c r="G37" s="167">
        <v>0</v>
      </c>
      <c r="H37" s="129"/>
      <c r="I37" s="64" t="s">
        <v>211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779860</v>
      </c>
      <c r="G38" s="167">
        <v>779860</v>
      </c>
      <c r="H38" s="129"/>
      <c r="I38" s="64">
        <f>G38/F38</f>
        <v>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585145</v>
      </c>
      <c r="G40" s="167">
        <v>585145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53595</v>
      </c>
      <c r="F49" s="187">
        <v>15000</v>
      </c>
      <c r="G49" s="75">
        <v>7000</v>
      </c>
      <c r="H49" s="75">
        <f>E49+F49-G49</f>
        <v>61595</v>
      </c>
      <c r="I49" s="188">
        <f>H49</f>
        <v>61595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82691.760000000009</v>
      </c>
      <c r="F50" s="191">
        <v>95620</v>
      </c>
      <c r="G50" s="78">
        <v>98606</v>
      </c>
      <c r="H50" s="78">
        <f>E50+F50-G50</f>
        <v>79705.760000000009</v>
      </c>
      <c r="I50" s="192">
        <v>84718.94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617021.03</v>
      </c>
      <c r="F51" s="191">
        <f>84610.94+286183</f>
        <v>370793.94</v>
      </c>
      <c r="G51" s="78">
        <v>327514.21999999997</v>
      </c>
      <c r="H51" s="78">
        <f>E51+F51-G51</f>
        <v>660300.75</v>
      </c>
      <c r="I51" s="192">
        <f>H51</f>
        <v>660300.75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674314.42999999993</v>
      </c>
      <c r="F52" s="191">
        <v>859115</v>
      </c>
      <c r="G52" s="78">
        <v>749835</v>
      </c>
      <c r="H52" s="78">
        <f>E52+F52-G52</f>
        <v>783594.42999999993</v>
      </c>
      <c r="I52" s="192">
        <f>H52</f>
        <v>783594.42999999993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1427622.22</v>
      </c>
      <c r="F53" s="196">
        <f>F49+F50+F51+F52</f>
        <v>1340528.94</v>
      </c>
      <c r="G53" s="197">
        <f>G49+G50+G51+G52</f>
        <v>1182955.22</v>
      </c>
      <c r="H53" s="197">
        <f>H49+H50+H51+H52</f>
        <v>1585195.94</v>
      </c>
      <c r="I53" s="198">
        <f>I49+I50+I51+I52</f>
        <v>1590209.1199999999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3:I3"/>
    <mergeCell ref="E4:I4"/>
    <mergeCell ref="F46:F47"/>
    <mergeCell ref="E5:I5"/>
    <mergeCell ref="E7:I7"/>
    <mergeCell ref="H12:I12"/>
    <mergeCell ref="H44:I44"/>
    <mergeCell ref="A33:I34"/>
    <mergeCell ref="A42:I42"/>
    <mergeCell ref="E46:E47"/>
    <mergeCell ref="C28:E28"/>
    <mergeCell ref="C31:F31"/>
    <mergeCell ref="B32:F32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3" tint="0.59999389629810485"/>
  </sheetPr>
  <dimension ref="A1:J58"/>
  <sheetViews>
    <sheetView topLeftCell="A29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140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34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154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155</v>
      </c>
      <c r="F6" s="20"/>
      <c r="G6" s="21" t="s">
        <v>37</v>
      </c>
      <c r="H6" s="22">
        <v>1120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29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3422000</v>
      </c>
      <c r="F15" s="128">
        <v>30438596.719999999</v>
      </c>
      <c r="G15" s="6">
        <f>H15+I15</f>
        <v>30411548.23</v>
      </c>
      <c r="H15" s="127">
        <v>30383889.309999999</v>
      </c>
      <c r="I15" s="127">
        <v>27658.92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3422000</v>
      </c>
      <c r="F17" s="128">
        <v>30438596.719999999</v>
      </c>
      <c r="G17" s="6">
        <f>H17+I17</f>
        <v>30567982.129999999</v>
      </c>
      <c r="H17" s="127">
        <v>30531727.129999999</v>
      </c>
      <c r="I17" s="127">
        <v>36255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156433.89999999851</v>
      </c>
      <c r="H23" s="264">
        <f>H17-H15-H21</f>
        <v>147837.8200000003</v>
      </c>
      <c r="I23" s="264">
        <f>I17-I15-I21</f>
        <v>8596.0800000000017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156433.89999999851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156433.9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20000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136433.9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0</v>
      </c>
      <c r="G37" s="167">
        <v>0</v>
      </c>
      <c r="H37" s="129"/>
      <c r="I37" s="64" t="s">
        <v>211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247300</v>
      </c>
      <c r="G38" s="167">
        <v>247304</v>
      </c>
      <c r="H38" s="129"/>
      <c r="I38" s="64">
        <f>G38/F38</f>
        <v>1.0000161746866154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185725</v>
      </c>
      <c r="G40" s="167">
        <v>185725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6" t="s">
        <v>329</v>
      </c>
      <c r="B42" s="556"/>
      <c r="C42" s="556"/>
      <c r="D42" s="556"/>
      <c r="E42" s="556"/>
      <c r="F42" s="556"/>
      <c r="G42" s="556"/>
      <c r="H42" s="556"/>
      <c r="I42" s="556"/>
      <c r="J42" s="5"/>
    </row>
    <row r="43" spans="1:10" s="153" customFormat="1" x14ac:dyDescent="0.2">
      <c r="A43" s="557"/>
      <c r="B43" s="557"/>
      <c r="C43" s="557"/>
      <c r="D43" s="557"/>
      <c r="E43" s="557"/>
      <c r="F43" s="557"/>
      <c r="G43" s="557"/>
      <c r="H43" s="557"/>
      <c r="I43" s="557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8900</v>
      </c>
      <c r="F49" s="187">
        <v>15000</v>
      </c>
      <c r="G49" s="75">
        <v>2000</v>
      </c>
      <c r="H49" s="75">
        <f>E49+F49-G49</f>
        <v>21900</v>
      </c>
      <c r="I49" s="188">
        <v>21900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176704.45</v>
      </c>
      <c r="F50" s="191">
        <v>165654</v>
      </c>
      <c r="G50" s="78">
        <v>185544</v>
      </c>
      <c r="H50" s="78">
        <f>E50+F50-G50</f>
        <v>156814.45000000001</v>
      </c>
      <c r="I50" s="192">
        <v>136378.46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802607.55999999994</v>
      </c>
      <c r="F51" s="191">
        <f>60754.62+1346008.14</f>
        <v>1406762.76</v>
      </c>
      <c r="G51" s="78">
        <v>733313.83</v>
      </c>
      <c r="H51" s="78">
        <f>E51+F51-G51</f>
        <v>1476056.4899999998</v>
      </c>
      <c r="I51" s="192">
        <f>H51</f>
        <v>1476056.4899999998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136128.25</v>
      </c>
      <c r="F52" s="191">
        <v>249165</v>
      </c>
      <c r="G52" s="78">
        <v>303083</v>
      </c>
      <c r="H52" s="78">
        <f>E52+F52-G52</f>
        <v>82210.25</v>
      </c>
      <c r="I52" s="192">
        <f>H52</f>
        <v>82210.25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1124340.26</v>
      </c>
      <c r="F53" s="196">
        <f>F49+F50+F51+F52</f>
        <v>1836581.76</v>
      </c>
      <c r="G53" s="197">
        <f>G49+G50+G51+G52</f>
        <v>1223940.83</v>
      </c>
      <c r="H53" s="197">
        <f>H49+H50+H51+H52</f>
        <v>1736981.1899999997</v>
      </c>
      <c r="I53" s="198">
        <f>I49+I50+I51+I52</f>
        <v>1716545.1999999997</v>
      </c>
      <c r="J53" s="5"/>
    </row>
    <row r="54" spans="1:10" ht="9.75" customHeight="1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E46:E47"/>
    <mergeCell ref="F46:F47"/>
    <mergeCell ref="A33:I34"/>
    <mergeCell ref="H44:I44"/>
    <mergeCell ref="A42:I43"/>
    <mergeCell ref="A2:D2"/>
    <mergeCell ref="E2:I2"/>
    <mergeCell ref="E3:I3"/>
    <mergeCell ref="E4:I4"/>
    <mergeCell ref="B32:F32"/>
    <mergeCell ref="C28:E28"/>
    <mergeCell ref="C31:F31"/>
    <mergeCell ref="E5:I5"/>
    <mergeCell ref="E7:I7"/>
    <mergeCell ref="H12:I12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3" tint="0.59999389629810485"/>
  </sheetPr>
  <dimension ref="A1:J58"/>
  <sheetViews>
    <sheetView topLeftCell="A19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6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97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249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156</v>
      </c>
      <c r="F6" s="20"/>
      <c r="G6" s="21" t="s">
        <v>37</v>
      </c>
      <c r="H6" s="22">
        <v>1121</v>
      </c>
    </row>
    <row r="7" spans="1:10" ht="8.25" customHeight="1" x14ac:dyDescent="0.4">
      <c r="A7" s="18"/>
      <c r="E7" s="544" t="s">
        <v>101</v>
      </c>
      <c r="F7" s="544"/>
      <c r="G7" s="544"/>
      <c r="H7" s="544"/>
      <c r="I7" s="544"/>
    </row>
    <row r="8" spans="1:10" ht="1.5" customHeight="1" x14ac:dyDescent="0.4">
      <c r="A8" s="18"/>
      <c r="E8" s="23"/>
      <c r="F8" s="23"/>
      <c r="G8" s="23"/>
      <c r="H8" s="21"/>
      <c r="I8" s="23"/>
    </row>
    <row r="9" spans="1:10" ht="30.7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3657000</v>
      </c>
      <c r="F15" s="128">
        <v>19284268.859999999</v>
      </c>
      <c r="G15" s="6">
        <f>H15+I15</f>
        <v>19278457.829999998</v>
      </c>
      <c r="H15" s="127">
        <v>18403583.219999999</v>
      </c>
      <c r="I15" s="127">
        <v>874874.61</v>
      </c>
      <c r="J15" s="227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3725000</v>
      </c>
      <c r="F17" s="128">
        <v>22573955.579999998</v>
      </c>
      <c r="G17" s="6">
        <f>H17+I17</f>
        <v>19935914.59</v>
      </c>
      <c r="H17" s="127">
        <v>18400441.09</v>
      </c>
      <c r="I17" s="127">
        <v>1535473.5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66470</v>
      </c>
      <c r="H21" s="161">
        <v>0</v>
      </c>
      <c r="I21" s="161">
        <v>66470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590986.76000000164</v>
      </c>
      <c r="H23" s="264">
        <f>H17-H15-H21</f>
        <v>-3142.1299999989569</v>
      </c>
      <c r="I23" s="264">
        <f>I17-I15-I21</f>
        <v>594128.89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445534.76000000164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145452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445534.76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20000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425534.76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145452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ht="12.75" customHeight="1" x14ac:dyDescent="0.2">
      <c r="A33" s="564" t="s">
        <v>315</v>
      </c>
      <c r="B33" s="564"/>
      <c r="C33" s="564"/>
      <c r="D33" s="564"/>
      <c r="E33" s="564"/>
      <c r="F33" s="564"/>
      <c r="G33" s="564"/>
      <c r="H33" s="564"/>
      <c r="I33" s="564"/>
    </row>
    <row r="34" spans="1:10" s="40" customFormat="1" x14ac:dyDescent="0.2">
      <c r="A34" s="564"/>
      <c r="B34" s="564"/>
      <c r="C34" s="564"/>
      <c r="D34" s="564"/>
      <c r="E34" s="564"/>
      <c r="F34" s="564"/>
      <c r="G34" s="564"/>
      <c r="H34" s="564"/>
      <c r="I34" s="564"/>
    </row>
    <row r="35" spans="1:10" s="153" customFormat="1" x14ac:dyDescent="0.2">
      <c r="A35" s="564"/>
      <c r="B35" s="564"/>
      <c r="C35" s="564"/>
      <c r="D35" s="564"/>
      <c r="E35" s="564"/>
      <c r="F35" s="564"/>
      <c r="G35" s="564"/>
      <c r="H35" s="564"/>
      <c r="I35" s="564"/>
      <c r="J35" s="165"/>
    </row>
    <row r="36" spans="1:10" s="153" customFormat="1" ht="19.5" x14ac:dyDescent="0.4">
      <c r="A36" s="34" t="s">
        <v>277</v>
      </c>
      <c r="B36" s="34" t="s">
        <v>31</v>
      </c>
      <c r="C36" s="34"/>
      <c r="D36" s="56"/>
      <c r="E36" s="38"/>
      <c r="F36" s="3"/>
      <c r="G36" s="57"/>
      <c r="H36" s="50"/>
      <c r="I36" s="50"/>
      <c r="J36" s="165"/>
    </row>
    <row r="37" spans="1:10" s="153" customFormat="1" ht="18.75" x14ac:dyDescent="0.4">
      <c r="A37" s="34"/>
      <c r="B37" s="34"/>
      <c r="C37" s="34"/>
      <c r="D37" s="56"/>
      <c r="E37" s="13"/>
      <c r="F37" s="58" t="s">
        <v>106</v>
      </c>
      <c r="G37" s="156" t="s">
        <v>0</v>
      </c>
      <c r="H37" s="30"/>
      <c r="I37" s="60" t="s">
        <v>107</v>
      </c>
      <c r="J37" s="165"/>
    </row>
    <row r="38" spans="1:10" s="153" customFormat="1" ht="15" customHeight="1" x14ac:dyDescent="0.35">
      <c r="A38" s="166" t="s">
        <v>32</v>
      </c>
      <c r="B38" s="62"/>
      <c r="C38" s="2"/>
      <c r="D38" s="62"/>
      <c r="E38" s="38"/>
      <c r="F38" s="167">
        <v>0</v>
      </c>
      <c r="G38" s="167">
        <v>0</v>
      </c>
      <c r="H38" s="129"/>
      <c r="I38" s="64" t="s">
        <v>211</v>
      </c>
      <c r="J38" s="165"/>
    </row>
    <row r="39" spans="1:10" s="153" customFormat="1" ht="16.5" x14ac:dyDescent="0.35">
      <c r="A39" s="166" t="s">
        <v>108</v>
      </c>
      <c r="B39" s="62"/>
      <c r="C39" s="2"/>
      <c r="D39" s="65"/>
      <c r="E39" s="65"/>
      <c r="F39" s="167">
        <v>676000</v>
      </c>
      <c r="G39" s="167">
        <v>670189</v>
      </c>
      <c r="H39" s="129"/>
      <c r="I39" s="64">
        <f>G39/F39</f>
        <v>0.99140384615384614</v>
      </c>
      <c r="J39" s="5"/>
    </row>
    <row r="40" spans="1:10" s="153" customFormat="1" ht="16.5" x14ac:dyDescent="0.35">
      <c r="A40" s="166" t="s">
        <v>109</v>
      </c>
      <c r="B40" s="62"/>
      <c r="C40" s="2"/>
      <c r="D40" s="65"/>
      <c r="E40" s="65"/>
      <c r="F40" s="167">
        <v>0</v>
      </c>
      <c r="G40" s="167">
        <v>0</v>
      </c>
      <c r="H40" s="129"/>
      <c r="I40" s="64" t="s">
        <v>211</v>
      </c>
      <c r="J40" s="5"/>
    </row>
    <row r="41" spans="1:10" s="153" customFormat="1" ht="16.5" x14ac:dyDescent="0.35">
      <c r="A41" s="166" t="s">
        <v>206</v>
      </c>
      <c r="B41" s="62"/>
      <c r="C41" s="2"/>
      <c r="D41" s="38"/>
      <c r="E41" s="38"/>
      <c r="F41" s="167">
        <v>506750</v>
      </c>
      <c r="G41" s="167">
        <v>506750</v>
      </c>
      <c r="H41" s="129"/>
      <c r="I41" s="64">
        <f>G41/F41</f>
        <v>1</v>
      </c>
      <c r="J41" s="5"/>
    </row>
    <row r="42" spans="1:10" s="153" customFormat="1" ht="13.5" customHeight="1" x14ac:dyDescent="0.35">
      <c r="A42" s="166" t="s">
        <v>278</v>
      </c>
      <c r="B42" s="37"/>
      <c r="C42" s="37"/>
      <c r="D42" s="30"/>
      <c r="E42" s="30" t="s">
        <v>279</v>
      </c>
      <c r="F42" s="167">
        <v>0</v>
      </c>
      <c r="G42" s="167">
        <v>0</v>
      </c>
      <c r="H42" s="129"/>
      <c r="I42" s="168" t="s">
        <v>211</v>
      </c>
      <c r="J42" s="5"/>
    </row>
    <row r="43" spans="1:10" s="153" customFormat="1" ht="13.5" customHeight="1" x14ac:dyDescent="0.2">
      <c r="A43" s="556" t="s">
        <v>316</v>
      </c>
      <c r="B43" s="551"/>
      <c r="C43" s="551"/>
      <c r="D43" s="551"/>
      <c r="E43" s="551"/>
      <c r="F43" s="551"/>
      <c r="G43" s="551"/>
      <c r="H43" s="551"/>
      <c r="I43" s="551"/>
      <c r="J43" s="5"/>
    </row>
    <row r="44" spans="1:10" s="153" customFormat="1" ht="4.5" customHeigh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280</v>
      </c>
      <c r="B45" s="34" t="s">
        <v>12</v>
      </c>
      <c r="C45" s="36"/>
      <c r="D45" s="38"/>
      <c r="E45" s="38"/>
      <c r="F45" s="71"/>
      <c r="G45" s="72"/>
      <c r="H45" s="546" t="s">
        <v>110</v>
      </c>
      <c r="I45" s="547"/>
      <c r="J45" s="5"/>
    </row>
    <row r="46" spans="1:10" s="153" customFormat="1" ht="18" x14ac:dyDescent="0.35">
      <c r="A46" s="169"/>
      <c r="B46" s="170"/>
      <c r="C46" s="171"/>
      <c r="D46" s="170"/>
      <c r="E46" s="172" t="s">
        <v>281</v>
      </c>
      <c r="F46" s="173" t="s">
        <v>9</v>
      </c>
      <c r="G46" s="173" t="s">
        <v>10</v>
      </c>
      <c r="H46" s="174" t="s">
        <v>13</v>
      </c>
      <c r="I46" s="175" t="s">
        <v>111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6"/>
      <c r="H47" s="117">
        <v>41639</v>
      </c>
      <c r="I47" s="178">
        <v>41639</v>
      </c>
      <c r="J47" s="5"/>
    </row>
    <row r="48" spans="1:10" s="153" customFormat="1" x14ac:dyDescent="0.2">
      <c r="A48" s="176"/>
      <c r="B48" s="177"/>
      <c r="C48" s="177"/>
      <c r="D48" s="177"/>
      <c r="E48" s="548"/>
      <c r="F48" s="549"/>
      <c r="G48" s="119"/>
      <c r="H48" s="119"/>
      <c r="I48" s="179"/>
      <c r="J48" s="5"/>
    </row>
    <row r="49" spans="1:10" s="153" customFormat="1" ht="13.5" thickBot="1" x14ac:dyDescent="0.25">
      <c r="A49" s="180"/>
      <c r="B49" s="181"/>
      <c r="C49" s="181"/>
      <c r="D49" s="181"/>
      <c r="E49" s="182"/>
      <c r="F49" s="183"/>
      <c r="G49" s="183"/>
      <c r="H49" s="183"/>
      <c r="I49" s="184"/>
      <c r="J49" s="5"/>
    </row>
    <row r="50" spans="1:10" s="153" customFormat="1" ht="13.5" thickTop="1" x14ac:dyDescent="0.2">
      <c r="A50" s="185"/>
      <c r="B50" s="74"/>
      <c r="C50" s="74" t="s">
        <v>6</v>
      </c>
      <c r="D50" s="74"/>
      <c r="E50" s="186">
        <v>20300</v>
      </c>
      <c r="F50" s="187">
        <v>30000</v>
      </c>
      <c r="G50" s="75">
        <v>40000</v>
      </c>
      <c r="H50" s="75">
        <f>E50+F50-G50</f>
        <v>10300</v>
      </c>
      <c r="I50" s="188">
        <f>H50</f>
        <v>10300</v>
      </c>
      <c r="J50" s="5"/>
    </row>
    <row r="51" spans="1:10" s="153" customFormat="1" x14ac:dyDescent="0.2">
      <c r="A51" s="189"/>
      <c r="B51" s="77"/>
      <c r="C51" s="77" t="s">
        <v>8</v>
      </c>
      <c r="D51" s="77"/>
      <c r="E51" s="190">
        <v>80695.830000000016</v>
      </c>
      <c r="F51" s="191">
        <v>95065</v>
      </c>
      <c r="G51" s="78">
        <v>106971.55</v>
      </c>
      <c r="H51" s="78">
        <f>E51+F51-G51</f>
        <v>68789.280000000013</v>
      </c>
      <c r="I51" s="192">
        <v>57560.69</v>
      </c>
      <c r="J51" s="5"/>
    </row>
    <row r="52" spans="1:10" s="153" customFormat="1" x14ac:dyDescent="0.2">
      <c r="A52" s="189"/>
      <c r="B52" s="77"/>
      <c r="C52" s="77" t="s">
        <v>7</v>
      </c>
      <c r="D52" s="77"/>
      <c r="E52" s="190">
        <v>825021.79</v>
      </c>
      <c r="F52" s="191">
        <f>394487.27+2096208.08</f>
        <v>2490695.35</v>
      </c>
      <c r="G52" s="78">
        <f>69241.76+619657.83</f>
        <v>688899.59</v>
      </c>
      <c r="H52" s="78">
        <f>E52+F52-G52</f>
        <v>2626817.5500000003</v>
      </c>
      <c r="I52" s="192">
        <f>H52</f>
        <v>2626817.5500000003</v>
      </c>
      <c r="J52" s="5"/>
    </row>
    <row r="53" spans="1:10" s="153" customFormat="1" x14ac:dyDescent="0.2">
      <c r="A53" s="189"/>
      <c r="B53" s="77"/>
      <c r="C53" s="77" t="s">
        <v>15</v>
      </c>
      <c r="D53" s="77"/>
      <c r="E53" s="190">
        <v>215076</v>
      </c>
      <c r="F53" s="191">
        <v>729118.54</v>
      </c>
      <c r="G53" s="78">
        <v>706159</v>
      </c>
      <c r="H53" s="78">
        <f>E53+F53-G53</f>
        <v>238035.54000000004</v>
      </c>
      <c r="I53" s="192">
        <f>H53</f>
        <v>238035.54000000004</v>
      </c>
      <c r="J53" s="5"/>
    </row>
    <row r="54" spans="1:10" s="153" customFormat="1" ht="18.75" thickBot="1" x14ac:dyDescent="0.4">
      <c r="A54" s="193" t="s">
        <v>2</v>
      </c>
      <c r="B54" s="194"/>
      <c r="C54" s="194"/>
      <c r="D54" s="194"/>
      <c r="E54" s="195">
        <f>E50+E51+E52+E53</f>
        <v>1141093.6200000001</v>
      </c>
      <c r="F54" s="196">
        <f>F50+F51+F52+F53</f>
        <v>3344878.89</v>
      </c>
      <c r="G54" s="197">
        <f>G50+G51+G52+G53</f>
        <v>1542030.14</v>
      </c>
      <c r="H54" s="197">
        <f>H50+H51+H52+H53</f>
        <v>2943942.37</v>
      </c>
      <c r="I54" s="198">
        <f>I50+I51+I52+I53</f>
        <v>2932713.7800000003</v>
      </c>
      <c r="J54" s="5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hidden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hidden="1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hidden="1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H45:I45"/>
    <mergeCell ref="E47:E48"/>
    <mergeCell ref="F47:F48"/>
    <mergeCell ref="E7:I7"/>
    <mergeCell ref="H12:I12"/>
    <mergeCell ref="A43:I43"/>
    <mergeCell ref="A33:I35"/>
    <mergeCell ref="C28:E28"/>
    <mergeCell ref="C31:F31"/>
    <mergeCell ref="B32:F32"/>
    <mergeCell ref="A2:D2"/>
    <mergeCell ref="E2:I2"/>
    <mergeCell ref="E3:I3"/>
    <mergeCell ref="E4:I4"/>
    <mergeCell ref="E5:I5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  <rowBreaks count="1" manualBreakCount="1">
    <brk id="5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3" tint="0.59999389629810485"/>
  </sheetPr>
  <dimension ref="A1:J57"/>
  <sheetViews>
    <sheetView topLeftCell="A13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42" t="s">
        <v>94</v>
      </c>
      <c r="F2" s="543"/>
      <c r="G2" s="543"/>
      <c r="H2" s="543"/>
      <c r="I2" s="543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45" t="s">
        <v>127</v>
      </c>
      <c r="F4" s="545"/>
      <c r="G4" s="545"/>
      <c r="H4" s="545"/>
      <c r="I4" s="54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89">
        <v>75007592</v>
      </c>
      <c r="F6" s="20"/>
      <c r="G6" s="21" t="s">
        <v>37</v>
      </c>
      <c r="H6" s="22">
        <v>1000</v>
      </c>
    </row>
    <row r="7" spans="1:10" ht="8.25" customHeight="1" x14ac:dyDescent="0.4">
      <c r="A7" s="18"/>
      <c r="E7" s="544" t="s">
        <v>101</v>
      </c>
      <c r="F7" s="544"/>
      <c r="G7" s="544"/>
      <c r="H7" s="544"/>
      <c r="I7" s="544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33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2857000</v>
      </c>
      <c r="F15" s="128">
        <v>8945641.4000000004</v>
      </c>
      <c r="G15" s="6">
        <f>H15+I15</f>
        <v>8945641.4000000004</v>
      </c>
      <c r="H15" s="127">
        <v>8925623.4000000004</v>
      </c>
      <c r="I15" s="127">
        <v>20018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2870000</v>
      </c>
      <c r="F17" s="128">
        <v>8902166.5500000007</v>
      </c>
      <c r="G17" s="6">
        <f>H17+I17</f>
        <v>8969554.1500000004</v>
      </c>
      <c r="H17" s="127">
        <v>8925554.1500000004</v>
      </c>
      <c r="I17" s="127">
        <v>44000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23912.75</v>
      </c>
      <c r="H23" s="264">
        <f>H17-H15-H21</f>
        <v>-69.25</v>
      </c>
      <c r="I23" s="264">
        <f>I17-I15-I21</f>
        <v>23982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23912.75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23912.75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8000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15912.75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971000</v>
      </c>
      <c r="G37" s="167">
        <v>971000</v>
      </c>
      <c r="H37" s="129"/>
      <c r="I37" s="64">
        <f>G37/F37</f>
        <v>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0</v>
      </c>
      <c r="G38" s="167">
        <v>0</v>
      </c>
      <c r="H38" s="129"/>
      <c r="I38" s="64" t="s">
        <v>211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0</v>
      </c>
      <c r="G40" s="167">
        <v>0</v>
      </c>
      <c r="H40" s="129"/>
      <c r="I40" s="64" t="s">
        <v>211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15000</v>
      </c>
      <c r="F49" s="187">
        <v>15000</v>
      </c>
      <c r="G49" s="75">
        <v>2000</v>
      </c>
      <c r="H49" s="75">
        <f>E49+F49-G49</f>
        <v>28000</v>
      </c>
      <c r="I49" s="188">
        <f>H49</f>
        <v>28000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71136.350000000006</v>
      </c>
      <c r="F50" s="191">
        <v>50475</v>
      </c>
      <c r="G50" s="78">
        <v>62605</v>
      </c>
      <c r="H50" s="78">
        <f>E50+F50-G50</f>
        <v>59006.350000000006</v>
      </c>
      <c r="I50" s="192">
        <v>51532.62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214354.42</v>
      </c>
      <c r="F51" s="191">
        <f>46373.05+52575</f>
        <v>98948.05</v>
      </c>
      <c r="G51" s="78">
        <v>119962.6</v>
      </c>
      <c r="H51" s="78">
        <f>E51+F51-G51</f>
        <v>193339.87000000002</v>
      </c>
      <c r="I51" s="192">
        <f>H51</f>
        <v>193339.87000000002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30810</v>
      </c>
      <c r="F52" s="191">
        <v>7110</v>
      </c>
      <c r="G52" s="78">
        <v>0</v>
      </c>
      <c r="H52" s="78">
        <f>E52+F52-G52</f>
        <v>37920</v>
      </c>
      <c r="I52" s="192">
        <f>H52</f>
        <v>37920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331300.77</v>
      </c>
      <c r="F53" s="196">
        <f>F49+F50+F51+F52</f>
        <v>171533.05</v>
      </c>
      <c r="G53" s="197">
        <f>G49+G50+G51+G52</f>
        <v>184567.6</v>
      </c>
      <c r="H53" s="197">
        <f>H49+H50+H51+H52</f>
        <v>318266.22000000003</v>
      </c>
      <c r="I53" s="198">
        <f>I49+I50+I51+I52</f>
        <v>310792.49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81"/>
      <c r="H54" s="82"/>
      <c r="I54" s="82"/>
    </row>
    <row r="55" spans="1:10" ht="18" x14ac:dyDescent="0.35">
      <c r="A55" s="83"/>
      <c r="B55" s="84"/>
      <c r="C55" s="84"/>
      <c r="D55" s="85"/>
      <c r="E55" s="85"/>
      <c r="F55" s="82"/>
      <c r="G55" s="82"/>
      <c r="H55" s="82"/>
      <c r="I55" s="82"/>
    </row>
    <row r="56" spans="1:10" x14ac:dyDescent="0.2">
      <c r="A56" s="86"/>
      <c r="B56" s="86"/>
      <c r="C56" s="86"/>
      <c r="D56" s="86"/>
      <c r="E56" s="86"/>
      <c r="F56" s="86"/>
      <c r="G56" s="86"/>
      <c r="H56" s="86"/>
      <c r="I56" s="86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</sheetData>
  <mergeCells count="15">
    <mergeCell ref="H44:I44"/>
    <mergeCell ref="E46:E47"/>
    <mergeCell ref="F46:F47"/>
    <mergeCell ref="E7:I7"/>
    <mergeCell ref="H12:I12"/>
    <mergeCell ref="A33:I34"/>
    <mergeCell ref="A42:I42"/>
    <mergeCell ref="C28:E28"/>
    <mergeCell ref="C31:F31"/>
    <mergeCell ref="B32:F32"/>
    <mergeCell ref="A2:D2"/>
    <mergeCell ref="E2:I2"/>
    <mergeCell ref="E3:I3"/>
    <mergeCell ref="E4:I4"/>
    <mergeCell ref="E5:I5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3" tint="0.59999389629810485"/>
  </sheetPr>
  <dimension ref="A1:J59"/>
  <sheetViews>
    <sheetView topLeftCell="A24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140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270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157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158</v>
      </c>
      <c r="F6" s="20"/>
      <c r="G6" s="21" t="s">
        <v>37</v>
      </c>
      <c r="H6" s="22">
        <v>1122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32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15968000</v>
      </c>
      <c r="F15" s="128">
        <v>47749146.359999999</v>
      </c>
      <c r="G15" s="6">
        <f>H15+I15</f>
        <v>46971610.599999994</v>
      </c>
      <c r="H15" s="127">
        <v>45111586.299999997</v>
      </c>
      <c r="I15" s="127">
        <v>1860024.3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15968000</v>
      </c>
      <c r="F17" s="128">
        <v>47749146.359999999</v>
      </c>
      <c r="G17" s="6">
        <f>H17+I17</f>
        <v>47354390.579999998</v>
      </c>
      <c r="H17" s="127">
        <v>45111586.299999997</v>
      </c>
      <c r="I17" s="127">
        <v>2242804.2799999998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382779.98000000417</v>
      </c>
      <c r="H23" s="264">
        <f>H17-H15-H21</f>
        <v>0</v>
      </c>
      <c r="I23" s="264">
        <f>I17-I15-I21</f>
        <v>382779.97999999975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213447.98000000417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169332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213447.98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15000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198447.98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169332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62" t="s">
        <v>326</v>
      </c>
      <c r="B33" s="562"/>
      <c r="C33" s="562"/>
      <c r="D33" s="562"/>
      <c r="E33" s="562"/>
      <c r="F33" s="562"/>
      <c r="G33" s="562"/>
      <c r="H33" s="562"/>
      <c r="I33" s="562"/>
    </row>
    <row r="34" spans="1:10" s="40" customFormat="1" x14ac:dyDescent="0.2">
      <c r="A34" s="562"/>
      <c r="B34" s="562"/>
      <c r="C34" s="562"/>
      <c r="D34" s="562"/>
      <c r="E34" s="562"/>
      <c r="F34" s="562"/>
      <c r="G34" s="562"/>
      <c r="H34" s="562"/>
      <c r="I34" s="562"/>
    </row>
    <row r="35" spans="1:10" s="153" customFormat="1" x14ac:dyDescent="0.2">
      <c r="A35" s="562"/>
      <c r="B35" s="562"/>
      <c r="C35" s="562"/>
      <c r="D35" s="562"/>
      <c r="E35" s="562"/>
      <c r="F35" s="562"/>
      <c r="G35" s="562"/>
      <c r="H35" s="562"/>
      <c r="I35" s="562"/>
      <c r="J35" s="165"/>
    </row>
    <row r="36" spans="1:10" s="153" customFormat="1" ht="19.5" x14ac:dyDescent="0.4">
      <c r="A36" s="34" t="s">
        <v>277</v>
      </c>
      <c r="B36" s="34" t="s">
        <v>31</v>
      </c>
      <c r="C36" s="34"/>
      <c r="D36" s="56"/>
      <c r="E36" s="38"/>
      <c r="F36" s="3"/>
      <c r="G36" s="57"/>
      <c r="H36" s="50"/>
      <c r="I36" s="50"/>
      <c r="J36" s="165"/>
    </row>
    <row r="37" spans="1:10" s="153" customFormat="1" ht="18.75" x14ac:dyDescent="0.4">
      <c r="A37" s="34"/>
      <c r="B37" s="34"/>
      <c r="C37" s="34"/>
      <c r="D37" s="56"/>
      <c r="E37" s="13"/>
      <c r="F37" s="58" t="s">
        <v>106</v>
      </c>
      <c r="G37" s="156" t="s">
        <v>0</v>
      </c>
      <c r="H37" s="30"/>
      <c r="I37" s="60" t="s">
        <v>107</v>
      </c>
      <c r="J37" s="165"/>
    </row>
    <row r="38" spans="1:10" s="153" customFormat="1" ht="15" customHeight="1" x14ac:dyDescent="0.35">
      <c r="A38" s="166" t="s">
        <v>32</v>
      </c>
      <c r="B38" s="62"/>
      <c r="C38" s="2"/>
      <c r="D38" s="62"/>
      <c r="E38" s="38"/>
      <c r="F38" s="167">
        <v>0</v>
      </c>
      <c r="G38" s="167">
        <v>0</v>
      </c>
      <c r="H38" s="129"/>
      <c r="I38" s="64" t="s">
        <v>211</v>
      </c>
      <c r="J38" s="165"/>
    </row>
    <row r="39" spans="1:10" s="153" customFormat="1" ht="16.5" x14ac:dyDescent="0.35">
      <c r="A39" s="166" t="s">
        <v>108</v>
      </c>
      <c r="B39" s="62"/>
      <c r="C39" s="2"/>
      <c r="D39" s="65"/>
      <c r="E39" s="65"/>
      <c r="F39" s="167">
        <v>1267578</v>
      </c>
      <c r="G39" s="167">
        <v>1267578</v>
      </c>
      <c r="H39" s="129"/>
      <c r="I39" s="64">
        <f>G39/F39</f>
        <v>1</v>
      </c>
      <c r="J39" s="5"/>
    </row>
    <row r="40" spans="1:10" s="153" customFormat="1" ht="16.5" x14ac:dyDescent="0.35">
      <c r="A40" s="166" t="s">
        <v>109</v>
      </c>
      <c r="B40" s="62"/>
      <c r="C40" s="2"/>
      <c r="D40" s="65"/>
      <c r="E40" s="65"/>
      <c r="F40" s="167">
        <v>0</v>
      </c>
      <c r="G40" s="167">
        <v>0</v>
      </c>
      <c r="H40" s="129"/>
      <c r="I40" s="64" t="s">
        <v>211</v>
      </c>
      <c r="J40" s="5"/>
    </row>
    <row r="41" spans="1:10" s="153" customFormat="1" ht="16.5" x14ac:dyDescent="0.35">
      <c r="A41" s="166" t="s">
        <v>206</v>
      </c>
      <c r="B41" s="62"/>
      <c r="C41" s="2"/>
      <c r="D41" s="38"/>
      <c r="E41" s="38"/>
      <c r="F41" s="167">
        <v>950433</v>
      </c>
      <c r="G41" s="167">
        <v>950433</v>
      </c>
      <c r="H41" s="129"/>
      <c r="I41" s="64">
        <f>G41/F41</f>
        <v>1</v>
      </c>
      <c r="J41" s="5"/>
    </row>
    <row r="42" spans="1:10" s="153" customFormat="1" ht="13.5" customHeight="1" x14ac:dyDescent="0.35">
      <c r="A42" s="166" t="s">
        <v>278</v>
      </c>
      <c r="B42" s="37"/>
      <c r="C42" s="37"/>
      <c r="D42" s="30"/>
      <c r="E42" s="30" t="s">
        <v>279</v>
      </c>
      <c r="F42" s="167">
        <v>0</v>
      </c>
      <c r="G42" s="167">
        <v>0</v>
      </c>
      <c r="H42" s="129"/>
      <c r="I42" s="168" t="s">
        <v>211</v>
      </c>
      <c r="J42" s="5"/>
    </row>
    <row r="43" spans="1:10" s="153" customFormat="1" hidden="1" x14ac:dyDescent="0.2">
      <c r="A43" s="551"/>
      <c r="B43" s="551"/>
      <c r="C43" s="551"/>
      <c r="D43" s="551"/>
      <c r="E43" s="551"/>
      <c r="F43" s="551"/>
      <c r="G43" s="551"/>
      <c r="H43" s="551"/>
      <c r="I43" s="551"/>
      <c r="J43" s="5"/>
    </row>
    <row r="44" spans="1:10" s="153" customForma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280</v>
      </c>
      <c r="B45" s="34" t="s">
        <v>12</v>
      </c>
      <c r="C45" s="36"/>
      <c r="D45" s="38"/>
      <c r="E45" s="38"/>
      <c r="F45" s="71"/>
      <c r="G45" s="72"/>
      <c r="H45" s="546" t="s">
        <v>110</v>
      </c>
      <c r="I45" s="547"/>
      <c r="J45" s="5"/>
    </row>
    <row r="46" spans="1:10" s="153" customFormat="1" ht="18" x14ac:dyDescent="0.35">
      <c r="A46" s="169"/>
      <c r="B46" s="170"/>
      <c r="C46" s="171"/>
      <c r="D46" s="170"/>
      <c r="E46" s="172" t="s">
        <v>281</v>
      </c>
      <c r="F46" s="173" t="s">
        <v>9</v>
      </c>
      <c r="G46" s="173" t="s">
        <v>10</v>
      </c>
      <c r="H46" s="174" t="s">
        <v>13</v>
      </c>
      <c r="I46" s="175" t="s">
        <v>111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6"/>
      <c r="H47" s="117">
        <v>41639</v>
      </c>
      <c r="I47" s="178">
        <v>41639</v>
      </c>
      <c r="J47" s="5"/>
    </row>
    <row r="48" spans="1:10" s="153" customFormat="1" x14ac:dyDescent="0.2">
      <c r="A48" s="176"/>
      <c r="B48" s="177"/>
      <c r="C48" s="177"/>
      <c r="D48" s="177"/>
      <c r="E48" s="548"/>
      <c r="F48" s="549"/>
      <c r="G48" s="119"/>
      <c r="H48" s="119"/>
      <c r="I48" s="179"/>
      <c r="J48" s="5"/>
    </row>
    <row r="49" spans="1:10" s="153" customFormat="1" ht="13.5" thickBot="1" x14ac:dyDescent="0.25">
      <c r="A49" s="180"/>
      <c r="B49" s="181"/>
      <c r="C49" s="181"/>
      <c r="D49" s="181"/>
      <c r="E49" s="182"/>
      <c r="F49" s="183"/>
      <c r="G49" s="183"/>
      <c r="H49" s="183"/>
      <c r="I49" s="184"/>
      <c r="J49" s="5"/>
    </row>
    <row r="50" spans="1:10" s="153" customFormat="1" ht="13.5" thickTop="1" x14ac:dyDescent="0.2">
      <c r="A50" s="185"/>
      <c r="B50" s="74"/>
      <c r="C50" s="74" t="s">
        <v>6</v>
      </c>
      <c r="D50" s="74"/>
      <c r="E50" s="186">
        <v>133788.93</v>
      </c>
      <c r="F50" s="187">
        <v>16282.2</v>
      </c>
      <c r="G50" s="75">
        <v>9900</v>
      </c>
      <c r="H50" s="75">
        <f>E50+F50-G50</f>
        <v>140171.13</v>
      </c>
      <c r="I50" s="188">
        <f>H50</f>
        <v>140171.13</v>
      </c>
      <c r="J50" s="5"/>
    </row>
    <row r="51" spans="1:10" s="153" customFormat="1" x14ac:dyDescent="0.2">
      <c r="A51" s="189"/>
      <c r="B51" s="77"/>
      <c r="C51" s="77" t="s">
        <v>8</v>
      </c>
      <c r="D51" s="77"/>
      <c r="E51" s="190">
        <v>211020.55999999994</v>
      </c>
      <c r="F51" s="191">
        <v>227221.2</v>
      </c>
      <c r="G51" s="78">
        <v>310635</v>
      </c>
      <c r="H51" s="78">
        <f>E51+F51-G51</f>
        <v>127606.75999999995</v>
      </c>
      <c r="I51" s="192">
        <v>106246.32</v>
      </c>
      <c r="J51" s="5"/>
    </row>
    <row r="52" spans="1:10" s="153" customFormat="1" x14ac:dyDescent="0.2">
      <c r="A52" s="189"/>
      <c r="B52" s="77"/>
      <c r="C52" s="77" t="s">
        <v>7</v>
      </c>
      <c r="D52" s="77"/>
      <c r="E52" s="190">
        <v>1397623.5</v>
      </c>
      <c r="F52" s="191">
        <f>592370.34+81814.88+155385.43</f>
        <v>829570.64999999991</v>
      </c>
      <c r="G52" s="78">
        <f>703251.1+811097.89</f>
        <v>1514348.99</v>
      </c>
      <c r="H52" s="78">
        <f>E52+F52-G52</f>
        <v>712845.15999999992</v>
      </c>
      <c r="I52" s="192">
        <f>H52</f>
        <v>712845.15999999992</v>
      </c>
      <c r="J52" s="5"/>
    </row>
    <row r="53" spans="1:10" s="153" customFormat="1" x14ac:dyDescent="0.2">
      <c r="A53" s="189"/>
      <c r="B53" s="77"/>
      <c r="C53" s="77" t="s">
        <v>15</v>
      </c>
      <c r="D53" s="77"/>
      <c r="E53" s="190">
        <v>52775.449999999953</v>
      </c>
      <c r="F53" s="191">
        <v>1320732</v>
      </c>
      <c r="G53" s="78">
        <v>1036533</v>
      </c>
      <c r="H53" s="78">
        <f>E53+F53-G53</f>
        <v>336974.44999999995</v>
      </c>
      <c r="I53" s="192">
        <f>H53</f>
        <v>336974.44999999995</v>
      </c>
      <c r="J53" s="5"/>
    </row>
    <row r="54" spans="1:10" s="153" customFormat="1" ht="18.75" thickBot="1" x14ac:dyDescent="0.4">
      <c r="A54" s="193" t="s">
        <v>2</v>
      </c>
      <c r="B54" s="194"/>
      <c r="C54" s="194"/>
      <c r="D54" s="194"/>
      <c r="E54" s="195">
        <f>E50+E51+E52+E53</f>
        <v>1795208.44</v>
      </c>
      <c r="F54" s="196">
        <f>F50+F51+F52+F53</f>
        <v>2393806.0499999998</v>
      </c>
      <c r="G54" s="197">
        <f>G50+G51+G52+G53</f>
        <v>2871416.99</v>
      </c>
      <c r="H54" s="197">
        <f>H50+H51+H52+H53</f>
        <v>1317597.4999999998</v>
      </c>
      <c r="I54" s="198">
        <f>I50+I51+I52+I53</f>
        <v>1296237.0599999998</v>
      </c>
      <c r="J54" s="5"/>
    </row>
    <row r="55" spans="1:10" ht="18" x14ac:dyDescent="0.35">
      <c r="A55" s="79"/>
      <c r="B55" s="68"/>
      <c r="C55" s="68"/>
      <c r="D55" s="38"/>
      <c r="E55" s="38"/>
      <c r="F55" s="71"/>
      <c r="G55" s="72"/>
      <c r="H55" s="80"/>
      <c r="I55" s="80"/>
    </row>
    <row r="56" spans="1:10" ht="18" hidden="1" x14ac:dyDescent="0.35">
      <c r="A56" s="79"/>
      <c r="B56" s="68"/>
      <c r="C56" s="68"/>
      <c r="D56" s="38"/>
      <c r="E56" s="38"/>
      <c r="F56" s="71"/>
      <c r="G56" s="81"/>
      <c r="H56" s="82"/>
      <c r="I56" s="82"/>
    </row>
    <row r="57" spans="1:10" ht="18" hidden="1" x14ac:dyDescent="0.35">
      <c r="A57" s="83"/>
      <c r="B57" s="84"/>
      <c r="C57" s="84"/>
      <c r="D57" s="85"/>
      <c r="E57" s="85"/>
      <c r="F57" s="82"/>
      <c r="G57" s="82"/>
      <c r="H57" s="82"/>
      <c r="I57" s="82"/>
    </row>
    <row r="58" spans="1:10" hidden="1" x14ac:dyDescent="0.2">
      <c r="A58" s="86"/>
      <c r="B58" s="86"/>
      <c r="C58" s="86"/>
      <c r="D58" s="86"/>
      <c r="E58" s="86"/>
      <c r="F58" s="86"/>
      <c r="G58" s="86"/>
      <c r="H58" s="86"/>
      <c r="I58" s="86"/>
    </row>
    <row r="59" spans="1:10" x14ac:dyDescent="0.2">
      <c r="A59" s="86"/>
      <c r="B59" s="86"/>
      <c r="C59" s="86"/>
      <c r="D59" s="86"/>
      <c r="E59" s="86"/>
      <c r="F59" s="86"/>
      <c r="G59" s="86"/>
      <c r="H59" s="86"/>
      <c r="I59" s="86"/>
    </row>
  </sheetData>
  <mergeCells count="15">
    <mergeCell ref="F47:F48"/>
    <mergeCell ref="E5:I5"/>
    <mergeCell ref="E7:I7"/>
    <mergeCell ref="H12:I12"/>
    <mergeCell ref="A43:I43"/>
    <mergeCell ref="E47:E48"/>
    <mergeCell ref="C28:E28"/>
    <mergeCell ref="C31:F31"/>
    <mergeCell ref="B32:F32"/>
    <mergeCell ref="A2:D2"/>
    <mergeCell ref="E2:I2"/>
    <mergeCell ref="E3:I3"/>
    <mergeCell ref="E4:I4"/>
    <mergeCell ref="H45:I45"/>
    <mergeCell ref="A33:I35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3" tint="0.59999389629810485"/>
  </sheetPr>
  <dimension ref="A1:J57"/>
  <sheetViews>
    <sheetView topLeftCell="A19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159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160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161</v>
      </c>
      <c r="F6" s="20"/>
      <c r="G6" s="21" t="s">
        <v>37</v>
      </c>
      <c r="H6" s="22">
        <v>1123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4.5" customHeight="1" x14ac:dyDescent="0.4">
      <c r="A8" s="18"/>
      <c r="E8" s="23"/>
      <c r="F8" s="23"/>
      <c r="G8" s="23"/>
      <c r="H8" s="21"/>
      <c r="I8" s="23"/>
    </row>
    <row r="9" spans="1:10" ht="36.7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16248000</v>
      </c>
      <c r="F15" s="128">
        <v>45060283.68</v>
      </c>
      <c r="G15" s="6">
        <f>H15+I15</f>
        <v>45060283.68</v>
      </c>
      <c r="H15" s="127">
        <v>42408679.25</v>
      </c>
      <c r="I15" s="127">
        <v>2651604.4300000002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16263000</v>
      </c>
      <c r="F17" s="128">
        <v>44475208.740000002</v>
      </c>
      <c r="G17" s="6">
        <f>H17+I17</f>
        <v>45100699.720000006</v>
      </c>
      <c r="H17" s="127">
        <v>42358652.340000004</v>
      </c>
      <c r="I17" s="127">
        <v>2742047.38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40416.040000006557</v>
      </c>
      <c r="H23" s="264">
        <f>H17-H15-H21</f>
        <v>-50026.909999996424</v>
      </c>
      <c r="I23" s="264">
        <f>I17-I15-I21</f>
        <v>90442.949999999721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40416.040000006557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0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0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-3888866.63</v>
      </c>
      <c r="H32" s="280"/>
      <c r="I32" s="280"/>
    </row>
    <row r="33" spans="1:10" s="40" customFormat="1" ht="12.75" customHeight="1" x14ac:dyDescent="0.2">
      <c r="A33" s="575" t="s">
        <v>345</v>
      </c>
      <c r="B33" s="575"/>
      <c r="C33" s="575"/>
      <c r="D33" s="575"/>
      <c r="E33" s="575"/>
      <c r="F33" s="575"/>
      <c r="G33" s="575"/>
      <c r="H33" s="575"/>
      <c r="I33" s="575"/>
    </row>
    <row r="34" spans="1:10" s="40" customFormat="1" x14ac:dyDescent="0.2">
      <c r="A34" s="575"/>
      <c r="B34" s="575"/>
      <c r="C34" s="575"/>
      <c r="D34" s="575"/>
      <c r="E34" s="575"/>
      <c r="F34" s="575"/>
      <c r="G34" s="575"/>
      <c r="H34" s="575"/>
      <c r="I34" s="57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72200</v>
      </c>
      <c r="G37" s="167">
        <v>67249</v>
      </c>
      <c r="H37" s="129"/>
      <c r="I37" s="64">
        <f>G37/F37</f>
        <v>0.93142659279778395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1788000</v>
      </c>
      <c r="G38" s="167">
        <v>1778508</v>
      </c>
      <c r="H38" s="129"/>
      <c r="I38" s="64">
        <f>G38/F38</f>
        <v>0.99469127516778522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1341000</v>
      </c>
      <c r="G40" s="167">
        <v>1341000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60" t="s">
        <v>330</v>
      </c>
      <c r="B42" s="560"/>
      <c r="C42" s="560"/>
      <c r="D42" s="560"/>
      <c r="E42" s="560"/>
      <c r="F42" s="560"/>
      <c r="G42" s="560"/>
      <c r="H42" s="560"/>
      <c r="I42" s="560"/>
      <c r="J42" s="5"/>
    </row>
    <row r="43" spans="1:10" s="153" customFormat="1" x14ac:dyDescent="0.2">
      <c r="A43" s="557"/>
      <c r="B43" s="557"/>
      <c r="C43" s="557"/>
      <c r="D43" s="557"/>
      <c r="E43" s="557"/>
      <c r="F43" s="557"/>
      <c r="G43" s="557"/>
      <c r="H43" s="557"/>
      <c r="I43" s="557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0</v>
      </c>
      <c r="F49" s="187">
        <v>0</v>
      </c>
      <c r="G49" s="75">
        <v>0</v>
      </c>
      <c r="H49" s="75">
        <f>E49+F49-G49</f>
        <v>0</v>
      </c>
      <c r="I49" s="188">
        <f>H49</f>
        <v>0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158837.32</v>
      </c>
      <c r="F50" s="191">
        <v>206363</v>
      </c>
      <c r="G50" s="78">
        <v>197972.92</v>
      </c>
      <c r="H50" s="78">
        <f>E50+F50-G50</f>
        <v>167227.4</v>
      </c>
      <c r="I50" s="192">
        <v>174866.78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1443636.87</v>
      </c>
      <c r="F51" s="191">
        <v>733561.8</v>
      </c>
      <c r="G51" s="78">
        <v>1394318.86</v>
      </c>
      <c r="H51" s="78">
        <f>E51+F51-G51</f>
        <v>782879.80999999982</v>
      </c>
      <c r="I51" s="192">
        <f>H51</f>
        <v>782879.80999999982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521355.28000000026</v>
      </c>
      <c r="F52" s="191">
        <v>2072325</v>
      </c>
      <c r="G52" s="78">
        <v>1366563</v>
      </c>
      <c r="H52" s="78">
        <f>E52+F52-G52</f>
        <v>1227117.2800000003</v>
      </c>
      <c r="I52" s="192">
        <f>H52</f>
        <v>1227117.2800000003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2123829.4700000007</v>
      </c>
      <c r="F53" s="196">
        <f>F49+F50+F51+F52</f>
        <v>3012249.8</v>
      </c>
      <c r="G53" s="197">
        <f>G49+G50+G51+G52</f>
        <v>2958854.7800000003</v>
      </c>
      <c r="H53" s="197">
        <f>H49+H50+H51+H52</f>
        <v>2177224.4900000002</v>
      </c>
      <c r="I53" s="198">
        <f>I49+I50+I51+I52</f>
        <v>2184863.87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81"/>
      <c r="H54" s="82"/>
      <c r="I54" s="82"/>
    </row>
    <row r="55" spans="1:10" ht="18" x14ac:dyDescent="0.35">
      <c r="A55" s="83"/>
      <c r="B55" s="84"/>
      <c r="C55" s="84"/>
      <c r="D55" s="85"/>
      <c r="E55" s="85"/>
      <c r="F55" s="82"/>
      <c r="G55" s="82"/>
      <c r="H55" s="82"/>
      <c r="I55" s="82"/>
    </row>
    <row r="56" spans="1:10" x14ac:dyDescent="0.2">
      <c r="A56" s="86"/>
      <c r="B56" s="86"/>
      <c r="C56" s="86"/>
      <c r="D56" s="86"/>
      <c r="E56" s="86"/>
      <c r="F56" s="86"/>
      <c r="G56" s="86"/>
      <c r="H56" s="86"/>
      <c r="I56" s="86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</sheetData>
  <mergeCells count="15">
    <mergeCell ref="H44:I44"/>
    <mergeCell ref="E46:E47"/>
    <mergeCell ref="F46:F47"/>
    <mergeCell ref="E7:I7"/>
    <mergeCell ref="H12:I12"/>
    <mergeCell ref="A33:I34"/>
    <mergeCell ref="C28:E28"/>
    <mergeCell ref="C31:F31"/>
    <mergeCell ref="B32:F32"/>
    <mergeCell ref="A42:I43"/>
    <mergeCell ref="A2:D2"/>
    <mergeCell ref="E2:I2"/>
    <mergeCell ref="E3:I3"/>
    <mergeCell ref="E4:I4"/>
    <mergeCell ref="E5:I5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topLeftCell="A25" zoomScaleNormal="100" workbookViewId="0">
      <selection activeCell="B3" sqref="B3"/>
    </sheetView>
  </sheetViews>
  <sheetFormatPr defaultRowHeight="12.75" x14ac:dyDescent="0.2"/>
  <cols>
    <col min="1" max="1" width="7.5703125" style="201" customWidth="1"/>
    <col min="2" max="2" width="2.5703125" style="201" customWidth="1"/>
    <col min="3" max="3" width="8.42578125" style="201" customWidth="1"/>
    <col min="4" max="4" width="8.28515625" style="201" customWidth="1"/>
    <col min="5" max="5" width="14.7109375" style="201" customWidth="1"/>
    <col min="6" max="6" width="15.5703125" style="201" customWidth="1"/>
    <col min="7" max="8" width="14.7109375" style="201" customWidth="1"/>
    <col min="9" max="9" width="17" style="201" bestFit="1" customWidth="1"/>
    <col min="10" max="10" width="18.85546875" style="202" customWidth="1"/>
    <col min="11" max="11" width="17.28515625" style="202" customWidth="1"/>
    <col min="12" max="16384" width="9.140625" style="202"/>
  </cols>
  <sheetData>
    <row r="1" spans="1:10" ht="19.5" x14ac:dyDescent="0.4">
      <c r="A1" s="199" t="s">
        <v>26</v>
      </c>
      <c r="B1" s="200"/>
      <c r="C1" s="200"/>
      <c r="D1" s="200"/>
    </row>
    <row r="2" spans="1:10" ht="19.5" x14ac:dyDescent="0.4">
      <c r="A2" s="578" t="s">
        <v>99</v>
      </c>
      <c r="B2" s="578"/>
      <c r="C2" s="578"/>
      <c r="D2" s="578"/>
      <c r="E2" s="579" t="s">
        <v>208</v>
      </c>
      <c r="F2" s="579"/>
      <c r="G2" s="579"/>
      <c r="H2" s="579"/>
      <c r="I2" s="579"/>
      <c r="J2" s="203"/>
    </row>
    <row r="3" spans="1:10" ht="18.75" customHeight="1" x14ac:dyDescent="0.4">
      <c r="A3" s="204"/>
      <c r="B3" s="204"/>
      <c r="C3" s="204"/>
      <c r="D3" s="204"/>
      <c r="E3" s="580" t="s">
        <v>123</v>
      </c>
      <c r="F3" s="580"/>
      <c r="G3" s="580"/>
      <c r="H3" s="580"/>
      <c r="I3" s="580"/>
    </row>
    <row r="4" spans="1:10" ht="9.75" customHeight="1" x14ac:dyDescent="0.4">
      <c r="A4" s="204"/>
      <c r="B4" s="204"/>
      <c r="C4" s="204"/>
      <c r="D4" s="204"/>
      <c r="E4" s="574" t="s">
        <v>100</v>
      </c>
      <c r="F4" s="574"/>
      <c r="G4" s="574"/>
      <c r="H4" s="574"/>
      <c r="I4" s="574"/>
    </row>
    <row r="5" spans="1:10" ht="15.75" x14ac:dyDescent="0.25">
      <c r="A5" s="205" t="s">
        <v>27</v>
      </c>
      <c r="E5" s="581" t="s">
        <v>162</v>
      </c>
      <c r="F5" s="581"/>
      <c r="G5" s="581"/>
      <c r="H5" s="581"/>
      <c r="I5" s="581"/>
    </row>
    <row r="6" spans="1:10" ht="9.75" customHeight="1" x14ac:dyDescent="0.25">
      <c r="A6" s="205"/>
      <c r="E6" s="574" t="s">
        <v>100</v>
      </c>
      <c r="F6" s="574"/>
      <c r="G6" s="574"/>
      <c r="H6" s="574"/>
      <c r="I6" s="574"/>
    </row>
    <row r="7" spans="1:10" ht="19.5" x14ac:dyDescent="0.4">
      <c r="A7" s="206" t="s">
        <v>24</v>
      </c>
      <c r="E7" s="207" t="s">
        <v>163</v>
      </c>
      <c r="F7" s="208"/>
      <c r="G7" s="209" t="s">
        <v>37</v>
      </c>
      <c r="H7" s="210">
        <v>1124</v>
      </c>
    </row>
    <row r="8" spans="1:10" ht="8.25" customHeight="1" x14ac:dyDescent="0.4">
      <c r="A8" s="206"/>
      <c r="E8" s="574" t="s">
        <v>101</v>
      </c>
      <c r="F8" s="574"/>
      <c r="G8" s="574"/>
      <c r="H8" s="574"/>
      <c r="I8" s="574"/>
    </row>
    <row r="9" spans="1:10" ht="3.75" customHeight="1" x14ac:dyDescent="0.4">
      <c r="A9" s="206"/>
      <c r="E9" s="211"/>
      <c r="F9" s="211"/>
      <c r="G9" s="211"/>
      <c r="H9" s="209"/>
      <c r="I9" s="211"/>
    </row>
    <row r="10" spans="1:10" ht="36" customHeight="1" x14ac:dyDescent="0.2">
      <c r="F10" s="212"/>
      <c r="G10" s="213"/>
    </row>
    <row r="11" spans="1:10" s="40" customFormat="1" ht="15" customHeight="1" x14ac:dyDescent="0.4">
      <c r="A11" s="25"/>
      <c r="B11" s="26"/>
      <c r="C11" s="26"/>
      <c r="D11" s="26"/>
      <c r="E11" s="27" t="s">
        <v>19</v>
      </c>
      <c r="F11" s="27" t="s">
        <v>22</v>
      </c>
      <c r="G11" s="28" t="s">
        <v>0</v>
      </c>
      <c r="H11" s="49" t="s">
        <v>17</v>
      </c>
      <c r="I11" s="49"/>
      <c r="J11" s="26"/>
    </row>
    <row r="12" spans="1:10" s="40" customFormat="1" ht="15" customHeight="1" x14ac:dyDescent="0.4">
      <c r="A12" s="30"/>
      <c r="B12" s="30"/>
      <c r="C12" s="30"/>
      <c r="D12" s="30"/>
      <c r="E12" s="27" t="s">
        <v>20</v>
      </c>
      <c r="F12" s="27" t="s">
        <v>20</v>
      </c>
      <c r="G12" s="28" t="s">
        <v>18</v>
      </c>
      <c r="H12" s="59" t="s">
        <v>1</v>
      </c>
      <c r="I12" s="156" t="s">
        <v>16</v>
      </c>
      <c r="J12" s="26"/>
    </row>
    <row r="13" spans="1:10" s="40" customFormat="1" ht="12.75" customHeight="1" x14ac:dyDescent="0.2">
      <c r="A13" s="30"/>
      <c r="B13" s="30"/>
      <c r="C13" s="30"/>
      <c r="D13" s="30"/>
      <c r="E13" s="27" t="s">
        <v>2</v>
      </c>
      <c r="F13" s="27" t="s">
        <v>2</v>
      </c>
      <c r="G13" s="33"/>
      <c r="H13" s="546" t="s">
        <v>262</v>
      </c>
      <c r="I13" s="546"/>
      <c r="J13" s="26"/>
    </row>
    <row r="14" spans="1:10" s="40" customFormat="1" ht="12.75" customHeight="1" x14ac:dyDescent="0.2">
      <c r="A14" s="30"/>
      <c r="B14" s="30"/>
      <c r="C14" s="30"/>
      <c r="D14" s="30"/>
      <c r="E14" s="27"/>
      <c r="F14" s="27"/>
      <c r="G14" s="33"/>
      <c r="H14" s="157"/>
      <c r="I14" s="158"/>
      <c r="J14" s="26"/>
    </row>
    <row r="15" spans="1:10" s="40" customFormat="1" ht="18.75" x14ac:dyDescent="0.4">
      <c r="A15" s="34" t="s">
        <v>273</v>
      </c>
      <c r="B15" s="34"/>
      <c r="C15" s="35"/>
      <c r="D15" s="36"/>
      <c r="E15" s="37"/>
      <c r="F15" s="37"/>
      <c r="G15" s="38"/>
      <c r="H15" s="30"/>
      <c r="I15" s="30"/>
      <c r="J15" s="26"/>
    </row>
    <row r="16" spans="1:10" s="40" customFormat="1" ht="19.5" x14ac:dyDescent="0.4">
      <c r="A16" s="39" t="s">
        <v>3</v>
      </c>
      <c r="B16" s="34"/>
      <c r="C16" s="35"/>
      <c r="D16" s="36"/>
      <c r="E16" s="127">
        <v>5027000</v>
      </c>
      <c r="F16" s="128">
        <v>5430985</v>
      </c>
      <c r="G16" s="6">
        <f>H16+I16</f>
        <v>5276741.21</v>
      </c>
      <c r="H16" s="127">
        <v>5171937.21</v>
      </c>
      <c r="I16" s="127">
        <v>104804</v>
      </c>
      <c r="J16" s="227"/>
    </row>
    <row r="17" spans="1:10" s="40" customFormat="1" ht="20.25" customHeight="1" x14ac:dyDescent="0.35">
      <c r="A17" s="2"/>
      <c r="B17" s="26"/>
      <c r="C17" s="26"/>
      <c r="D17" s="26"/>
      <c r="J17" s="26"/>
    </row>
    <row r="18" spans="1:10" s="40" customFormat="1" ht="19.5" x14ac:dyDescent="0.4">
      <c r="A18" s="39" t="s">
        <v>4</v>
      </c>
      <c r="B18" s="3"/>
      <c r="C18" s="3"/>
      <c r="D18" s="3"/>
      <c r="E18" s="127">
        <v>5027000</v>
      </c>
      <c r="F18" s="128">
        <v>6591346.5199999996</v>
      </c>
      <c r="G18" s="6">
        <f>H18+I18</f>
        <v>4798723.22</v>
      </c>
      <c r="H18" s="127">
        <v>4581553.22</v>
      </c>
      <c r="I18" s="127">
        <v>217170</v>
      </c>
      <c r="J18" s="26"/>
    </row>
    <row r="19" spans="1:10" s="40" customFormat="1" ht="19.5" customHeight="1" x14ac:dyDescent="0.35">
      <c r="A19" s="2"/>
      <c r="B19" s="3"/>
      <c r="C19" s="3"/>
      <c r="D19" s="3"/>
      <c r="E19" s="6"/>
      <c r="F19" s="7"/>
      <c r="G19" s="6"/>
      <c r="H19" s="8"/>
      <c r="I19" s="8"/>
      <c r="J19" s="155"/>
    </row>
    <row r="20" spans="1:10" s="40" customFormat="1" ht="14.25" customHeight="1" x14ac:dyDescent="0.35">
      <c r="A20" s="2"/>
      <c r="B20" s="3"/>
      <c r="C20" s="3"/>
      <c r="D20" s="3"/>
      <c r="E20" s="41"/>
      <c r="F20" s="41"/>
      <c r="G20" s="42"/>
      <c r="H20" s="1"/>
      <c r="I20" s="1"/>
      <c r="J20" s="155"/>
    </row>
    <row r="21" spans="1:10" s="153" customFormat="1" ht="19.5" x14ac:dyDescent="0.4">
      <c r="A21" s="43" t="s">
        <v>14</v>
      </c>
      <c r="B21" s="41"/>
      <c r="C21" s="41"/>
      <c r="D21" s="41"/>
      <c r="E21" s="41"/>
      <c r="F21" s="41"/>
      <c r="G21" s="44"/>
      <c r="H21" s="42"/>
      <c r="I21" s="42"/>
      <c r="J21" s="42"/>
    </row>
    <row r="22" spans="1:10" s="153" customFormat="1" ht="18" x14ac:dyDescent="0.35">
      <c r="A22" s="41"/>
      <c r="B22" s="41"/>
      <c r="C22" s="159" t="s">
        <v>102</v>
      </c>
      <c r="D22" s="41"/>
      <c r="E22" s="41"/>
      <c r="F22" s="41"/>
      <c r="G22" s="160">
        <f>H22+I22</f>
        <v>21280</v>
      </c>
      <c r="H22" s="161">
        <v>0</v>
      </c>
      <c r="I22" s="161">
        <v>21280</v>
      </c>
      <c r="J22" s="42"/>
    </row>
    <row r="23" spans="1:10" s="153" customFormat="1" ht="18" x14ac:dyDescent="0.35">
      <c r="A23" s="41"/>
      <c r="B23" s="41"/>
      <c r="C23" s="159"/>
      <c r="D23" s="41"/>
      <c r="E23" s="41"/>
      <c r="F23" s="41"/>
      <c r="G23" s="160"/>
      <c r="H23" s="161"/>
      <c r="I23" s="161"/>
      <c r="J23" s="42"/>
    </row>
    <row r="24" spans="1:10" s="153" customFormat="1" ht="19.5" x14ac:dyDescent="0.4">
      <c r="A24" s="262" t="s">
        <v>103</v>
      </c>
      <c r="B24" s="262"/>
      <c r="C24" s="263"/>
      <c r="D24" s="262"/>
      <c r="E24" s="262"/>
      <c r="F24" s="262"/>
      <c r="G24" s="264">
        <f>G18-G16-G22</f>
        <v>-499297.99000000022</v>
      </c>
      <c r="H24" s="264">
        <f>H18-H16-H22</f>
        <v>-590383.99000000022</v>
      </c>
      <c r="I24" s="264">
        <f>I18-I16-I22</f>
        <v>91086</v>
      </c>
      <c r="J24" s="162"/>
    </row>
    <row r="25" spans="1:10" s="153" customFormat="1" ht="15" x14ac:dyDescent="0.3">
      <c r="A25" s="243" t="s">
        <v>289</v>
      </c>
      <c r="B25" s="243"/>
      <c r="C25" s="243"/>
      <c r="D25" s="243"/>
      <c r="E25" s="243"/>
      <c r="F25" s="243"/>
      <c r="G25" s="265">
        <f>G24-G26</f>
        <v>-499297.99000000022</v>
      </c>
      <c r="H25" s="231"/>
      <c r="I25" s="231"/>
      <c r="J25" s="13"/>
    </row>
    <row r="26" spans="1:10" s="153" customFormat="1" ht="15" x14ac:dyDescent="0.3">
      <c r="A26" s="243" t="s">
        <v>274</v>
      </c>
      <c r="B26" s="243"/>
      <c r="C26" s="243"/>
      <c r="D26" s="243"/>
      <c r="E26" s="243"/>
      <c r="F26" s="243"/>
      <c r="G26" s="265">
        <v>0</v>
      </c>
      <c r="H26" s="231"/>
      <c r="I26" s="231"/>
      <c r="J26" s="13"/>
    </row>
    <row r="27" spans="1:10" s="153" customFormat="1" x14ac:dyDescent="0.2">
      <c r="A27" s="231"/>
      <c r="B27" s="231"/>
      <c r="C27" s="231"/>
      <c r="D27" s="231"/>
      <c r="E27" s="231"/>
      <c r="F27" s="231"/>
      <c r="G27" s="231"/>
      <c r="H27" s="201"/>
      <c r="I27" s="201"/>
      <c r="J27" s="13"/>
    </row>
    <row r="28" spans="1:10" s="153" customFormat="1" ht="16.5" x14ac:dyDescent="0.35">
      <c r="A28" s="266" t="s">
        <v>275</v>
      </c>
      <c r="B28" s="266" t="s">
        <v>276</v>
      </c>
      <c r="C28" s="266"/>
      <c r="D28" s="250"/>
      <c r="E28" s="250"/>
      <c r="F28" s="236"/>
      <c r="G28" s="264"/>
      <c r="H28" s="234"/>
      <c r="I28" s="267"/>
      <c r="J28" s="48"/>
    </row>
    <row r="29" spans="1:10" s="40" customFormat="1" ht="15" x14ac:dyDescent="0.3">
      <c r="A29" s="266"/>
      <c r="B29" s="266"/>
      <c r="C29" s="552" t="s">
        <v>28</v>
      </c>
      <c r="D29" s="552"/>
      <c r="E29" s="552"/>
      <c r="F29" s="236"/>
      <c r="G29" s="268">
        <f>G30+G31</f>
        <v>0</v>
      </c>
      <c r="H29" s="234"/>
      <c r="I29" s="267"/>
    </row>
    <row r="30" spans="1:10" s="40" customFormat="1" ht="18.75" x14ac:dyDescent="0.4">
      <c r="A30" s="269"/>
      <c r="B30" s="269"/>
      <c r="C30" s="270"/>
      <c r="D30" s="271"/>
      <c r="E30" s="272" t="s">
        <v>290</v>
      </c>
      <c r="F30" s="273" t="s">
        <v>6</v>
      </c>
      <c r="G30" s="274">
        <v>0</v>
      </c>
      <c r="H30" s="234"/>
      <c r="I30" s="267"/>
    </row>
    <row r="31" spans="1:10" s="40" customFormat="1" ht="18.75" x14ac:dyDescent="0.4">
      <c r="A31" s="269"/>
      <c r="B31" s="269"/>
      <c r="C31" s="275"/>
      <c r="D31" s="271"/>
      <c r="E31" s="276"/>
      <c r="F31" s="273" t="s">
        <v>7</v>
      </c>
      <c r="G31" s="274">
        <v>0</v>
      </c>
      <c r="H31" s="234"/>
      <c r="I31" s="267"/>
    </row>
    <row r="32" spans="1:10" s="40" customFormat="1" ht="20.25" customHeight="1" x14ac:dyDescent="0.4">
      <c r="A32" s="269"/>
      <c r="B32" s="277"/>
      <c r="C32" s="553" t="s">
        <v>291</v>
      </c>
      <c r="D32" s="553"/>
      <c r="E32" s="553"/>
      <c r="F32" s="553"/>
      <c r="G32" s="268">
        <f>G26</f>
        <v>0</v>
      </c>
      <c r="H32" s="234"/>
      <c r="I32" s="267"/>
    </row>
    <row r="33" spans="1:10" s="40" customFormat="1" ht="20.25" customHeight="1" x14ac:dyDescent="0.3">
      <c r="A33" s="278"/>
      <c r="B33" s="554" t="s">
        <v>292</v>
      </c>
      <c r="C33" s="554"/>
      <c r="D33" s="554"/>
      <c r="E33" s="554"/>
      <c r="F33" s="554"/>
      <c r="G33" s="279">
        <v>0</v>
      </c>
      <c r="H33" s="280"/>
      <c r="I33" s="280"/>
    </row>
    <row r="34" spans="1:10" s="40" customFormat="1" x14ac:dyDescent="0.2">
      <c r="A34" s="562" t="s">
        <v>338</v>
      </c>
      <c r="B34" s="562"/>
      <c r="C34" s="562"/>
      <c r="D34" s="562"/>
      <c r="E34" s="562"/>
      <c r="F34" s="562"/>
      <c r="G34" s="562"/>
      <c r="H34" s="562"/>
      <c r="I34" s="562"/>
    </row>
    <row r="35" spans="1:10" s="153" customFormat="1" x14ac:dyDescent="0.2">
      <c r="A35" s="562"/>
      <c r="B35" s="562"/>
      <c r="C35" s="562"/>
      <c r="D35" s="562"/>
      <c r="E35" s="562"/>
      <c r="F35" s="562"/>
      <c r="G35" s="562"/>
      <c r="H35" s="562"/>
      <c r="I35" s="562"/>
      <c r="J35" s="165"/>
    </row>
    <row r="36" spans="1:10" s="153" customFormat="1" ht="19.5" x14ac:dyDescent="0.4">
      <c r="A36" s="34" t="s">
        <v>277</v>
      </c>
      <c r="B36" s="34" t="s">
        <v>31</v>
      </c>
      <c r="C36" s="34"/>
      <c r="D36" s="56"/>
      <c r="E36" s="38"/>
      <c r="F36" s="3"/>
      <c r="G36" s="57"/>
      <c r="H36" s="50"/>
      <c r="I36" s="50"/>
      <c r="J36" s="165"/>
    </row>
    <row r="37" spans="1:10" s="153" customFormat="1" ht="18.75" x14ac:dyDescent="0.4">
      <c r="A37" s="34"/>
      <c r="B37" s="34"/>
      <c r="C37" s="34"/>
      <c r="D37" s="56"/>
      <c r="E37" s="13"/>
      <c r="F37" s="58" t="s">
        <v>106</v>
      </c>
      <c r="G37" s="156" t="s">
        <v>0</v>
      </c>
      <c r="H37" s="30"/>
      <c r="I37" s="60" t="s">
        <v>107</v>
      </c>
      <c r="J37" s="165"/>
    </row>
    <row r="38" spans="1:10" s="153" customFormat="1" ht="15" customHeight="1" x14ac:dyDescent="0.35">
      <c r="A38" s="166" t="s">
        <v>32</v>
      </c>
      <c r="B38" s="62"/>
      <c r="C38" s="2"/>
      <c r="D38" s="62"/>
      <c r="E38" s="38"/>
      <c r="F38" s="167">
        <v>2845120</v>
      </c>
      <c r="G38" s="167">
        <v>2895449</v>
      </c>
      <c r="H38" s="129"/>
      <c r="I38" s="64">
        <f>G38/F38</f>
        <v>1.0176895877854009</v>
      </c>
      <c r="J38" s="165"/>
    </row>
    <row r="39" spans="1:10" s="153" customFormat="1" ht="16.5" x14ac:dyDescent="0.35">
      <c r="A39" s="166" t="s">
        <v>108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109</v>
      </c>
      <c r="B40" s="62"/>
      <c r="C40" s="2"/>
      <c r="D40" s="65"/>
      <c r="E40" s="65"/>
      <c r="F40" s="167">
        <v>0</v>
      </c>
      <c r="G40" s="167">
        <v>0</v>
      </c>
      <c r="H40" s="129"/>
      <c r="I40" s="64" t="s">
        <v>211</v>
      </c>
      <c r="J40" s="5"/>
    </row>
    <row r="41" spans="1:10" s="153" customFormat="1" ht="16.5" x14ac:dyDescent="0.35">
      <c r="A41" s="166" t="s">
        <v>206</v>
      </c>
      <c r="B41" s="62"/>
      <c r="C41" s="2"/>
      <c r="D41" s="38"/>
      <c r="E41" s="38"/>
      <c r="F41" s="167">
        <v>0</v>
      </c>
      <c r="G41" s="167">
        <v>0</v>
      </c>
      <c r="H41" s="129"/>
      <c r="I41" s="64" t="s">
        <v>211</v>
      </c>
      <c r="J41" s="5"/>
    </row>
    <row r="42" spans="1:10" s="153" customFormat="1" ht="15.75" customHeight="1" x14ac:dyDescent="0.35">
      <c r="A42" s="166" t="s">
        <v>278</v>
      </c>
      <c r="B42" s="37"/>
      <c r="C42" s="37"/>
      <c r="D42" s="30"/>
      <c r="E42" s="30" t="s">
        <v>279</v>
      </c>
      <c r="F42" s="167">
        <v>0</v>
      </c>
      <c r="G42" s="167">
        <v>0</v>
      </c>
      <c r="H42" s="129"/>
      <c r="I42" s="168" t="s">
        <v>211</v>
      </c>
      <c r="J42" s="5"/>
    </row>
    <row r="43" spans="1:10" s="153" customFormat="1" ht="8.25" customHeight="1" x14ac:dyDescent="0.2">
      <c r="A43" s="551"/>
      <c r="B43" s="551"/>
      <c r="C43" s="551"/>
      <c r="D43" s="551"/>
      <c r="E43" s="551"/>
      <c r="F43" s="551"/>
      <c r="G43" s="551"/>
      <c r="H43" s="551"/>
      <c r="I43" s="551"/>
      <c r="J43" s="5"/>
    </row>
    <row r="44" spans="1:10" s="153" customFormat="1" hidden="1" x14ac:dyDescent="0.2">
      <c r="A44" s="154"/>
      <c r="B44" s="154"/>
      <c r="C44" s="154"/>
      <c r="D44" s="154"/>
      <c r="E44" s="154"/>
      <c r="F44" s="154"/>
      <c r="G44" s="154"/>
      <c r="H44" s="154"/>
      <c r="I44" s="154"/>
      <c r="J44" s="5"/>
    </row>
    <row r="45" spans="1:10" s="153" customFormat="1" ht="19.5" thickBot="1" x14ac:dyDescent="0.45">
      <c r="A45" s="34" t="s">
        <v>280</v>
      </c>
      <c r="B45" s="34" t="s">
        <v>12</v>
      </c>
      <c r="C45" s="36"/>
      <c r="D45" s="38"/>
      <c r="E45" s="38"/>
      <c r="F45" s="71"/>
      <c r="G45" s="72"/>
      <c r="H45" s="577" t="s">
        <v>110</v>
      </c>
      <c r="I45" s="577"/>
      <c r="J45" s="5"/>
    </row>
    <row r="46" spans="1:10" s="153" customFormat="1" ht="18" x14ac:dyDescent="0.35">
      <c r="A46" s="169"/>
      <c r="B46" s="170"/>
      <c r="C46" s="171"/>
      <c r="D46" s="170"/>
      <c r="E46" s="172" t="s">
        <v>281</v>
      </c>
      <c r="F46" s="173" t="s">
        <v>9</v>
      </c>
      <c r="G46" s="173" t="s">
        <v>10</v>
      </c>
      <c r="H46" s="174" t="s">
        <v>13</v>
      </c>
      <c r="I46" s="175" t="s">
        <v>111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76"/>
      <c r="G47" s="116"/>
      <c r="H47" s="117">
        <v>41639</v>
      </c>
      <c r="I47" s="178">
        <v>41639</v>
      </c>
      <c r="J47" s="5"/>
    </row>
    <row r="48" spans="1:10" s="153" customFormat="1" x14ac:dyDescent="0.2">
      <c r="A48" s="176"/>
      <c r="B48" s="177"/>
      <c r="C48" s="177"/>
      <c r="D48" s="177"/>
      <c r="E48" s="548"/>
      <c r="F48" s="576"/>
      <c r="G48" s="119"/>
      <c r="H48" s="119"/>
      <c r="I48" s="179"/>
      <c r="J48" s="5"/>
    </row>
    <row r="49" spans="1:10" s="153" customFormat="1" ht="13.5" thickBot="1" x14ac:dyDescent="0.25">
      <c r="A49" s="180"/>
      <c r="B49" s="181"/>
      <c r="C49" s="181"/>
      <c r="D49" s="181"/>
      <c r="E49" s="182"/>
      <c r="F49" s="183"/>
      <c r="G49" s="183"/>
      <c r="H49" s="183"/>
      <c r="I49" s="184"/>
      <c r="J49" s="5"/>
    </row>
    <row r="50" spans="1:10" s="153" customFormat="1" ht="13.5" thickTop="1" x14ac:dyDescent="0.2">
      <c r="A50" s="185"/>
      <c r="B50" s="74"/>
      <c r="C50" s="74" t="s">
        <v>6</v>
      </c>
      <c r="D50" s="74"/>
      <c r="E50" s="186">
        <v>0</v>
      </c>
      <c r="F50" s="187">
        <v>17005</v>
      </c>
      <c r="G50" s="75">
        <v>17005</v>
      </c>
      <c r="H50" s="75">
        <f>E50+F50-G50</f>
        <v>0</v>
      </c>
      <c r="I50" s="188">
        <f>H50</f>
        <v>0</v>
      </c>
      <c r="J50" s="5"/>
    </row>
    <row r="51" spans="1:10" s="153" customFormat="1" x14ac:dyDescent="0.2">
      <c r="A51" s="189"/>
      <c r="B51" s="77"/>
      <c r="C51" s="77" t="s">
        <v>8</v>
      </c>
      <c r="D51" s="77"/>
      <c r="E51" s="190">
        <v>17379.050000000003</v>
      </c>
      <c r="F51" s="191">
        <v>24509.95</v>
      </c>
      <c r="G51" s="78">
        <v>41889</v>
      </c>
      <c r="H51" s="78">
        <f>E51+F51-G51</f>
        <v>0</v>
      </c>
      <c r="I51" s="192">
        <v>4538.3</v>
      </c>
      <c r="J51" s="5"/>
    </row>
    <row r="52" spans="1:10" s="153" customFormat="1" x14ac:dyDescent="0.2">
      <c r="A52" s="189"/>
      <c r="B52" s="77"/>
      <c r="C52" s="77" t="s">
        <v>7</v>
      </c>
      <c r="D52" s="77"/>
      <c r="E52" s="190">
        <v>53648.699999999953</v>
      </c>
      <c r="F52" s="191">
        <f>4251.25+182365.45</f>
        <v>186616.7</v>
      </c>
      <c r="G52" s="78">
        <v>0</v>
      </c>
      <c r="H52" s="78">
        <f>E52+F52-G52</f>
        <v>240265.39999999997</v>
      </c>
      <c r="I52" s="192">
        <f>H52</f>
        <v>240265.39999999997</v>
      </c>
      <c r="J52" s="5"/>
    </row>
    <row r="53" spans="1:10" s="153" customFormat="1" x14ac:dyDescent="0.2">
      <c r="A53" s="189"/>
      <c r="B53" s="77"/>
      <c r="C53" s="77" t="s">
        <v>15</v>
      </c>
      <c r="D53" s="77"/>
      <c r="E53" s="190">
        <v>7343</v>
      </c>
      <c r="F53" s="191">
        <v>0</v>
      </c>
      <c r="G53" s="78">
        <v>0</v>
      </c>
      <c r="H53" s="78">
        <f>E53+F53-G53</f>
        <v>7343</v>
      </c>
      <c r="I53" s="192">
        <f>H53</f>
        <v>7343</v>
      </c>
      <c r="J53" s="5"/>
    </row>
    <row r="54" spans="1:10" s="153" customFormat="1" ht="18.75" thickBot="1" x14ac:dyDescent="0.4">
      <c r="A54" s="193" t="s">
        <v>2</v>
      </c>
      <c r="B54" s="194"/>
      <c r="C54" s="194"/>
      <c r="D54" s="194"/>
      <c r="E54" s="195">
        <f>E50+E51+E52+E53</f>
        <v>78370.749999999956</v>
      </c>
      <c r="F54" s="197">
        <f>F50+F51+F52+F53</f>
        <v>228131.65000000002</v>
      </c>
      <c r="G54" s="197">
        <f>G50+G51+G52+G53</f>
        <v>58894</v>
      </c>
      <c r="H54" s="197">
        <f>H50+H51+H52+H53</f>
        <v>247608.39999999997</v>
      </c>
      <c r="I54" s="198">
        <f>I50+I51+I52+I53</f>
        <v>252146.69999999995</v>
      </c>
      <c r="J54" s="5"/>
    </row>
    <row r="55" spans="1:10" ht="18" x14ac:dyDescent="0.35">
      <c r="A55" s="217"/>
      <c r="B55" s="215"/>
      <c r="C55" s="215"/>
      <c r="D55" s="214"/>
      <c r="E55" s="214"/>
      <c r="F55" s="216"/>
      <c r="G55" s="218"/>
      <c r="H55" s="219"/>
      <c r="I55" s="219"/>
    </row>
    <row r="56" spans="1:10" ht="18" x14ac:dyDescent="0.35">
      <c r="A56" s="220"/>
      <c r="B56" s="221"/>
      <c r="C56" s="221"/>
      <c r="D56" s="222"/>
      <c r="E56" s="222"/>
      <c r="F56" s="219"/>
      <c r="G56" s="219"/>
      <c r="H56" s="219"/>
      <c r="I56" s="219"/>
    </row>
    <row r="57" spans="1:10" x14ac:dyDescent="0.2">
      <c r="A57" s="223"/>
      <c r="B57" s="223"/>
      <c r="C57" s="223"/>
      <c r="D57" s="223"/>
      <c r="E57" s="223"/>
      <c r="F57" s="223"/>
      <c r="G57" s="223"/>
      <c r="H57" s="223"/>
      <c r="I57" s="223"/>
    </row>
    <row r="58" spans="1:10" x14ac:dyDescent="0.2">
      <c r="A58" s="223"/>
      <c r="B58" s="223"/>
      <c r="C58" s="223"/>
      <c r="D58" s="223"/>
      <c r="E58" s="223"/>
      <c r="F58" s="223"/>
      <c r="G58" s="223"/>
      <c r="H58" s="223"/>
      <c r="I58" s="223"/>
    </row>
  </sheetData>
  <mergeCells count="16">
    <mergeCell ref="E6:I6"/>
    <mergeCell ref="A2:D2"/>
    <mergeCell ref="E2:I2"/>
    <mergeCell ref="E3:I3"/>
    <mergeCell ref="E4:I4"/>
    <mergeCell ref="E5:I5"/>
    <mergeCell ref="E47:E48"/>
    <mergeCell ref="F47:F48"/>
    <mergeCell ref="E8:I8"/>
    <mergeCell ref="H13:I13"/>
    <mergeCell ref="A34:I35"/>
    <mergeCell ref="A43:I43"/>
    <mergeCell ref="H45:I45"/>
    <mergeCell ref="C29:E29"/>
    <mergeCell ref="C32:F32"/>
    <mergeCell ref="B33:F33"/>
  </mergeCells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3" tint="0.59999389629810485"/>
  </sheetPr>
  <dimension ref="A1:J57"/>
  <sheetViews>
    <sheetView topLeftCell="A25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425781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120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250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26" t="s">
        <v>164</v>
      </c>
      <c r="F6" s="20"/>
      <c r="G6" s="21" t="s">
        <v>37</v>
      </c>
      <c r="H6" s="22">
        <v>1150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4.5" customHeight="1" x14ac:dyDescent="0.4">
      <c r="A8" s="18"/>
      <c r="E8" s="23"/>
      <c r="F8" s="23"/>
      <c r="G8" s="23"/>
      <c r="H8" s="21"/>
      <c r="I8" s="23"/>
    </row>
    <row r="9" spans="1:10" ht="38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5550000</v>
      </c>
      <c r="F15" s="128">
        <v>25824874.280000001</v>
      </c>
      <c r="G15" s="6">
        <f>H15+I15</f>
        <v>25824874.280000001</v>
      </c>
      <c r="H15" s="127">
        <v>25636336.280000001</v>
      </c>
      <c r="I15" s="127">
        <v>188538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5550000</v>
      </c>
      <c r="F17" s="128">
        <v>25976513.579999998</v>
      </c>
      <c r="G17" s="6">
        <f>H17+I17</f>
        <v>25855610.580000002</v>
      </c>
      <c r="H17" s="127">
        <v>25437660.98</v>
      </c>
      <c r="I17" s="127">
        <v>417949.6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30736.300000000745</v>
      </c>
      <c r="H23" s="264">
        <f>H17-H15-H21</f>
        <v>-198675.30000000075</v>
      </c>
      <c r="I23" s="264">
        <f>I17-I15-I21</f>
        <v>229411.59999999998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30736.300000000745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30736.3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5000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25736.3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0</v>
      </c>
      <c r="G37" s="167">
        <v>0</v>
      </c>
      <c r="H37" s="129"/>
      <c r="I37" s="64" t="s">
        <v>211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526100</v>
      </c>
      <c r="G38" s="167">
        <v>525031</v>
      </c>
      <c r="H38" s="129"/>
      <c r="I38" s="64">
        <f>G38/F38</f>
        <v>0.99796806690743201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394575</v>
      </c>
      <c r="G40" s="167">
        <v>394575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6" t="s">
        <v>317</v>
      </c>
      <c r="B42" s="556"/>
      <c r="C42" s="556"/>
      <c r="D42" s="556"/>
      <c r="E42" s="556"/>
      <c r="F42" s="556"/>
      <c r="G42" s="556"/>
      <c r="H42" s="556"/>
      <c r="I42" s="556"/>
      <c r="J42" s="5"/>
    </row>
    <row r="43" spans="1:10" s="153" customFormat="1" x14ac:dyDescent="0.2">
      <c r="A43" s="557"/>
      <c r="B43" s="557"/>
      <c r="C43" s="557"/>
      <c r="D43" s="557"/>
      <c r="E43" s="557"/>
      <c r="F43" s="557"/>
      <c r="G43" s="557"/>
      <c r="H43" s="557"/>
      <c r="I43" s="557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116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11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0</v>
      </c>
      <c r="F49" s="75">
        <v>5000</v>
      </c>
      <c r="G49" s="75">
        <v>5000</v>
      </c>
      <c r="H49" s="75">
        <f>E49+F49-G49</f>
        <v>0</v>
      </c>
      <c r="I49" s="188">
        <f>H49</f>
        <v>0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54067.830000000016</v>
      </c>
      <c r="F50" s="78">
        <v>141901</v>
      </c>
      <c r="G50" s="78">
        <v>143100</v>
      </c>
      <c r="H50" s="78">
        <f>E50+F50-G50</f>
        <v>52868.830000000016</v>
      </c>
      <c r="I50" s="192">
        <v>56933.32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168751.40999999997</v>
      </c>
      <c r="F51" s="78">
        <f>9323.31+208476.32</f>
        <v>217799.63</v>
      </c>
      <c r="G51" s="78">
        <v>82207.62</v>
      </c>
      <c r="H51" s="78">
        <f>E51+F51-G51</f>
        <v>304343.42</v>
      </c>
      <c r="I51" s="192">
        <f>H51</f>
        <v>304343.42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86333.290000000037</v>
      </c>
      <c r="F52" s="78">
        <v>554844</v>
      </c>
      <c r="G52" s="78">
        <v>394575</v>
      </c>
      <c r="H52" s="78">
        <f>E52+F52-G52</f>
        <v>246602.29000000004</v>
      </c>
      <c r="I52" s="192">
        <f>H52</f>
        <v>246602.29000000004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309152.53000000003</v>
      </c>
      <c r="F53" s="197">
        <f>F49+F50+F51+F52</f>
        <v>919544.63</v>
      </c>
      <c r="G53" s="197">
        <f>G49+G50+G51+G52</f>
        <v>624882.62</v>
      </c>
      <c r="H53" s="197">
        <f>H49+H50+H51+H52</f>
        <v>603814.54</v>
      </c>
      <c r="I53" s="198">
        <f>I49+I50+I51+I52</f>
        <v>607879.03</v>
      </c>
      <c r="J53" s="5"/>
    </row>
    <row r="54" spans="1:10" ht="18" hidden="1" x14ac:dyDescent="0.35">
      <c r="A54" s="79"/>
      <c r="B54" s="68"/>
      <c r="C54" s="68"/>
      <c r="D54" s="38"/>
      <c r="E54" s="38"/>
      <c r="F54" s="71"/>
      <c r="G54" s="81"/>
      <c r="H54" s="82"/>
      <c r="I54" s="82"/>
    </row>
    <row r="55" spans="1:10" ht="18" hidden="1" x14ac:dyDescent="0.35">
      <c r="A55" s="83"/>
      <c r="B55" s="84"/>
      <c r="C55" s="84"/>
      <c r="D55" s="85"/>
      <c r="E55" s="85"/>
      <c r="F55" s="82"/>
      <c r="G55" s="82"/>
      <c r="H55" s="82"/>
      <c r="I55" s="82"/>
    </row>
    <row r="56" spans="1:10" hidden="1" x14ac:dyDescent="0.2">
      <c r="A56" s="86"/>
      <c r="B56" s="86"/>
      <c r="C56" s="86"/>
      <c r="D56" s="86"/>
      <c r="E56" s="86"/>
      <c r="F56" s="86"/>
      <c r="G56" s="86"/>
      <c r="H56" s="86"/>
      <c r="I56" s="86"/>
    </row>
    <row r="57" spans="1:10" hidden="1" x14ac:dyDescent="0.2">
      <c r="A57" s="86"/>
      <c r="B57" s="86"/>
      <c r="C57" s="86"/>
      <c r="D57" s="86"/>
      <c r="E57" s="86"/>
      <c r="F57" s="86"/>
      <c r="G57" s="86"/>
      <c r="H57" s="86"/>
      <c r="I57" s="86"/>
    </row>
  </sheetData>
  <mergeCells count="14">
    <mergeCell ref="H44:I44"/>
    <mergeCell ref="E46:E47"/>
    <mergeCell ref="E7:I7"/>
    <mergeCell ref="H12:I12"/>
    <mergeCell ref="A33:I34"/>
    <mergeCell ref="C28:E28"/>
    <mergeCell ref="C31:F31"/>
    <mergeCell ref="B32:F32"/>
    <mergeCell ref="A42:I43"/>
    <mergeCell ref="A2:D2"/>
    <mergeCell ref="E2:I2"/>
    <mergeCell ref="E3:I3"/>
    <mergeCell ref="E4:I4"/>
    <mergeCell ref="E5:I5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3" tint="0.59999389629810485"/>
  </sheetPr>
  <dimension ref="A1:J58"/>
  <sheetViews>
    <sheetView topLeftCell="A29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7.140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20.25" customHeight="1" x14ac:dyDescent="0.2">
      <c r="A2" s="582" t="s">
        <v>99</v>
      </c>
      <c r="B2" s="582"/>
      <c r="C2" s="582"/>
      <c r="D2" s="582"/>
      <c r="E2" s="583" t="s">
        <v>282</v>
      </c>
      <c r="F2" s="583"/>
      <c r="G2" s="583"/>
      <c r="H2" s="583"/>
      <c r="I2" s="583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162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165</v>
      </c>
      <c r="F6" s="20"/>
      <c r="G6" s="21" t="s">
        <v>37</v>
      </c>
      <c r="H6" s="22">
        <v>1160</v>
      </c>
    </row>
    <row r="7" spans="1:10" ht="8.25" customHeight="1" x14ac:dyDescent="0.4">
      <c r="A7" s="18"/>
      <c r="E7" s="544" t="s">
        <v>101</v>
      </c>
      <c r="F7" s="544"/>
      <c r="G7" s="544"/>
      <c r="H7" s="544"/>
      <c r="I7" s="544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16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16026000</v>
      </c>
      <c r="F15" s="128">
        <v>62959724</v>
      </c>
      <c r="G15" s="6">
        <f>H15+I15</f>
        <v>61524467.549999997</v>
      </c>
      <c r="H15" s="127">
        <v>58334466.969999999</v>
      </c>
      <c r="I15" s="127">
        <v>3190000.58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16026000</v>
      </c>
      <c r="F17" s="128">
        <v>63132998.68</v>
      </c>
      <c r="G17" s="6">
        <f>H17+I17</f>
        <v>61930117.009999998</v>
      </c>
      <c r="H17" s="127">
        <v>58452438</v>
      </c>
      <c r="I17" s="127">
        <v>3477679.01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hidden="1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405649.46000000089</v>
      </c>
      <c r="H23" s="264">
        <f>H17-H15-H21</f>
        <v>117971.03000000119</v>
      </c>
      <c r="I23" s="264">
        <f>I17-I15-I21</f>
        <v>287678.4299999997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386283.46000000089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19366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386283.46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386283.46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19366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64" t="s">
        <v>341</v>
      </c>
      <c r="B33" s="564"/>
      <c r="C33" s="564"/>
      <c r="D33" s="564"/>
      <c r="E33" s="564"/>
      <c r="F33" s="564"/>
      <c r="G33" s="564"/>
      <c r="H33" s="564"/>
      <c r="I33" s="564"/>
    </row>
    <row r="34" spans="1:10" s="40" customFormat="1" x14ac:dyDescent="0.2">
      <c r="A34" s="564"/>
      <c r="B34" s="564"/>
      <c r="C34" s="564"/>
      <c r="D34" s="564"/>
      <c r="E34" s="564"/>
      <c r="F34" s="564"/>
      <c r="G34" s="564"/>
      <c r="H34" s="564"/>
      <c r="I34" s="564"/>
    </row>
    <row r="35" spans="1:10" s="153" customFormat="1" x14ac:dyDescent="0.2">
      <c r="A35" s="564"/>
      <c r="B35" s="564"/>
      <c r="C35" s="564"/>
      <c r="D35" s="564"/>
      <c r="E35" s="564"/>
      <c r="F35" s="564"/>
      <c r="G35" s="564"/>
      <c r="H35" s="564"/>
      <c r="I35" s="564"/>
      <c r="J35" s="165"/>
    </row>
    <row r="36" spans="1:10" s="153" customFormat="1" ht="19.5" x14ac:dyDescent="0.4">
      <c r="A36" s="34" t="s">
        <v>277</v>
      </c>
      <c r="B36" s="34" t="s">
        <v>31</v>
      </c>
      <c r="C36" s="34"/>
      <c r="D36" s="56"/>
      <c r="E36" s="38"/>
      <c r="F36" s="3"/>
      <c r="G36" s="57"/>
      <c r="H36" s="50"/>
      <c r="I36" s="50"/>
      <c r="J36" s="165"/>
    </row>
    <row r="37" spans="1:10" s="153" customFormat="1" ht="18.75" x14ac:dyDescent="0.4">
      <c r="A37" s="34"/>
      <c r="B37" s="34"/>
      <c r="C37" s="34"/>
      <c r="D37" s="56"/>
      <c r="E37" s="13"/>
      <c r="F37" s="58" t="s">
        <v>106</v>
      </c>
      <c r="G37" s="156" t="s">
        <v>0</v>
      </c>
      <c r="H37" s="30"/>
      <c r="I37" s="60" t="s">
        <v>107</v>
      </c>
      <c r="J37" s="165"/>
    </row>
    <row r="38" spans="1:10" s="153" customFormat="1" ht="15" customHeight="1" x14ac:dyDescent="0.35">
      <c r="A38" s="166" t="s">
        <v>32</v>
      </c>
      <c r="B38" s="62"/>
      <c r="C38" s="2"/>
      <c r="D38" s="62"/>
      <c r="E38" s="38"/>
      <c r="F38" s="167">
        <v>20000</v>
      </c>
      <c r="G38" s="167">
        <v>20000</v>
      </c>
      <c r="H38" s="129"/>
      <c r="I38" s="64">
        <f>G38/F38</f>
        <v>1</v>
      </c>
      <c r="J38" s="165"/>
    </row>
    <row r="39" spans="1:10" s="153" customFormat="1" ht="16.5" x14ac:dyDescent="0.35">
      <c r="A39" s="166" t="s">
        <v>108</v>
      </c>
      <c r="B39" s="62"/>
      <c r="C39" s="2"/>
      <c r="D39" s="65"/>
      <c r="E39" s="65"/>
      <c r="F39" s="167">
        <v>1445000</v>
      </c>
      <c r="G39" s="167">
        <v>1396575.53</v>
      </c>
      <c r="H39" s="129"/>
      <c r="I39" s="64">
        <f>G39/F39</f>
        <v>0.96648825605536337</v>
      </c>
      <c r="J39" s="5"/>
    </row>
    <row r="40" spans="1:10" s="153" customFormat="1" ht="16.5" x14ac:dyDescent="0.35">
      <c r="A40" s="166" t="s">
        <v>109</v>
      </c>
      <c r="B40" s="62"/>
      <c r="C40" s="2"/>
      <c r="D40" s="65"/>
      <c r="E40" s="65"/>
      <c r="F40" s="167">
        <v>0</v>
      </c>
      <c r="G40" s="167">
        <v>0</v>
      </c>
      <c r="H40" s="129"/>
      <c r="I40" s="64" t="s">
        <v>211</v>
      </c>
      <c r="J40" s="5"/>
    </row>
    <row r="41" spans="1:10" s="153" customFormat="1" ht="16.5" x14ac:dyDescent="0.35">
      <c r="A41" s="166" t="s">
        <v>206</v>
      </c>
      <c r="B41" s="62"/>
      <c r="C41" s="2"/>
      <c r="D41" s="38"/>
      <c r="E41" s="38"/>
      <c r="F41" s="167">
        <v>1084000</v>
      </c>
      <c r="G41" s="167">
        <v>1084000</v>
      </c>
      <c r="H41" s="129"/>
      <c r="I41" s="64">
        <f>G41/F41</f>
        <v>1</v>
      </c>
      <c r="J41" s="5"/>
    </row>
    <row r="42" spans="1:10" s="153" customFormat="1" ht="16.5" customHeight="1" x14ac:dyDescent="0.35">
      <c r="A42" s="166" t="s">
        <v>278</v>
      </c>
      <c r="B42" s="37"/>
      <c r="C42" s="37"/>
      <c r="D42" s="30"/>
      <c r="E42" s="30" t="s">
        <v>279</v>
      </c>
      <c r="F42" s="167">
        <v>0</v>
      </c>
      <c r="G42" s="167">
        <v>0</v>
      </c>
      <c r="H42" s="129"/>
      <c r="I42" s="168" t="s">
        <v>211</v>
      </c>
      <c r="J42" s="5"/>
    </row>
    <row r="43" spans="1:10" s="153" customFormat="1" x14ac:dyDescent="0.2">
      <c r="A43" s="556" t="s">
        <v>318</v>
      </c>
      <c r="B43" s="551"/>
      <c r="C43" s="551"/>
      <c r="D43" s="551"/>
      <c r="E43" s="551"/>
      <c r="F43" s="551"/>
      <c r="G43" s="551"/>
      <c r="H43" s="551"/>
      <c r="I43" s="551"/>
      <c r="J43" s="5"/>
    </row>
    <row r="44" spans="1:10" s="153" customFormat="1" ht="6" customHeigh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280</v>
      </c>
      <c r="B45" s="34" t="s">
        <v>12</v>
      </c>
      <c r="C45" s="36"/>
      <c r="D45" s="38"/>
      <c r="E45" s="38"/>
      <c r="F45" s="71"/>
      <c r="G45" s="72"/>
      <c r="H45" s="546" t="s">
        <v>110</v>
      </c>
      <c r="I45" s="547"/>
      <c r="J45" s="5"/>
    </row>
    <row r="46" spans="1:10" s="153" customFormat="1" ht="18" x14ac:dyDescent="0.35">
      <c r="A46" s="169"/>
      <c r="B46" s="170"/>
      <c r="C46" s="171"/>
      <c r="D46" s="170"/>
      <c r="E46" s="172" t="s">
        <v>281</v>
      </c>
      <c r="F46" s="173" t="s">
        <v>9</v>
      </c>
      <c r="G46" s="173" t="s">
        <v>10</v>
      </c>
      <c r="H46" s="174" t="s">
        <v>13</v>
      </c>
      <c r="I46" s="175" t="s">
        <v>111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6"/>
      <c r="H47" s="117">
        <v>41639</v>
      </c>
      <c r="I47" s="178">
        <v>41639</v>
      </c>
      <c r="J47" s="5"/>
    </row>
    <row r="48" spans="1:10" s="153" customFormat="1" x14ac:dyDescent="0.2">
      <c r="A48" s="176"/>
      <c r="B48" s="177"/>
      <c r="C48" s="177"/>
      <c r="D48" s="177"/>
      <c r="E48" s="548"/>
      <c r="F48" s="549"/>
      <c r="G48" s="119"/>
      <c r="H48" s="119"/>
      <c r="I48" s="179"/>
      <c r="J48" s="5"/>
    </row>
    <row r="49" spans="1:10" s="153" customFormat="1" ht="13.5" thickBot="1" x14ac:dyDescent="0.25">
      <c r="A49" s="180"/>
      <c r="B49" s="181"/>
      <c r="C49" s="181"/>
      <c r="D49" s="181"/>
      <c r="E49" s="182"/>
      <c r="F49" s="183"/>
      <c r="G49" s="183"/>
      <c r="H49" s="183"/>
      <c r="I49" s="184"/>
      <c r="J49" s="5"/>
    </row>
    <row r="50" spans="1:10" s="153" customFormat="1" ht="13.5" thickTop="1" x14ac:dyDescent="0.2">
      <c r="A50" s="185"/>
      <c r="B50" s="74"/>
      <c r="C50" s="74" t="s">
        <v>6</v>
      </c>
      <c r="D50" s="74"/>
      <c r="E50" s="186">
        <v>141371</v>
      </c>
      <c r="F50" s="187">
        <v>10000</v>
      </c>
      <c r="G50" s="75">
        <v>19900</v>
      </c>
      <c r="H50" s="75">
        <f>E50+F50-G50</f>
        <v>131471</v>
      </c>
      <c r="I50" s="188">
        <f>H50</f>
        <v>131471</v>
      </c>
      <c r="J50" s="5"/>
    </row>
    <row r="51" spans="1:10" s="153" customFormat="1" x14ac:dyDescent="0.2">
      <c r="A51" s="189"/>
      <c r="B51" s="77"/>
      <c r="C51" s="77" t="s">
        <v>8</v>
      </c>
      <c r="D51" s="77"/>
      <c r="E51" s="190">
        <v>143141.18</v>
      </c>
      <c r="F51" s="191">
        <v>321976.12</v>
      </c>
      <c r="G51" s="78">
        <v>357345.25</v>
      </c>
      <c r="H51" s="78">
        <f>E51+F51-G51</f>
        <v>107772.04999999999</v>
      </c>
      <c r="I51" s="192">
        <v>142552.10999999999</v>
      </c>
      <c r="J51" s="5"/>
    </row>
    <row r="52" spans="1:10" s="153" customFormat="1" x14ac:dyDescent="0.2">
      <c r="A52" s="189"/>
      <c r="B52" s="77"/>
      <c r="C52" s="77" t="s">
        <v>7</v>
      </c>
      <c r="D52" s="77"/>
      <c r="E52" s="190">
        <v>875278.78</v>
      </c>
      <c r="F52" s="191">
        <f>1057483.32+594669.31</f>
        <v>1652152.6300000001</v>
      </c>
      <c r="G52" s="78">
        <f>605873.87+534789.77</f>
        <v>1140663.6400000001</v>
      </c>
      <c r="H52" s="78">
        <f>E52+F52-G52</f>
        <v>1386767.77</v>
      </c>
      <c r="I52" s="192">
        <f>H52</f>
        <v>1386767.77</v>
      </c>
      <c r="J52" s="5"/>
    </row>
    <row r="53" spans="1:10" s="153" customFormat="1" x14ac:dyDescent="0.2">
      <c r="A53" s="189"/>
      <c r="B53" s="77"/>
      <c r="C53" s="77" t="s">
        <v>15</v>
      </c>
      <c r="D53" s="77"/>
      <c r="E53" s="190">
        <v>392919.17999999993</v>
      </c>
      <c r="F53" s="191">
        <v>1375507</v>
      </c>
      <c r="G53" s="78">
        <v>1075705.22</v>
      </c>
      <c r="H53" s="78">
        <f>E53+F53-G53</f>
        <v>692720.96</v>
      </c>
      <c r="I53" s="192">
        <f>H53</f>
        <v>692720.96</v>
      </c>
      <c r="J53" s="5"/>
    </row>
    <row r="54" spans="1:10" s="153" customFormat="1" ht="18.75" thickBot="1" x14ac:dyDescent="0.4">
      <c r="A54" s="193" t="s">
        <v>2</v>
      </c>
      <c r="B54" s="194"/>
      <c r="C54" s="194"/>
      <c r="D54" s="194"/>
      <c r="E54" s="195">
        <f>E50+E51+E52+E53</f>
        <v>1552710.14</v>
      </c>
      <c r="F54" s="196">
        <f>F50+F51+F52+F53</f>
        <v>3359635.75</v>
      </c>
      <c r="G54" s="197">
        <f>G50+G51+G52+G53</f>
        <v>2593614.1100000003</v>
      </c>
      <c r="H54" s="197">
        <f>H50+H51+H52+H53</f>
        <v>2318731.7800000003</v>
      </c>
      <c r="I54" s="198">
        <f>I50+I51+I52+I53</f>
        <v>2353511.84</v>
      </c>
      <c r="J54" s="5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 t="s">
        <v>328</v>
      </c>
    </row>
  </sheetData>
  <mergeCells count="15">
    <mergeCell ref="H45:I45"/>
    <mergeCell ref="E47:E48"/>
    <mergeCell ref="F47:F48"/>
    <mergeCell ref="E7:I7"/>
    <mergeCell ref="H12:I12"/>
    <mergeCell ref="A43:I43"/>
    <mergeCell ref="A33:I35"/>
    <mergeCell ref="C28:E28"/>
    <mergeCell ref="C31:F31"/>
    <mergeCell ref="B32:F32"/>
    <mergeCell ref="A2:D2"/>
    <mergeCell ref="E2:I2"/>
    <mergeCell ref="E3:I3"/>
    <mergeCell ref="E4:I4"/>
    <mergeCell ref="E5:I5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3" tint="0.59999389629810485"/>
  </sheetPr>
  <dimension ref="A1:J58"/>
  <sheetViews>
    <sheetView topLeftCell="A31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254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166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167</v>
      </c>
      <c r="F6" s="20"/>
      <c r="G6" s="21" t="s">
        <v>37</v>
      </c>
      <c r="H6" s="22">
        <v>1200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39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5728000</v>
      </c>
      <c r="F15" s="128">
        <v>15922100</v>
      </c>
      <c r="G15" s="6">
        <f>H15+I15</f>
        <v>17854145.119999997</v>
      </c>
      <c r="H15" s="127">
        <v>16488745.699999999</v>
      </c>
      <c r="I15" s="127">
        <v>1365399.42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5728000</v>
      </c>
      <c r="F17" s="128">
        <v>17555385.66</v>
      </c>
      <c r="G17" s="6">
        <f>H17+I17</f>
        <v>18353602.690000001</v>
      </c>
      <c r="H17" s="127">
        <v>16607495</v>
      </c>
      <c r="I17" s="127">
        <v>1746107.69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499457.57000000402</v>
      </c>
      <c r="H23" s="264">
        <f>H17-H15-H21</f>
        <v>118749.30000000075</v>
      </c>
      <c r="I23" s="264">
        <f>I17-I15-I21</f>
        <v>380708.27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499457.57000000402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499457.57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50000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449457.57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120000</v>
      </c>
      <c r="G37" s="167">
        <v>120000</v>
      </c>
      <c r="H37" s="129"/>
      <c r="I37" s="64">
        <f>G37/F37</f>
        <v>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575000</v>
      </c>
      <c r="G38" s="167">
        <v>576768</v>
      </c>
      <c r="H38" s="129"/>
      <c r="I38" s="64">
        <f>G38/F38</f>
        <v>1.0030747826086956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431250</v>
      </c>
      <c r="G40" s="167">
        <v>431250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6" t="s">
        <v>320</v>
      </c>
      <c r="B42" s="556"/>
      <c r="C42" s="556"/>
      <c r="D42" s="556"/>
      <c r="E42" s="556"/>
      <c r="F42" s="556"/>
      <c r="G42" s="556"/>
      <c r="H42" s="556"/>
      <c r="I42" s="556"/>
      <c r="J42" s="5"/>
    </row>
    <row r="43" spans="1:10" s="153" customFormat="1" x14ac:dyDescent="0.2">
      <c r="A43" s="557"/>
      <c r="B43" s="557"/>
      <c r="C43" s="557"/>
      <c r="D43" s="557"/>
      <c r="E43" s="557"/>
      <c r="F43" s="557"/>
      <c r="G43" s="557"/>
      <c r="H43" s="557"/>
      <c r="I43" s="557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0</v>
      </c>
      <c r="F49" s="187">
        <v>50000</v>
      </c>
      <c r="G49" s="75">
        <v>50000</v>
      </c>
      <c r="H49" s="75">
        <f>E49+F49-G49</f>
        <v>0</v>
      </c>
      <c r="I49" s="188">
        <f>H49</f>
        <v>0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13281.169999999998</v>
      </c>
      <c r="F50" s="191">
        <v>82149</v>
      </c>
      <c r="G50" s="78">
        <v>70600</v>
      </c>
      <c r="H50" s="78">
        <f>E50+F50-G50</f>
        <v>24830.17</v>
      </c>
      <c r="I50" s="192">
        <v>17886.189999999999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0</v>
      </c>
      <c r="F51" s="191">
        <v>215534.19</v>
      </c>
      <c r="G51" s="78">
        <v>205534.19</v>
      </c>
      <c r="H51" s="78">
        <f>E51+F51-G51</f>
        <v>10000</v>
      </c>
      <c r="I51" s="192">
        <f>H51</f>
        <v>10000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686542.16000000015</v>
      </c>
      <c r="F52" s="191">
        <v>579228</v>
      </c>
      <c r="G52" s="78">
        <v>907454</v>
      </c>
      <c r="H52" s="78">
        <f>E52+F52-G52</f>
        <v>358316.16000000015</v>
      </c>
      <c r="I52" s="192">
        <f>H52</f>
        <v>358316.16000000015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699823.33000000019</v>
      </c>
      <c r="F53" s="196">
        <f>F49+F50+F51+F52</f>
        <v>926911.19</v>
      </c>
      <c r="G53" s="197">
        <f>G49+G50+G51+G52</f>
        <v>1233588.19</v>
      </c>
      <c r="H53" s="197">
        <f>H49+H50+H51+H52</f>
        <v>393146.33000000013</v>
      </c>
      <c r="I53" s="198">
        <f>I49+I50+I51+I52</f>
        <v>386202.35000000015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x14ac:dyDescent="0.2">
      <c r="A55" s="14"/>
      <c r="B55" s="14"/>
      <c r="C55" s="14"/>
      <c r="D55" s="14"/>
      <c r="E55" s="14"/>
      <c r="F55" s="14"/>
      <c r="G55" s="14"/>
      <c r="H55" s="14"/>
      <c r="I55" s="14"/>
    </row>
    <row r="56" spans="1:10" x14ac:dyDescent="0.2">
      <c r="A56" s="14"/>
      <c r="B56" s="14"/>
      <c r="C56" s="14"/>
      <c r="D56" s="14"/>
      <c r="E56" s="14"/>
      <c r="F56" s="14"/>
      <c r="G56" s="14"/>
      <c r="H56" s="14"/>
      <c r="I56" s="14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F46:F47"/>
    <mergeCell ref="E5:I5"/>
    <mergeCell ref="E7:I7"/>
    <mergeCell ref="H12:I12"/>
    <mergeCell ref="E46:E47"/>
    <mergeCell ref="C28:E28"/>
    <mergeCell ref="C31:F31"/>
    <mergeCell ref="B32:F32"/>
    <mergeCell ref="A42:I43"/>
    <mergeCell ref="A2:D2"/>
    <mergeCell ref="E2:I2"/>
    <mergeCell ref="E3:I3"/>
    <mergeCell ref="E4:I4"/>
    <mergeCell ref="H44:I44"/>
    <mergeCell ref="A33:I34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3" tint="0.59999389629810485"/>
  </sheetPr>
  <dimension ref="A1:J59"/>
  <sheetViews>
    <sheetView topLeftCell="A31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140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121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168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169</v>
      </c>
      <c r="F6" s="20"/>
      <c r="G6" s="21" t="s">
        <v>37</v>
      </c>
      <c r="H6" s="22">
        <v>1201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37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8060000</v>
      </c>
      <c r="F15" s="128">
        <v>30351137.91</v>
      </c>
      <c r="G15" s="6">
        <f>H15+I15</f>
        <v>30351137.91</v>
      </c>
      <c r="H15" s="127">
        <v>29255378.890000001</v>
      </c>
      <c r="I15" s="127">
        <v>1095759.02</v>
      </c>
      <c r="J15" s="227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8080000</v>
      </c>
      <c r="F17" s="128">
        <v>32383428.09</v>
      </c>
      <c r="G17" s="6">
        <f>H17+I17</f>
        <v>32026545.920000002</v>
      </c>
      <c r="H17" s="127">
        <v>30606217.260000002</v>
      </c>
      <c r="I17" s="127">
        <v>1420328.66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5890</v>
      </c>
      <c r="H21" s="161">
        <v>5890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1669518.0100000016</v>
      </c>
      <c r="H23" s="264">
        <f>H17-H15-H21</f>
        <v>1344948.370000001</v>
      </c>
      <c r="I23" s="264">
        <f>I17-I15-I21</f>
        <v>324569.6399999999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2451.0100000016391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1667067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2451.0100000000002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1960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491.01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1667067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63" t="s">
        <v>342</v>
      </c>
      <c r="B33" s="563"/>
      <c r="C33" s="563"/>
      <c r="D33" s="563"/>
      <c r="E33" s="563"/>
      <c r="F33" s="563"/>
      <c r="G33" s="563"/>
      <c r="H33" s="563"/>
      <c r="I33" s="563"/>
    </row>
    <row r="34" spans="1:10" s="40" customFormat="1" x14ac:dyDescent="0.2">
      <c r="A34" s="563"/>
      <c r="B34" s="563"/>
      <c r="C34" s="563"/>
      <c r="D34" s="563"/>
      <c r="E34" s="563"/>
      <c r="F34" s="563"/>
      <c r="G34" s="563"/>
      <c r="H34" s="563"/>
      <c r="I34" s="563"/>
    </row>
    <row r="35" spans="1:10" s="153" customFormat="1" x14ac:dyDescent="0.2">
      <c r="A35" s="563"/>
      <c r="B35" s="563"/>
      <c r="C35" s="563"/>
      <c r="D35" s="563"/>
      <c r="E35" s="563"/>
      <c r="F35" s="563"/>
      <c r="G35" s="563"/>
      <c r="H35" s="563"/>
      <c r="I35" s="563"/>
      <c r="J35" s="165"/>
    </row>
    <row r="36" spans="1:10" s="153" customFormat="1" ht="19.5" x14ac:dyDescent="0.4">
      <c r="A36" s="34" t="s">
        <v>277</v>
      </c>
      <c r="B36" s="34" t="s">
        <v>31</v>
      </c>
      <c r="C36" s="34"/>
      <c r="D36" s="56"/>
      <c r="E36" s="38"/>
      <c r="F36" s="3"/>
      <c r="G36" s="57"/>
      <c r="H36" s="50"/>
      <c r="I36" s="50"/>
      <c r="J36" s="165"/>
    </row>
    <row r="37" spans="1:10" s="153" customFormat="1" ht="18.75" x14ac:dyDescent="0.4">
      <c r="A37" s="34"/>
      <c r="B37" s="34"/>
      <c r="C37" s="34"/>
      <c r="D37" s="56"/>
      <c r="E37" s="13"/>
      <c r="F37" s="58" t="s">
        <v>106</v>
      </c>
      <c r="G37" s="156" t="s">
        <v>0</v>
      </c>
      <c r="H37" s="30"/>
      <c r="I37" s="60" t="s">
        <v>107</v>
      </c>
      <c r="J37" s="165"/>
    </row>
    <row r="38" spans="1:10" s="153" customFormat="1" ht="15" customHeight="1" x14ac:dyDescent="0.35">
      <c r="A38" s="166" t="s">
        <v>32</v>
      </c>
      <c r="B38" s="62"/>
      <c r="C38" s="2"/>
      <c r="D38" s="62"/>
      <c r="E38" s="38"/>
      <c r="F38" s="167">
        <v>36525</v>
      </c>
      <c r="G38" s="167">
        <v>36525</v>
      </c>
      <c r="H38" s="129"/>
      <c r="I38" s="64">
        <f>G38/F38</f>
        <v>1</v>
      </c>
      <c r="J38" s="165"/>
    </row>
    <row r="39" spans="1:10" s="153" customFormat="1" ht="16.5" x14ac:dyDescent="0.35">
      <c r="A39" s="166" t="s">
        <v>108</v>
      </c>
      <c r="B39" s="62"/>
      <c r="C39" s="2"/>
      <c r="D39" s="65"/>
      <c r="E39" s="65"/>
      <c r="F39" s="167">
        <v>2602571</v>
      </c>
      <c r="G39" s="167">
        <v>2602537.7000000002</v>
      </c>
      <c r="H39" s="129"/>
      <c r="I39" s="64">
        <f>G39/F39</f>
        <v>0.99998720496001847</v>
      </c>
      <c r="J39" s="5"/>
    </row>
    <row r="40" spans="1:10" s="153" customFormat="1" ht="16.5" x14ac:dyDescent="0.35">
      <c r="A40" s="166" t="s">
        <v>109</v>
      </c>
      <c r="B40" s="62"/>
      <c r="C40" s="2"/>
      <c r="D40" s="65"/>
      <c r="E40" s="65"/>
      <c r="F40" s="167">
        <v>0</v>
      </c>
      <c r="G40" s="167">
        <v>0</v>
      </c>
      <c r="H40" s="129"/>
      <c r="I40" s="64" t="s">
        <v>211</v>
      </c>
      <c r="J40" s="5"/>
    </row>
    <row r="41" spans="1:10" s="153" customFormat="1" ht="16.5" x14ac:dyDescent="0.35">
      <c r="A41" s="166" t="s">
        <v>206</v>
      </c>
      <c r="B41" s="62"/>
      <c r="C41" s="2"/>
      <c r="D41" s="38"/>
      <c r="E41" s="38"/>
      <c r="F41" s="167">
        <v>1952428</v>
      </c>
      <c r="G41" s="167">
        <v>1952428</v>
      </c>
      <c r="H41" s="129"/>
      <c r="I41" s="64">
        <f>G41/F41</f>
        <v>1</v>
      </c>
      <c r="J41" s="5"/>
    </row>
    <row r="42" spans="1:10" s="153" customFormat="1" ht="15.75" customHeight="1" x14ac:dyDescent="0.35">
      <c r="A42" s="166" t="s">
        <v>278</v>
      </c>
      <c r="B42" s="37"/>
      <c r="C42" s="37"/>
      <c r="D42" s="30"/>
      <c r="E42" s="30" t="s">
        <v>279</v>
      </c>
      <c r="F42" s="167">
        <v>0</v>
      </c>
      <c r="G42" s="167">
        <v>0</v>
      </c>
      <c r="H42" s="129"/>
      <c r="I42" s="168" t="s">
        <v>211</v>
      </c>
      <c r="J42" s="5"/>
    </row>
    <row r="43" spans="1:10" s="153" customFormat="1" x14ac:dyDescent="0.2">
      <c r="A43" s="551" t="s">
        <v>331</v>
      </c>
      <c r="B43" s="551"/>
      <c r="C43" s="551"/>
      <c r="D43" s="551"/>
      <c r="E43" s="551"/>
      <c r="F43" s="551"/>
      <c r="G43" s="551"/>
      <c r="H43" s="551"/>
      <c r="I43" s="551"/>
      <c r="J43" s="5"/>
    </row>
    <row r="44" spans="1:10" s="153" customFormat="1" ht="7.5" customHeigh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280</v>
      </c>
      <c r="B45" s="34" t="s">
        <v>12</v>
      </c>
      <c r="C45" s="36"/>
      <c r="D45" s="38"/>
      <c r="E45" s="38"/>
      <c r="F45" s="71"/>
      <c r="G45" s="72"/>
      <c r="H45" s="546" t="s">
        <v>110</v>
      </c>
      <c r="I45" s="547"/>
      <c r="J45" s="5"/>
    </row>
    <row r="46" spans="1:10" s="153" customFormat="1" ht="18" x14ac:dyDescent="0.35">
      <c r="A46" s="169"/>
      <c r="B46" s="170"/>
      <c r="C46" s="171"/>
      <c r="D46" s="170"/>
      <c r="E46" s="172" t="s">
        <v>281</v>
      </c>
      <c r="F46" s="173" t="s">
        <v>9</v>
      </c>
      <c r="G46" s="173" t="s">
        <v>10</v>
      </c>
      <c r="H46" s="174" t="s">
        <v>13</v>
      </c>
      <c r="I46" s="175" t="s">
        <v>111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6"/>
      <c r="H47" s="117">
        <v>41639</v>
      </c>
      <c r="I47" s="178">
        <v>41639</v>
      </c>
      <c r="J47" s="5"/>
    </row>
    <row r="48" spans="1:10" s="153" customFormat="1" x14ac:dyDescent="0.2">
      <c r="A48" s="176"/>
      <c r="B48" s="177"/>
      <c r="C48" s="177"/>
      <c r="D48" s="177"/>
      <c r="E48" s="548"/>
      <c r="F48" s="549"/>
      <c r="G48" s="119"/>
      <c r="H48" s="119"/>
      <c r="I48" s="179"/>
      <c r="J48" s="5"/>
    </row>
    <row r="49" spans="1:10" s="153" customFormat="1" ht="13.5" thickBot="1" x14ac:dyDescent="0.25">
      <c r="A49" s="180"/>
      <c r="B49" s="181"/>
      <c r="C49" s="181"/>
      <c r="D49" s="181"/>
      <c r="E49" s="182"/>
      <c r="F49" s="183"/>
      <c r="G49" s="183"/>
      <c r="H49" s="183"/>
      <c r="I49" s="184"/>
      <c r="J49" s="5"/>
    </row>
    <row r="50" spans="1:10" s="153" customFormat="1" ht="13.5" thickTop="1" x14ac:dyDescent="0.2">
      <c r="A50" s="185"/>
      <c r="B50" s="74"/>
      <c r="C50" s="74" t="s">
        <v>6</v>
      </c>
      <c r="D50" s="74"/>
      <c r="E50" s="186">
        <v>13475</v>
      </c>
      <c r="F50" s="187">
        <v>0</v>
      </c>
      <c r="G50" s="75">
        <v>13475</v>
      </c>
      <c r="H50" s="75">
        <f>E50+F50-G50</f>
        <v>0</v>
      </c>
      <c r="I50" s="188">
        <f>H50</f>
        <v>0</v>
      </c>
      <c r="J50" s="5"/>
    </row>
    <row r="51" spans="1:10" s="153" customFormat="1" x14ac:dyDescent="0.2">
      <c r="A51" s="189"/>
      <c r="B51" s="77"/>
      <c r="C51" s="77" t="s">
        <v>8</v>
      </c>
      <c r="D51" s="77"/>
      <c r="E51" s="190">
        <v>250863.98000000004</v>
      </c>
      <c r="F51" s="191">
        <v>145675.64000000001</v>
      </c>
      <c r="G51" s="78">
        <v>197213</v>
      </c>
      <c r="H51" s="78">
        <f>E51+F51-G51</f>
        <v>199326.62000000005</v>
      </c>
      <c r="I51" s="192">
        <v>57435.87</v>
      </c>
      <c r="J51" s="5"/>
    </row>
    <row r="52" spans="1:10" s="153" customFormat="1" x14ac:dyDescent="0.2">
      <c r="A52" s="189"/>
      <c r="B52" s="77"/>
      <c r="C52" s="77" t="s">
        <v>7</v>
      </c>
      <c r="D52" s="77"/>
      <c r="E52" s="190">
        <v>1017456.4199999999</v>
      </c>
      <c r="F52" s="191">
        <v>669919.61</v>
      </c>
      <c r="G52" s="78">
        <f>94834.49+649769</f>
        <v>744603.49</v>
      </c>
      <c r="H52" s="78">
        <f>E52+F52-G52</f>
        <v>942772.5399999998</v>
      </c>
      <c r="I52" s="192">
        <f>335878.63+596336.81</f>
        <v>932215.44000000006</v>
      </c>
      <c r="J52" s="5"/>
    </row>
    <row r="53" spans="1:10" s="153" customFormat="1" x14ac:dyDescent="0.2">
      <c r="A53" s="189"/>
      <c r="B53" s="77"/>
      <c r="C53" s="77" t="s">
        <v>15</v>
      </c>
      <c r="D53" s="77"/>
      <c r="E53" s="190">
        <v>762305.50000000047</v>
      </c>
      <c r="F53" s="191">
        <v>2607047.7000000002</v>
      </c>
      <c r="G53" s="78">
        <v>2370527.0499999998</v>
      </c>
      <c r="H53" s="78">
        <f>E53+F53-G53</f>
        <v>998826.15000000084</v>
      </c>
      <c r="I53" s="192">
        <f>H53</f>
        <v>998826.15000000084</v>
      </c>
      <c r="J53" s="5"/>
    </row>
    <row r="54" spans="1:10" s="153" customFormat="1" ht="18.75" thickBot="1" x14ac:dyDescent="0.4">
      <c r="A54" s="193" t="s">
        <v>2</v>
      </c>
      <c r="B54" s="194"/>
      <c r="C54" s="194"/>
      <c r="D54" s="194"/>
      <c r="E54" s="195">
        <f>E50+E51+E52+E53</f>
        <v>2044100.9000000004</v>
      </c>
      <c r="F54" s="196">
        <f>F50+F51+F52+F53</f>
        <v>3422642.95</v>
      </c>
      <c r="G54" s="197">
        <f>G50+G51+G52+G53</f>
        <v>3325818.54</v>
      </c>
      <c r="H54" s="197">
        <f>H50+H51+H52+H53</f>
        <v>2140925.3100000005</v>
      </c>
      <c r="I54" s="198">
        <f>I50+I51+I52+I53</f>
        <v>1988477.4600000009</v>
      </c>
      <c r="J54" s="5"/>
    </row>
    <row r="55" spans="1:10" ht="18" x14ac:dyDescent="0.35">
      <c r="A55" s="79"/>
      <c r="B55" s="68"/>
      <c r="C55" s="68"/>
      <c r="D55" s="38"/>
      <c r="E55" s="38"/>
      <c r="F55" s="71"/>
      <c r="G55" s="72"/>
      <c r="H55" s="80"/>
      <c r="I55" s="80"/>
    </row>
    <row r="56" spans="1:10" ht="18" x14ac:dyDescent="0.35">
      <c r="A56" s="79"/>
      <c r="B56" s="68"/>
      <c r="C56" s="68"/>
      <c r="D56" s="38"/>
      <c r="E56" s="38"/>
      <c r="F56" s="71"/>
      <c r="G56" s="81"/>
      <c r="H56" s="82"/>
      <c r="I56" s="82"/>
    </row>
    <row r="57" spans="1:10" ht="18" x14ac:dyDescent="0.35">
      <c r="A57" s="83"/>
      <c r="B57" s="84"/>
      <c r="C57" s="84"/>
      <c r="D57" s="85"/>
      <c r="E57" s="85"/>
      <c r="F57" s="82"/>
      <c r="G57" s="82"/>
      <c r="H57" s="82"/>
      <c r="I57" s="82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  <row r="59" spans="1:10" x14ac:dyDescent="0.2">
      <c r="A59" s="86"/>
      <c r="B59" s="86"/>
      <c r="C59" s="86"/>
      <c r="D59" s="86"/>
      <c r="E59" s="86"/>
      <c r="F59" s="86"/>
      <c r="G59" s="86"/>
      <c r="H59" s="86"/>
      <c r="I59" s="86"/>
    </row>
  </sheetData>
  <mergeCells count="15">
    <mergeCell ref="A2:D2"/>
    <mergeCell ref="E2:I2"/>
    <mergeCell ref="E3:I3"/>
    <mergeCell ref="E4:I4"/>
    <mergeCell ref="E47:E48"/>
    <mergeCell ref="F47:F48"/>
    <mergeCell ref="A33:I35"/>
    <mergeCell ref="H45:I45"/>
    <mergeCell ref="E5:I5"/>
    <mergeCell ref="E7:I7"/>
    <mergeCell ref="H12:I12"/>
    <mergeCell ref="A43:I43"/>
    <mergeCell ref="C28:E28"/>
    <mergeCell ref="C31:F31"/>
    <mergeCell ref="B32:F32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tabColor theme="3" tint="0.59999389629810485"/>
  </sheetPr>
  <dimension ref="A1:J58"/>
  <sheetViews>
    <sheetView topLeftCell="A25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" style="13" customWidth="1"/>
    <col min="10" max="10" width="18.85546875" style="14" customWidth="1"/>
    <col min="11" max="11" width="15.425781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239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240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170</v>
      </c>
      <c r="F6" s="20"/>
      <c r="G6" s="21" t="s">
        <v>37</v>
      </c>
      <c r="H6" s="22">
        <v>1202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4.5" customHeight="1" x14ac:dyDescent="0.4">
      <c r="A8" s="18"/>
      <c r="E8" s="23"/>
      <c r="F8" s="23"/>
      <c r="G8" s="23"/>
      <c r="H8" s="21"/>
      <c r="I8" s="23"/>
    </row>
    <row r="9" spans="1:10" ht="44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8665000</v>
      </c>
      <c r="F15" s="128">
        <v>32094620.75</v>
      </c>
      <c r="G15" s="6">
        <f>H15+I15</f>
        <v>32094620.75</v>
      </c>
      <c r="H15" s="127">
        <v>31379049.350000001</v>
      </c>
      <c r="I15" s="127">
        <v>715571.4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8854000</v>
      </c>
      <c r="F17" s="128">
        <v>34440316.810000002</v>
      </c>
      <c r="G17" s="6">
        <f>H17+I17</f>
        <v>32321795.809999999</v>
      </c>
      <c r="H17" s="127">
        <v>31397709.41</v>
      </c>
      <c r="I17" s="127">
        <v>924086.4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227175.05999999866</v>
      </c>
      <c r="H23" s="264">
        <f>H17-H15-H21</f>
        <v>18660.059999998659</v>
      </c>
      <c r="I23" s="264">
        <f>I17-I15-I21</f>
        <v>208515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227175.05999999866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227175.06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50000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177175.06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0</v>
      </c>
      <c r="G37" s="167">
        <v>0</v>
      </c>
      <c r="H37" s="129"/>
      <c r="I37" s="64" t="s">
        <v>211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937194</v>
      </c>
      <c r="G38" s="167">
        <v>953375</v>
      </c>
      <c r="H38" s="129"/>
      <c r="I38" s="64">
        <f>G38/F38</f>
        <v>1.0172653687496933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702896</v>
      </c>
      <c r="G40" s="167">
        <v>702896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6" t="s">
        <v>321</v>
      </c>
      <c r="B42" s="556"/>
      <c r="C42" s="556"/>
      <c r="D42" s="556"/>
      <c r="E42" s="556"/>
      <c r="F42" s="556"/>
      <c r="G42" s="556"/>
      <c r="H42" s="556"/>
      <c r="I42" s="556"/>
      <c r="J42" s="5"/>
    </row>
    <row r="43" spans="1:10" s="153" customFormat="1" x14ac:dyDescent="0.2">
      <c r="A43" s="557"/>
      <c r="B43" s="557"/>
      <c r="C43" s="557"/>
      <c r="D43" s="557"/>
      <c r="E43" s="557"/>
      <c r="F43" s="557"/>
      <c r="G43" s="557"/>
      <c r="H43" s="557"/>
      <c r="I43" s="557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5100</v>
      </c>
      <c r="F49" s="187">
        <v>130427</v>
      </c>
      <c r="G49" s="75">
        <v>108800</v>
      </c>
      <c r="H49" s="75">
        <f>E49+F49-G49</f>
        <v>26727</v>
      </c>
      <c r="I49" s="188">
        <f>H49</f>
        <v>26727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143078.87</v>
      </c>
      <c r="F50" s="191">
        <v>143721</v>
      </c>
      <c r="G50" s="78">
        <v>161810</v>
      </c>
      <c r="H50" s="78">
        <f>E50+F50-G50</f>
        <v>124989.87</v>
      </c>
      <c r="I50" s="192">
        <v>115811.87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1072024.2600000002</v>
      </c>
      <c r="F51" s="191">
        <f>103039.93+537496.54</f>
        <v>640536.47</v>
      </c>
      <c r="G51" s="78">
        <f>401731.79+678802.61</f>
        <v>1080534.3999999999</v>
      </c>
      <c r="H51" s="78">
        <f>E51+F51-G51</f>
        <v>632026.33000000031</v>
      </c>
      <c r="I51" s="192">
        <f>H51</f>
        <v>632026.33000000031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157498.55000000005</v>
      </c>
      <c r="F52" s="191">
        <v>1420816</v>
      </c>
      <c r="G52" s="78">
        <v>1357503.58</v>
      </c>
      <c r="H52" s="78">
        <f>E52+F52-G52</f>
        <v>220810.96999999997</v>
      </c>
      <c r="I52" s="192">
        <f>H52</f>
        <v>220810.96999999997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1377701.6800000004</v>
      </c>
      <c r="F53" s="196">
        <f>F49+F50+F51+F52</f>
        <v>2335500.4699999997</v>
      </c>
      <c r="G53" s="197">
        <f>G49+G50+G51+G52</f>
        <v>2708647.98</v>
      </c>
      <c r="H53" s="197">
        <f>H49+H50+H51+H52</f>
        <v>1004554.1700000003</v>
      </c>
      <c r="I53" s="198">
        <f>I49+I50+I51+I52</f>
        <v>995376.17000000027</v>
      </c>
      <c r="J53" s="5"/>
    </row>
    <row r="54" spans="1:10" ht="18.75" hidden="1" thickTop="1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hidden="1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hidden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F46:F47"/>
    <mergeCell ref="E5:I5"/>
    <mergeCell ref="E7:I7"/>
    <mergeCell ref="H12:I12"/>
    <mergeCell ref="E46:E47"/>
    <mergeCell ref="C28:E28"/>
    <mergeCell ref="C31:F31"/>
    <mergeCell ref="B32:F32"/>
    <mergeCell ref="A42:I43"/>
    <mergeCell ref="A2:D2"/>
    <mergeCell ref="E2:I2"/>
    <mergeCell ref="E3:I3"/>
    <mergeCell ref="E4:I4"/>
    <mergeCell ref="H44:I44"/>
    <mergeCell ref="A33:I34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4">
    <tabColor theme="3" tint="0.59999389629810485"/>
  </sheetPr>
  <dimension ref="A1:J58"/>
  <sheetViews>
    <sheetView topLeftCell="A29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140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122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171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172</v>
      </c>
      <c r="F6" s="20"/>
      <c r="G6" s="21" t="s">
        <v>37</v>
      </c>
      <c r="H6" s="22">
        <v>1204</v>
      </c>
    </row>
    <row r="7" spans="1:10" ht="9.75" customHeight="1" x14ac:dyDescent="0.4">
      <c r="A7" s="18"/>
      <c r="E7" s="544" t="s">
        <v>101</v>
      </c>
      <c r="F7" s="544"/>
      <c r="G7" s="544"/>
      <c r="H7" s="544"/>
      <c r="I7" s="544"/>
    </row>
    <row r="8" spans="1:10" ht="2.25" customHeight="1" x14ac:dyDescent="0.4">
      <c r="A8" s="18"/>
      <c r="E8" s="23"/>
      <c r="F8" s="23"/>
      <c r="G8" s="23"/>
      <c r="H8" s="21"/>
      <c r="I8" s="23"/>
    </row>
    <row r="9" spans="1:10" ht="36.7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23037000</v>
      </c>
      <c r="F15" s="128">
        <v>72096000</v>
      </c>
      <c r="G15" s="6">
        <f>H15+I15</f>
        <v>71943848.909999996</v>
      </c>
      <c r="H15" s="127">
        <v>67541665.099999994</v>
      </c>
      <c r="I15" s="127">
        <v>4402183.8099999996</v>
      </c>
      <c r="J15" s="227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23287000</v>
      </c>
      <c r="F17" s="128">
        <v>72676761.409999996</v>
      </c>
      <c r="G17" s="6">
        <f>H17+I17</f>
        <v>72475708.620000005</v>
      </c>
      <c r="H17" s="127">
        <v>67328588.480000004</v>
      </c>
      <c r="I17" s="127">
        <v>5147120.1399999997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140420</v>
      </c>
      <c r="H21" s="161">
        <v>0</v>
      </c>
      <c r="I21" s="161">
        <v>140420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391439.71000000834</v>
      </c>
      <c r="H23" s="264">
        <f>H17-H15-H21</f>
        <v>-213076.61999998987</v>
      </c>
      <c r="I23" s="264">
        <f>I17-I15-I21</f>
        <v>604516.33000000007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28607.710000008345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362832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28607.71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22880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5727.71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362832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63" t="s">
        <v>323</v>
      </c>
      <c r="B33" s="563"/>
      <c r="C33" s="563"/>
      <c r="D33" s="563"/>
      <c r="E33" s="563"/>
      <c r="F33" s="563"/>
      <c r="G33" s="563"/>
      <c r="H33" s="563"/>
      <c r="I33" s="563"/>
    </row>
    <row r="34" spans="1:10" s="40" customFormat="1" x14ac:dyDescent="0.2">
      <c r="A34" s="563"/>
      <c r="B34" s="563"/>
      <c r="C34" s="563"/>
      <c r="D34" s="563"/>
      <c r="E34" s="563"/>
      <c r="F34" s="563"/>
      <c r="G34" s="563"/>
      <c r="H34" s="563"/>
      <c r="I34" s="563"/>
    </row>
    <row r="35" spans="1:10" s="153" customFormat="1" x14ac:dyDescent="0.2">
      <c r="A35" s="563"/>
      <c r="B35" s="563"/>
      <c r="C35" s="563"/>
      <c r="D35" s="563"/>
      <c r="E35" s="563"/>
      <c r="F35" s="563"/>
      <c r="G35" s="563"/>
      <c r="H35" s="563"/>
      <c r="I35" s="563"/>
      <c r="J35" s="165"/>
    </row>
    <row r="36" spans="1:10" s="153" customFormat="1" ht="19.5" x14ac:dyDescent="0.4">
      <c r="A36" s="34" t="s">
        <v>277</v>
      </c>
      <c r="B36" s="34" t="s">
        <v>31</v>
      </c>
      <c r="C36" s="34"/>
      <c r="D36" s="56"/>
      <c r="E36" s="38"/>
      <c r="F36" s="3"/>
      <c r="G36" s="57"/>
      <c r="H36" s="50"/>
      <c r="I36" s="50"/>
      <c r="J36" s="165"/>
    </row>
    <row r="37" spans="1:10" s="153" customFormat="1" ht="18.75" x14ac:dyDescent="0.4">
      <c r="A37" s="34"/>
      <c r="B37" s="34"/>
      <c r="C37" s="34"/>
      <c r="D37" s="56"/>
      <c r="E37" s="13"/>
      <c r="F37" s="58" t="s">
        <v>106</v>
      </c>
      <c r="G37" s="156" t="s">
        <v>0</v>
      </c>
      <c r="H37" s="30"/>
      <c r="I37" s="60" t="s">
        <v>107</v>
      </c>
      <c r="J37" s="165"/>
    </row>
    <row r="38" spans="1:10" s="153" customFormat="1" ht="15" customHeight="1" x14ac:dyDescent="0.35">
      <c r="A38" s="166" t="s">
        <v>32</v>
      </c>
      <c r="B38" s="62"/>
      <c r="C38" s="2"/>
      <c r="D38" s="62"/>
      <c r="E38" s="38"/>
      <c r="F38" s="167">
        <v>130000</v>
      </c>
      <c r="G38" s="167">
        <v>78645</v>
      </c>
      <c r="H38" s="129"/>
      <c r="I38" s="64">
        <f>G38/F38</f>
        <v>0.60496153846153844</v>
      </c>
      <c r="J38" s="165"/>
    </row>
    <row r="39" spans="1:10" s="153" customFormat="1" ht="16.5" x14ac:dyDescent="0.35">
      <c r="A39" s="166" t="s">
        <v>108</v>
      </c>
      <c r="B39" s="62"/>
      <c r="C39" s="2"/>
      <c r="D39" s="65"/>
      <c r="E39" s="65"/>
      <c r="F39" s="167">
        <v>2965000</v>
      </c>
      <c r="G39" s="167">
        <v>2965111</v>
      </c>
      <c r="H39" s="129"/>
      <c r="I39" s="64">
        <f>G39/F39</f>
        <v>1.000037436762226</v>
      </c>
      <c r="J39" s="5"/>
    </row>
    <row r="40" spans="1:10" s="153" customFormat="1" ht="16.5" x14ac:dyDescent="0.35">
      <c r="A40" s="166" t="s">
        <v>109</v>
      </c>
      <c r="B40" s="62"/>
      <c r="C40" s="2"/>
      <c r="D40" s="65"/>
      <c r="E40" s="65"/>
      <c r="F40" s="167">
        <v>0</v>
      </c>
      <c r="G40" s="167">
        <v>0</v>
      </c>
      <c r="H40" s="129"/>
      <c r="I40" s="64" t="s">
        <v>211</v>
      </c>
      <c r="J40" s="5"/>
    </row>
    <row r="41" spans="1:10" s="153" customFormat="1" ht="16.5" x14ac:dyDescent="0.35">
      <c r="A41" s="166" t="s">
        <v>206</v>
      </c>
      <c r="B41" s="62"/>
      <c r="C41" s="2"/>
      <c r="D41" s="38"/>
      <c r="E41" s="38"/>
      <c r="F41" s="167">
        <v>2224000</v>
      </c>
      <c r="G41" s="167">
        <v>2224000</v>
      </c>
      <c r="H41" s="129"/>
      <c r="I41" s="64">
        <f>G41/F41</f>
        <v>1</v>
      </c>
      <c r="J41" s="5"/>
    </row>
    <row r="42" spans="1:10" s="153" customFormat="1" ht="17.25" customHeight="1" x14ac:dyDescent="0.35">
      <c r="A42" s="166" t="s">
        <v>278</v>
      </c>
      <c r="B42" s="37"/>
      <c r="C42" s="37"/>
      <c r="D42" s="30"/>
      <c r="E42" s="30" t="s">
        <v>279</v>
      </c>
      <c r="F42" s="167">
        <v>0</v>
      </c>
      <c r="G42" s="167">
        <v>0</v>
      </c>
      <c r="H42" s="129"/>
      <c r="I42" s="168" t="s">
        <v>211</v>
      </c>
      <c r="J42" s="5"/>
    </row>
    <row r="43" spans="1:10" s="153" customFormat="1" x14ac:dyDescent="0.2">
      <c r="A43" s="551" t="s">
        <v>322</v>
      </c>
      <c r="B43" s="551"/>
      <c r="C43" s="551"/>
      <c r="D43" s="551"/>
      <c r="E43" s="551"/>
      <c r="F43" s="551"/>
      <c r="G43" s="551"/>
      <c r="H43" s="551"/>
      <c r="I43" s="551"/>
      <c r="J43" s="5"/>
    </row>
    <row r="44" spans="1:10" s="153" customFormat="1" ht="5.25" customHeigh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280</v>
      </c>
      <c r="B45" s="34" t="s">
        <v>12</v>
      </c>
      <c r="C45" s="36"/>
      <c r="D45" s="38"/>
      <c r="E45" s="38"/>
      <c r="F45" s="71"/>
      <c r="G45" s="72"/>
      <c r="H45" s="546" t="s">
        <v>110</v>
      </c>
      <c r="I45" s="547"/>
      <c r="J45" s="5"/>
    </row>
    <row r="46" spans="1:10" s="153" customFormat="1" ht="18" x14ac:dyDescent="0.35">
      <c r="A46" s="169"/>
      <c r="B46" s="170"/>
      <c r="C46" s="171"/>
      <c r="D46" s="170"/>
      <c r="E46" s="172" t="s">
        <v>281</v>
      </c>
      <c r="F46" s="173" t="s">
        <v>9</v>
      </c>
      <c r="G46" s="173" t="s">
        <v>10</v>
      </c>
      <c r="H46" s="174" t="s">
        <v>13</v>
      </c>
      <c r="I46" s="175" t="s">
        <v>111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6"/>
      <c r="H47" s="117">
        <v>41639</v>
      </c>
      <c r="I47" s="178">
        <v>41639</v>
      </c>
      <c r="J47" s="5"/>
    </row>
    <row r="48" spans="1:10" s="153" customFormat="1" x14ac:dyDescent="0.2">
      <c r="A48" s="176"/>
      <c r="B48" s="177"/>
      <c r="C48" s="177"/>
      <c r="D48" s="177"/>
      <c r="E48" s="548"/>
      <c r="F48" s="549"/>
      <c r="G48" s="119"/>
      <c r="H48" s="119"/>
      <c r="I48" s="179"/>
      <c r="J48" s="5"/>
    </row>
    <row r="49" spans="1:10" s="153" customFormat="1" ht="13.5" thickBot="1" x14ac:dyDescent="0.25">
      <c r="A49" s="180"/>
      <c r="B49" s="181"/>
      <c r="C49" s="181"/>
      <c r="D49" s="181"/>
      <c r="E49" s="182"/>
      <c r="F49" s="183"/>
      <c r="G49" s="183"/>
      <c r="H49" s="183"/>
      <c r="I49" s="184"/>
      <c r="J49" s="5"/>
    </row>
    <row r="50" spans="1:10" s="153" customFormat="1" ht="13.5" thickTop="1" x14ac:dyDescent="0.2">
      <c r="A50" s="185"/>
      <c r="B50" s="74"/>
      <c r="C50" s="74" t="s">
        <v>6</v>
      </c>
      <c r="D50" s="74"/>
      <c r="E50" s="186">
        <v>42200</v>
      </c>
      <c r="F50" s="187">
        <v>20000</v>
      </c>
      <c r="G50" s="75">
        <v>40000</v>
      </c>
      <c r="H50" s="75">
        <f>E50+F50-G50</f>
        <v>22200</v>
      </c>
      <c r="I50" s="188">
        <f>H50</f>
        <v>22200</v>
      </c>
      <c r="J50" s="5"/>
    </row>
    <row r="51" spans="1:10" s="153" customFormat="1" x14ac:dyDescent="0.2">
      <c r="A51" s="189"/>
      <c r="B51" s="77"/>
      <c r="C51" s="77" t="s">
        <v>8</v>
      </c>
      <c r="D51" s="77"/>
      <c r="E51" s="190">
        <v>421672.80000000005</v>
      </c>
      <c r="F51" s="191">
        <v>341266</v>
      </c>
      <c r="G51" s="78">
        <v>445761.5</v>
      </c>
      <c r="H51" s="78">
        <f>E51+F51-G51</f>
        <v>317177.30000000005</v>
      </c>
      <c r="I51" s="192">
        <v>320294.3</v>
      </c>
      <c r="J51" s="5"/>
    </row>
    <row r="52" spans="1:10" s="153" customFormat="1" x14ac:dyDescent="0.2">
      <c r="A52" s="189"/>
      <c r="B52" s="77"/>
      <c r="C52" s="77" t="s">
        <v>7</v>
      </c>
      <c r="D52" s="77"/>
      <c r="E52" s="190">
        <v>1368129.8900000001</v>
      </c>
      <c r="F52" s="191">
        <f>140829.01+851450.54</f>
        <v>992279.55</v>
      </c>
      <c r="G52" s="78">
        <v>1020946.41</v>
      </c>
      <c r="H52" s="78">
        <f>E52+F52-G52</f>
        <v>1339463.0300000003</v>
      </c>
      <c r="I52" s="192">
        <f>H52</f>
        <v>1339463.0300000003</v>
      </c>
      <c r="J52" s="5"/>
    </row>
    <row r="53" spans="1:10" s="153" customFormat="1" x14ac:dyDescent="0.2">
      <c r="A53" s="189"/>
      <c r="B53" s="77"/>
      <c r="C53" s="77" t="s">
        <v>15</v>
      </c>
      <c r="D53" s="77"/>
      <c r="E53" s="190">
        <v>657499.93999999994</v>
      </c>
      <c r="F53" s="191">
        <v>3623795</v>
      </c>
      <c r="G53" s="78">
        <v>3989512.38</v>
      </c>
      <c r="H53" s="78">
        <f>E53+F53-G53</f>
        <v>291782.55999999959</v>
      </c>
      <c r="I53" s="192">
        <f>H53</f>
        <v>291782.55999999959</v>
      </c>
      <c r="J53" s="5"/>
    </row>
    <row r="54" spans="1:10" s="153" customFormat="1" ht="18.75" thickBot="1" x14ac:dyDescent="0.4">
      <c r="A54" s="193" t="s">
        <v>2</v>
      </c>
      <c r="B54" s="194"/>
      <c r="C54" s="194"/>
      <c r="D54" s="194"/>
      <c r="E54" s="195">
        <f>E50+E51+E52+E53</f>
        <v>2489502.63</v>
      </c>
      <c r="F54" s="196">
        <f>F50+F51+F52+F53</f>
        <v>4977340.55</v>
      </c>
      <c r="G54" s="197">
        <f>G50+G51+G52+G53</f>
        <v>5496220.29</v>
      </c>
      <c r="H54" s="197">
        <f>H50+H51+H52+H53</f>
        <v>1970622.89</v>
      </c>
      <c r="I54" s="198">
        <f>I50+I51+I52+I53</f>
        <v>1973739.89</v>
      </c>
      <c r="J54" s="5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504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H45:I45"/>
    <mergeCell ref="E47:E48"/>
    <mergeCell ref="F47:F48"/>
    <mergeCell ref="A2:D2"/>
    <mergeCell ref="E2:I2"/>
    <mergeCell ref="E4:I4"/>
    <mergeCell ref="H12:I12"/>
    <mergeCell ref="E3:I3"/>
    <mergeCell ref="E5:I5"/>
    <mergeCell ref="E7:I7"/>
    <mergeCell ref="C28:E28"/>
    <mergeCell ref="C31:F31"/>
    <mergeCell ref="B32:F32"/>
    <mergeCell ref="A33:I35"/>
    <mergeCell ref="A43:I43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5">
    <tabColor theme="3" tint="0.59999389629810485"/>
  </sheetPr>
  <dimension ref="A1:J60"/>
  <sheetViews>
    <sheetView topLeftCell="A25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140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114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173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174</v>
      </c>
      <c r="F6" s="20"/>
      <c r="G6" s="21" t="s">
        <v>37</v>
      </c>
      <c r="H6" s="22">
        <v>1205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6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6692000</v>
      </c>
      <c r="F15" s="128">
        <v>23044000</v>
      </c>
      <c r="G15" s="6">
        <f>H15+I15</f>
        <v>24517327.25</v>
      </c>
      <c r="H15" s="127">
        <v>23811114.370000001</v>
      </c>
      <c r="I15" s="127">
        <v>706212.88</v>
      </c>
      <c r="J15" s="227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6802000</v>
      </c>
      <c r="F17" s="128">
        <v>26485330.52</v>
      </c>
      <c r="G17" s="6">
        <f>H17+I17</f>
        <v>26096653.109999999</v>
      </c>
      <c r="H17" s="127">
        <v>24992510.109999999</v>
      </c>
      <c r="I17" s="127">
        <v>1104143</v>
      </c>
      <c r="J17" s="26"/>
    </row>
    <row r="18" spans="1:10" s="40" customFormat="1" ht="10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22990</v>
      </c>
      <c r="H21" s="161">
        <v>0</v>
      </c>
      <c r="I21" s="161">
        <v>22990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1556335.8599999994</v>
      </c>
      <c r="H23" s="264">
        <f>H17-H15-H21</f>
        <v>1181395.7399999984</v>
      </c>
      <c r="I23" s="264">
        <f>I17-I15-I21</f>
        <v>374940.12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1113341.8599999994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442994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1113341.8600000001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50000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1063341.8600000001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442994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ht="20.25" customHeight="1" x14ac:dyDescent="0.3">
      <c r="A33" s="163"/>
      <c r="B33" s="226"/>
      <c r="C33" s="226"/>
      <c r="D33" s="226"/>
      <c r="E33" s="226"/>
      <c r="F33" s="226"/>
      <c r="G33" s="127"/>
      <c r="H33" s="164"/>
      <c r="I33" s="164"/>
    </row>
    <row r="34" spans="1:10" s="40" customFormat="1" x14ac:dyDescent="0.2">
      <c r="A34" s="562" t="s">
        <v>327</v>
      </c>
      <c r="B34" s="562"/>
      <c r="C34" s="562"/>
      <c r="D34" s="562"/>
      <c r="E34" s="562"/>
      <c r="F34" s="562"/>
      <c r="G34" s="562"/>
      <c r="H34" s="562"/>
      <c r="I34" s="562"/>
    </row>
    <row r="35" spans="1:10" s="40" customFormat="1" x14ac:dyDescent="0.2">
      <c r="A35" s="562"/>
      <c r="B35" s="562"/>
      <c r="C35" s="562"/>
      <c r="D35" s="562"/>
      <c r="E35" s="562"/>
      <c r="F35" s="562"/>
      <c r="G35" s="562"/>
      <c r="H35" s="562"/>
      <c r="I35" s="562"/>
    </row>
    <row r="36" spans="1:10" s="153" customFormat="1" x14ac:dyDescent="0.2">
      <c r="A36" s="562"/>
      <c r="B36" s="562"/>
      <c r="C36" s="562"/>
      <c r="D36" s="562"/>
      <c r="E36" s="562"/>
      <c r="F36" s="562"/>
      <c r="G36" s="562"/>
      <c r="H36" s="562"/>
      <c r="I36" s="562"/>
      <c r="J36" s="165"/>
    </row>
    <row r="37" spans="1:10" s="153" customFormat="1" ht="19.5" x14ac:dyDescent="0.4">
      <c r="A37" s="34" t="s">
        <v>277</v>
      </c>
      <c r="B37" s="34" t="s">
        <v>31</v>
      </c>
      <c r="C37" s="34"/>
      <c r="D37" s="56"/>
      <c r="E37" s="38"/>
      <c r="F37" s="3"/>
      <c r="G37" s="57"/>
      <c r="H37" s="50"/>
      <c r="I37" s="50"/>
      <c r="J37" s="165"/>
    </row>
    <row r="38" spans="1:10" s="153" customFormat="1" ht="18.75" x14ac:dyDescent="0.4">
      <c r="A38" s="34"/>
      <c r="B38" s="34"/>
      <c r="C38" s="34"/>
      <c r="D38" s="56"/>
      <c r="E38" s="13"/>
      <c r="F38" s="58" t="s">
        <v>106</v>
      </c>
      <c r="G38" s="156" t="s">
        <v>0</v>
      </c>
      <c r="H38" s="30"/>
      <c r="I38" s="60" t="s">
        <v>107</v>
      </c>
      <c r="J38" s="165"/>
    </row>
    <row r="39" spans="1:10" s="153" customFormat="1" ht="15" customHeight="1" x14ac:dyDescent="0.35">
      <c r="A39" s="166" t="s">
        <v>32</v>
      </c>
      <c r="B39" s="62"/>
      <c r="C39" s="2"/>
      <c r="D39" s="62"/>
      <c r="E39" s="38"/>
      <c r="F39" s="167">
        <v>250000</v>
      </c>
      <c r="G39" s="167">
        <v>241250</v>
      </c>
      <c r="H39" s="129"/>
      <c r="I39" s="64">
        <f>G39/F39</f>
        <v>0.96499999999999997</v>
      </c>
      <c r="J39" s="165"/>
    </row>
    <row r="40" spans="1:10" s="153" customFormat="1" ht="16.5" x14ac:dyDescent="0.35">
      <c r="A40" s="166" t="s">
        <v>108</v>
      </c>
      <c r="B40" s="62"/>
      <c r="C40" s="2"/>
      <c r="D40" s="65"/>
      <c r="E40" s="65"/>
      <c r="F40" s="167">
        <v>1078799</v>
      </c>
      <c r="G40" s="167">
        <v>1078799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109</v>
      </c>
      <c r="B41" s="62"/>
      <c r="C41" s="2"/>
      <c r="D41" s="65"/>
      <c r="E41" s="65"/>
      <c r="F41" s="167">
        <v>0</v>
      </c>
      <c r="G41" s="167">
        <v>0</v>
      </c>
      <c r="H41" s="129"/>
      <c r="I41" s="64" t="s">
        <v>211</v>
      </c>
      <c r="J41" s="5"/>
    </row>
    <row r="42" spans="1:10" s="153" customFormat="1" ht="14.25" customHeight="1" x14ac:dyDescent="0.35">
      <c r="A42" s="166" t="s">
        <v>206</v>
      </c>
      <c r="B42" s="62"/>
      <c r="C42" s="2"/>
      <c r="D42" s="38"/>
      <c r="E42" s="38"/>
      <c r="F42" s="167">
        <v>809599</v>
      </c>
      <c r="G42" s="167">
        <v>809599</v>
      </c>
      <c r="H42" s="129"/>
      <c r="I42" s="64">
        <f>G42/F42</f>
        <v>1</v>
      </c>
      <c r="J42" s="5"/>
    </row>
    <row r="43" spans="1:10" s="153" customFormat="1" ht="16.5" x14ac:dyDescent="0.35">
      <c r="A43" s="166" t="s">
        <v>278</v>
      </c>
      <c r="B43" s="37"/>
      <c r="C43" s="37"/>
      <c r="D43" s="30"/>
      <c r="E43" s="30" t="s">
        <v>279</v>
      </c>
      <c r="F43" s="167">
        <v>0</v>
      </c>
      <c r="G43" s="167">
        <v>0</v>
      </c>
      <c r="H43" s="129"/>
      <c r="I43" s="168" t="s">
        <v>211</v>
      </c>
      <c r="J43" s="5"/>
    </row>
    <row r="44" spans="1:10" s="153" customFormat="1" ht="6.75" customHeight="1" x14ac:dyDescent="0.2">
      <c r="A44" s="551"/>
      <c r="B44" s="551"/>
      <c r="C44" s="551"/>
      <c r="D44" s="551"/>
      <c r="E44" s="551"/>
      <c r="F44" s="551"/>
      <c r="G44" s="551"/>
      <c r="H44" s="551"/>
      <c r="I44" s="551"/>
      <c r="J44" s="5"/>
    </row>
    <row r="45" spans="1:10" s="153" customFormat="1" hidden="1" x14ac:dyDescent="0.2">
      <c r="A45" s="152"/>
      <c r="B45" s="152"/>
      <c r="C45" s="152"/>
      <c r="D45" s="152"/>
      <c r="E45" s="152"/>
      <c r="F45" s="152"/>
      <c r="G45" s="152"/>
      <c r="H45" s="152"/>
      <c r="I45" s="152"/>
      <c r="J45" s="5"/>
    </row>
    <row r="46" spans="1:10" s="153" customFormat="1" ht="19.5" thickBot="1" x14ac:dyDescent="0.45">
      <c r="A46" s="34" t="s">
        <v>280</v>
      </c>
      <c r="B46" s="34" t="s">
        <v>12</v>
      </c>
      <c r="C46" s="36"/>
      <c r="D46" s="38"/>
      <c r="E46" s="38"/>
      <c r="F46" s="71"/>
      <c r="G46" s="72"/>
      <c r="H46" s="546" t="s">
        <v>110</v>
      </c>
      <c r="I46" s="547"/>
      <c r="J46" s="5"/>
    </row>
    <row r="47" spans="1:10" s="153" customFormat="1" ht="18" x14ac:dyDescent="0.35">
      <c r="A47" s="169"/>
      <c r="B47" s="170"/>
      <c r="C47" s="171"/>
      <c r="D47" s="170"/>
      <c r="E47" s="172" t="s">
        <v>281</v>
      </c>
      <c r="F47" s="173" t="s">
        <v>9</v>
      </c>
      <c r="G47" s="173" t="s">
        <v>10</v>
      </c>
      <c r="H47" s="174" t="s">
        <v>13</v>
      </c>
      <c r="I47" s="175" t="s">
        <v>111</v>
      </c>
      <c r="J47" s="5"/>
    </row>
    <row r="48" spans="1:10" s="153" customFormat="1" x14ac:dyDescent="0.2">
      <c r="A48" s="176"/>
      <c r="B48" s="177"/>
      <c r="C48" s="177"/>
      <c r="D48" s="177"/>
      <c r="E48" s="548"/>
      <c r="F48" s="549"/>
      <c r="G48" s="116"/>
      <c r="H48" s="117">
        <v>41639</v>
      </c>
      <c r="I48" s="178">
        <v>41639</v>
      </c>
      <c r="J48" s="5"/>
    </row>
    <row r="49" spans="1:10" s="153" customFormat="1" x14ac:dyDescent="0.2">
      <c r="A49" s="176"/>
      <c r="B49" s="177"/>
      <c r="C49" s="177"/>
      <c r="D49" s="177"/>
      <c r="E49" s="548"/>
      <c r="F49" s="549"/>
      <c r="G49" s="119"/>
      <c r="H49" s="119"/>
      <c r="I49" s="179"/>
      <c r="J49" s="5"/>
    </row>
    <row r="50" spans="1:10" s="153" customFormat="1" ht="13.5" thickBot="1" x14ac:dyDescent="0.25">
      <c r="A50" s="180"/>
      <c r="B50" s="181"/>
      <c r="C50" s="181"/>
      <c r="D50" s="181"/>
      <c r="E50" s="182"/>
      <c r="F50" s="183"/>
      <c r="G50" s="183"/>
      <c r="H50" s="183"/>
      <c r="I50" s="184"/>
      <c r="J50" s="5"/>
    </row>
    <row r="51" spans="1:10" s="153" customFormat="1" ht="13.5" thickTop="1" x14ac:dyDescent="0.2">
      <c r="A51" s="185"/>
      <c r="B51" s="74"/>
      <c r="C51" s="74" t="s">
        <v>6</v>
      </c>
      <c r="D51" s="74"/>
      <c r="E51" s="186">
        <v>34148</v>
      </c>
      <c r="F51" s="187">
        <v>25000</v>
      </c>
      <c r="G51" s="75">
        <v>5000</v>
      </c>
      <c r="H51" s="75">
        <f>E51+F51-G51</f>
        <v>54148</v>
      </c>
      <c r="I51" s="188">
        <f>H51</f>
        <v>54148</v>
      </c>
      <c r="J51" s="5"/>
    </row>
    <row r="52" spans="1:10" s="153" customFormat="1" x14ac:dyDescent="0.2">
      <c r="A52" s="189"/>
      <c r="B52" s="77"/>
      <c r="C52" s="77" t="s">
        <v>8</v>
      </c>
      <c r="D52" s="77"/>
      <c r="E52" s="190">
        <v>46251.739999999991</v>
      </c>
      <c r="F52" s="191">
        <v>121730</v>
      </c>
      <c r="G52" s="78">
        <v>128938</v>
      </c>
      <c r="H52" s="78">
        <f>E52+F52-G52</f>
        <v>39043.739999999991</v>
      </c>
      <c r="I52" s="192">
        <v>30175.03</v>
      </c>
      <c r="J52" s="5"/>
    </row>
    <row r="53" spans="1:10" s="153" customFormat="1" x14ac:dyDescent="0.2">
      <c r="A53" s="189"/>
      <c r="B53" s="77"/>
      <c r="C53" s="77" t="s">
        <v>7</v>
      </c>
      <c r="D53" s="77"/>
      <c r="E53" s="190">
        <v>1210423.1299999999</v>
      </c>
      <c r="F53" s="191">
        <f>432189.67+690335.55</f>
        <v>1122525.22</v>
      </c>
      <c r="G53" s="78">
        <v>832435.6</v>
      </c>
      <c r="H53" s="78">
        <f>E53+F53-G53</f>
        <v>1500512.7499999995</v>
      </c>
      <c r="I53" s="192">
        <f>H53</f>
        <v>1500512.7499999995</v>
      </c>
      <c r="J53" s="5"/>
    </row>
    <row r="54" spans="1:10" s="153" customFormat="1" x14ac:dyDescent="0.2">
      <c r="A54" s="189"/>
      <c r="B54" s="77"/>
      <c r="C54" s="77" t="s">
        <v>15</v>
      </c>
      <c r="D54" s="77"/>
      <c r="E54" s="190">
        <v>15547.600000000093</v>
      </c>
      <c r="F54" s="191">
        <v>1396343</v>
      </c>
      <c r="G54" s="78">
        <v>987645</v>
      </c>
      <c r="H54" s="78">
        <f>E54+F54-G54</f>
        <v>424245.60000000009</v>
      </c>
      <c r="I54" s="192">
        <f>H54</f>
        <v>424245.60000000009</v>
      </c>
      <c r="J54" s="5"/>
    </row>
    <row r="55" spans="1:10" s="153" customFormat="1" ht="18.75" thickBot="1" x14ac:dyDescent="0.4">
      <c r="A55" s="193" t="s">
        <v>2</v>
      </c>
      <c r="B55" s="194"/>
      <c r="C55" s="194"/>
      <c r="D55" s="194"/>
      <c r="E55" s="195">
        <f>E51+E52+E53+E54</f>
        <v>1306370.47</v>
      </c>
      <c r="F55" s="196">
        <f>F51+F52+F53+F54</f>
        <v>2665598.2199999997</v>
      </c>
      <c r="G55" s="197">
        <f>G51+G52+G53+G54</f>
        <v>1954018.6</v>
      </c>
      <c r="H55" s="197">
        <f>H51+H52+H53+H54</f>
        <v>2017950.0899999996</v>
      </c>
      <c r="I55" s="198">
        <f>I51+I52+I53+I54</f>
        <v>2009081.3799999997</v>
      </c>
      <c r="J55" s="5"/>
    </row>
    <row r="56" spans="1:10" ht="18" x14ac:dyDescent="0.35">
      <c r="A56" s="79"/>
      <c r="B56" s="68"/>
      <c r="C56" s="68"/>
      <c r="D56" s="38"/>
      <c r="E56" s="38"/>
      <c r="F56" s="71"/>
      <c r="G56" s="72"/>
      <c r="H56" s="80"/>
      <c r="I56" s="80"/>
    </row>
    <row r="57" spans="1:10" ht="18" x14ac:dyDescent="0.35">
      <c r="A57" s="79"/>
      <c r="B57" s="68"/>
      <c r="C57" s="68"/>
      <c r="D57" s="38"/>
      <c r="E57" s="38"/>
      <c r="F57" s="71"/>
      <c r="G57" s="81"/>
      <c r="H57" s="82"/>
      <c r="I57" s="82"/>
    </row>
    <row r="58" spans="1:10" ht="18" x14ac:dyDescent="0.35">
      <c r="A58" s="83"/>
      <c r="B58" s="84"/>
      <c r="C58" s="84"/>
      <c r="D58" s="85"/>
      <c r="E58" s="85"/>
      <c r="F58" s="82"/>
      <c r="G58" s="82"/>
      <c r="H58" s="82"/>
      <c r="I58" s="82"/>
    </row>
    <row r="59" spans="1:10" x14ac:dyDescent="0.2">
      <c r="A59" s="86"/>
      <c r="B59" s="86"/>
      <c r="C59" s="86"/>
      <c r="D59" s="86"/>
      <c r="E59" s="86"/>
      <c r="F59" s="86"/>
      <c r="G59" s="86"/>
      <c r="H59" s="86"/>
      <c r="I59" s="86"/>
    </row>
    <row r="60" spans="1:10" x14ac:dyDescent="0.2">
      <c r="A60" s="86"/>
      <c r="B60" s="86"/>
      <c r="C60" s="86"/>
      <c r="D60" s="86"/>
      <c r="E60" s="86"/>
      <c r="F60" s="86"/>
      <c r="G60" s="86"/>
      <c r="H60" s="86"/>
      <c r="I60" s="86"/>
    </row>
  </sheetData>
  <mergeCells count="15">
    <mergeCell ref="F48:F49"/>
    <mergeCell ref="H12:I12"/>
    <mergeCell ref="E5:I5"/>
    <mergeCell ref="E7:I7"/>
    <mergeCell ref="A44:I44"/>
    <mergeCell ref="E48:E49"/>
    <mergeCell ref="C28:E28"/>
    <mergeCell ref="C31:F31"/>
    <mergeCell ref="B32:F32"/>
    <mergeCell ref="A2:D2"/>
    <mergeCell ref="E2:I2"/>
    <mergeCell ref="E4:I4"/>
    <mergeCell ref="E3:I3"/>
    <mergeCell ref="H46:I46"/>
    <mergeCell ref="A34:I36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3" tint="0.59999389629810485"/>
  </sheetPr>
  <dimension ref="A1:J58"/>
  <sheetViews>
    <sheetView topLeftCell="A13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42" t="s">
        <v>115</v>
      </c>
      <c r="F2" s="543"/>
      <c r="G2" s="543"/>
      <c r="H2" s="543"/>
      <c r="I2" s="543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45" t="s">
        <v>128</v>
      </c>
      <c r="F4" s="545"/>
      <c r="G4" s="545"/>
      <c r="H4" s="545"/>
      <c r="I4" s="54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89">
        <v>66181500</v>
      </c>
      <c r="F6" s="20"/>
      <c r="G6" s="21" t="s">
        <v>37</v>
      </c>
      <c r="H6" s="22">
        <v>1001</v>
      </c>
    </row>
    <row r="7" spans="1:10" ht="8.25" customHeight="1" x14ac:dyDescent="0.4">
      <c r="A7" s="18"/>
      <c r="E7" s="544" t="s">
        <v>101</v>
      </c>
      <c r="F7" s="544"/>
      <c r="G7" s="544"/>
      <c r="H7" s="544"/>
      <c r="I7" s="544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6.7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558000</v>
      </c>
      <c r="F15" s="128">
        <v>3256291.7</v>
      </c>
      <c r="G15" s="6">
        <f>H15+I15</f>
        <v>3256291.7</v>
      </c>
      <c r="H15" s="127">
        <v>3256291.7</v>
      </c>
      <c r="I15" s="127">
        <v>0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558000</v>
      </c>
      <c r="F17" s="128">
        <v>3256922.51</v>
      </c>
      <c r="G17" s="6">
        <f>H17+I17</f>
        <v>3256922.51</v>
      </c>
      <c r="H17" s="127">
        <v>3256922.51</v>
      </c>
      <c r="I17" s="127">
        <v>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630.80999999959022</v>
      </c>
      <c r="H23" s="264">
        <f>H17-H15-H21</f>
        <v>630.80999999959022</v>
      </c>
      <c r="I23" s="264">
        <f>I17-I15-I21</f>
        <v>0</v>
      </c>
      <c r="J23" s="162"/>
    </row>
    <row r="24" spans="1:10" s="153" customFormat="1" ht="19.5" x14ac:dyDescent="0.4">
      <c r="A24" s="243" t="s">
        <v>289</v>
      </c>
      <c r="B24" s="243"/>
      <c r="C24" s="243"/>
      <c r="D24" s="243"/>
      <c r="E24" s="243"/>
      <c r="F24" s="243"/>
      <c r="G24" s="265">
        <f>G23-G25</f>
        <v>630.80999999959022</v>
      </c>
      <c r="H24" s="231"/>
      <c r="I24" s="231"/>
      <c r="J24" s="162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13"/>
    </row>
    <row r="28" spans="1:10" s="153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630.80999999999995</v>
      </c>
      <c r="H28" s="234"/>
      <c r="I28" s="267"/>
      <c r="J28" s="48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630.80999999999995</v>
      </c>
      <c r="H30" s="234"/>
      <c r="I30" s="267"/>
    </row>
    <row r="31" spans="1:10" s="40" customFormat="1" ht="18.75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0</v>
      </c>
      <c r="G37" s="167">
        <v>0</v>
      </c>
      <c r="H37" s="129"/>
      <c r="I37" s="64" t="s">
        <v>211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68473</v>
      </c>
      <c r="G38" s="167">
        <v>68473</v>
      </c>
      <c r="H38" s="129"/>
      <c r="I38" s="64">
        <f>G38/F38</f>
        <v>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51355</v>
      </c>
      <c r="G40" s="167">
        <v>51355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2050</v>
      </c>
      <c r="F49" s="187">
        <v>0</v>
      </c>
      <c r="G49" s="75">
        <v>0</v>
      </c>
      <c r="H49" s="75">
        <f>E49+F49-G49</f>
        <v>2050</v>
      </c>
      <c r="I49" s="188">
        <f>H49</f>
        <v>2050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6152.7000000000007</v>
      </c>
      <c r="F50" s="191">
        <v>19280</v>
      </c>
      <c r="G50" s="78">
        <v>16506</v>
      </c>
      <c r="H50" s="78">
        <f>E50+F50-G50</f>
        <v>8926.7000000000007</v>
      </c>
      <c r="I50" s="192">
        <v>8093.07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102283.67</v>
      </c>
      <c r="F51" s="191">
        <f>255.95+99891</f>
        <v>100146.95</v>
      </c>
      <c r="G51" s="78">
        <v>78306</v>
      </c>
      <c r="H51" s="78">
        <f>E51+F51-G51</f>
        <v>124124.62</v>
      </c>
      <c r="I51" s="192">
        <f>H51</f>
        <v>124124.62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22067.790000000037</v>
      </c>
      <c r="F52" s="191">
        <v>68473</v>
      </c>
      <c r="G52" s="78">
        <v>51355</v>
      </c>
      <c r="H52" s="78">
        <f>E52+F52-G52</f>
        <v>39185.790000000037</v>
      </c>
      <c r="I52" s="192">
        <f>H52</f>
        <v>39185.790000000037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132554.16000000003</v>
      </c>
      <c r="F53" s="196">
        <f>F49+F50+F51+F52</f>
        <v>187899.95</v>
      </c>
      <c r="G53" s="197">
        <f>G49+G50+G51+G52</f>
        <v>146167</v>
      </c>
      <c r="H53" s="197">
        <f>H49+H50+H51+H52</f>
        <v>174287.11000000004</v>
      </c>
      <c r="I53" s="198">
        <f>I49+I50+I51+I52</f>
        <v>173453.48000000004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F46:F47"/>
    <mergeCell ref="E5:I5"/>
    <mergeCell ref="E7:I7"/>
    <mergeCell ref="H12:I12"/>
    <mergeCell ref="A42:I42"/>
    <mergeCell ref="E46:E47"/>
    <mergeCell ref="C28:E28"/>
    <mergeCell ref="C31:F31"/>
    <mergeCell ref="A2:D2"/>
    <mergeCell ref="E2:I2"/>
    <mergeCell ref="E3:I3"/>
    <mergeCell ref="E4:I4"/>
    <mergeCell ref="H44:I44"/>
    <mergeCell ref="B32:F32"/>
    <mergeCell ref="A33:I34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>
    <tabColor theme="3" tint="0.59999389629810485"/>
  </sheetPr>
  <dimension ref="A1:J58"/>
  <sheetViews>
    <sheetView topLeftCell="A25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" style="13" customWidth="1"/>
    <col min="10" max="10" width="18.85546875" style="14" customWidth="1"/>
    <col min="11" max="11" width="17.710937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241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175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176</v>
      </c>
      <c r="F6" s="20"/>
      <c r="G6" s="21" t="s">
        <v>37</v>
      </c>
      <c r="H6" s="22">
        <v>1206</v>
      </c>
    </row>
    <row r="7" spans="1:10" ht="9" customHeight="1" x14ac:dyDescent="0.4">
      <c r="A7" s="18"/>
      <c r="E7" s="544" t="s">
        <v>101</v>
      </c>
      <c r="F7" s="544"/>
      <c r="G7" s="544"/>
      <c r="H7" s="544"/>
      <c r="I7" s="544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6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6778000</v>
      </c>
      <c r="F15" s="128">
        <v>36266451.759999998</v>
      </c>
      <c r="G15" s="6">
        <f>H15+I15</f>
        <v>36266451.759999998</v>
      </c>
      <c r="H15" s="127">
        <v>35827151.759999998</v>
      </c>
      <c r="I15" s="127">
        <v>439300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6778000</v>
      </c>
      <c r="F17" s="128">
        <v>36252147.990000002</v>
      </c>
      <c r="G17" s="6">
        <f>H17+I17</f>
        <v>36266451.759999998</v>
      </c>
      <c r="H17" s="127">
        <v>35614681.259999998</v>
      </c>
      <c r="I17" s="127">
        <v>651770.5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0</v>
      </c>
      <c r="H23" s="264">
        <f>H17-H15-H21</f>
        <v>-212470.5</v>
      </c>
      <c r="I23" s="264">
        <f>I17-I15-I21</f>
        <v>212470.5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0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0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0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251000</v>
      </c>
      <c r="G37" s="167">
        <v>165821</v>
      </c>
      <c r="H37" s="129"/>
      <c r="I37" s="64">
        <f>G37/F37</f>
        <v>0.66064143426294819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245007</v>
      </c>
      <c r="G38" s="167">
        <v>245007</v>
      </c>
      <c r="H38" s="129"/>
      <c r="I38" s="64">
        <f>G38/F38</f>
        <v>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184005</v>
      </c>
      <c r="G40" s="167">
        <v>184005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169408.72</v>
      </c>
      <c r="F49" s="187">
        <v>0</v>
      </c>
      <c r="G49" s="75">
        <v>4000</v>
      </c>
      <c r="H49" s="75">
        <f>E49+F49-G49</f>
        <v>165408.72</v>
      </c>
      <c r="I49" s="188">
        <f>H49</f>
        <v>165408.72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870835.89999999991</v>
      </c>
      <c r="F50" s="191">
        <v>200967</v>
      </c>
      <c r="G50" s="78">
        <v>286030</v>
      </c>
      <c r="H50" s="78">
        <f>E50+F50-G50</f>
        <v>785772.89999999991</v>
      </c>
      <c r="I50" s="192">
        <v>696566.28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542980.15</v>
      </c>
      <c r="F51" s="191">
        <v>0</v>
      </c>
      <c r="G51" s="78">
        <v>125478.6</v>
      </c>
      <c r="H51" s="78">
        <f>E51+F51-G51</f>
        <v>417501.55000000005</v>
      </c>
      <c r="I51" s="192">
        <f>H51</f>
        <v>417501.55000000005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212962.07000000007</v>
      </c>
      <c r="F52" s="191">
        <v>245007</v>
      </c>
      <c r="G52" s="78">
        <v>208989</v>
      </c>
      <c r="H52" s="78">
        <f>E52+F52-G52</f>
        <v>248980.07000000007</v>
      </c>
      <c r="I52" s="192">
        <f>H52</f>
        <v>248980.07000000007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1796186.84</v>
      </c>
      <c r="F53" s="196">
        <f>F49+F50+F51+F52</f>
        <v>445974</v>
      </c>
      <c r="G53" s="197">
        <f>G49+G50+G51+G52</f>
        <v>624497.6</v>
      </c>
      <c r="H53" s="197">
        <f>H49+H50+H51+H52</f>
        <v>1617663.24</v>
      </c>
      <c r="I53" s="198">
        <f>I49+I50+I51+I52</f>
        <v>1528456.62</v>
      </c>
      <c r="J53" s="5"/>
    </row>
    <row r="54" spans="1:10" ht="18.75" hidden="1" thickTop="1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hidden="1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hidden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hidden="1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hidden="1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4:I4"/>
    <mergeCell ref="E3:I3"/>
    <mergeCell ref="F46:F47"/>
    <mergeCell ref="H12:I12"/>
    <mergeCell ref="E5:I5"/>
    <mergeCell ref="E7:I7"/>
    <mergeCell ref="H44:I44"/>
    <mergeCell ref="A42:I42"/>
    <mergeCell ref="A33:I34"/>
    <mergeCell ref="E46:E47"/>
    <mergeCell ref="C28:E28"/>
    <mergeCell ref="C31:F31"/>
    <mergeCell ref="B32:F32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7">
    <tabColor theme="3" tint="0.59999389629810485"/>
  </sheetPr>
  <dimension ref="A1:J58"/>
  <sheetViews>
    <sheetView topLeftCell="A28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177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256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178</v>
      </c>
      <c r="F6" s="20"/>
      <c r="G6" s="21" t="s">
        <v>37</v>
      </c>
      <c r="H6" s="22">
        <v>1207</v>
      </c>
    </row>
    <row r="7" spans="1:10" ht="8.25" customHeight="1" x14ac:dyDescent="0.4">
      <c r="A7" s="18"/>
      <c r="E7" s="544" t="s">
        <v>101</v>
      </c>
      <c r="F7" s="544"/>
      <c r="G7" s="544"/>
      <c r="H7" s="544"/>
      <c r="I7" s="544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3.7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4711000</v>
      </c>
      <c r="F15" s="128">
        <v>35655925.630000003</v>
      </c>
      <c r="G15" s="6">
        <f>H15+I15</f>
        <v>35655925.629999995</v>
      </c>
      <c r="H15" s="127">
        <v>35185885.719999999</v>
      </c>
      <c r="I15" s="127">
        <v>470039.91</v>
      </c>
      <c r="J15" s="227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5017000</v>
      </c>
      <c r="F17" s="128">
        <v>35767176.670000002</v>
      </c>
      <c r="G17" s="6">
        <f>H17+I17</f>
        <v>35682720.210000001</v>
      </c>
      <c r="H17" s="127">
        <v>34747542.539999999</v>
      </c>
      <c r="I17" s="127">
        <v>935177.67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3610</v>
      </c>
      <c r="H21" s="161">
        <v>0</v>
      </c>
      <c r="I21" s="161">
        <v>3610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23184.580000005662</v>
      </c>
      <c r="H23" s="264">
        <f>H17-H15-H21</f>
        <v>-438343.1799999997</v>
      </c>
      <c r="I23" s="264">
        <f>I17-I15-I21</f>
        <v>461527.76000000007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23184.580000005662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23184.58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18500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4684.58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80000</v>
      </c>
      <c r="G37" s="167">
        <v>41136</v>
      </c>
      <c r="H37" s="129"/>
      <c r="I37" s="64">
        <f>G37/F37</f>
        <v>0.51419999999999999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869000</v>
      </c>
      <c r="G38" s="167">
        <v>871254.45</v>
      </c>
      <c r="H38" s="129"/>
      <c r="I38" s="64">
        <f>G38/F38</f>
        <v>1.0025943037974683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651750</v>
      </c>
      <c r="G40" s="167">
        <v>651750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6" t="s">
        <v>324</v>
      </c>
      <c r="B42" s="556"/>
      <c r="C42" s="556"/>
      <c r="D42" s="556"/>
      <c r="E42" s="556"/>
      <c r="F42" s="556"/>
      <c r="G42" s="556"/>
      <c r="H42" s="556"/>
      <c r="I42" s="556"/>
      <c r="J42" s="5"/>
    </row>
    <row r="43" spans="1:10" s="153" customFormat="1" x14ac:dyDescent="0.2">
      <c r="A43" s="557"/>
      <c r="B43" s="557"/>
      <c r="C43" s="557"/>
      <c r="D43" s="557"/>
      <c r="E43" s="557"/>
      <c r="F43" s="557"/>
      <c r="G43" s="557"/>
      <c r="H43" s="557"/>
      <c r="I43" s="557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2300</v>
      </c>
      <c r="F49" s="187">
        <v>24000</v>
      </c>
      <c r="G49" s="75">
        <v>25900</v>
      </c>
      <c r="H49" s="75">
        <f>E49+F49-G49</f>
        <v>400</v>
      </c>
      <c r="I49" s="188">
        <f>H49</f>
        <v>400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30973.179999999993</v>
      </c>
      <c r="F50" s="191">
        <v>203142</v>
      </c>
      <c r="G50" s="78">
        <v>174719</v>
      </c>
      <c r="H50" s="78">
        <f>E50+F50-G50</f>
        <v>59396.179999999993</v>
      </c>
      <c r="I50" s="192">
        <v>57799.67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345849.94</v>
      </c>
      <c r="F51" s="191">
        <f>198146.29+270490.88</f>
        <v>468637.17000000004</v>
      </c>
      <c r="G51" s="78">
        <v>249577.42</v>
      </c>
      <c r="H51" s="78">
        <f>E51+F51-G51</f>
        <v>564909.69000000006</v>
      </c>
      <c r="I51" s="192">
        <f>H51</f>
        <v>564909.69000000006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183810.60000000009</v>
      </c>
      <c r="F52" s="191">
        <v>911547</v>
      </c>
      <c r="G52" s="78">
        <v>854666</v>
      </c>
      <c r="H52" s="78">
        <f>E52+F52-G52</f>
        <v>240691.60000000009</v>
      </c>
      <c r="I52" s="192">
        <f>H52</f>
        <v>240691.60000000009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562933.72000000009</v>
      </c>
      <c r="F53" s="196">
        <f>F49+F50+F51+F52</f>
        <v>1607326.17</v>
      </c>
      <c r="G53" s="197">
        <f>G49+G50+G51+G52</f>
        <v>1304862.42</v>
      </c>
      <c r="H53" s="197">
        <f>H49+H50+H51+H52</f>
        <v>865397.4700000002</v>
      </c>
      <c r="I53" s="198">
        <f>I49+I50+I51+I52</f>
        <v>863800.9600000002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hidden="1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hidden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hidden="1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F46:F47"/>
    <mergeCell ref="H12:I12"/>
    <mergeCell ref="E5:I5"/>
    <mergeCell ref="E7:I7"/>
    <mergeCell ref="E46:E47"/>
    <mergeCell ref="C28:E28"/>
    <mergeCell ref="C31:F31"/>
    <mergeCell ref="B32:F32"/>
    <mergeCell ref="A42:I43"/>
    <mergeCell ref="A2:D2"/>
    <mergeCell ref="E2:I2"/>
    <mergeCell ref="E4:I4"/>
    <mergeCell ref="E3:I3"/>
    <mergeCell ref="H44:I44"/>
    <mergeCell ref="A33:I34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8">
    <tabColor theme="3" tint="0.59999389629810485"/>
  </sheetPr>
  <dimension ref="A1:K58"/>
  <sheetViews>
    <sheetView topLeftCell="A34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425781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1" ht="19.5" x14ac:dyDescent="0.4">
      <c r="A1" s="11" t="s">
        <v>26</v>
      </c>
      <c r="B1" s="12"/>
      <c r="C1" s="12"/>
      <c r="D1" s="12"/>
    </row>
    <row r="2" spans="1:11" ht="19.5" x14ac:dyDescent="0.4">
      <c r="A2" s="541" t="s">
        <v>99</v>
      </c>
      <c r="B2" s="541"/>
      <c r="C2" s="541"/>
      <c r="D2" s="541"/>
      <c r="E2" s="558" t="s">
        <v>339</v>
      </c>
      <c r="F2" s="558"/>
      <c r="G2" s="558"/>
      <c r="H2" s="558"/>
      <c r="I2" s="558"/>
    </row>
    <row r="3" spans="1:11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1" ht="15.75" x14ac:dyDescent="0.25">
      <c r="A4" s="17" t="s">
        <v>27</v>
      </c>
      <c r="E4" s="555" t="s">
        <v>179</v>
      </c>
      <c r="F4" s="555"/>
      <c r="G4" s="555"/>
      <c r="H4" s="555"/>
      <c r="I4" s="555"/>
    </row>
    <row r="5" spans="1:11" ht="9.75" customHeight="1" x14ac:dyDescent="0.25">
      <c r="A5" s="17"/>
      <c r="E5" s="544" t="s">
        <v>100</v>
      </c>
      <c r="F5" s="544"/>
      <c r="G5" s="544"/>
      <c r="H5" s="544"/>
      <c r="I5" s="544"/>
    </row>
    <row r="6" spans="1:11" ht="19.5" x14ac:dyDescent="0.4">
      <c r="A6" s="18" t="s">
        <v>24</v>
      </c>
      <c r="E6" s="19" t="s">
        <v>180</v>
      </c>
      <c r="F6" s="20"/>
      <c r="G6" s="21" t="s">
        <v>37</v>
      </c>
      <c r="H6" s="22">
        <v>1208</v>
      </c>
    </row>
    <row r="7" spans="1:11" ht="8.25" customHeight="1" x14ac:dyDescent="0.4">
      <c r="A7" s="18"/>
      <c r="E7" s="544" t="s">
        <v>101</v>
      </c>
      <c r="F7" s="544"/>
      <c r="G7" s="544"/>
      <c r="H7" s="544"/>
      <c r="I7" s="544"/>
    </row>
    <row r="8" spans="1:11" ht="3.75" customHeight="1" x14ac:dyDescent="0.4">
      <c r="A8" s="18"/>
      <c r="E8" s="23"/>
      <c r="F8" s="23"/>
      <c r="G8" s="23"/>
      <c r="H8" s="21"/>
      <c r="I8" s="23"/>
    </row>
    <row r="9" spans="1:11" ht="34.5" customHeight="1" x14ac:dyDescent="0.2">
      <c r="F9" s="24"/>
    </row>
    <row r="10" spans="1:11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1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1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1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1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1" s="40" customFormat="1" ht="19.5" x14ac:dyDescent="0.4">
      <c r="A15" s="39" t="s">
        <v>3</v>
      </c>
      <c r="B15" s="34"/>
      <c r="C15" s="35"/>
      <c r="D15" s="36"/>
      <c r="E15" s="127">
        <v>13193000</v>
      </c>
      <c r="F15" s="128">
        <v>13224000</v>
      </c>
      <c r="G15" s="6">
        <f>H15+I15</f>
        <v>32152106.039999999</v>
      </c>
      <c r="H15" s="127">
        <v>29346295.02</v>
      </c>
      <c r="I15" s="127">
        <v>2805811.02</v>
      </c>
      <c r="J15" s="227"/>
      <c r="K15" s="228"/>
    </row>
    <row r="16" spans="1:11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13193000</v>
      </c>
      <c r="F17" s="128">
        <v>32380067.789999999</v>
      </c>
      <c r="G17" s="6">
        <f>H17+I17</f>
        <v>32253137.869999997</v>
      </c>
      <c r="H17" s="127">
        <v>28958057.789999999</v>
      </c>
      <c r="I17" s="127">
        <v>3295080.08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76610</v>
      </c>
      <c r="H21" s="161">
        <v>55263</v>
      </c>
      <c r="I21" s="161">
        <v>21347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24421.829999998212</v>
      </c>
      <c r="H23" s="264">
        <f>H17-H15-H21</f>
        <v>-443500.23000000045</v>
      </c>
      <c r="I23" s="264">
        <f>I17-I15-I21</f>
        <v>467922.06000000006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24421.829999998212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24421.83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19500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4921.83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400000</v>
      </c>
      <c r="G37" s="167">
        <v>156525</v>
      </c>
      <c r="H37" s="129"/>
      <c r="I37" s="64">
        <f>G37/F37</f>
        <v>0.39131250000000001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874000</v>
      </c>
      <c r="G38" s="167">
        <v>874000</v>
      </c>
      <c r="H38" s="129"/>
      <c r="I38" s="64">
        <f>G38/F38</f>
        <v>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655250</v>
      </c>
      <c r="G40" s="167">
        <v>655250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0</v>
      </c>
      <c r="F49" s="187">
        <v>12100</v>
      </c>
      <c r="G49" s="75">
        <v>12100</v>
      </c>
      <c r="H49" s="75">
        <f>E49+F49-G49</f>
        <v>0</v>
      </c>
      <c r="I49" s="188">
        <f>H49</f>
        <v>0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13947.599999999991</v>
      </c>
      <c r="F50" s="191">
        <v>133966</v>
      </c>
      <c r="G50" s="78">
        <v>131057.67</v>
      </c>
      <c r="H50" s="78">
        <f>E50+F50-G50</f>
        <v>16855.929999999978</v>
      </c>
      <c r="I50" s="192">
        <v>10554.08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72467.600000000035</v>
      </c>
      <c r="F51" s="191">
        <f>18826.82+331084.39</f>
        <v>349911.21</v>
      </c>
      <c r="G51" s="78">
        <v>0</v>
      </c>
      <c r="H51" s="78">
        <f>E51+F51-G51</f>
        <v>422378.81000000006</v>
      </c>
      <c r="I51" s="192">
        <f>H51</f>
        <v>422378.81000000006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931441.29999999981</v>
      </c>
      <c r="F52" s="191">
        <v>1162964</v>
      </c>
      <c r="G52" s="78">
        <v>1964194.17</v>
      </c>
      <c r="H52" s="78">
        <f>E52+F52-G52</f>
        <v>130211.12999999989</v>
      </c>
      <c r="I52" s="192">
        <f>H52</f>
        <v>130211.12999999989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1017856.4999999999</v>
      </c>
      <c r="F53" s="196">
        <f>F49+F50+F51+F52</f>
        <v>1658941.21</v>
      </c>
      <c r="G53" s="197">
        <f>G49+G50+G51+G52</f>
        <v>2107351.84</v>
      </c>
      <c r="H53" s="197">
        <f>H49+H50+H51+H52</f>
        <v>569445.86999999988</v>
      </c>
      <c r="I53" s="198">
        <f>I49+I50+I51+I52</f>
        <v>563144.02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F46:F47"/>
    <mergeCell ref="H12:I12"/>
    <mergeCell ref="A42:I42"/>
    <mergeCell ref="E5:I5"/>
    <mergeCell ref="E7:I7"/>
    <mergeCell ref="E46:E47"/>
    <mergeCell ref="C28:E28"/>
    <mergeCell ref="C31:F31"/>
    <mergeCell ref="B32:F32"/>
    <mergeCell ref="A2:D2"/>
    <mergeCell ref="E2:I2"/>
    <mergeCell ref="E4:I4"/>
    <mergeCell ref="E3:I3"/>
    <mergeCell ref="H44:I44"/>
    <mergeCell ref="A33:I34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9">
    <tabColor theme="3" tint="0.59999389629810485"/>
  </sheetPr>
  <dimension ref="A1:J58"/>
  <sheetViews>
    <sheetView topLeftCell="A22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140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181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182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183</v>
      </c>
      <c r="F6" s="20"/>
      <c r="G6" s="21" t="s">
        <v>37</v>
      </c>
      <c r="H6" s="22">
        <v>1300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7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2719000</v>
      </c>
      <c r="F15" s="128">
        <v>15678483</v>
      </c>
      <c r="G15" s="6">
        <f>H15+I15</f>
        <v>15678416.4</v>
      </c>
      <c r="H15" s="127">
        <v>15626272.4</v>
      </c>
      <c r="I15" s="127">
        <v>52144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2723000</v>
      </c>
      <c r="F17" s="128">
        <v>15804983</v>
      </c>
      <c r="G17" s="6">
        <f>H17+I17</f>
        <v>15804951.16</v>
      </c>
      <c r="H17" s="127">
        <v>15734311.16</v>
      </c>
      <c r="I17" s="127">
        <v>70640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126534.75999999978</v>
      </c>
      <c r="H23" s="264">
        <f>H17-H15-H21</f>
        <v>108038.75999999978</v>
      </c>
      <c r="I23" s="264">
        <f>I17-I15-I21</f>
        <v>18496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126534.75999999978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126534.76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10000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116534.76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384706.7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0</v>
      </c>
      <c r="G37" s="167">
        <v>0</v>
      </c>
      <c r="H37" s="129"/>
      <c r="I37" s="64" t="s">
        <v>211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279783</v>
      </c>
      <c r="G38" s="167">
        <v>279783</v>
      </c>
      <c r="H38" s="129"/>
      <c r="I38" s="64">
        <f>G38/F38</f>
        <v>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210337</v>
      </c>
      <c r="G40" s="167">
        <v>210337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28000</v>
      </c>
      <c r="F49" s="187">
        <v>25000</v>
      </c>
      <c r="G49" s="75">
        <v>2000</v>
      </c>
      <c r="H49" s="75">
        <f>E49+F49-G49</f>
        <v>51000</v>
      </c>
      <c r="I49" s="188">
        <f>H49</f>
        <v>51000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29171.119999999995</v>
      </c>
      <c r="F50" s="191">
        <v>95659</v>
      </c>
      <c r="G50" s="78">
        <v>73990</v>
      </c>
      <c r="H50" s="78">
        <f>E50+F50-G50</f>
        <v>50840.119999999995</v>
      </c>
      <c r="I50" s="192">
        <v>43484.480000000003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442695.06</v>
      </c>
      <c r="F51" s="191">
        <v>150851.12</v>
      </c>
      <c r="G51" s="78">
        <v>0</v>
      </c>
      <c r="H51" s="78">
        <f>E51+F51-G51</f>
        <v>593546.17999999993</v>
      </c>
      <c r="I51" s="192">
        <f>H51</f>
        <v>593546.17999999993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219294.55</v>
      </c>
      <c r="F52" s="191">
        <v>907439</v>
      </c>
      <c r="G52" s="78">
        <v>835615</v>
      </c>
      <c r="H52" s="78">
        <f>E52+F52-G52</f>
        <v>291118.55000000005</v>
      </c>
      <c r="I52" s="192">
        <f>H52</f>
        <v>291118.55000000005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719160.73</v>
      </c>
      <c r="F53" s="196">
        <f>F49+F50+F51+F52</f>
        <v>1178949.1200000001</v>
      </c>
      <c r="G53" s="197">
        <f>G49+G50+G51+G52</f>
        <v>911605</v>
      </c>
      <c r="H53" s="197">
        <f>H49+H50+H51+H52</f>
        <v>986504.85</v>
      </c>
      <c r="I53" s="198">
        <f>I49+I50+I51+I52</f>
        <v>979149.21</v>
      </c>
      <c r="J53" s="5"/>
    </row>
    <row r="54" spans="1:10" ht="18.75" hidden="1" thickTop="1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hidden="1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hidden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hidden="1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2:I2"/>
    <mergeCell ref="E4:I4"/>
    <mergeCell ref="H12:I12"/>
    <mergeCell ref="F46:F47"/>
    <mergeCell ref="E3:I3"/>
    <mergeCell ref="E5:I5"/>
    <mergeCell ref="E7:I7"/>
    <mergeCell ref="H44:I44"/>
    <mergeCell ref="A42:I42"/>
    <mergeCell ref="A33:I34"/>
    <mergeCell ref="E46:E47"/>
    <mergeCell ref="C28:E28"/>
    <mergeCell ref="C31:F31"/>
    <mergeCell ref="B32:F32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">
    <tabColor theme="3" tint="0.59999389629810485"/>
  </sheetPr>
  <dimension ref="A1:J58"/>
  <sheetViews>
    <sheetView topLeftCell="A25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" style="13" customWidth="1"/>
    <col min="10" max="10" width="18.85546875" style="14" customWidth="1"/>
    <col min="11" max="11" width="15.425781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184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185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186</v>
      </c>
      <c r="F6" s="20"/>
      <c r="G6" s="21" t="s">
        <v>37</v>
      </c>
      <c r="H6" s="22">
        <v>1301</v>
      </c>
    </row>
    <row r="7" spans="1:10" ht="8.25" customHeight="1" x14ac:dyDescent="0.4">
      <c r="A7" s="18"/>
      <c r="E7" s="544" t="s">
        <v>101</v>
      </c>
      <c r="F7" s="544"/>
      <c r="G7" s="544"/>
      <c r="H7" s="544"/>
      <c r="I7" s="544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6.7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4900000</v>
      </c>
      <c r="F15" s="128">
        <v>31723863</v>
      </c>
      <c r="G15" s="6">
        <f>H15+I15</f>
        <v>31724511</v>
      </c>
      <c r="H15" s="127">
        <v>31678427</v>
      </c>
      <c r="I15" s="127">
        <v>46084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4926000</v>
      </c>
      <c r="F17" s="128">
        <v>31908324</v>
      </c>
      <c r="G17" s="6">
        <f>H17+I17</f>
        <v>31907793.300000001</v>
      </c>
      <c r="H17" s="127">
        <v>31814728.300000001</v>
      </c>
      <c r="I17" s="127">
        <v>93065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183282.30000000075</v>
      </c>
      <c r="H23" s="264">
        <f>H17-H15-H21</f>
        <v>136301.30000000075</v>
      </c>
      <c r="I23" s="264">
        <f>I17-I15-I21</f>
        <v>46981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183282.30000000075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183282.3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25000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158282.29999999999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0</v>
      </c>
      <c r="G37" s="167">
        <v>0</v>
      </c>
      <c r="H37" s="129"/>
      <c r="I37" s="64" t="s">
        <v>211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1238291</v>
      </c>
      <c r="G38" s="167">
        <v>1238291</v>
      </c>
      <c r="H38" s="129"/>
      <c r="I38" s="64">
        <f>G38/F38</f>
        <v>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928718</v>
      </c>
      <c r="G40" s="167">
        <v>928718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13001</v>
      </c>
      <c r="F49" s="187">
        <v>0</v>
      </c>
      <c r="G49" s="75">
        <v>2000</v>
      </c>
      <c r="H49" s="75">
        <f>E49+F49-G49</f>
        <v>11001</v>
      </c>
      <c r="I49" s="188">
        <f>H49</f>
        <v>11001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279082.88</v>
      </c>
      <c r="F50" s="191">
        <v>196938</v>
      </c>
      <c r="G50" s="78">
        <v>241894</v>
      </c>
      <c r="H50" s="78">
        <f>E50+F50-G50</f>
        <v>234126.88</v>
      </c>
      <c r="I50" s="192">
        <v>147057.04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477684.02</v>
      </c>
      <c r="F51" s="191">
        <v>5000</v>
      </c>
      <c r="G51" s="78">
        <v>5000</v>
      </c>
      <c r="H51" s="78">
        <f>E51+F51-G51</f>
        <v>477684.02</v>
      </c>
      <c r="I51" s="192">
        <f>H51</f>
        <v>477684.02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914642.58000000007</v>
      </c>
      <c r="F52" s="191">
        <v>1249372</v>
      </c>
      <c r="G52" s="78">
        <v>1047099</v>
      </c>
      <c r="H52" s="78">
        <f>E52+F52-G52</f>
        <v>1116915.58</v>
      </c>
      <c r="I52" s="192">
        <f>H52</f>
        <v>1116915.58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1684410.48</v>
      </c>
      <c r="F53" s="196">
        <f>F49+F50+F51+F52</f>
        <v>1451310</v>
      </c>
      <c r="G53" s="197">
        <f>G49+G50+G51+G52</f>
        <v>1295993</v>
      </c>
      <c r="H53" s="197">
        <f>H49+H50+H51+H52</f>
        <v>1839727.48</v>
      </c>
      <c r="I53" s="198">
        <f>I49+I50+I51+I52</f>
        <v>1752657.6400000001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F46:F47"/>
    <mergeCell ref="E7:I7"/>
    <mergeCell ref="H12:I12"/>
    <mergeCell ref="A42:I42"/>
    <mergeCell ref="H44:I44"/>
    <mergeCell ref="A33:I34"/>
    <mergeCell ref="E46:E47"/>
    <mergeCell ref="C28:E28"/>
    <mergeCell ref="C31:F31"/>
    <mergeCell ref="B32:F32"/>
    <mergeCell ref="E5:I5"/>
    <mergeCell ref="A2:D2"/>
    <mergeCell ref="E2:I2"/>
    <mergeCell ref="E4:I4"/>
    <mergeCell ref="E3:I3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1">
    <tabColor theme="3" tint="0.59999389629810485"/>
  </sheetPr>
  <dimension ref="A1:J58"/>
  <sheetViews>
    <sheetView topLeftCell="A25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187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188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189</v>
      </c>
      <c r="F6" s="20"/>
      <c r="G6" s="21" t="s">
        <v>37</v>
      </c>
      <c r="H6" s="22">
        <v>1302</v>
      </c>
    </row>
    <row r="7" spans="1:10" ht="8.25" customHeight="1" x14ac:dyDescent="0.4">
      <c r="A7" s="18"/>
      <c r="E7" s="544" t="s">
        <v>101</v>
      </c>
      <c r="F7" s="544"/>
      <c r="G7" s="544"/>
      <c r="H7" s="544"/>
      <c r="I7" s="544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4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1980000</v>
      </c>
      <c r="F15" s="128">
        <v>5596372.6500000004</v>
      </c>
      <c r="G15" s="6">
        <f>H15+I15</f>
        <v>5446374.8200000003</v>
      </c>
      <c r="H15" s="127">
        <v>5377294.8200000003</v>
      </c>
      <c r="I15" s="127">
        <v>69080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1980000</v>
      </c>
      <c r="F17" s="128">
        <v>5596372.6500000004</v>
      </c>
      <c r="G17" s="6">
        <f>H17+I17</f>
        <v>5596372.6500000004</v>
      </c>
      <c r="H17" s="127">
        <v>5527292.6500000004</v>
      </c>
      <c r="I17" s="127">
        <v>69080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149997.83000000007</v>
      </c>
      <c r="H23" s="264">
        <f>H17-H15-H21</f>
        <v>149997.83000000007</v>
      </c>
      <c r="I23" s="264">
        <f>I17-I15-I21</f>
        <v>0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149997.83000000007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149997.83000000002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60000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89997.83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0</v>
      </c>
      <c r="G37" s="167">
        <v>0</v>
      </c>
      <c r="H37" s="129"/>
      <c r="I37" s="64" t="s">
        <v>211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106855</v>
      </c>
      <c r="G38" s="167">
        <v>106855</v>
      </c>
      <c r="H38" s="129"/>
      <c r="I38" s="64">
        <f>G38/F38</f>
        <v>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79891</v>
      </c>
      <c r="G40" s="167">
        <v>87000</v>
      </c>
      <c r="H40" s="129"/>
      <c r="I40" s="64">
        <f>G40/F40</f>
        <v>1.0889837403462217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6" t="s">
        <v>333</v>
      </c>
      <c r="B42" s="556"/>
      <c r="C42" s="556"/>
      <c r="D42" s="556"/>
      <c r="E42" s="556"/>
      <c r="F42" s="556"/>
      <c r="G42" s="556"/>
      <c r="H42" s="556"/>
      <c r="I42" s="556"/>
      <c r="J42" s="5"/>
    </row>
    <row r="43" spans="1:10" s="153" customFormat="1" x14ac:dyDescent="0.2">
      <c r="A43" s="557"/>
      <c r="B43" s="557"/>
      <c r="C43" s="557"/>
      <c r="D43" s="557"/>
      <c r="E43" s="557"/>
      <c r="F43" s="557"/>
      <c r="G43" s="557"/>
      <c r="H43" s="557"/>
      <c r="I43" s="557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19045</v>
      </c>
      <c r="F49" s="187">
        <v>20022</v>
      </c>
      <c r="G49" s="75">
        <v>22203</v>
      </c>
      <c r="H49" s="75">
        <f>E49+F49-G49</f>
        <v>16864</v>
      </c>
      <c r="I49" s="188">
        <f>H49</f>
        <v>16864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2766.3000000000029</v>
      </c>
      <c r="F50" s="191">
        <v>30034</v>
      </c>
      <c r="G50" s="78">
        <v>28686</v>
      </c>
      <c r="H50" s="78">
        <f>E50+F50-G50</f>
        <v>4114.3000000000029</v>
      </c>
      <c r="I50" s="192">
        <v>1269.32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193152.19</v>
      </c>
      <c r="F51" s="191">
        <v>243034.62</v>
      </c>
      <c r="G51" s="78">
        <v>234900</v>
      </c>
      <c r="H51" s="78">
        <f>E51+F51-G51</f>
        <v>201286.81</v>
      </c>
      <c r="I51" s="192">
        <f>H51</f>
        <v>201286.81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129525.72</v>
      </c>
      <c r="F52" s="191">
        <v>343755</v>
      </c>
      <c r="G52" s="78">
        <v>321900</v>
      </c>
      <c r="H52" s="78">
        <f>E52+F52-G52</f>
        <v>151380.71999999997</v>
      </c>
      <c r="I52" s="192">
        <f>H52</f>
        <v>151380.71999999997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344489.20999999996</v>
      </c>
      <c r="F53" s="196">
        <f>F49+F50+F51+F52</f>
        <v>636845.62</v>
      </c>
      <c r="G53" s="197">
        <f>G49+G50+G51+G52</f>
        <v>607689</v>
      </c>
      <c r="H53" s="197">
        <f>H49+H50+H51+H52</f>
        <v>373645.82999999996</v>
      </c>
      <c r="I53" s="198">
        <f>I49+I50+I51+I52</f>
        <v>370800.85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F46:F47"/>
    <mergeCell ref="H12:I12"/>
    <mergeCell ref="E5:I5"/>
    <mergeCell ref="E7:I7"/>
    <mergeCell ref="E46:E47"/>
    <mergeCell ref="C28:E28"/>
    <mergeCell ref="C31:F31"/>
    <mergeCell ref="B32:F32"/>
    <mergeCell ref="A42:I43"/>
    <mergeCell ref="A2:D2"/>
    <mergeCell ref="E2:I2"/>
    <mergeCell ref="E4:I4"/>
    <mergeCell ref="E3:I3"/>
    <mergeCell ref="H44:I44"/>
    <mergeCell ref="A33:I34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2">
    <tabColor theme="3" tint="0.59999389629810485"/>
  </sheetPr>
  <dimension ref="A1:J58"/>
  <sheetViews>
    <sheetView topLeftCell="A28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42578125" style="13" customWidth="1"/>
    <col min="10" max="10" width="18.85546875" style="14" customWidth="1"/>
    <col min="11" max="11" width="15.425781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190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191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192</v>
      </c>
      <c r="F6" s="20"/>
      <c r="G6" s="21" t="s">
        <v>37</v>
      </c>
      <c r="H6" s="22">
        <v>1303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34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1392000</v>
      </c>
      <c r="F15" s="128">
        <v>8753043</v>
      </c>
      <c r="G15" s="6">
        <f>H15+I15</f>
        <v>8509304.5199999996</v>
      </c>
      <c r="H15" s="127">
        <v>8509304.5199999996</v>
      </c>
      <c r="I15" s="127">
        <v>0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1392000</v>
      </c>
      <c r="F17" s="128">
        <v>8753043</v>
      </c>
      <c r="G17" s="6">
        <f>H17+I17</f>
        <v>8577278.9000000004</v>
      </c>
      <c r="H17" s="127">
        <v>8577278.9000000004</v>
      </c>
      <c r="I17" s="127">
        <v>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67974.38000000082</v>
      </c>
      <c r="H23" s="264">
        <f>H17-H15-H21</f>
        <v>67974.38000000082</v>
      </c>
      <c r="I23" s="264">
        <f>I17-I15-I21</f>
        <v>0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67974.38000000082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67974.38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20000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47974.38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0</v>
      </c>
      <c r="G37" s="167">
        <v>0</v>
      </c>
      <c r="H37" s="129"/>
      <c r="I37" s="64" t="s">
        <v>211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143643</v>
      </c>
      <c r="G38" s="167">
        <v>143643</v>
      </c>
      <c r="H38" s="129"/>
      <c r="I38" s="64">
        <f>G38/F38</f>
        <v>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108323</v>
      </c>
      <c r="G40" s="167">
        <v>108232</v>
      </c>
      <c r="H40" s="129"/>
      <c r="I40" s="64">
        <f>G40/F40</f>
        <v>0.99915991986927988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0</v>
      </c>
      <c r="F49" s="187">
        <v>14000</v>
      </c>
      <c r="G49" s="75">
        <v>14000</v>
      </c>
      <c r="H49" s="75">
        <f>E49+F49-G49</f>
        <v>0</v>
      </c>
      <c r="I49" s="188">
        <f>H49</f>
        <v>0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81806.5</v>
      </c>
      <c r="F50" s="191">
        <v>52721</v>
      </c>
      <c r="G50" s="78">
        <v>50685</v>
      </c>
      <c r="H50" s="78">
        <f>E50+F50-G50</f>
        <v>83842.5</v>
      </c>
      <c r="I50" s="192">
        <v>83282.2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474157.36</v>
      </c>
      <c r="F51" s="191">
        <v>24960.92</v>
      </c>
      <c r="G51" s="78">
        <v>361520</v>
      </c>
      <c r="H51" s="78">
        <f>E51+F51-G51</f>
        <v>137598.27999999997</v>
      </c>
      <c r="I51" s="192">
        <f>H51</f>
        <v>137598.27999999997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105545.09999999998</v>
      </c>
      <c r="F52" s="191">
        <v>495163</v>
      </c>
      <c r="G52" s="78">
        <v>459752</v>
      </c>
      <c r="H52" s="78">
        <f>E52+F52-G52</f>
        <v>140956.09999999998</v>
      </c>
      <c r="I52" s="192">
        <f>H52</f>
        <v>140956.09999999998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661508.96</v>
      </c>
      <c r="F53" s="196">
        <f>F49+F50+F51+F52</f>
        <v>586844.92000000004</v>
      </c>
      <c r="G53" s="197">
        <f>G49+G50+G51+G52</f>
        <v>885957</v>
      </c>
      <c r="H53" s="197">
        <f>H49+H50+H51+H52</f>
        <v>362396.87999999995</v>
      </c>
      <c r="I53" s="198">
        <f>I49+I50+I51+I52</f>
        <v>361836.57999999996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H44:I44"/>
    <mergeCell ref="F46:F47"/>
    <mergeCell ref="E7:I7"/>
    <mergeCell ref="H12:I12"/>
    <mergeCell ref="A42:I42"/>
    <mergeCell ref="A33:I34"/>
    <mergeCell ref="E46:E47"/>
    <mergeCell ref="C28:E28"/>
    <mergeCell ref="C31:F31"/>
    <mergeCell ref="B32:F32"/>
    <mergeCell ref="E5:I5"/>
    <mergeCell ref="A2:D2"/>
    <mergeCell ref="E2:I2"/>
    <mergeCell ref="E4:I4"/>
    <mergeCell ref="E3:I3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59999389629810485"/>
  </sheetPr>
  <dimension ref="A1:J58"/>
  <sheetViews>
    <sheetView topLeftCell="A34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140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193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194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195</v>
      </c>
      <c r="F6" s="20"/>
      <c r="G6" s="21" t="s">
        <v>37</v>
      </c>
      <c r="H6" s="22">
        <v>1304</v>
      </c>
    </row>
    <row r="7" spans="1:10" ht="8.25" customHeight="1" x14ac:dyDescent="0.4">
      <c r="A7" s="18"/>
      <c r="E7" s="544" t="s">
        <v>101</v>
      </c>
      <c r="F7" s="544"/>
      <c r="G7" s="544"/>
      <c r="H7" s="544"/>
      <c r="I7" s="544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35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1799000</v>
      </c>
      <c r="F15" s="128">
        <v>12990772</v>
      </c>
      <c r="G15" s="6">
        <f>H15+I15</f>
        <v>12988196.27</v>
      </c>
      <c r="H15" s="127">
        <v>12988196.27</v>
      </c>
      <c r="I15" s="127">
        <v>0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1799000</v>
      </c>
      <c r="F17" s="128">
        <v>12990772</v>
      </c>
      <c r="G17" s="6">
        <f>H17+I17</f>
        <v>12996512.82</v>
      </c>
      <c r="H17" s="127">
        <v>12996512.82</v>
      </c>
      <c r="I17" s="127">
        <v>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8316.5500000007451</v>
      </c>
      <c r="H23" s="264">
        <f>H17-H15-H21</f>
        <v>8316.5500000007451</v>
      </c>
      <c r="I23" s="264">
        <f>I17-I15-I21</f>
        <v>0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8316.5500000007451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8316.5499999999993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8316.5499999999993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0</v>
      </c>
      <c r="G37" s="167">
        <v>0</v>
      </c>
      <c r="H37" s="129"/>
      <c r="I37" s="64" t="s">
        <v>211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59872</v>
      </c>
      <c r="G38" s="167">
        <v>59872</v>
      </c>
      <c r="H38" s="129"/>
      <c r="I38" s="64">
        <f>G38/F38</f>
        <v>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45404</v>
      </c>
      <c r="G40" s="167">
        <v>45404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77630</v>
      </c>
      <c r="F49" s="187">
        <v>10000</v>
      </c>
      <c r="G49" s="75">
        <v>17000</v>
      </c>
      <c r="H49" s="75">
        <f>E49+F49-G49</f>
        <v>70630</v>
      </c>
      <c r="I49" s="188">
        <f>H49</f>
        <v>70630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135876.67000000001</v>
      </c>
      <c r="F50" s="191">
        <v>81836</v>
      </c>
      <c r="G50" s="78">
        <v>112622</v>
      </c>
      <c r="H50" s="78">
        <f>E50+F50-G50</f>
        <v>105090.67000000001</v>
      </c>
      <c r="I50" s="192">
        <v>108409.48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96114.94</v>
      </c>
      <c r="F51" s="191">
        <v>45036.72</v>
      </c>
      <c r="G51" s="78">
        <v>0</v>
      </c>
      <c r="H51" s="78">
        <f>E51+F51-G51</f>
        <v>141151.66</v>
      </c>
      <c r="I51" s="192">
        <f>H51</f>
        <v>141151.66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139793.60000000001</v>
      </c>
      <c r="F52" s="191">
        <v>59872</v>
      </c>
      <c r="G52" s="78">
        <v>45404</v>
      </c>
      <c r="H52" s="78">
        <f>E52+F52-G52</f>
        <v>154261.6</v>
      </c>
      <c r="I52" s="192">
        <f>H52</f>
        <v>154261.6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449415.20999999996</v>
      </c>
      <c r="F53" s="196">
        <f>F49+F50+F51+F52</f>
        <v>196744.72</v>
      </c>
      <c r="G53" s="197">
        <f>G49+G50+G51+G52</f>
        <v>175026</v>
      </c>
      <c r="H53" s="197">
        <f>H49+H50+H51+H52</f>
        <v>471133.93000000005</v>
      </c>
      <c r="I53" s="198">
        <f>I49+I50+I51+I52</f>
        <v>474452.74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42:I42"/>
    <mergeCell ref="H44:I44"/>
    <mergeCell ref="F46:F47"/>
    <mergeCell ref="A2:D2"/>
    <mergeCell ref="E2:I2"/>
    <mergeCell ref="E4:I4"/>
    <mergeCell ref="H12:I12"/>
    <mergeCell ref="E3:I3"/>
    <mergeCell ref="E5:I5"/>
    <mergeCell ref="E7:I7"/>
    <mergeCell ref="A33:I34"/>
    <mergeCell ref="E46:E47"/>
    <mergeCell ref="C28:E28"/>
    <mergeCell ref="C31:F31"/>
    <mergeCell ref="B32:F32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5">
    <tabColor theme="3" tint="0.59999389629810485"/>
  </sheetPr>
  <dimension ref="A1:J58"/>
  <sheetViews>
    <sheetView topLeftCell="A19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98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251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196</v>
      </c>
      <c r="F6" s="20"/>
      <c r="G6" s="21" t="s">
        <v>37</v>
      </c>
      <c r="H6" s="22">
        <v>1350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43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9901000</v>
      </c>
      <c r="F15" s="128">
        <v>23219573.699999999</v>
      </c>
      <c r="G15" s="6">
        <f>H15+I15</f>
        <v>23869661.07</v>
      </c>
      <c r="H15" s="127">
        <v>23549801.969999999</v>
      </c>
      <c r="I15" s="127">
        <v>319859.09999999998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9901000</v>
      </c>
      <c r="F17" s="128">
        <v>24236267.109999999</v>
      </c>
      <c r="G17" s="6">
        <f>H17+I17</f>
        <v>24154676.199999999</v>
      </c>
      <c r="H17" s="127">
        <v>23416672.699999999</v>
      </c>
      <c r="I17" s="127">
        <v>738003.5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285015.12999999896</v>
      </c>
      <c r="H23" s="264">
        <f>H17-H15-H21</f>
        <v>-133129.26999999955</v>
      </c>
      <c r="I23" s="264">
        <f>I17-I15-I21</f>
        <v>418144.4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285015.12999999896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285015.13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15000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270015.13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700000</v>
      </c>
      <c r="G37" s="167">
        <v>657521</v>
      </c>
      <c r="H37" s="129"/>
      <c r="I37" s="64">
        <f>G37/F37</f>
        <v>0.93931571428571425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466006</v>
      </c>
      <c r="G38" s="167">
        <v>466006</v>
      </c>
      <c r="H38" s="129"/>
      <c r="I38" s="64">
        <f>G38/F38</f>
        <v>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95280</v>
      </c>
      <c r="G39" s="167">
        <v>95280</v>
      </c>
      <c r="H39" s="129"/>
      <c r="I39" s="64">
        <f>G39/F39</f>
        <v>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349505</v>
      </c>
      <c r="G40" s="167">
        <v>349505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84000</v>
      </c>
      <c r="F49" s="187">
        <v>1000</v>
      </c>
      <c r="G49" s="75">
        <v>24845</v>
      </c>
      <c r="H49" s="75">
        <f>E49+F49-G49</f>
        <v>60155</v>
      </c>
      <c r="I49" s="188">
        <f>H49</f>
        <v>60155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84624.75</v>
      </c>
      <c r="F50" s="191">
        <v>86251</v>
      </c>
      <c r="G50" s="78">
        <v>93720</v>
      </c>
      <c r="H50" s="78">
        <f>E50+F50-G50</f>
        <v>77155.75</v>
      </c>
      <c r="I50" s="192">
        <v>105295.99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219066.61</v>
      </c>
      <c r="F51" s="191">
        <f>105674.06+49379</f>
        <v>155053.06</v>
      </c>
      <c r="G51" s="78">
        <v>164051</v>
      </c>
      <c r="H51" s="78">
        <f>E51+F51-G51</f>
        <v>210068.66999999998</v>
      </c>
      <c r="I51" s="192">
        <f>H51</f>
        <v>210068.66999999998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567040.24</v>
      </c>
      <c r="F52" s="191">
        <v>660515</v>
      </c>
      <c r="G52" s="78">
        <v>542505</v>
      </c>
      <c r="H52" s="78">
        <f>E52+F52-G52</f>
        <v>685050.24</v>
      </c>
      <c r="I52" s="192">
        <v>367409.21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954731.6</v>
      </c>
      <c r="F53" s="196">
        <f>F49+F50+F51+F52</f>
        <v>902819.06</v>
      </c>
      <c r="G53" s="197">
        <f>G49+G50+G51+G52</f>
        <v>825121</v>
      </c>
      <c r="H53" s="197">
        <f>H49+H50+H51+H52</f>
        <v>1032429.6599999999</v>
      </c>
      <c r="I53" s="198">
        <f>I49+I50+I51+I52</f>
        <v>742928.87</v>
      </c>
      <c r="J53" s="5"/>
    </row>
    <row r="54" spans="1:10" ht="18.75" hidden="1" thickTop="1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hidden="1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hidden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hidden="1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F46:F47"/>
    <mergeCell ref="E7:I7"/>
    <mergeCell ref="H12:I12"/>
    <mergeCell ref="A42:I42"/>
    <mergeCell ref="H44:I44"/>
    <mergeCell ref="A33:I34"/>
    <mergeCell ref="E46:E47"/>
    <mergeCell ref="C28:E28"/>
    <mergeCell ref="C31:F31"/>
    <mergeCell ref="B32:F32"/>
    <mergeCell ref="E5:I5"/>
    <mergeCell ref="A2:D2"/>
    <mergeCell ref="E2:I2"/>
    <mergeCell ref="E4:I4"/>
    <mergeCell ref="E3:I3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3" tint="0.59999389629810485"/>
  </sheetPr>
  <dimension ref="A1:J58"/>
  <sheetViews>
    <sheetView topLeftCell="A28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140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197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198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199</v>
      </c>
      <c r="F6" s="20"/>
      <c r="G6" s="21" t="s">
        <v>37</v>
      </c>
      <c r="H6" s="22">
        <v>1351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40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1278000</v>
      </c>
      <c r="F15" s="128">
        <v>5707334.5899999999</v>
      </c>
      <c r="G15" s="6">
        <f>H15+I15</f>
        <v>5707334.5899999999</v>
      </c>
      <c r="H15" s="127">
        <v>5557781.5499999998</v>
      </c>
      <c r="I15" s="127">
        <v>149553.04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1333000</v>
      </c>
      <c r="F17" s="128">
        <v>5802760.7999999998</v>
      </c>
      <c r="G17" s="6">
        <f>H17+I17</f>
        <v>5802760.7999999998</v>
      </c>
      <c r="H17" s="127">
        <v>5598000.7999999998</v>
      </c>
      <c r="I17" s="127">
        <v>204760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95426.209999999963</v>
      </c>
      <c r="H23" s="264">
        <f>H17-H15-H21</f>
        <v>40219.25</v>
      </c>
      <c r="I23" s="264">
        <f>I17-I15-I21</f>
        <v>55206.959999999992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95426.209999999963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95426.21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10000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85426.21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150000</v>
      </c>
      <c r="G37" s="167">
        <v>92996</v>
      </c>
      <c r="H37" s="129"/>
      <c r="I37" s="64">
        <f>G37/F37</f>
        <v>0.61997333333333338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2721</v>
      </c>
      <c r="G38" s="167">
        <v>2721</v>
      </c>
      <c r="H38" s="129"/>
      <c r="I38" s="64">
        <f>G38/F38</f>
        <v>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1791</v>
      </c>
      <c r="G40" s="167">
        <v>1791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31753</v>
      </c>
      <c r="F49" s="187">
        <v>5000</v>
      </c>
      <c r="G49" s="75">
        <v>2000</v>
      </c>
      <c r="H49" s="75">
        <f>E49+F49-G49</f>
        <v>34753</v>
      </c>
      <c r="I49" s="188">
        <f>H49</f>
        <v>34753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33897.050000000003</v>
      </c>
      <c r="F50" s="191">
        <v>31846</v>
      </c>
      <c r="G50" s="78">
        <v>47500</v>
      </c>
      <c r="H50" s="78">
        <f>E50+F50-G50</f>
        <v>18243.050000000003</v>
      </c>
      <c r="I50" s="192">
        <v>12503.18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56208.190000000017</v>
      </c>
      <c r="F51" s="191">
        <f>162009+37200</f>
        <v>199209</v>
      </c>
      <c r="G51" s="78">
        <f>6045+26913</f>
        <v>32958</v>
      </c>
      <c r="H51" s="78">
        <f>E51+F51-G51</f>
        <v>222459.19</v>
      </c>
      <c r="I51" s="192">
        <f>H51</f>
        <v>222459.19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48859.290000000008</v>
      </c>
      <c r="F52" s="191">
        <v>2721</v>
      </c>
      <c r="G52" s="78">
        <v>40199</v>
      </c>
      <c r="H52" s="78">
        <f>E52+F52-G52</f>
        <v>11381.290000000008</v>
      </c>
      <c r="I52" s="192">
        <f>H52</f>
        <v>11381.290000000008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170717.53000000003</v>
      </c>
      <c r="F53" s="196">
        <f>F49+F50+F51+F52</f>
        <v>238776</v>
      </c>
      <c r="G53" s="197">
        <f>G49+G50+G51+G52</f>
        <v>122657</v>
      </c>
      <c r="H53" s="197">
        <f>H49+H50+H51+H52</f>
        <v>286836.53000000003</v>
      </c>
      <c r="I53" s="198">
        <f>I49+I50+I51+I52</f>
        <v>281096.66000000003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F46:F47"/>
    <mergeCell ref="E5:I5"/>
    <mergeCell ref="H12:I12"/>
    <mergeCell ref="E7:I7"/>
    <mergeCell ref="A42:I42"/>
    <mergeCell ref="E46:E47"/>
    <mergeCell ref="C28:E28"/>
    <mergeCell ref="C31:F31"/>
    <mergeCell ref="B32:F32"/>
    <mergeCell ref="A2:D2"/>
    <mergeCell ref="E2:I2"/>
    <mergeCell ref="E4:I4"/>
    <mergeCell ref="E3:I3"/>
    <mergeCell ref="H44:I44"/>
    <mergeCell ref="A33:I34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3" tint="0.59999389629810485"/>
  </sheetPr>
  <dimension ref="A1:J58"/>
  <sheetViews>
    <sheetView topLeftCell="A16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140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42" t="s">
        <v>47</v>
      </c>
      <c r="F2" s="543"/>
      <c r="G2" s="543"/>
      <c r="H2" s="543"/>
      <c r="I2" s="543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129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89">
        <v>70631174</v>
      </c>
      <c r="F6" s="20"/>
      <c r="G6" s="21" t="s">
        <v>37</v>
      </c>
      <c r="H6" s="22">
        <v>1010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38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549000</v>
      </c>
      <c r="F15" s="128">
        <v>6739208.7599999998</v>
      </c>
      <c r="G15" s="6">
        <f>H15+I15</f>
        <v>6739208.7599999998</v>
      </c>
      <c r="H15" s="127">
        <v>6739208.7599999998</v>
      </c>
      <c r="I15" s="127">
        <v>0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549000</v>
      </c>
      <c r="F17" s="128">
        <v>6619253.8899999997</v>
      </c>
      <c r="G17" s="6">
        <f>H17+I17</f>
        <v>6739305.8899999997</v>
      </c>
      <c r="H17" s="127">
        <v>6739305.8899999997</v>
      </c>
      <c r="I17" s="127">
        <v>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97.129999999888241</v>
      </c>
      <c r="H23" s="264">
        <f>H17-H15-H21</f>
        <v>97.129999999888241</v>
      </c>
      <c r="I23" s="264">
        <f>I17-I15-I21</f>
        <v>0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97.129999999888241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97.13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97.13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0</v>
      </c>
      <c r="G37" s="167">
        <v>0</v>
      </c>
      <c r="H37" s="129"/>
      <c r="I37" s="64" t="s">
        <v>211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0</v>
      </c>
      <c r="G38" s="167">
        <v>0</v>
      </c>
      <c r="H38" s="129"/>
      <c r="I38" s="64" t="s">
        <v>211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0</v>
      </c>
      <c r="G40" s="167">
        <v>0</v>
      </c>
      <c r="H40" s="129"/>
      <c r="I40" s="64" t="s">
        <v>211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22500</v>
      </c>
      <c r="F49" s="187">
        <v>1000</v>
      </c>
      <c r="G49" s="75">
        <v>0</v>
      </c>
      <c r="H49" s="75">
        <f>E49+F49-G49</f>
        <v>23500</v>
      </c>
      <c r="I49" s="188">
        <f>H49</f>
        <v>23500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30823.11</v>
      </c>
      <c r="F50" s="191">
        <v>43095</v>
      </c>
      <c r="G50" s="78">
        <v>36841</v>
      </c>
      <c r="H50" s="78">
        <f>E50+F50-G50</f>
        <v>37077.11</v>
      </c>
      <c r="I50" s="192">
        <v>37077.11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380400.56</v>
      </c>
      <c r="F51" s="191">
        <f>11875.12+124961</f>
        <v>136836.12</v>
      </c>
      <c r="G51" s="78">
        <v>205013</v>
      </c>
      <c r="H51" s="78">
        <f>E51+F51-G51</f>
        <v>312223.68</v>
      </c>
      <c r="I51" s="192">
        <f>H51</f>
        <v>312223.68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83181.5</v>
      </c>
      <c r="F52" s="191">
        <v>0</v>
      </c>
      <c r="G52" s="78">
        <v>0</v>
      </c>
      <c r="H52" s="78">
        <f>E52+F52-G52</f>
        <v>83181.5</v>
      </c>
      <c r="I52" s="192">
        <f>H52</f>
        <v>83181.5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 t="shared" ref="E53:I53" si="0">E49+E50+E51+E52</f>
        <v>516905.17</v>
      </c>
      <c r="F53" s="196">
        <f t="shared" si="0"/>
        <v>180931.12</v>
      </c>
      <c r="G53" s="197">
        <f t="shared" si="0"/>
        <v>241854</v>
      </c>
      <c r="H53" s="197">
        <f t="shared" si="0"/>
        <v>455982.29</v>
      </c>
      <c r="I53" s="198">
        <f t="shared" si="0"/>
        <v>455982.29</v>
      </c>
      <c r="J53" s="5"/>
    </row>
    <row r="54" spans="1:10" ht="18.75" hidden="1" thickTop="1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hidden="1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hidden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E46:E47"/>
    <mergeCell ref="F46:F47"/>
    <mergeCell ref="A33:I34"/>
    <mergeCell ref="A42:I42"/>
    <mergeCell ref="H44:I44"/>
    <mergeCell ref="A2:D2"/>
    <mergeCell ref="E2:I2"/>
    <mergeCell ref="E3:I3"/>
    <mergeCell ref="E4:I4"/>
    <mergeCell ref="B32:F32"/>
    <mergeCell ref="C28:E28"/>
    <mergeCell ref="C31:F31"/>
    <mergeCell ref="E5:I5"/>
    <mergeCell ref="E7:I7"/>
    <mergeCell ref="H12:I12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7">
    <tabColor theme="3" tint="0.59999389629810485"/>
  </sheetPr>
  <dimension ref="A1:J55"/>
  <sheetViews>
    <sheetView topLeftCell="A25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140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200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201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202</v>
      </c>
      <c r="F6" s="20"/>
      <c r="G6" s="21" t="s">
        <v>37</v>
      </c>
      <c r="H6" s="22">
        <v>1352</v>
      </c>
    </row>
    <row r="7" spans="1:10" ht="8.25" customHeight="1" x14ac:dyDescent="0.4">
      <c r="A7" s="18"/>
      <c r="E7" s="544" t="s">
        <v>101</v>
      </c>
      <c r="F7" s="544"/>
      <c r="G7" s="544"/>
      <c r="H7" s="544"/>
      <c r="I7" s="544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6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3048000</v>
      </c>
      <c r="F15" s="128">
        <v>6020259</v>
      </c>
      <c r="G15" s="6">
        <f>H15+I15</f>
        <v>5930611.9400000004</v>
      </c>
      <c r="H15" s="127">
        <v>5681986.79</v>
      </c>
      <c r="I15" s="127">
        <v>248625.15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3048000</v>
      </c>
      <c r="F17" s="128">
        <v>6020259</v>
      </c>
      <c r="G17" s="6">
        <f>H17+I17</f>
        <v>5948787.3499999996</v>
      </c>
      <c r="H17" s="127">
        <v>5618445.0999999996</v>
      </c>
      <c r="I17" s="127">
        <v>330342.25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18175.409999999218</v>
      </c>
      <c r="H23" s="264">
        <f>H17-H15-H21</f>
        <v>-63541.69000000041</v>
      </c>
      <c r="I23" s="264">
        <f>I17-I15-I21</f>
        <v>81717.100000000006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18175.409999999218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18175.41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7000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11175.41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155000</v>
      </c>
      <c r="G37" s="167">
        <v>140015</v>
      </c>
      <c r="H37" s="129"/>
      <c r="I37" s="64">
        <f>G37/F37</f>
        <v>0.90332258064516124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52168</v>
      </c>
      <c r="G38" s="167">
        <v>52168</v>
      </c>
      <c r="H38" s="129"/>
      <c r="I38" s="64">
        <f>G38/F38</f>
        <v>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39376</v>
      </c>
      <c r="G40" s="167">
        <v>39376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35159</v>
      </c>
      <c r="F49" s="187">
        <v>47000</v>
      </c>
      <c r="G49" s="75">
        <v>7000</v>
      </c>
      <c r="H49" s="75">
        <f>E49+F49-G49</f>
        <v>75159</v>
      </c>
      <c r="I49" s="188">
        <f>H49</f>
        <v>75159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10440.77</v>
      </c>
      <c r="F50" s="191">
        <v>20094</v>
      </c>
      <c r="G50" s="78">
        <v>20291</v>
      </c>
      <c r="H50" s="78">
        <f>E50+F50-G50</f>
        <v>10243.77</v>
      </c>
      <c r="I50" s="192">
        <v>7738.83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177250.36000000002</v>
      </c>
      <c r="F51" s="191">
        <f>40975.1+19000</f>
        <v>59975.1</v>
      </c>
      <c r="G51" s="78">
        <v>19000</v>
      </c>
      <c r="H51" s="78">
        <f>E51+F51-G51</f>
        <v>218225.46000000002</v>
      </c>
      <c r="I51" s="192">
        <f>H51</f>
        <v>218225.46000000002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371546.08</v>
      </c>
      <c r="F52" s="191">
        <v>148828</v>
      </c>
      <c r="G52" s="78">
        <v>284376</v>
      </c>
      <c r="H52" s="78">
        <f>E52+F52-G52</f>
        <v>235998.08000000002</v>
      </c>
      <c r="I52" s="192">
        <f>H52</f>
        <v>235998.08000000002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594396.21</v>
      </c>
      <c r="F53" s="196">
        <f>F49+F50+F51+F52</f>
        <v>275897.09999999998</v>
      </c>
      <c r="G53" s="197">
        <f>G49+G50+G51+G52</f>
        <v>330667</v>
      </c>
      <c r="H53" s="197">
        <f>H49+H50+H51+H52</f>
        <v>539626.31000000006</v>
      </c>
      <c r="I53" s="198">
        <f>I49+I50+I51+I52</f>
        <v>537121.37000000011</v>
      </c>
      <c r="J53" s="5"/>
    </row>
    <row r="54" spans="1:10" ht="18" hidden="1" x14ac:dyDescent="0.35">
      <c r="A54" s="79"/>
      <c r="B54" s="68"/>
      <c r="C54" s="68"/>
      <c r="D54" s="38"/>
      <c r="E54" s="38"/>
      <c r="F54" s="71"/>
      <c r="G54" s="81"/>
      <c r="H54" s="82"/>
      <c r="I54" s="82"/>
    </row>
    <row r="55" spans="1:10" ht="18" hidden="1" x14ac:dyDescent="0.35">
      <c r="A55" s="83"/>
      <c r="B55" s="84"/>
      <c r="C55" s="84"/>
      <c r="D55" s="85"/>
      <c r="E55" s="85"/>
      <c r="F55" s="82"/>
      <c r="G55" s="82"/>
      <c r="H55" s="82"/>
      <c r="I55" s="82"/>
    </row>
  </sheetData>
  <mergeCells count="15">
    <mergeCell ref="H44:I44"/>
    <mergeCell ref="E46:E47"/>
    <mergeCell ref="F46:F47"/>
    <mergeCell ref="A33:I34"/>
    <mergeCell ref="A42:I42"/>
    <mergeCell ref="A2:D2"/>
    <mergeCell ref="E2:I2"/>
    <mergeCell ref="E4:I4"/>
    <mergeCell ref="E3:I3"/>
    <mergeCell ref="B32:F32"/>
    <mergeCell ref="C28:E28"/>
    <mergeCell ref="C31:F31"/>
    <mergeCell ref="H12:I12"/>
    <mergeCell ref="E5:I5"/>
    <mergeCell ref="E7:I7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8">
    <tabColor theme="3" tint="0.59999389629810485"/>
  </sheetPr>
  <dimension ref="A1:J58"/>
  <sheetViews>
    <sheetView topLeftCell="A22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28515625" style="13" customWidth="1"/>
    <col min="10" max="10" width="18.85546875" style="14" customWidth="1"/>
    <col min="11" max="11" width="17.710937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203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69" t="s">
        <v>263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204</v>
      </c>
      <c r="F6" s="20"/>
      <c r="G6" s="21" t="s">
        <v>37</v>
      </c>
      <c r="H6" s="22">
        <v>1400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2.25" customHeight="1" x14ac:dyDescent="0.4">
      <c r="A8" s="18"/>
      <c r="E8" s="23"/>
      <c r="F8" s="23"/>
      <c r="G8" s="23"/>
      <c r="H8" s="21"/>
      <c r="I8" s="23"/>
    </row>
    <row r="9" spans="1:10" ht="35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6477000</v>
      </c>
      <c r="F15" s="128">
        <v>19393800</v>
      </c>
      <c r="G15" s="6">
        <f>H15+I15</f>
        <v>18725463.579999998</v>
      </c>
      <c r="H15" s="127">
        <v>18505042.899999999</v>
      </c>
      <c r="I15" s="127">
        <v>220420.68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6477000</v>
      </c>
      <c r="F17" s="128">
        <v>19393800</v>
      </c>
      <c r="G17" s="6">
        <f>H17+I17</f>
        <v>18726207.789999999</v>
      </c>
      <c r="H17" s="127">
        <v>18431105.789999999</v>
      </c>
      <c r="I17" s="127">
        <v>295102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744.21000000089407</v>
      </c>
      <c r="H23" s="264">
        <f>H17-H15-H21</f>
        <v>-73937.109999999404</v>
      </c>
      <c r="I23" s="264">
        <f>I17-I15-I21</f>
        <v>74681.320000000007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744.21000000089407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744.21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744.21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0</v>
      </c>
      <c r="G37" s="167">
        <v>0</v>
      </c>
      <c r="H37" s="129"/>
      <c r="I37" s="64" t="s">
        <v>211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608000</v>
      </c>
      <c r="G38" s="167">
        <v>609864</v>
      </c>
      <c r="H38" s="129"/>
      <c r="I38" s="64">
        <f>G38/F38</f>
        <v>1.0030657894736843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456000</v>
      </c>
      <c r="G40" s="167">
        <v>456000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6" t="s">
        <v>332</v>
      </c>
      <c r="B42" s="556"/>
      <c r="C42" s="556"/>
      <c r="D42" s="556"/>
      <c r="E42" s="556"/>
      <c r="F42" s="556"/>
      <c r="G42" s="556"/>
      <c r="H42" s="556"/>
      <c r="I42" s="556"/>
      <c r="J42" s="5"/>
    </row>
    <row r="43" spans="1:10" s="153" customFormat="1" x14ac:dyDescent="0.2">
      <c r="A43" s="557"/>
      <c r="B43" s="557"/>
      <c r="C43" s="557"/>
      <c r="D43" s="557"/>
      <c r="E43" s="557"/>
      <c r="F43" s="557"/>
      <c r="G43" s="557"/>
      <c r="H43" s="557"/>
      <c r="I43" s="557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63000.009999999995</v>
      </c>
      <c r="F49" s="187">
        <v>1999.99</v>
      </c>
      <c r="G49" s="75">
        <v>14600</v>
      </c>
      <c r="H49" s="75">
        <f>E49+F49-G49</f>
        <v>50399.999999999993</v>
      </c>
      <c r="I49" s="188">
        <f>H49</f>
        <v>50399.999999999993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1081.6699999999983</v>
      </c>
      <c r="F50" s="191">
        <v>90554</v>
      </c>
      <c r="G50" s="78">
        <v>87200</v>
      </c>
      <c r="H50" s="78">
        <f>E50+F50-G50</f>
        <v>4435.6699999999983</v>
      </c>
      <c r="I50" s="192">
        <v>3484.64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942529.85999999987</v>
      </c>
      <c r="F51" s="191">
        <f>67293.78+540230</f>
        <v>607523.78</v>
      </c>
      <c r="G51" s="78">
        <f>36664+438781</f>
        <v>475445</v>
      </c>
      <c r="H51" s="78">
        <f>E51+F51-G51</f>
        <v>1074608.6399999999</v>
      </c>
      <c r="I51" s="192">
        <f>48880.38+763074.26</f>
        <v>811954.64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299032.80000000005</v>
      </c>
      <c r="F52" s="191">
        <v>613048</v>
      </c>
      <c r="G52" s="78">
        <v>456000</v>
      </c>
      <c r="H52" s="78">
        <f>E52+F52-G52</f>
        <v>456080.80000000005</v>
      </c>
      <c r="I52" s="192">
        <f>H52</f>
        <v>456080.80000000005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1305644.3399999999</v>
      </c>
      <c r="F53" s="196">
        <f>F49+F50+F51+F52</f>
        <v>1313125.77</v>
      </c>
      <c r="G53" s="197">
        <f>G49+G50+G51+G52</f>
        <v>1033245</v>
      </c>
      <c r="H53" s="197">
        <f>H49+H50+H51+H52</f>
        <v>1585525.1099999999</v>
      </c>
      <c r="I53" s="198">
        <f>I49+I50+I51+I52</f>
        <v>1321920.08</v>
      </c>
      <c r="J53" s="5"/>
    </row>
    <row r="54" spans="1:10" ht="18.75" hidden="1" thickTop="1" x14ac:dyDescent="0.35">
      <c r="A54" s="79"/>
      <c r="B54" s="68"/>
      <c r="C54" s="68"/>
      <c r="D54" s="38"/>
      <c r="E54" s="38"/>
      <c r="F54" s="71"/>
      <c r="G54" s="87"/>
      <c r="H54" s="80"/>
      <c r="I54" s="80"/>
    </row>
    <row r="55" spans="1:10" ht="18" hidden="1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hidden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hidden="1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hidden="1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F46:F47"/>
    <mergeCell ref="H12:I12"/>
    <mergeCell ref="E5:I5"/>
    <mergeCell ref="E7:I7"/>
    <mergeCell ref="E46:E47"/>
    <mergeCell ref="C28:E28"/>
    <mergeCell ref="C31:F31"/>
    <mergeCell ref="B32:F32"/>
    <mergeCell ref="A42:I43"/>
    <mergeCell ref="A2:D2"/>
    <mergeCell ref="E2:I2"/>
    <mergeCell ref="E4:I4"/>
    <mergeCell ref="E3:I3"/>
    <mergeCell ref="H44:I44"/>
    <mergeCell ref="A33:I34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9"/>
  <sheetViews>
    <sheetView topLeftCell="A19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5703125" style="13" customWidth="1"/>
    <col min="10" max="10" width="18.85546875" style="104" customWidth="1"/>
    <col min="11" max="11" width="16.28515625" style="104" customWidth="1"/>
    <col min="12" max="16384" width="9.140625" style="104"/>
  </cols>
  <sheetData>
    <row r="1" spans="1:11" ht="19.5" x14ac:dyDescent="0.4">
      <c r="A1" s="11" t="s">
        <v>26</v>
      </c>
      <c r="B1" s="12"/>
      <c r="C1" s="12"/>
      <c r="D1" s="12"/>
    </row>
    <row r="2" spans="1:11" ht="19.5" x14ac:dyDescent="0.4">
      <c r="A2" s="541" t="s">
        <v>99</v>
      </c>
      <c r="B2" s="541"/>
      <c r="C2" s="541"/>
      <c r="D2" s="541"/>
      <c r="E2" s="558" t="s">
        <v>261</v>
      </c>
      <c r="F2" s="558"/>
      <c r="G2" s="558"/>
      <c r="H2" s="558"/>
      <c r="I2" s="558"/>
    </row>
    <row r="3" spans="1:11" ht="9.75" customHeight="1" x14ac:dyDescent="0.4">
      <c r="A3" s="103"/>
      <c r="B3" s="103"/>
      <c r="C3" s="103"/>
      <c r="D3" s="103"/>
      <c r="E3" s="544" t="s">
        <v>100</v>
      </c>
      <c r="F3" s="544"/>
      <c r="G3" s="544"/>
      <c r="H3" s="544"/>
      <c r="I3" s="544"/>
    </row>
    <row r="4" spans="1:11" ht="15.75" x14ac:dyDescent="0.25">
      <c r="A4" s="17" t="s">
        <v>27</v>
      </c>
      <c r="E4" s="555" t="s">
        <v>148</v>
      </c>
      <c r="F4" s="555"/>
      <c r="G4" s="555"/>
      <c r="H4" s="555"/>
      <c r="I4" s="555"/>
    </row>
    <row r="5" spans="1:11" ht="8.25" customHeight="1" x14ac:dyDescent="0.25">
      <c r="A5" s="17"/>
      <c r="E5" s="544" t="s">
        <v>100</v>
      </c>
      <c r="F5" s="544"/>
      <c r="G5" s="544"/>
      <c r="H5" s="544"/>
      <c r="I5" s="544"/>
    </row>
    <row r="6" spans="1:11" ht="19.5" x14ac:dyDescent="0.4">
      <c r="A6" s="18" t="s">
        <v>24</v>
      </c>
      <c r="E6" s="126" t="s">
        <v>264</v>
      </c>
      <c r="F6" s="20"/>
      <c r="G6" s="21" t="s">
        <v>37</v>
      </c>
      <c r="H6" s="22">
        <v>1420</v>
      </c>
    </row>
    <row r="7" spans="1:11" ht="12.75" customHeight="1" x14ac:dyDescent="0.4">
      <c r="A7" s="18"/>
      <c r="E7" s="544" t="s">
        <v>101</v>
      </c>
      <c r="F7" s="544"/>
      <c r="G7" s="544"/>
      <c r="H7" s="544"/>
      <c r="I7" s="544"/>
    </row>
    <row r="8" spans="1:11" ht="8.25" customHeight="1" x14ac:dyDescent="0.4">
      <c r="A8" s="18"/>
      <c r="E8" s="23"/>
      <c r="F8" s="23"/>
      <c r="G8" s="23"/>
      <c r="H8" s="21"/>
      <c r="I8" s="23"/>
    </row>
    <row r="9" spans="1:11" x14ac:dyDescent="0.2">
      <c r="F9" s="24"/>
    </row>
    <row r="10" spans="1:11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1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1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1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1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1" s="40" customFormat="1" ht="19.5" x14ac:dyDescent="0.4">
      <c r="A15" s="39" t="s">
        <v>3</v>
      </c>
      <c r="B15" s="34"/>
      <c r="C15" s="35"/>
      <c r="D15" s="36"/>
      <c r="E15" s="127">
        <v>16530000</v>
      </c>
      <c r="F15" s="128">
        <v>21385125.09</v>
      </c>
      <c r="G15" s="6">
        <f>H15+I15</f>
        <v>21385962.09</v>
      </c>
      <c r="H15" s="127">
        <v>19926730.190000001</v>
      </c>
      <c r="I15" s="127">
        <v>1459231.9</v>
      </c>
      <c r="J15" s="227"/>
      <c r="K15" s="228"/>
    </row>
    <row r="16" spans="1:11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16594000</v>
      </c>
      <c r="F17" s="128">
        <v>21368738.539999999</v>
      </c>
      <c r="G17" s="6">
        <f>H17+I17</f>
        <v>21303381.380000003</v>
      </c>
      <c r="H17" s="127">
        <v>19625070.620000001</v>
      </c>
      <c r="I17" s="127">
        <v>1678310.76</v>
      </c>
      <c r="J17" s="26"/>
    </row>
    <row r="18" spans="1:10" s="40" customFormat="1" ht="16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6.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43790</v>
      </c>
      <c r="H21" s="161">
        <v>3800</v>
      </c>
      <c r="I21" s="161">
        <v>39990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-126370.70999999717</v>
      </c>
      <c r="H23" s="264">
        <f>H17-H15-H21</f>
        <v>-305459.5700000003</v>
      </c>
      <c r="I23" s="264">
        <f>I17-I15-I21</f>
        <v>179088.8600000001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-126370.70999999717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0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0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62" t="s">
        <v>325</v>
      </c>
      <c r="B33" s="562"/>
      <c r="C33" s="562"/>
      <c r="D33" s="562"/>
      <c r="E33" s="562"/>
      <c r="F33" s="562"/>
      <c r="G33" s="562"/>
      <c r="H33" s="562"/>
      <c r="I33" s="562"/>
    </row>
    <row r="34" spans="1:10" s="40" customFormat="1" x14ac:dyDescent="0.2">
      <c r="A34" s="562"/>
      <c r="B34" s="562"/>
      <c r="C34" s="562"/>
      <c r="D34" s="562"/>
      <c r="E34" s="562"/>
      <c r="F34" s="562"/>
      <c r="G34" s="562"/>
      <c r="H34" s="562"/>
      <c r="I34" s="562"/>
    </row>
    <row r="35" spans="1:10" s="153" customFormat="1" x14ac:dyDescent="0.2">
      <c r="A35" s="562"/>
      <c r="B35" s="562"/>
      <c r="C35" s="562"/>
      <c r="D35" s="562"/>
      <c r="E35" s="562"/>
      <c r="F35" s="562"/>
      <c r="G35" s="562"/>
      <c r="H35" s="562"/>
      <c r="I35" s="562"/>
      <c r="J35" s="165"/>
    </row>
    <row r="36" spans="1:10" s="153" customFormat="1" ht="19.5" x14ac:dyDescent="0.4">
      <c r="A36" s="34" t="s">
        <v>277</v>
      </c>
      <c r="B36" s="34" t="s">
        <v>31</v>
      </c>
      <c r="C36" s="34"/>
      <c r="D36" s="56"/>
      <c r="E36" s="38"/>
      <c r="F36" s="3"/>
      <c r="G36" s="57"/>
      <c r="H36" s="50"/>
      <c r="I36" s="50"/>
      <c r="J36" s="165"/>
    </row>
    <row r="37" spans="1:10" s="153" customFormat="1" ht="18.75" x14ac:dyDescent="0.4">
      <c r="A37" s="34"/>
      <c r="B37" s="34"/>
      <c r="C37" s="34"/>
      <c r="D37" s="56"/>
      <c r="E37" s="13"/>
      <c r="F37" s="58" t="s">
        <v>106</v>
      </c>
      <c r="G37" s="156" t="s">
        <v>0</v>
      </c>
      <c r="H37" s="30"/>
      <c r="I37" s="60" t="s">
        <v>107</v>
      </c>
      <c r="J37" s="165"/>
    </row>
    <row r="38" spans="1:10" s="153" customFormat="1" ht="15" customHeight="1" x14ac:dyDescent="0.35">
      <c r="A38" s="166" t="s">
        <v>32</v>
      </c>
      <c r="B38" s="62"/>
      <c r="C38" s="2"/>
      <c r="D38" s="62"/>
      <c r="E38" s="38"/>
      <c r="F38" s="167">
        <v>0</v>
      </c>
      <c r="G38" s="167">
        <v>0</v>
      </c>
      <c r="H38" s="129"/>
      <c r="I38" s="64" t="s">
        <v>211</v>
      </c>
      <c r="J38" s="165"/>
    </row>
    <row r="39" spans="1:10" s="153" customFormat="1" ht="16.5" x14ac:dyDescent="0.35">
      <c r="A39" s="166" t="s">
        <v>108</v>
      </c>
      <c r="B39" s="62"/>
      <c r="C39" s="2"/>
      <c r="D39" s="65"/>
      <c r="E39" s="65"/>
      <c r="F39" s="167">
        <v>3958000</v>
      </c>
      <c r="G39" s="167">
        <v>3898931.84</v>
      </c>
      <c r="H39" s="129"/>
      <c r="I39" s="64">
        <f>G39/F39</f>
        <v>0.98507626073774635</v>
      </c>
      <c r="J39" s="5"/>
    </row>
    <row r="40" spans="1:10" s="153" customFormat="1" ht="16.5" x14ac:dyDescent="0.35">
      <c r="A40" s="166" t="s">
        <v>109</v>
      </c>
      <c r="B40" s="62"/>
      <c r="C40" s="2"/>
      <c r="D40" s="65"/>
      <c r="E40" s="65"/>
      <c r="F40" s="167">
        <v>0</v>
      </c>
      <c r="G40" s="167">
        <v>0</v>
      </c>
      <c r="H40" s="129"/>
      <c r="I40" s="64" t="s">
        <v>211</v>
      </c>
      <c r="J40" s="5"/>
    </row>
    <row r="41" spans="1:10" s="153" customFormat="1" ht="16.5" x14ac:dyDescent="0.35">
      <c r="A41" s="166" t="s">
        <v>206</v>
      </c>
      <c r="B41" s="62"/>
      <c r="C41" s="2"/>
      <c r="D41" s="38"/>
      <c r="E41" s="38"/>
      <c r="F41" s="167">
        <v>2969000</v>
      </c>
      <c r="G41" s="167">
        <v>2969000</v>
      </c>
      <c r="H41" s="129"/>
      <c r="I41" s="64">
        <f>G41/F41</f>
        <v>1</v>
      </c>
      <c r="J41" s="5"/>
    </row>
    <row r="42" spans="1:10" s="153" customFormat="1" ht="16.5" customHeight="1" x14ac:dyDescent="0.35">
      <c r="A42" s="166" t="s">
        <v>278</v>
      </c>
      <c r="B42" s="37"/>
      <c r="C42" s="37"/>
      <c r="D42" s="30"/>
      <c r="E42" s="30" t="s">
        <v>279</v>
      </c>
      <c r="F42" s="167">
        <v>0</v>
      </c>
      <c r="G42" s="167">
        <v>0</v>
      </c>
      <c r="H42" s="129"/>
      <c r="I42" s="168" t="s">
        <v>211</v>
      </c>
      <c r="J42" s="5"/>
    </row>
    <row r="43" spans="1:10" s="153" customFormat="1" x14ac:dyDescent="0.2">
      <c r="A43" s="551" t="s">
        <v>344</v>
      </c>
      <c r="B43" s="551"/>
      <c r="C43" s="551"/>
      <c r="D43" s="551"/>
      <c r="E43" s="551"/>
      <c r="F43" s="551"/>
      <c r="G43" s="551"/>
      <c r="H43" s="551"/>
      <c r="I43" s="551"/>
      <c r="J43" s="5"/>
    </row>
    <row r="44" spans="1:10" s="153" customFormat="1" ht="5.25" customHeigh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280</v>
      </c>
      <c r="B45" s="34" t="s">
        <v>12</v>
      </c>
      <c r="C45" s="36"/>
      <c r="D45" s="38"/>
      <c r="E45" s="38"/>
      <c r="F45" s="71"/>
      <c r="G45" s="72"/>
      <c r="H45" s="546" t="s">
        <v>110</v>
      </c>
      <c r="I45" s="547"/>
      <c r="J45" s="5"/>
    </row>
    <row r="46" spans="1:10" s="153" customFormat="1" ht="18" x14ac:dyDescent="0.35">
      <c r="A46" s="169"/>
      <c r="B46" s="170"/>
      <c r="C46" s="171"/>
      <c r="D46" s="170"/>
      <c r="E46" s="172" t="s">
        <v>281</v>
      </c>
      <c r="F46" s="173" t="s">
        <v>9</v>
      </c>
      <c r="G46" s="173" t="s">
        <v>10</v>
      </c>
      <c r="H46" s="174" t="s">
        <v>13</v>
      </c>
      <c r="I46" s="175" t="s">
        <v>111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6"/>
      <c r="H47" s="117">
        <v>41639</v>
      </c>
      <c r="I47" s="178">
        <v>41639</v>
      </c>
      <c r="J47" s="5"/>
    </row>
    <row r="48" spans="1:10" s="153" customFormat="1" x14ac:dyDescent="0.2">
      <c r="A48" s="176"/>
      <c r="B48" s="177"/>
      <c r="C48" s="177"/>
      <c r="D48" s="177"/>
      <c r="E48" s="548"/>
      <c r="F48" s="549"/>
      <c r="G48" s="119"/>
      <c r="H48" s="119"/>
      <c r="I48" s="179"/>
      <c r="J48" s="5"/>
    </row>
    <row r="49" spans="1:10" s="153" customFormat="1" ht="13.5" thickBot="1" x14ac:dyDescent="0.25">
      <c r="A49" s="180"/>
      <c r="B49" s="181"/>
      <c r="C49" s="181"/>
      <c r="D49" s="181"/>
      <c r="E49" s="182"/>
      <c r="F49" s="183"/>
      <c r="G49" s="183"/>
      <c r="H49" s="183"/>
      <c r="I49" s="184"/>
      <c r="J49" s="5"/>
    </row>
    <row r="50" spans="1:10" s="153" customFormat="1" ht="13.5" thickTop="1" x14ac:dyDescent="0.2">
      <c r="A50" s="185"/>
      <c r="B50" s="74"/>
      <c r="C50" s="74" t="s">
        <v>6</v>
      </c>
      <c r="D50" s="74"/>
      <c r="E50" s="186">
        <v>2000</v>
      </c>
      <c r="F50" s="187">
        <v>6000</v>
      </c>
      <c r="G50" s="75">
        <v>6000</v>
      </c>
      <c r="H50" s="75">
        <f>E50+F50-G50</f>
        <v>2000</v>
      </c>
      <c r="I50" s="188">
        <f>H50</f>
        <v>2000</v>
      </c>
      <c r="J50" s="5"/>
    </row>
    <row r="51" spans="1:10" s="153" customFormat="1" x14ac:dyDescent="0.2">
      <c r="A51" s="189"/>
      <c r="B51" s="77"/>
      <c r="C51" s="77" t="s">
        <v>8</v>
      </c>
      <c r="D51" s="77"/>
      <c r="E51" s="190">
        <v>25413.64</v>
      </c>
      <c r="F51" s="191">
        <v>31395</v>
      </c>
      <c r="G51" s="78">
        <v>38548</v>
      </c>
      <c r="H51" s="78">
        <f>E51+F51-G51</f>
        <v>18260.64</v>
      </c>
      <c r="I51" s="192">
        <v>19760.8</v>
      </c>
      <c r="J51" s="5"/>
    </row>
    <row r="52" spans="1:10" s="153" customFormat="1" x14ac:dyDescent="0.2">
      <c r="A52" s="189"/>
      <c r="B52" s="77"/>
      <c r="C52" s="77" t="s">
        <v>7</v>
      </c>
      <c r="D52" s="77"/>
      <c r="E52" s="190">
        <v>247674.61</v>
      </c>
      <c r="F52" s="191">
        <v>126236.39</v>
      </c>
      <c r="G52" s="78">
        <v>0</v>
      </c>
      <c r="H52" s="78">
        <f>E52+F52-G52</f>
        <v>373911</v>
      </c>
      <c r="I52" s="192">
        <f>H52</f>
        <v>373911</v>
      </c>
      <c r="J52" s="5"/>
    </row>
    <row r="53" spans="1:10" s="153" customFormat="1" x14ac:dyDescent="0.2">
      <c r="A53" s="189"/>
      <c r="B53" s="77"/>
      <c r="C53" s="77" t="s">
        <v>15</v>
      </c>
      <c r="D53" s="77"/>
      <c r="E53" s="190">
        <v>1561361.2799999998</v>
      </c>
      <c r="F53" s="191">
        <v>4178921.6</v>
      </c>
      <c r="G53" s="78">
        <v>3689674.79</v>
      </c>
      <c r="H53" s="78">
        <f>E53+F53-G53</f>
        <v>2050608.0899999999</v>
      </c>
      <c r="I53" s="192">
        <f>H53</f>
        <v>2050608.0899999999</v>
      </c>
      <c r="J53" s="5"/>
    </row>
    <row r="54" spans="1:10" s="153" customFormat="1" ht="18.75" thickBot="1" x14ac:dyDescent="0.4">
      <c r="A54" s="193" t="s">
        <v>2</v>
      </c>
      <c r="B54" s="194"/>
      <c r="C54" s="194"/>
      <c r="D54" s="194"/>
      <c r="E54" s="195">
        <f>E50+E51+E52+E53</f>
        <v>1836449.5299999998</v>
      </c>
      <c r="F54" s="196">
        <f>F50+F51+F52+F53</f>
        <v>4342552.99</v>
      </c>
      <c r="G54" s="197">
        <f>G50+G51+G52+G53</f>
        <v>3734222.79</v>
      </c>
      <c r="H54" s="197">
        <f>H50+H51+H52+H53</f>
        <v>2444779.73</v>
      </c>
      <c r="I54" s="198">
        <f>I50+I51+I52+I53</f>
        <v>2446279.8899999997</v>
      </c>
      <c r="J54" s="5"/>
    </row>
    <row r="55" spans="1:10" ht="9" customHeight="1" x14ac:dyDescent="0.35">
      <c r="A55" s="79"/>
      <c r="B55" s="68"/>
      <c r="C55" s="68"/>
      <c r="D55" s="38"/>
      <c r="E55" s="38"/>
      <c r="F55" s="71"/>
      <c r="G55" s="72"/>
      <c r="H55" s="80"/>
      <c r="I55" s="80"/>
    </row>
    <row r="56" spans="1:10" ht="18" x14ac:dyDescent="0.35">
      <c r="A56" s="79"/>
      <c r="B56" s="68"/>
      <c r="C56" s="68"/>
      <c r="D56" s="38"/>
      <c r="E56" s="38"/>
      <c r="F56" s="71"/>
      <c r="G56" s="81"/>
      <c r="H56" s="82"/>
      <c r="I56" s="82"/>
    </row>
    <row r="57" spans="1:10" ht="18" x14ac:dyDescent="0.35">
      <c r="A57" s="83"/>
      <c r="B57" s="84"/>
      <c r="C57" s="84"/>
      <c r="D57" s="85"/>
      <c r="E57" s="85"/>
      <c r="F57" s="82"/>
      <c r="G57" s="82"/>
      <c r="H57" s="82"/>
      <c r="I57" s="82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  <row r="59" spans="1:10" x14ac:dyDescent="0.2">
      <c r="A59" s="86"/>
      <c r="B59" s="86"/>
      <c r="C59" s="86"/>
      <c r="D59" s="86"/>
      <c r="E59" s="86"/>
      <c r="F59" s="86"/>
      <c r="G59" s="86"/>
      <c r="H59" s="86"/>
      <c r="I59" s="86"/>
    </row>
  </sheetData>
  <mergeCells count="15">
    <mergeCell ref="H12:I12"/>
    <mergeCell ref="A43:I43"/>
    <mergeCell ref="H45:I45"/>
    <mergeCell ref="F47:F48"/>
    <mergeCell ref="A33:I35"/>
    <mergeCell ref="E47:E48"/>
    <mergeCell ref="C28:E28"/>
    <mergeCell ref="C31:F31"/>
    <mergeCell ref="B32:F32"/>
    <mergeCell ref="E7:I7"/>
    <mergeCell ref="A2:D2"/>
    <mergeCell ref="E2:I2"/>
    <mergeCell ref="E3:I3"/>
    <mergeCell ref="E4:I4"/>
    <mergeCell ref="E5:I5"/>
  </mergeCells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9">
    <tabColor theme="3" tint="0.59999389629810485"/>
  </sheetPr>
  <dimension ref="A1:J58"/>
  <sheetViews>
    <sheetView topLeftCell="A22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253</v>
      </c>
      <c r="F2" s="558"/>
      <c r="G2" s="558"/>
      <c r="H2" s="558"/>
      <c r="I2" s="558"/>
      <c r="J2" s="16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69" t="s">
        <v>265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205</v>
      </c>
      <c r="F6" s="20"/>
      <c r="G6" s="21" t="s">
        <v>37</v>
      </c>
      <c r="H6" s="22">
        <v>1450</v>
      </c>
    </row>
    <row r="7" spans="1:10" ht="7.5" customHeight="1" x14ac:dyDescent="0.4">
      <c r="A7" s="18"/>
      <c r="E7" s="544" t="s">
        <v>101</v>
      </c>
      <c r="F7" s="544"/>
      <c r="G7" s="544"/>
      <c r="H7" s="544"/>
      <c r="I7" s="544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36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2979000</v>
      </c>
      <c r="F15" s="128">
        <v>27414415</v>
      </c>
      <c r="G15" s="6">
        <f>H15+I15</f>
        <v>27495188.149999999</v>
      </c>
      <c r="H15" s="127">
        <v>27495188.149999999</v>
      </c>
      <c r="I15" s="127">
        <v>0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2979000</v>
      </c>
      <c r="F17" s="128">
        <v>27673615</v>
      </c>
      <c r="G17" s="6">
        <f>H17+I17</f>
        <v>27631532.710000001</v>
      </c>
      <c r="H17" s="127">
        <v>27631532.710000001</v>
      </c>
      <c r="I17" s="127">
        <v>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136344.56000000238</v>
      </c>
      <c r="H23" s="264">
        <f>H17-H15-H21</f>
        <v>136344.56000000238</v>
      </c>
      <c r="I23" s="264">
        <f>I17-I15-I21</f>
        <v>0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136344.56000000238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136344.56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25000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111344.56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hidden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100000</v>
      </c>
      <c r="G37" s="167">
        <v>86800</v>
      </c>
      <c r="H37" s="129"/>
      <c r="I37" s="64">
        <f>G37/F37</f>
        <v>0.86799999999999999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24515</v>
      </c>
      <c r="G38" s="167">
        <v>24515</v>
      </c>
      <c r="H38" s="129"/>
      <c r="I38" s="64">
        <f>G38/F38</f>
        <v>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18386</v>
      </c>
      <c r="G40" s="167">
        <v>18386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78825</v>
      </c>
      <c r="F49" s="187">
        <v>25000</v>
      </c>
      <c r="G49" s="75">
        <v>0</v>
      </c>
      <c r="H49" s="75">
        <f>E49+F49-G49</f>
        <v>103825</v>
      </c>
      <c r="I49" s="188">
        <v>29898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85377.469999999972</v>
      </c>
      <c r="F50" s="191">
        <v>175206</v>
      </c>
      <c r="G50" s="78">
        <v>204796</v>
      </c>
      <c r="H50" s="78">
        <f>E50+F50-G50</f>
        <v>55787.469999999972</v>
      </c>
      <c r="I50" s="192">
        <v>65667.47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523593.47</v>
      </c>
      <c r="F51" s="191">
        <v>102212.04</v>
      </c>
      <c r="G51" s="78">
        <v>0</v>
      </c>
      <c r="H51" s="78">
        <f>E51+F51-G51</f>
        <v>625805.51</v>
      </c>
      <c r="I51" s="192">
        <v>593731.47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880841.32</v>
      </c>
      <c r="F52" s="191">
        <v>24515</v>
      </c>
      <c r="G52" s="78">
        <v>18386</v>
      </c>
      <c r="H52" s="78">
        <f>E52+F52-G52</f>
        <v>886970.32</v>
      </c>
      <c r="I52" s="192">
        <v>243095.29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1568637.2599999998</v>
      </c>
      <c r="F53" s="196">
        <f>F49+F50+F51+F52</f>
        <v>326933.03999999998</v>
      </c>
      <c r="G53" s="197">
        <f>G49+G50+G51+G52</f>
        <v>223182</v>
      </c>
      <c r="H53" s="197">
        <f>H49+H50+H51+H52</f>
        <v>1672388.2999999998</v>
      </c>
      <c r="I53" s="198">
        <f>I49+I50+I51+I52</f>
        <v>932392.23</v>
      </c>
      <c r="J53" s="5"/>
    </row>
    <row r="54" spans="1:10" ht="18.75" hidden="1" thickTop="1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hidden="1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hidden="1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hidden="1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A2:D2"/>
    <mergeCell ref="E4:I4"/>
    <mergeCell ref="E2:I2"/>
    <mergeCell ref="E3:I3"/>
    <mergeCell ref="F46:F47"/>
    <mergeCell ref="E5:I5"/>
    <mergeCell ref="E7:I7"/>
    <mergeCell ref="H44:I44"/>
    <mergeCell ref="H12:I12"/>
    <mergeCell ref="A33:I34"/>
    <mergeCell ref="A42:I42"/>
    <mergeCell ref="E46:E47"/>
    <mergeCell ref="C28:E28"/>
    <mergeCell ref="C31:F31"/>
    <mergeCell ref="B32:F32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0" workbookViewId="0">
      <selection activeCell="F42" sqref="F42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28515625" style="13" customWidth="1"/>
    <col min="10" max="10" width="18.85546875" style="137" customWidth="1"/>
    <col min="11" max="11" width="17.28515625" style="137" customWidth="1"/>
    <col min="12" max="16384" width="9.140625" style="137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2</v>
      </c>
      <c r="F2" s="558"/>
      <c r="G2" s="558"/>
      <c r="H2" s="558"/>
      <c r="I2" s="558"/>
      <c r="J2" s="136"/>
    </row>
    <row r="3" spans="1:10" ht="19.5" x14ac:dyDescent="0.4">
      <c r="A3" s="133"/>
      <c r="B3" s="133"/>
      <c r="C3" s="133"/>
      <c r="D3" s="133"/>
      <c r="E3" s="544"/>
      <c r="F3" s="544"/>
      <c r="G3" s="544"/>
      <c r="H3" s="544"/>
      <c r="I3" s="544"/>
    </row>
    <row r="4" spans="1:10" ht="15.75" x14ac:dyDescent="0.25">
      <c r="A4" s="17" t="s">
        <v>27</v>
      </c>
      <c r="E4" s="569"/>
      <c r="F4" s="555"/>
      <c r="G4" s="555"/>
      <c r="H4" s="555"/>
      <c r="I4" s="555"/>
    </row>
    <row r="5" spans="1:10" ht="15.75" x14ac:dyDescent="0.25">
      <c r="A5" s="17"/>
      <c r="E5" s="544"/>
      <c r="F5" s="544"/>
      <c r="G5" s="544"/>
      <c r="H5" s="544"/>
      <c r="I5" s="544"/>
    </row>
    <row r="6" spans="1:10" ht="19.5" x14ac:dyDescent="0.4">
      <c r="A6" s="18" t="s">
        <v>24</v>
      </c>
      <c r="E6" s="19"/>
      <c r="F6" s="20"/>
      <c r="G6" s="21"/>
      <c r="H6" s="22"/>
    </row>
    <row r="7" spans="1:10" ht="19.5" x14ac:dyDescent="0.4">
      <c r="A7" s="18"/>
      <c r="E7" s="544"/>
      <c r="F7" s="544"/>
      <c r="G7" s="544"/>
      <c r="H7" s="544"/>
      <c r="I7" s="544"/>
    </row>
    <row r="8" spans="1:10" ht="19.5" x14ac:dyDescent="0.4">
      <c r="A8" s="18"/>
      <c r="E8" s="23"/>
      <c r="F8" s="23"/>
      <c r="G8" s="23"/>
      <c r="H8" s="21"/>
      <c r="I8" s="23"/>
    </row>
    <row r="9" spans="1:10" x14ac:dyDescent="0.2">
      <c r="F9" s="24"/>
    </row>
    <row r="10" spans="1:10" ht="18.75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29" t="s">
        <v>17</v>
      </c>
      <c r="I10" s="29"/>
    </row>
    <row r="11" spans="1:10" ht="18.75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31" t="s">
        <v>1</v>
      </c>
      <c r="I11" s="32" t="s">
        <v>16</v>
      </c>
    </row>
    <row r="12" spans="1:10" ht="15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84" t="s">
        <v>262</v>
      </c>
      <c r="I12" s="584"/>
    </row>
    <row r="13" spans="1:10" ht="15" x14ac:dyDescent="0.2">
      <c r="A13" s="30"/>
      <c r="B13" s="30"/>
      <c r="C13" s="30"/>
      <c r="D13" s="30"/>
      <c r="E13" s="27"/>
      <c r="F13" s="27"/>
      <c r="G13" s="33"/>
      <c r="H13" s="134"/>
      <c r="I13" s="135"/>
    </row>
    <row r="14" spans="1:10" ht="18.75" x14ac:dyDescent="0.4">
      <c r="A14" s="34" t="s">
        <v>21</v>
      </c>
      <c r="B14" s="34"/>
      <c r="C14" s="35"/>
      <c r="D14" s="36"/>
      <c r="E14" s="37"/>
      <c r="F14" s="37"/>
      <c r="G14" s="38"/>
      <c r="H14" s="30"/>
      <c r="I14" s="30"/>
    </row>
    <row r="15" spans="1:10" ht="19.5" x14ac:dyDescent="0.4">
      <c r="A15" s="39" t="s">
        <v>3</v>
      </c>
      <c r="B15" s="34"/>
      <c r="C15" s="35"/>
      <c r="D15" s="36"/>
      <c r="E15" s="127">
        <f>SUM('1000:1450'!E15)</f>
        <v>254973000</v>
      </c>
      <c r="F15" s="127">
        <f>SUM('1000:1450'!F15)</f>
        <v>949283781.72000015</v>
      </c>
      <c r="G15" s="127">
        <f>SUM('1000:1450'!G15)</f>
        <v>987403817.68000007</v>
      </c>
      <c r="H15" s="127">
        <f>SUM('1000:1450'!H15)</f>
        <v>960218873.2700001</v>
      </c>
      <c r="I15" s="127">
        <f>SUM('1000:1450'!I15)</f>
        <v>27184944.409999996</v>
      </c>
    </row>
    <row r="16" spans="1:10" ht="16.5" x14ac:dyDescent="0.35">
      <c r="A16" s="2"/>
      <c r="B16" s="26"/>
      <c r="C16" s="26"/>
      <c r="D16" s="26"/>
      <c r="E16" s="40"/>
      <c r="F16" s="40"/>
      <c r="G16" s="40"/>
      <c r="H16" s="40"/>
      <c r="I16" s="40"/>
    </row>
    <row r="17" spans="1:9" ht="19.5" x14ac:dyDescent="0.4">
      <c r="A17" s="39" t="s">
        <v>4</v>
      </c>
      <c r="B17" s="3"/>
      <c r="C17" s="3"/>
      <c r="D17" s="3"/>
      <c r="E17" s="127">
        <f>SUM('1000:1450'!E17)</f>
        <v>257856704.16</v>
      </c>
      <c r="F17" s="127">
        <f>SUM('1000:1450'!F17)</f>
        <v>1003712433.05</v>
      </c>
      <c r="G17" s="127">
        <f>SUM('1000:1450'!G17)</f>
        <v>995756301.86999989</v>
      </c>
      <c r="H17" s="127">
        <f>SUM('1000:1450'!H17)</f>
        <v>961626144.75999987</v>
      </c>
      <c r="I17" s="127">
        <f>SUM('1000:1450'!I17)</f>
        <v>34130157.109999999</v>
      </c>
    </row>
    <row r="18" spans="1:9" ht="18" x14ac:dyDescent="0.35">
      <c r="A18" s="2"/>
      <c r="B18" s="3"/>
      <c r="C18" s="3"/>
      <c r="D18" s="3"/>
      <c r="E18" s="6"/>
      <c r="F18" s="7"/>
      <c r="G18" s="6"/>
      <c r="H18" s="8"/>
      <c r="I18" s="8"/>
    </row>
    <row r="19" spans="1:9" ht="18" x14ac:dyDescent="0.35">
      <c r="A19" s="2"/>
      <c r="B19" s="3"/>
      <c r="C19" s="3"/>
      <c r="D19" s="3"/>
      <c r="E19" s="41"/>
      <c r="F19" s="41"/>
      <c r="G19" s="42"/>
      <c r="H19" s="1"/>
      <c r="I19" s="1"/>
    </row>
    <row r="20" spans="1:9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</row>
    <row r="21" spans="1:9" ht="18" x14ac:dyDescent="0.35">
      <c r="A21" s="41"/>
      <c r="B21" s="41"/>
      <c r="C21" s="45" t="s">
        <v>102</v>
      </c>
      <c r="D21" s="41"/>
      <c r="E21" s="41"/>
      <c r="F21" s="41"/>
      <c r="G21" s="127">
        <f>SUM('1000:1450'!G21)</f>
        <v>393080</v>
      </c>
      <c r="H21" s="127">
        <f>SUM('1000:1450'!H21)</f>
        <v>64953</v>
      </c>
      <c r="I21" s="127">
        <f>SUM('1000:1450'!I21)</f>
        <v>328127</v>
      </c>
    </row>
    <row r="22" spans="1:9" ht="18" x14ac:dyDescent="0.35">
      <c r="A22" s="41"/>
      <c r="B22" s="41"/>
      <c r="C22" s="45"/>
      <c r="D22" s="41"/>
      <c r="E22" s="41"/>
      <c r="F22" s="41"/>
      <c r="G22" s="9"/>
      <c r="H22" s="10"/>
      <c r="I22" s="10"/>
    </row>
    <row r="23" spans="1:9" ht="22.5" x14ac:dyDescent="0.45">
      <c r="A23" s="46" t="s">
        <v>103</v>
      </c>
      <c r="B23" s="46"/>
      <c r="C23" s="47"/>
      <c r="D23" s="46"/>
      <c r="E23" s="46"/>
      <c r="F23" s="46"/>
      <c r="G23" s="127">
        <f>SUM('1000:1450'!G23)</f>
        <v>7959404.1900000256</v>
      </c>
      <c r="H23" s="127">
        <f>SUM('1000:1450'!H23)</f>
        <v>1342318.4900000067</v>
      </c>
      <c r="I23" s="127">
        <f>SUM('1000:1450'!I23)</f>
        <v>6617085.7000000011</v>
      </c>
    </row>
    <row r="25" spans="1:9" x14ac:dyDescent="0.2">
      <c r="H25" s="48"/>
    </row>
    <row r="27" spans="1:9" ht="18.75" x14ac:dyDescent="0.4">
      <c r="A27" s="34" t="s">
        <v>5</v>
      </c>
      <c r="B27" s="34" t="s">
        <v>104</v>
      </c>
      <c r="C27" s="34"/>
      <c r="D27" s="3"/>
      <c r="E27" s="3"/>
      <c r="F27" s="30"/>
      <c r="G27" s="127">
        <f>SUM('1000:1450'!G27)</f>
        <v>0</v>
      </c>
      <c r="H27" s="49"/>
      <c r="I27" s="50"/>
    </row>
    <row r="28" spans="1:9" ht="18.75" x14ac:dyDescent="0.4">
      <c r="A28" s="51"/>
      <c r="B28" s="51"/>
      <c r="C28" s="52" t="s">
        <v>28</v>
      </c>
      <c r="D28" s="53"/>
      <c r="E28" s="54"/>
      <c r="F28" s="48" t="s">
        <v>6</v>
      </c>
      <c r="G28" s="127">
        <f>SUM('1000:1450'!G28)</f>
        <v>5364640.0699999994</v>
      </c>
      <c r="H28" s="49"/>
      <c r="I28" s="50"/>
    </row>
    <row r="29" spans="1:9" ht="18.75" x14ac:dyDescent="0.4">
      <c r="A29" s="51"/>
      <c r="B29" s="51"/>
      <c r="C29" s="52"/>
      <c r="D29" s="53"/>
      <c r="E29" s="54"/>
      <c r="F29" s="48" t="s">
        <v>7</v>
      </c>
      <c r="G29" s="127">
        <f>SUM('1000:1450'!G29)</f>
        <v>567198</v>
      </c>
      <c r="H29" s="49"/>
      <c r="I29" s="50"/>
    </row>
    <row r="30" spans="1:9" ht="18.75" x14ac:dyDescent="0.4">
      <c r="A30" s="51"/>
      <c r="B30" s="51"/>
      <c r="C30" s="52" t="s">
        <v>29</v>
      </c>
      <c r="D30" s="53"/>
      <c r="E30" s="54"/>
      <c r="F30" s="48" t="s">
        <v>209</v>
      </c>
      <c r="G30" s="127">
        <f>SUM('1000:1450'!G30)</f>
        <v>4797442.0699999994</v>
      </c>
      <c r="H30" s="55"/>
      <c r="I30" s="50"/>
    </row>
    <row r="31" spans="1:9" x14ac:dyDescent="0.2">
      <c r="A31" s="585"/>
      <c r="B31" s="586"/>
      <c r="C31" s="586"/>
      <c r="D31" s="586"/>
      <c r="E31" s="586"/>
      <c r="F31" s="586"/>
      <c r="G31" s="586"/>
      <c r="H31" s="586"/>
      <c r="I31" s="586"/>
    </row>
    <row r="32" spans="1:9" x14ac:dyDescent="0.2">
      <c r="A32" s="586"/>
      <c r="B32" s="586"/>
      <c r="C32" s="586"/>
      <c r="D32" s="586"/>
      <c r="E32" s="586"/>
      <c r="F32" s="586"/>
      <c r="G32" s="586"/>
      <c r="H32" s="586"/>
      <c r="I32" s="586"/>
    </row>
    <row r="33" spans="1:10" x14ac:dyDescent="0.2">
      <c r="A33" s="586"/>
      <c r="B33" s="586"/>
      <c r="C33" s="586"/>
      <c r="D33" s="586"/>
      <c r="E33" s="586"/>
      <c r="F33" s="586"/>
      <c r="G33" s="586"/>
      <c r="H33" s="586"/>
      <c r="I33" s="586"/>
    </row>
    <row r="34" spans="1:10" ht="19.5" x14ac:dyDescent="0.4">
      <c r="A34" s="34" t="s">
        <v>30</v>
      </c>
      <c r="B34" s="34" t="s">
        <v>31</v>
      </c>
      <c r="C34" s="34"/>
      <c r="D34" s="56"/>
      <c r="E34" s="38"/>
      <c r="F34" s="3"/>
      <c r="G34" s="57"/>
      <c r="H34" s="50"/>
      <c r="I34" s="50"/>
    </row>
    <row r="35" spans="1:10" ht="18.75" x14ac:dyDescent="0.4">
      <c r="A35" s="34"/>
      <c r="B35" s="34"/>
      <c r="C35" s="34"/>
      <c r="D35" s="56"/>
      <c r="F35" s="58" t="s">
        <v>106</v>
      </c>
      <c r="G35" s="59" t="s">
        <v>0</v>
      </c>
      <c r="H35" s="30"/>
      <c r="I35" s="60" t="s">
        <v>107</v>
      </c>
    </row>
    <row r="36" spans="1:10" ht="16.5" x14ac:dyDescent="0.35">
      <c r="A36" s="61" t="s">
        <v>32</v>
      </c>
      <c r="B36" s="62"/>
      <c r="C36" s="2"/>
      <c r="D36" s="62"/>
      <c r="E36" s="38"/>
      <c r="F36" s="127">
        <f>SUM('1000:1450'!F36)</f>
        <v>0</v>
      </c>
      <c r="G36" s="127">
        <f>SUM('1000:1450'!G36)</f>
        <v>0</v>
      </c>
      <c r="H36" s="129"/>
      <c r="I36" s="64" t="s">
        <v>211</v>
      </c>
    </row>
    <row r="37" spans="1:10" ht="16.5" x14ac:dyDescent="0.35">
      <c r="A37" s="61" t="s">
        <v>108</v>
      </c>
      <c r="B37" s="62"/>
      <c r="C37" s="2"/>
      <c r="D37" s="65"/>
      <c r="E37" s="65"/>
      <c r="F37" s="127">
        <f>SUM('1000:1450'!F37)</f>
        <v>3529200</v>
      </c>
      <c r="G37" s="127">
        <f>SUM('1000:1450'!G37)</f>
        <v>3021478</v>
      </c>
      <c r="H37" s="129"/>
      <c r="I37" s="64">
        <f>G37/F37</f>
        <v>0.8561368015414258</v>
      </c>
      <c r="J37" s="66"/>
    </row>
    <row r="38" spans="1:10" ht="16.5" x14ac:dyDescent="0.35">
      <c r="A38" s="61" t="s">
        <v>109</v>
      </c>
      <c r="B38" s="62"/>
      <c r="C38" s="2"/>
      <c r="D38" s="65"/>
      <c r="E38" s="65"/>
      <c r="F38" s="127">
        <f>SUM('1000:1450'!F38)</f>
        <v>19779208</v>
      </c>
      <c r="G38" s="127">
        <f>SUM('1000:1450'!G38)</f>
        <v>19761284.949999999</v>
      </c>
      <c r="H38" s="129"/>
      <c r="I38" s="67" t="s">
        <v>211</v>
      </c>
    </row>
    <row r="39" spans="1:10" ht="16.5" x14ac:dyDescent="0.35">
      <c r="A39" s="61" t="s">
        <v>206</v>
      </c>
      <c r="B39" s="62"/>
      <c r="C39" s="2"/>
      <c r="D39" s="38"/>
      <c r="E39" s="38"/>
      <c r="F39" s="127">
        <f>SUM('1000:1450'!F39)</f>
        <v>17762227</v>
      </c>
      <c r="G39" s="127">
        <f>SUM('1000:1450'!G39)</f>
        <v>17572363.68</v>
      </c>
      <c r="H39" s="129"/>
      <c r="I39" s="64">
        <f>G39/F39</f>
        <v>0.98931083810605502</v>
      </c>
    </row>
    <row r="40" spans="1:10" ht="18" x14ac:dyDescent="0.35">
      <c r="A40" s="61" t="s">
        <v>207</v>
      </c>
      <c r="B40" s="68"/>
      <c r="C40" s="68"/>
      <c r="D40" s="38"/>
      <c r="E40" s="38"/>
      <c r="F40" s="127">
        <f>SUM('1000:1450'!F40)</f>
        <v>15872957</v>
      </c>
      <c r="G40" s="127">
        <f>SUM('1000:1450'!G40)</f>
        <v>15843408.800000001</v>
      </c>
      <c r="H40" s="129"/>
      <c r="I40" s="67" t="s">
        <v>211</v>
      </c>
    </row>
    <row r="41" spans="1:10" x14ac:dyDescent="0.2">
      <c r="A41" s="70"/>
      <c r="B41" s="70"/>
      <c r="C41" s="70"/>
      <c r="D41" s="70"/>
      <c r="E41" s="70"/>
      <c r="F41" s="70"/>
      <c r="G41" s="70"/>
      <c r="H41" s="70"/>
      <c r="I41" s="70"/>
      <c r="J41" s="136"/>
    </row>
    <row r="42" spans="1:10" ht="18" x14ac:dyDescent="0.35">
      <c r="A42" s="61"/>
      <c r="B42" s="68"/>
      <c r="C42" s="68"/>
      <c r="D42" s="38"/>
      <c r="E42" s="38"/>
      <c r="F42" s="69"/>
      <c r="G42" s="63"/>
      <c r="H42" s="49"/>
      <c r="I42" s="64"/>
    </row>
    <row r="43" spans="1:10" ht="19.5" thickBot="1" x14ac:dyDescent="0.45">
      <c r="A43" s="34" t="s">
        <v>11</v>
      </c>
      <c r="B43" s="34" t="s">
        <v>12</v>
      </c>
      <c r="C43" s="36"/>
      <c r="D43" s="38"/>
      <c r="E43" s="38"/>
      <c r="F43" s="71"/>
      <c r="G43" s="72"/>
      <c r="H43" s="587" t="s">
        <v>110</v>
      </c>
      <c r="I43" s="588"/>
    </row>
    <row r="44" spans="1:10" ht="18.75" thickTop="1" x14ac:dyDescent="0.35">
      <c r="A44" s="106"/>
      <c r="B44" s="107"/>
      <c r="C44" s="108"/>
      <c r="D44" s="107"/>
      <c r="E44" s="109" t="s">
        <v>266</v>
      </c>
      <c r="F44" s="110" t="s">
        <v>9</v>
      </c>
      <c r="G44" s="111" t="s">
        <v>10</v>
      </c>
      <c r="H44" s="112" t="s">
        <v>13</v>
      </c>
      <c r="I44" s="113" t="s">
        <v>111</v>
      </c>
    </row>
    <row r="45" spans="1:10" x14ac:dyDescent="0.2">
      <c r="A45" s="114"/>
      <c r="B45" s="115"/>
      <c r="C45" s="115"/>
      <c r="D45" s="115"/>
      <c r="E45" s="114"/>
      <c r="F45" s="589"/>
      <c r="G45" s="116"/>
      <c r="H45" s="117">
        <v>41274</v>
      </c>
      <c r="I45" s="118">
        <v>41274</v>
      </c>
    </row>
    <row r="46" spans="1:10" x14ac:dyDescent="0.2">
      <c r="A46" s="114"/>
      <c r="B46" s="115"/>
      <c r="C46" s="115"/>
      <c r="D46" s="115"/>
      <c r="E46" s="114"/>
      <c r="F46" s="589"/>
      <c r="G46" s="119"/>
      <c r="H46" s="119"/>
      <c r="I46" s="120"/>
    </row>
    <row r="47" spans="1:10" ht="13.5" thickBot="1" x14ac:dyDescent="0.25">
      <c r="A47" s="121"/>
      <c r="B47" s="122"/>
      <c r="C47" s="122"/>
      <c r="D47" s="122"/>
      <c r="E47" s="121"/>
      <c r="F47" s="123"/>
      <c r="G47" s="124"/>
      <c r="H47" s="124"/>
      <c r="I47" s="125"/>
    </row>
    <row r="48" spans="1:10" ht="13.5" thickTop="1" x14ac:dyDescent="0.2">
      <c r="A48" s="73"/>
      <c r="B48" s="74"/>
      <c r="C48" s="146" t="s">
        <v>6</v>
      </c>
      <c r="D48" s="142"/>
      <c r="E48" s="143">
        <f>SUM('1000:1450'!E48)</f>
        <v>0</v>
      </c>
      <c r="F48" s="143">
        <f>SUM('1000:1450'!F48)</f>
        <v>0</v>
      </c>
      <c r="G48" s="143">
        <f>SUM('1000:1450'!G48)</f>
        <v>0</v>
      </c>
      <c r="H48" s="143">
        <f>SUM('1000:1450'!H48)</f>
        <v>83278</v>
      </c>
      <c r="I48" s="144">
        <f>SUM('1000:1450'!I48)</f>
        <v>83278</v>
      </c>
    </row>
    <row r="49" spans="1:9" x14ac:dyDescent="0.2">
      <c r="A49" s="76"/>
      <c r="B49" s="77"/>
      <c r="C49" s="77" t="s">
        <v>8</v>
      </c>
      <c r="D49" s="147"/>
      <c r="E49" s="138">
        <f>SUM('1000:1450'!E49)</f>
        <v>853939.73</v>
      </c>
      <c r="F49" s="138">
        <f>SUM('1000:1450'!F49)</f>
        <v>457329.99</v>
      </c>
      <c r="G49" s="138">
        <f>SUM('1000:1450'!G49)</f>
        <v>403420</v>
      </c>
      <c r="H49" s="138">
        <f>SUM('1000:1450'!H49)</f>
        <v>907849.72</v>
      </c>
      <c r="I49" s="139">
        <f>SUM('1000:1450'!I49)</f>
        <v>833922.72</v>
      </c>
    </row>
    <row r="50" spans="1:9" x14ac:dyDescent="0.2">
      <c r="A50" s="76"/>
      <c r="B50" s="77"/>
      <c r="C50" s="77" t="s">
        <v>7</v>
      </c>
      <c r="D50" s="147"/>
      <c r="E50" s="138">
        <f>SUM('1000:1450'!E50)</f>
        <v>3741635</v>
      </c>
      <c r="F50" s="138">
        <f>SUM('1000:1450'!F50)</f>
        <v>3076508.2</v>
      </c>
      <c r="G50" s="138">
        <f>SUM('1000:1450'!G50)</f>
        <v>3386050.79</v>
      </c>
      <c r="H50" s="138">
        <f>SUM('1000:1450'!H50)</f>
        <v>3432092.41</v>
      </c>
      <c r="I50" s="139">
        <f>SUM('1000:1450'!I50)</f>
        <v>3204963.8400000008</v>
      </c>
    </row>
    <row r="51" spans="1:9" x14ac:dyDescent="0.2">
      <c r="A51" s="76"/>
      <c r="B51" s="77"/>
      <c r="C51" s="77" t="s">
        <v>15</v>
      </c>
      <c r="D51" s="147"/>
      <c r="E51" s="138">
        <f>SUM('1000:1450'!E51)</f>
        <v>13670095.379999997</v>
      </c>
      <c r="F51" s="138">
        <f>SUM('1000:1450'!F51)</f>
        <v>8869073.1499999985</v>
      </c>
      <c r="G51" s="138">
        <f>SUM('1000:1450'!G51)</f>
        <v>8749701.7999999989</v>
      </c>
      <c r="H51" s="138">
        <f>SUM('1000:1450'!H51)</f>
        <v>13789466.73</v>
      </c>
      <c r="I51" s="139">
        <f>SUM('1000:1450'!I51)</f>
        <v>13215919.200000003</v>
      </c>
    </row>
    <row r="52" spans="1:9" ht="18.75" thickBot="1" x14ac:dyDescent="0.4">
      <c r="A52" s="145" t="s">
        <v>2</v>
      </c>
      <c r="B52" s="148"/>
      <c r="C52" s="148"/>
      <c r="D52" s="149"/>
      <c r="E52" s="140">
        <f>SUM('1000:1450'!E52)</f>
        <v>20021859.350000001</v>
      </c>
      <c r="F52" s="140">
        <f>SUM('1000:1450'!F52)</f>
        <v>31345771.039999995</v>
      </c>
      <c r="G52" s="140">
        <f>SUM('1000:1450'!G52)</f>
        <v>27887635.539999999</v>
      </c>
      <c r="H52" s="140">
        <f>SUM('1000:1450'!H52)</f>
        <v>23479994.850000001</v>
      </c>
      <c r="I52" s="141">
        <f>SUM('1000:1450'!I52)</f>
        <v>21835928.230000008</v>
      </c>
    </row>
    <row r="53" spans="1:9" ht="18.75" thickTop="1" x14ac:dyDescent="0.35">
      <c r="A53" s="79"/>
      <c r="B53" s="68"/>
      <c r="C53" s="68"/>
      <c r="D53" s="38"/>
      <c r="E53" s="38"/>
      <c r="F53" s="71"/>
      <c r="G53" s="72"/>
      <c r="H53" s="80"/>
      <c r="I53" s="80"/>
    </row>
    <row r="54" spans="1:9" ht="18" x14ac:dyDescent="0.35">
      <c r="A54" s="79"/>
      <c r="B54" s="68"/>
      <c r="C54" s="68"/>
      <c r="D54" s="38"/>
      <c r="E54" s="38"/>
      <c r="F54" s="71"/>
      <c r="G54" s="81"/>
      <c r="H54" s="82"/>
      <c r="I54" s="82"/>
    </row>
    <row r="55" spans="1:9" ht="18" x14ac:dyDescent="0.35">
      <c r="A55" s="83"/>
      <c r="B55" s="84"/>
      <c r="C55" s="84"/>
      <c r="D55" s="85"/>
      <c r="E55" s="85"/>
      <c r="F55" s="82"/>
      <c r="G55" s="82"/>
      <c r="H55" s="82"/>
      <c r="I55" s="82"/>
    </row>
    <row r="56" spans="1:9" x14ac:dyDescent="0.2">
      <c r="A56" s="86"/>
      <c r="B56" s="86"/>
      <c r="C56" s="86"/>
      <c r="D56" s="86"/>
      <c r="E56" s="86"/>
      <c r="F56" s="86"/>
      <c r="G56" s="86"/>
      <c r="H56" s="86"/>
      <c r="I56" s="86"/>
    </row>
    <row r="57" spans="1:9" x14ac:dyDescent="0.2">
      <c r="A57" s="86"/>
      <c r="B57" s="86"/>
      <c r="C57" s="86"/>
      <c r="D57" s="86"/>
      <c r="E57" s="86"/>
      <c r="F57" s="86"/>
      <c r="G57" s="86"/>
      <c r="H57" s="86"/>
      <c r="I57" s="86"/>
    </row>
  </sheetData>
  <mergeCells count="10">
    <mergeCell ref="H12:I12"/>
    <mergeCell ref="A31:I33"/>
    <mergeCell ref="H43:I43"/>
    <mergeCell ref="F45:F46"/>
    <mergeCell ref="A2:D2"/>
    <mergeCell ref="E2:I2"/>
    <mergeCell ref="E3:I3"/>
    <mergeCell ref="E4:I4"/>
    <mergeCell ref="E5:I5"/>
    <mergeCell ref="E7:I7"/>
  </mergeCells>
  <pageMargins left="0.70866141732283472" right="0.70866141732283472" top="0.78740157480314965" bottom="0.78740157480314965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3" tint="0.59999389629810485"/>
  </sheetPr>
  <dimension ref="A1:J57"/>
  <sheetViews>
    <sheetView topLeftCell="A16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425781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42" t="s">
        <v>252</v>
      </c>
      <c r="F2" s="543"/>
      <c r="G2" s="543"/>
      <c r="H2" s="543"/>
      <c r="I2" s="543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6.5" customHeight="1" x14ac:dyDescent="0.25">
      <c r="A4" s="17" t="s">
        <v>27</v>
      </c>
      <c r="E4" s="545" t="s">
        <v>130</v>
      </c>
      <c r="F4" s="545"/>
      <c r="G4" s="545"/>
      <c r="H4" s="545"/>
      <c r="I4" s="54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131</v>
      </c>
      <c r="F6" s="20"/>
      <c r="G6" s="21" t="s">
        <v>37</v>
      </c>
      <c r="H6" s="22">
        <v>1012</v>
      </c>
    </row>
    <row r="7" spans="1:10" ht="8.25" customHeight="1" x14ac:dyDescent="0.4">
      <c r="A7" s="18"/>
      <c r="E7" s="544" t="s">
        <v>101</v>
      </c>
      <c r="F7" s="544"/>
      <c r="G7" s="544"/>
      <c r="H7" s="544"/>
      <c r="I7" s="544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39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6583000</v>
      </c>
      <c r="F15" s="128">
        <v>32723859.300000001</v>
      </c>
      <c r="G15" s="6">
        <f>H15+I15</f>
        <v>32698666.370000001</v>
      </c>
      <c r="H15" s="127">
        <v>32143990.91</v>
      </c>
      <c r="I15" s="127">
        <v>554675.46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6633000</v>
      </c>
      <c r="F17" s="128">
        <v>32601600</v>
      </c>
      <c r="G17" s="6">
        <f>H17+I17</f>
        <v>32772903.879999999</v>
      </c>
      <c r="H17" s="127">
        <v>32043029.719999999</v>
      </c>
      <c r="I17" s="127">
        <v>729874.16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74237.509999997914</v>
      </c>
      <c r="H23" s="264">
        <f>H17-H15-H21</f>
        <v>-100961.19000000134</v>
      </c>
      <c r="I23" s="264">
        <f>I17-I15-I21</f>
        <v>175198.70000000007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74237.509999997914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74237.510000000009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15000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59237.51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0</v>
      </c>
      <c r="G37" s="167">
        <v>0</v>
      </c>
      <c r="H37" s="129"/>
      <c r="I37" s="64" t="s">
        <v>211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1116000</v>
      </c>
      <c r="G38" s="167">
        <v>1115031</v>
      </c>
      <c r="H38" s="129"/>
      <c r="I38" s="64">
        <f>G38/F38</f>
        <v>0.99913172043010756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836750</v>
      </c>
      <c r="G40" s="167">
        <v>836750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6" t="s">
        <v>319</v>
      </c>
      <c r="B42" s="556"/>
      <c r="C42" s="556"/>
      <c r="D42" s="556"/>
      <c r="E42" s="556"/>
      <c r="F42" s="556"/>
      <c r="G42" s="556"/>
      <c r="H42" s="556"/>
      <c r="I42" s="556"/>
      <c r="J42" s="5"/>
    </row>
    <row r="43" spans="1:10" s="153" customFormat="1" x14ac:dyDescent="0.2">
      <c r="A43" s="557"/>
      <c r="B43" s="557"/>
      <c r="C43" s="557"/>
      <c r="D43" s="557"/>
      <c r="E43" s="557"/>
      <c r="F43" s="557"/>
      <c r="G43" s="557"/>
      <c r="H43" s="557"/>
      <c r="I43" s="557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13600</v>
      </c>
      <c r="F49" s="187">
        <v>10000</v>
      </c>
      <c r="G49" s="75">
        <v>12100</v>
      </c>
      <c r="H49" s="75">
        <f>E49+F49-G49</f>
        <v>11500</v>
      </c>
      <c r="I49" s="188">
        <f>H49</f>
        <v>11500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295153.88</v>
      </c>
      <c r="F50" s="191">
        <v>189669</v>
      </c>
      <c r="G50" s="78">
        <v>260102.8</v>
      </c>
      <c r="H50" s="78">
        <f>E50+F50-G50</f>
        <v>224720.08000000002</v>
      </c>
      <c r="I50" s="192">
        <v>215856.08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257585.96999999997</v>
      </c>
      <c r="F51" s="191">
        <v>25395.1</v>
      </c>
      <c r="G51" s="78">
        <v>175259.3</v>
      </c>
      <c r="H51" s="78">
        <f>E51+F51-G51</f>
        <v>107721.76999999996</v>
      </c>
      <c r="I51" s="192">
        <f>H51</f>
        <v>107721.76999999996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151672.29000000004</v>
      </c>
      <c r="F52" s="191">
        <v>1156733</v>
      </c>
      <c r="G52" s="78">
        <v>836750</v>
      </c>
      <c r="H52" s="78">
        <f>E52+F52-G52</f>
        <v>471655.29000000004</v>
      </c>
      <c r="I52" s="192">
        <f>H52</f>
        <v>471655.29000000004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718012.14</v>
      </c>
      <c r="F53" s="196">
        <f>F49+F50+F51+F52</f>
        <v>1381797.1</v>
      </c>
      <c r="G53" s="197">
        <f>G49+G50+G51+G52</f>
        <v>1284212.1000000001</v>
      </c>
      <c r="H53" s="197">
        <f>H49+H50+H51+H52</f>
        <v>815597.14</v>
      </c>
      <c r="I53" s="198">
        <f>I49+I50+I51+I52</f>
        <v>806733.14</v>
      </c>
      <c r="J53" s="5"/>
    </row>
    <row r="54" spans="1:10" ht="18" hidden="1" x14ac:dyDescent="0.35">
      <c r="A54" s="79"/>
      <c r="B54" s="68"/>
      <c r="C54" s="68"/>
      <c r="D54" s="38"/>
      <c r="E54" s="38"/>
      <c r="F54" s="71"/>
      <c r="G54" s="81"/>
      <c r="H54" s="82"/>
      <c r="I54" s="82"/>
    </row>
    <row r="55" spans="1:10" ht="18" hidden="1" x14ac:dyDescent="0.35">
      <c r="A55" s="83"/>
      <c r="B55" s="84"/>
      <c r="C55" s="84"/>
      <c r="D55" s="85"/>
      <c r="E55" s="85"/>
      <c r="F55" s="82"/>
      <c r="G55" s="82"/>
      <c r="H55" s="82"/>
      <c r="I55" s="82"/>
    </row>
    <row r="56" spans="1:10" hidden="1" x14ac:dyDescent="0.2">
      <c r="A56" s="86"/>
      <c r="B56" s="86"/>
      <c r="C56" s="86"/>
      <c r="D56" s="86"/>
      <c r="E56" s="86"/>
      <c r="F56" s="86"/>
      <c r="G56" s="86"/>
      <c r="H56" s="86"/>
      <c r="I56" s="86"/>
    </row>
    <row r="57" spans="1:10" hidden="1" x14ac:dyDescent="0.2">
      <c r="A57" s="86"/>
      <c r="B57" s="86"/>
      <c r="C57" s="86"/>
      <c r="D57" s="86"/>
      <c r="E57" s="86"/>
      <c r="F57" s="86"/>
      <c r="G57" s="86"/>
      <c r="H57" s="86"/>
      <c r="I57" s="86"/>
    </row>
  </sheetData>
  <mergeCells count="15">
    <mergeCell ref="H44:I44"/>
    <mergeCell ref="E46:E47"/>
    <mergeCell ref="F46:F47"/>
    <mergeCell ref="E7:I7"/>
    <mergeCell ref="H12:I12"/>
    <mergeCell ref="A33:I34"/>
    <mergeCell ref="C28:E28"/>
    <mergeCell ref="C31:F31"/>
    <mergeCell ref="B32:F32"/>
    <mergeCell ref="A42:I43"/>
    <mergeCell ref="A2:D2"/>
    <mergeCell ref="E2:I2"/>
    <mergeCell ref="E4:I4"/>
    <mergeCell ref="E3:I3"/>
    <mergeCell ref="E5:I5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3" tint="0.59999389629810485"/>
  </sheetPr>
  <dimension ref="A1:J58"/>
  <sheetViews>
    <sheetView topLeftCell="A16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28515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271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9" t="s">
        <v>272</v>
      </c>
      <c r="F4" s="545"/>
      <c r="G4" s="545"/>
      <c r="H4" s="545"/>
      <c r="I4" s="54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132</v>
      </c>
      <c r="F6" s="20"/>
      <c r="G6" s="21" t="s">
        <v>37</v>
      </c>
      <c r="H6" s="22">
        <v>1013</v>
      </c>
    </row>
    <row r="7" spans="1:10" ht="9.75" customHeight="1" x14ac:dyDescent="0.4">
      <c r="A7" s="18"/>
      <c r="E7" s="544" t="s">
        <v>101</v>
      </c>
      <c r="F7" s="544"/>
      <c r="G7" s="544"/>
      <c r="H7" s="544"/>
      <c r="I7" s="544"/>
    </row>
    <row r="8" spans="1:10" ht="4.5" customHeight="1" x14ac:dyDescent="0.4">
      <c r="A8" s="18"/>
      <c r="E8" s="23"/>
      <c r="F8" s="23"/>
      <c r="G8" s="23"/>
      <c r="H8" s="21"/>
      <c r="I8" s="23"/>
    </row>
    <row r="9" spans="1:10" ht="31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8061000</v>
      </c>
      <c r="F15" s="128">
        <v>22762233.5</v>
      </c>
      <c r="G15" s="6">
        <f>H15+I15</f>
        <v>22607397.900000002</v>
      </c>
      <c r="H15" s="127">
        <v>22507088.170000002</v>
      </c>
      <c r="I15" s="127">
        <v>100309.73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8061000</v>
      </c>
      <c r="F17" s="128">
        <v>22862762.199999999</v>
      </c>
      <c r="G17" s="6">
        <f>H17+I17</f>
        <v>22903285.329999998</v>
      </c>
      <c r="H17" s="127">
        <v>22773285.329999998</v>
      </c>
      <c r="I17" s="127">
        <v>130000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295887.42999999598</v>
      </c>
      <c r="H23" s="264">
        <f>H17-H15-H21</f>
        <v>266197.15999999642</v>
      </c>
      <c r="I23" s="264">
        <f>I17-I15-I21</f>
        <v>29690.270000000004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295887.42999999598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295887.43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40000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255887.43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ht="3.75" customHeigh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480000</v>
      </c>
      <c r="G37" s="167">
        <v>480000</v>
      </c>
      <c r="H37" s="129"/>
      <c r="I37" s="64">
        <f>G37/F37</f>
        <v>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4823000</v>
      </c>
      <c r="G38" s="167">
        <v>4836611.5</v>
      </c>
      <c r="H38" s="129"/>
      <c r="I38" s="64">
        <f>G38/F38</f>
        <v>1.002822206095791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3617750</v>
      </c>
      <c r="G40" s="167">
        <v>3617750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14.25" customHeight="1" x14ac:dyDescent="0.2">
      <c r="A42" s="551" t="s">
        <v>305</v>
      </c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560" t="s">
        <v>306</v>
      </c>
      <c r="B43" s="561"/>
      <c r="C43" s="561"/>
      <c r="D43" s="561"/>
      <c r="E43" s="561"/>
      <c r="F43" s="561"/>
      <c r="G43" s="561"/>
      <c r="H43" s="561"/>
      <c r="I43" s="561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59906</v>
      </c>
      <c r="F49" s="187">
        <v>20000</v>
      </c>
      <c r="G49" s="75">
        <v>60172</v>
      </c>
      <c r="H49" s="75">
        <f>E49+F49-G49</f>
        <v>19734</v>
      </c>
      <c r="I49" s="188">
        <f>H49</f>
        <v>19734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309490.59999999998</v>
      </c>
      <c r="F50" s="191">
        <v>97844</v>
      </c>
      <c r="G50" s="78">
        <v>112363.4</v>
      </c>
      <c r="H50" s="78">
        <f>E50+F50-G50</f>
        <v>294971.19999999995</v>
      </c>
      <c r="I50" s="192">
        <v>269106.48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530257.38</v>
      </c>
      <c r="F51" s="191">
        <f>207126.83+3000</f>
        <v>210126.83</v>
      </c>
      <c r="G51" s="78">
        <v>49581.599999999999</v>
      </c>
      <c r="H51" s="78">
        <f>E51+F51-G51</f>
        <v>690802.61</v>
      </c>
      <c r="I51" s="192">
        <f>H51</f>
        <v>690802.61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92497.679999999935</v>
      </c>
      <c r="F52" s="191">
        <v>4877643.5</v>
      </c>
      <c r="G52" s="78">
        <v>4483924</v>
      </c>
      <c r="H52" s="78">
        <f>E52+F52-G52</f>
        <v>486217.1799999997</v>
      </c>
      <c r="I52" s="192">
        <f>H52</f>
        <v>486217.1799999997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992151.65999999992</v>
      </c>
      <c r="F53" s="196">
        <f>F49+F50+F51+F52</f>
        <v>5205614.33</v>
      </c>
      <c r="G53" s="197">
        <f>G49+G50+G51+G52</f>
        <v>4706041</v>
      </c>
      <c r="H53" s="197">
        <f>H49+H50+H51+H52</f>
        <v>1491724.9899999998</v>
      </c>
      <c r="I53" s="198">
        <f>I49+I50+I51+I52</f>
        <v>1465860.2699999996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6">
    <mergeCell ref="F46:F47"/>
    <mergeCell ref="E5:I5"/>
    <mergeCell ref="E7:I7"/>
    <mergeCell ref="H12:I12"/>
    <mergeCell ref="A42:I42"/>
    <mergeCell ref="E46:E47"/>
    <mergeCell ref="C28:E28"/>
    <mergeCell ref="C31:F31"/>
    <mergeCell ref="B32:F32"/>
    <mergeCell ref="A2:D2"/>
    <mergeCell ref="E2:I2"/>
    <mergeCell ref="E3:I3"/>
    <mergeCell ref="E4:I4"/>
    <mergeCell ref="H44:I44"/>
    <mergeCell ref="A33:I34"/>
    <mergeCell ref="A43:I43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3" tint="0.59999389629810485"/>
  </sheetPr>
  <dimension ref="A1:J59"/>
  <sheetViews>
    <sheetView topLeftCell="A16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42578125" style="13" customWidth="1"/>
    <col min="10" max="10" width="18.85546875" style="14" customWidth="1"/>
    <col min="11" max="11" width="15.425781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42" t="s">
        <v>284</v>
      </c>
      <c r="F2" s="543"/>
      <c r="G2" s="543"/>
      <c r="H2" s="543"/>
      <c r="I2" s="543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133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>
        <v>70863598</v>
      </c>
      <c r="F6" s="20"/>
      <c r="G6" s="21" t="s">
        <v>37</v>
      </c>
      <c r="H6" s="22">
        <v>1014</v>
      </c>
    </row>
    <row r="7" spans="1:10" ht="8.25" customHeight="1" x14ac:dyDescent="0.4">
      <c r="A7" s="18"/>
      <c r="E7" s="544" t="s">
        <v>101</v>
      </c>
      <c r="F7" s="544"/>
      <c r="G7" s="544"/>
      <c r="H7" s="544"/>
      <c r="I7" s="544"/>
    </row>
    <row r="8" spans="1:10" ht="3.75" customHeight="1" x14ac:dyDescent="0.4">
      <c r="A8" s="18"/>
      <c r="E8" s="23"/>
      <c r="F8" s="23"/>
      <c r="G8" s="23"/>
      <c r="H8" s="21"/>
      <c r="I8" s="23"/>
    </row>
    <row r="9" spans="1:10" ht="13.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3413000</v>
      </c>
      <c r="F15" s="128">
        <v>23040456.98</v>
      </c>
      <c r="G15" s="6">
        <f>H15+I15</f>
        <v>23040456.98</v>
      </c>
      <c r="H15" s="127">
        <v>23011491.98</v>
      </c>
      <c r="I15" s="127">
        <v>28965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3413000</v>
      </c>
      <c r="F17" s="128">
        <v>23703521.199999999</v>
      </c>
      <c r="G17" s="6">
        <f>H17+I17</f>
        <v>23487440.649999999</v>
      </c>
      <c r="H17" s="127">
        <v>23408735.649999999</v>
      </c>
      <c r="I17" s="127">
        <v>78705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446983.66999999806</v>
      </c>
      <c r="H23" s="264">
        <f>H17-H15-H21</f>
        <v>397243.66999999806</v>
      </c>
      <c r="I23" s="264">
        <f>I17-I15-I21</f>
        <v>49740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423643.66999999806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23340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423643.67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20000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403643.67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23340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62" t="s">
        <v>310</v>
      </c>
      <c r="B33" s="562"/>
      <c r="C33" s="562"/>
      <c r="D33" s="562"/>
      <c r="E33" s="562"/>
      <c r="F33" s="562"/>
      <c r="G33" s="562"/>
      <c r="H33" s="562"/>
      <c r="I33" s="562"/>
    </row>
    <row r="34" spans="1:10" s="40" customFormat="1" x14ac:dyDescent="0.2">
      <c r="A34" s="562"/>
      <c r="B34" s="562"/>
      <c r="C34" s="562"/>
      <c r="D34" s="562"/>
      <c r="E34" s="562"/>
      <c r="F34" s="562"/>
      <c r="G34" s="562"/>
      <c r="H34" s="562"/>
      <c r="I34" s="562"/>
    </row>
    <row r="35" spans="1:10" s="153" customFormat="1" x14ac:dyDescent="0.2">
      <c r="A35" s="562"/>
      <c r="B35" s="562"/>
      <c r="C35" s="562"/>
      <c r="D35" s="562"/>
      <c r="E35" s="562"/>
      <c r="F35" s="562"/>
      <c r="G35" s="562"/>
      <c r="H35" s="562"/>
      <c r="I35" s="562"/>
      <c r="J35" s="165"/>
    </row>
    <row r="36" spans="1:10" s="153" customFormat="1" ht="19.5" x14ac:dyDescent="0.4">
      <c r="A36" s="34" t="s">
        <v>277</v>
      </c>
      <c r="B36" s="34" t="s">
        <v>31</v>
      </c>
      <c r="C36" s="34"/>
      <c r="D36" s="56"/>
      <c r="E36" s="38"/>
      <c r="F36" s="3"/>
      <c r="G36" s="57"/>
      <c r="H36" s="50"/>
      <c r="I36" s="50"/>
      <c r="J36" s="165"/>
    </row>
    <row r="37" spans="1:10" s="153" customFormat="1" ht="18.75" x14ac:dyDescent="0.4">
      <c r="A37" s="34"/>
      <c r="B37" s="34"/>
      <c r="C37" s="34"/>
      <c r="D37" s="56"/>
      <c r="E37" s="13"/>
      <c r="F37" s="58" t="s">
        <v>106</v>
      </c>
      <c r="G37" s="156" t="s">
        <v>0</v>
      </c>
      <c r="H37" s="30"/>
      <c r="I37" s="60" t="s">
        <v>107</v>
      </c>
      <c r="J37" s="165"/>
    </row>
    <row r="38" spans="1:10" s="153" customFormat="1" ht="15" customHeight="1" x14ac:dyDescent="0.35">
      <c r="A38" s="166" t="s">
        <v>32</v>
      </c>
      <c r="B38" s="62"/>
      <c r="C38" s="2"/>
      <c r="D38" s="62"/>
      <c r="E38" s="38"/>
      <c r="F38" s="167">
        <v>0</v>
      </c>
      <c r="G38" s="167">
        <v>0</v>
      </c>
      <c r="H38" s="129"/>
      <c r="I38" s="64" t="s">
        <v>211</v>
      </c>
      <c r="J38" s="165"/>
    </row>
    <row r="39" spans="1:10" s="153" customFormat="1" ht="16.5" x14ac:dyDescent="0.35">
      <c r="A39" s="166" t="s">
        <v>108</v>
      </c>
      <c r="B39" s="62"/>
      <c r="C39" s="2"/>
      <c r="D39" s="65"/>
      <c r="E39" s="65"/>
      <c r="F39" s="167">
        <v>34000</v>
      </c>
      <c r="G39" s="167">
        <v>34356</v>
      </c>
      <c r="H39" s="129"/>
      <c r="I39" s="64">
        <f>G39/F39</f>
        <v>1.010470588235294</v>
      </c>
      <c r="J39" s="5"/>
    </row>
    <row r="40" spans="1:10" s="153" customFormat="1" ht="16.5" x14ac:dyDescent="0.35">
      <c r="A40" s="166" t="s">
        <v>109</v>
      </c>
      <c r="B40" s="62"/>
      <c r="C40" s="2"/>
      <c r="D40" s="65"/>
      <c r="E40" s="65"/>
      <c r="F40" s="167">
        <v>0</v>
      </c>
      <c r="G40" s="167">
        <v>0</v>
      </c>
      <c r="H40" s="129"/>
      <c r="I40" s="64" t="s">
        <v>211</v>
      </c>
      <c r="J40" s="5"/>
    </row>
    <row r="41" spans="1:10" s="153" customFormat="1" ht="16.5" x14ac:dyDescent="0.35">
      <c r="A41" s="166" t="s">
        <v>206</v>
      </c>
      <c r="B41" s="62"/>
      <c r="C41" s="2"/>
      <c r="D41" s="38"/>
      <c r="E41" s="38"/>
      <c r="F41" s="167">
        <v>26000</v>
      </c>
      <c r="G41" s="167">
        <v>26000</v>
      </c>
      <c r="H41" s="129"/>
      <c r="I41" s="64">
        <f>G41/F41</f>
        <v>1</v>
      </c>
      <c r="J41" s="5"/>
    </row>
    <row r="42" spans="1:10" s="153" customFormat="1" ht="17.25" customHeight="1" x14ac:dyDescent="0.35">
      <c r="A42" s="166" t="s">
        <v>278</v>
      </c>
      <c r="B42" s="37"/>
      <c r="C42" s="37"/>
      <c r="D42" s="30"/>
      <c r="E42" s="30" t="s">
        <v>279</v>
      </c>
      <c r="F42" s="167">
        <v>0</v>
      </c>
      <c r="G42" s="167">
        <v>0</v>
      </c>
      <c r="H42" s="129"/>
      <c r="I42" s="168" t="s">
        <v>211</v>
      </c>
      <c r="J42" s="5"/>
    </row>
    <row r="43" spans="1:10" s="153" customFormat="1" x14ac:dyDescent="0.2">
      <c r="A43" s="556" t="s">
        <v>307</v>
      </c>
      <c r="B43" s="551"/>
      <c r="C43" s="551"/>
      <c r="D43" s="551"/>
      <c r="E43" s="551"/>
      <c r="F43" s="551"/>
      <c r="G43" s="551"/>
      <c r="H43" s="551"/>
      <c r="I43" s="551"/>
      <c r="J43" s="5"/>
    </row>
    <row r="44" spans="1:10" s="153" customForma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5"/>
    </row>
    <row r="45" spans="1:10" s="153" customFormat="1" ht="19.5" thickBot="1" x14ac:dyDescent="0.45">
      <c r="A45" s="34" t="s">
        <v>280</v>
      </c>
      <c r="B45" s="34" t="s">
        <v>12</v>
      </c>
      <c r="C45" s="36"/>
      <c r="D45" s="38"/>
      <c r="E45" s="38"/>
      <c r="F45" s="71"/>
      <c r="G45" s="72"/>
      <c r="H45" s="546" t="s">
        <v>110</v>
      </c>
      <c r="I45" s="547"/>
      <c r="J45" s="5"/>
    </row>
    <row r="46" spans="1:10" s="153" customFormat="1" ht="18" x14ac:dyDescent="0.35">
      <c r="A46" s="169"/>
      <c r="B46" s="170"/>
      <c r="C46" s="171"/>
      <c r="D46" s="170"/>
      <c r="E46" s="172" t="s">
        <v>281</v>
      </c>
      <c r="F46" s="173" t="s">
        <v>9</v>
      </c>
      <c r="G46" s="173" t="s">
        <v>10</v>
      </c>
      <c r="H46" s="174" t="s">
        <v>13</v>
      </c>
      <c r="I46" s="175" t="s">
        <v>111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6"/>
      <c r="H47" s="117">
        <v>41639</v>
      </c>
      <c r="I47" s="178">
        <v>41639</v>
      </c>
      <c r="J47" s="5"/>
    </row>
    <row r="48" spans="1:10" s="153" customFormat="1" x14ac:dyDescent="0.2">
      <c r="A48" s="176"/>
      <c r="B48" s="177"/>
      <c r="C48" s="177"/>
      <c r="D48" s="177"/>
      <c r="E48" s="548"/>
      <c r="F48" s="549"/>
      <c r="G48" s="119"/>
      <c r="H48" s="119"/>
      <c r="I48" s="179"/>
      <c r="J48" s="5"/>
    </row>
    <row r="49" spans="1:10" s="153" customFormat="1" ht="13.5" thickBot="1" x14ac:dyDescent="0.25">
      <c r="A49" s="180"/>
      <c r="B49" s="181"/>
      <c r="C49" s="181"/>
      <c r="D49" s="181"/>
      <c r="E49" s="182"/>
      <c r="F49" s="183"/>
      <c r="G49" s="183"/>
      <c r="H49" s="183"/>
      <c r="I49" s="184"/>
      <c r="J49" s="5"/>
    </row>
    <row r="50" spans="1:10" s="153" customFormat="1" ht="13.5" thickTop="1" x14ac:dyDescent="0.2">
      <c r="A50" s="185"/>
      <c r="B50" s="74"/>
      <c r="C50" s="74" t="s">
        <v>6</v>
      </c>
      <c r="D50" s="74"/>
      <c r="E50" s="186">
        <v>59103</v>
      </c>
      <c r="F50" s="187">
        <v>20000</v>
      </c>
      <c r="G50" s="75">
        <v>4000</v>
      </c>
      <c r="H50" s="75">
        <f>E50+F50-G50</f>
        <v>75103</v>
      </c>
      <c r="I50" s="188">
        <f>H50</f>
        <v>75103</v>
      </c>
      <c r="J50" s="5"/>
    </row>
    <row r="51" spans="1:10" s="153" customFormat="1" x14ac:dyDescent="0.2">
      <c r="A51" s="189"/>
      <c r="B51" s="77"/>
      <c r="C51" s="77" t="s">
        <v>8</v>
      </c>
      <c r="D51" s="77"/>
      <c r="E51" s="190">
        <v>94779.5</v>
      </c>
      <c r="F51" s="191">
        <v>143261</v>
      </c>
      <c r="G51" s="78">
        <v>120970.7</v>
      </c>
      <c r="H51" s="78">
        <f>E51+F51-G51</f>
        <v>117069.8</v>
      </c>
      <c r="I51" s="192">
        <v>108208.84</v>
      </c>
      <c r="J51" s="5"/>
    </row>
    <row r="52" spans="1:10" s="153" customFormat="1" x14ac:dyDescent="0.2">
      <c r="A52" s="189"/>
      <c r="B52" s="77"/>
      <c r="C52" s="77" t="s">
        <v>7</v>
      </c>
      <c r="D52" s="77"/>
      <c r="E52" s="190">
        <v>1125364.06</v>
      </c>
      <c r="F52" s="191">
        <f>104919.39+731897</f>
        <v>836816.39</v>
      </c>
      <c r="G52" s="78">
        <f>20500+548604.8</f>
        <v>569104.80000000005</v>
      </c>
      <c r="H52" s="78">
        <f>E52+F52-G52</f>
        <v>1393075.6500000001</v>
      </c>
      <c r="I52" s="192">
        <f>H52</f>
        <v>1393075.6500000001</v>
      </c>
      <c r="J52" s="5"/>
    </row>
    <row r="53" spans="1:10" s="153" customFormat="1" x14ac:dyDescent="0.2">
      <c r="A53" s="189"/>
      <c r="B53" s="77"/>
      <c r="C53" s="77" t="s">
        <v>15</v>
      </c>
      <c r="D53" s="77"/>
      <c r="E53" s="190">
        <v>51661.429999999993</v>
      </c>
      <c r="F53" s="191">
        <v>34356</v>
      </c>
      <c r="G53" s="78">
        <v>26000</v>
      </c>
      <c r="H53" s="78">
        <f>E53+F53-G53</f>
        <v>60017.429999999993</v>
      </c>
      <c r="I53" s="192">
        <f>H53</f>
        <v>60017.429999999993</v>
      </c>
      <c r="J53" s="5"/>
    </row>
    <row r="54" spans="1:10" s="153" customFormat="1" ht="18.75" thickBot="1" x14ac:dyDescent="0.4">
      <c r="A54" s="193" t="s">
        <v>2</v>
      </c>
      <c r="B54" s="194"/>
      <c r="C54" s="194"/>
      <c r="D54" s="194"/>
      <c r="E54" s="195">
        <f>E50+E51+E52+E53</f>
        <v>1330907.99</v>
      </c>
      <c r="F54" s="196">
        <f>F50+F51+F52+F53</f>
        <v>1034433.39</v>
      </c>
      <c r="G54" s="197">
        <f>G50+G51+G52+G53</f>
        <v>720075.5</v>
      </c>
      <c r="H54" s="197">
        <f>H50+H51+H52+H53</f>
        <v>1645265.8800000001</v>
      </c>
      <c r="I54" s="198">
        <f>I50+I51+I52+I53</f>
        <v>1636404.9200000002</v>
      </c>
      <c r="J54" s="5"/>
    </row>
    <row r="55" spans="1:10" ht="18" x14ac:dyDescent="0.35">
      <c r="A55" s="79"/>
      <c r="B55" s="68"/>
      <c r="C55" s="68"/>
      <c r="D55" s="38"/>
      <c r="E55" s="38"/>
      <c r="F55" s="71"/>
      <c r="G55" s="72"/>
      <c r="H55" s="80"/>
      <c r="I55" s="80"/>
    </row>
    <row r="56" spans="1:10" ht="18" x14ac:dyDescent="0.35">
      <c r="A56" s="79"/>
      <c r="B56" s="68"/>
      <c r="C56" s="68"/>
      <c r="D56" s="38"/>
      <c r="E56" s="38"/>
      <c r="F56" s="71"/>
      <c r="G56" s="81"/>
      <c r="H56" s="82"/>
      <c r="I56" s="82"/>
    </row>
    <row r="57" spans="1:10" ht="18" x14ac:dyDescent="0.35">
      <c r="A57" s="83"/>
      <c r="B57" s="84"/>
      <c r="C57" s="84"/>
      <c r="D57" s="85"/>
      <c r="E57" s="85"/>
      <c r="F57" s="82"/>
      <c r="G57" s="82"/>
      <c r="H57" s="82"/>
      <c r="I57" s="82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  <row r="59" spans="1:10" x14ac:dyDescent="0.2">
      <c r="A59" s="86"/>
      <c r="B59" s="86"/>
      <c r="C59" s="86"/>
      <c r="D59" s="86"/>
      <c r="E59" s="86"/>
      <c r="F59" s="86"/>
      <c r="G59" s="86"/>
      <c r="H59" s="86"/>
      <c r="I59" s="86"/>
    </row>
  </sheetData>
  <mergeCells count="15">
    <mergeCell ref="F47:F48"/>
    <mergeCell ref="E5:I5"/>
    <mergeCell ref="E7:I7"/>
    <mergeCell ref="H12:I12"/>
    <mergeCell ref="A43:I43"/>
    <mergeCell ref="E47:E48"/>
    <mergeCell ref="C28:E28"/>
    <mergeCell ref="C31:F31"/>
    <mergeCell ref="B32:F32"/>
    <mergeCell ref="A2:D2"/>
    <mergeCell ref="E2:I2"/>
    <mergeCell ref="E3:I3"/>
    <mergeCell ref="E4:I4"/>
    <mergeCell ref="H45:I45"/>
    <mergeCell ref="A33:I35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59999389629810485"/>
  </sheetPr>
  <dimension ref="A1:J58"/>
  <sheetViews>
    <sheetView topLeftCell="A13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140625" style="13" customWidth="1"/>
    <col min="10" max="10" width="18.85546875" style="14" customWidth="1"/>
    <col min="11" max="11" width="17.2851562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25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134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135</v>
      </c>
      <c r="F6" s="20"/>
      <c r="G6" s="21" t="s">
        <v>37</v>
      </c>
      <c r="H6" s="22">
        <v>1015</v>
      </c>
    </row>
    <row r="7" spans="1:10" ht="8.25" customHeight="1" x14ac:dyDescent="0.4">
      <c r="A7" s="18"/>
      <c r="E7" s="544" t="s">
        <v>101</v>
      </c>
      <c r="F7" s="544"/>
      <c r="G7" s="544"/>
      <c r="H7" s="544"/>
      <c r="I7" s="544"/>
    </row>
    <row r="8" spans="1:10" ht="4.5" customHeight="1" x14ac:dyDescent="0.4">
      <c r="A8" s="18"/>
      <c r="E8" s="23"/>
      <c r="F8" s="23"/>
      <c r="G8" s="23"/>
      <c r="H8" s="21"/>
      <c r="I8" s="23"/>
    </row>
    <row r="9" spans="1:10" ht="30.7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4180000</v>
      </c>
      <c r="F15" s="128">
        <v>4204000</v>
      </c>
      <c r="G15" s="6">
        <f>H15+I15</f>
        <v>21812348.73</v>
      </c>
      <c r="H15" s="127">
        <v>21733111.800000001</v>
      </c>
      <c r="I15" s="127">
        <v>79236.929999999993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4181000</v>
      </c>
      <c r="F17" s="128">
        <v>21834448</v>
      </c>
      <c r="G17" s="6">
        <f>H17+I17</f>
        <v>21835170.25</v>
      </c>
      <c r="H17" s="127">
        <v>21753319.25</v>
      </c>
      <c r="I17" s="127">
        <v>81851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22821.519999999553</v>
      </c>
      <c r="H23" s="264">
        <f>H17-H15-H21</f>
        <v>20207.449999999255</v>
      </c>
      <c r="I23" s="264">
        <f>I17-I15-I21</f>
        <v>2614.070000000007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22821.519999999553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22821.52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3000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19821.52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50000</v>
      </c>
      <c r="G37" s="167">
        <v>42415</v>
      </c>
      <c r="H37" s="129"/>
      <c r="I37" s="64">
        <f>G37/F37</f>
        <v>0.84830000000000005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150000</v>
      </c>
      <c r="G38" s="167">
        <v>150000</v>
      </c>
      <c r="H38" s="129"/>
      <c r="I38" s="64">
        <f>G38/F38</f>
        <v>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112750</v>
      </c>
      <c r="G40" s="167">
        <v>112750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186">
        <v>20667</v>
      </c>
      <c r="F49" s="187">
        <v>3781</v>
      </c>
      <c r="G49" s="75">
        <v>2000</v>
      </c>
      <c r="H49" s="75">
        <f>E49+F49-G49</f>
        <v>22448</v>
      </c>
      <c r="I49" s="188">
        <f>H49</f>
        <v>22448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190">
        <v>68128.320000000007</v>
      </c>
      <c r="F50" s="191">
        <v>124002</v>
      </c>
      <c r="G50" s="78">
        <v>140049</v>
      </c>
      <c r="H50" s="78">
        <f>E50+F50-G50</f>
        <v>52081.320000000007</v>
      </c>
      <c r="I50" s="192">
        <v>65884.94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190">
        <v>399904.25</v>
      </c>
      <c r="F51" s="191">
        <f>34027.81+19150</f>
        <v>53177.81</v>
      </c>
      <c r="G51" s="78">
        <v>155492</v>
      </c>
      <c r="H51" s="78">
        <f>E51+F51-G51</f>
        <v>297590.06</v>
      </c>
      <c r="I51" s="192">
        <f>H51</f>
        <v>297590.06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190">
        <v>80866</v>
      </c>
      <c r="F52" s="191">
        <v>150000</v>
      </c>
      <c r="G52" s="78">
        <v>196889</v>
      </c>
      <c r="H52" s="78">
        <f>E52+F52-G52</f>
        <v>33977</v>
      </c>
      <c r="I52" s="192">
        <f>H52</f>
        <v>33977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569565.57000000007</v>
      </c>
      <c r="F53" s="196">
        <f>F49+F50+F51+F52</f>
        <v>330960.81</v>
      </c>
      <c r="G53" s="197">
        <f>G49+G50+G51+G52</f>
        <v>494430</v>
      </c>
      <c r="H53" s="197">
        <f>H49+H50+H51+H52</f>
        <v>406096.38</v>
      </c>
      <c r="I53" s="198">
        <f>I49+I50+I51+I52</f>
        <v>419900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F46:F47"/>
    <mergeCell ref="E5:I5"/>
    <mergeCell ref="E7:I7"/>
    <mergeCell ref="H12:I12"/>
    <mergeCell ref="A42:I42"/>
    <mergeCell ref="E46:E47"/>
    <mergeCell ref="C28:E28"/>
    <mergeCell ref="C31:F31"/>
    <mergeCell ref="B32:F32"/>
    <mergeCell ref="A2:D2"/>
    <mergeCell ref="E2:I2"/>
    <mergeCell ref="E3:I3"/>
    <mergeCell ref="E4:I4"/>
    <mergeCell ref="H44:I44"/>
    <mergeCell ref="A33:I34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3" tint="0.59999389629810485"/>
  </sheetPr>
  <dimension ref="A1:J58"/>
  <sheetViews>
    <sheetView topLeftCell="A19" zoomScaleNormal="100" workbookViewId="0">
      <selection activeCell="B3" sqref="B3"/>
    </sheetView>
  </sheetViews>
  <sheetFormatPr defaultRowHeight="12.75" x14ac:dyDescent="0.2"/>
  <cols>
    <col min="1" max="1" width="7.5703125" style="13" customWidth="1"/>
    <col min="2" max="2" width="2.5703125" style="13" customWidth="1"/>
    <col min="3" max="3" width="8.42578125" style="13" customWidth="1"/>
    <col min="4" max="4" width="8.28515625" style="13" customWidth="1"/>
    <col min="5" max="5" width="14.7109375" style="13" customWidth="1"/>
    <col min="6" max="6" width="15.5703125" style="13" customWidth="1"/>
    <col min="7" max="8" width="14.7109375" style="13" customWidth="1"/>
    <col min="9" max="9" width="15.140625" style="13" customWidth="1"/>
    <col min="10" max="10" width="18.85546875" style="14" customWidth="1"/>
    <col min="11" max="11" width="16.7109375" style="14" customWidth="1"/>
    <col min="12" max="16384" width="9.140625" style="14"/>
  </cols>
  <sheetData>
    <row r="1" spans="1:10" ht="19.5" x14ac:dyDescent="0.4">
      <c r="A1" s="11" t="s">
        <v>26</v>
      </c>
      <c r="B1" s="12"/>
      <c r="C1" s="12"/>
      <c r="D1" s="12"/>
    </row>
    <row r="2" spans="1:10" ht="19.5" x14ac:dyDescent="0.4">
      <c r="A2" s="541" t="s">
        <v>99</v>
      </c>
      <c r="B2" s="541"/>
      <c r="C2" s="541"/>
      <c r="D2" s="541"/>
      <c r="E2" s="558" t="s">
        <v>95</v>
      </c>
      <c r="F2" s="558"/>
      <c r="G2" s="558"/>
      <c r="H2" s="558"/>
      <c r="I2" s="558"/>
    </row>
    <row r="3" spans="1:10" ht="9.75" customHeight="1" x14ac:dyDescent="0.4">
      <c r="A3" s="15"/>
      <c r="B3" s="15"/>
      <c r="C3" s="15"/>
      <c r="D3" s="15"/>
      <c r="E3" s="544" t="s">
        <v>100</v>
      </c>
      <c r="F3" s="544"/>
      <c r="G3" s="544"/>
      <c r="H3" s="544"/>
      <c r="I3" s="544"/>
    </row>
    <row r="4" spans="1:10" ht="15.75" x14ac:dyDescent="0.25">
      <c r="A4" s="17" t="s">
        <v>27</v>
      </c>
      <c r="E4" s="555" t="s">
        <v>136</v>
      </c>
      <c r="F4" s="555"/>
      <c r="G4" s="555"/>
      <c r="H4" s="555"/>
      <c r="I4" s="555"/>
    </row>
    <row r="5" spans="1:10" ht="9.75" customHeight="1" x14ac:dyDescent="0.25">
      <c r="A5" s="17"/>
      <c r="E5" s="544" t="s">
        <v>100</v>
      </c>
      <c r="F5" s="544"/>
      <c r="G5" s="544"/>
      <c r="H5" s="544"/>
      <c r="I5" s="544"/>
    </row>
    <row r="6" spans="1:10" ht="19.5" x14ac:dyDescent="0.4">
      <c r="A6" s="18" t="s">
        <v>24</v>
      </c>
      <c r="E6" s="19" t="s">
        <v>137</v>
      </c>
      <c r="F6" s="20"/>
      <c r="G6" s="21" t="s">
        <v>37</v>
      </c>
      <c r="H6" s="22">
        <v>1032</v>
      </c>
    </row>
    <row r="7" spans="1:10" ht="8.25" customHeight="1" x14ac:dyDescent="0.4">
      <c r="A7" s="18"/>
      <c r="E7" s="544" t="s">
        <v>101</v>
      </c>
      <c r="F7" s="544"/>
      <c r="G7" s="544"/>
      <c r="H7" s="544"/>
      <c r="I7" s="544"/>
    </row>
    <row r="8" spans="1:10" ht="3" customHeight="1" x14ac:dyDescent="0.4">
      <c r="A8" s="18"/>
      <c r="E8" s="23"/>
      <c r="F8" s="23"/>
      <c r="G8" s="23"/>
      <c r="H8" s="21"/>
      <c r="I8" s="23"/>
    </row>
    <row r="9" spans="1:10" ht="29.25" customHeight="1" x14ac:dyDescent="0.2">
      <c r="F9" s="24"/>
    </row>
    <row r="10" spans="1:10" s="40" customFormat="1" ht="15" customHeight="1" x14ac:dyDescent="0.4">
      <c r="A10" s="25"/>
      <c r="B10" s="26"/>
      <c r="C10" s="26"/>
      <c r="D10" s="26"/>
      <c r="E10" s="27" t="s">
        <v>19</v>
      </c>
      <c r="F10" s="27" t="s">
        <v>22</v>
      </c>
      <c r="G10" s="28" t="s">
        <v>0</v>
      </c>
      <c r="H10" s="49" t="s">
        <v>17</v>
      </c>
      <c r="I10" s="49"/>
      <c r="J10" s="26"/>
    </row>
    <row r="11" spans="1:10" s="40" customFormat="1" ht="15" customHeight="1" x14ac:dyDescent="0.4">
      <c r="A11" s="30"/>
      <c r="B11" s="30"/>
      <c r="C11" s="30"/>
      <c r="D11" s="30"/>
      <c r="E11" s="27" t="s">
        <v>20</v>
      </c>
      <c r="F11" s="27" t="s">
        <v>20</v>
      </c>
      <c r="G11" s="28" t="s">
        <v>18</v>
      </c>
      <c r="H11" s="59" t="s">
        <v>1</v>
      </c>
      <c r="I11" s="156" t="s">
        <v>16</v>
      </c>
      <c r="J11" s="26"/>
    </row>
    <row r="12" spans="1:10" s="40" customFormat="1" ht="12.75" customHeight="1" x14ac:dyDescent="0.2">
      <c r="A12" s="30"/>
      <c r="B12" s="30"/>
      <c r="C12" s="30"/>
      <c r="D12" s="30"/>
      <c r="E12" s="27" t="s">
        <v>2</v>
      </c>
      <c r="F12" s="27" t="s">
        <v>2</v>
      </c>
      <c r="G12" s="33"/>
      <c r="H12" s="546" t="s">
        <v>262</v>
      </c>
      <c r="I12" s="547"/>
      <c r="J12" s="26"/>
    </row>
    <row r="13" spans="1:10" s="40" customFormat="1" ht="12.75" customHeight="1" x14ac:dyDescent="0.2">
      <c r="A13" s="30"/>
      <c r="B13" s="30"/>
      <c r="C13" s="30"/>
      <c r="D13" s="30"/>
      <c r="E13" s="27"/>
      <c r="F13" s="27"/>
      <c r="G13" s="33"/>
      <c r="H13" s="157"/>
      <c r="I13" s="158"/>
      <c r="J13" s="26"/>
    </row>
    <row r="14" spans="1:10" s="40" customFormat="1" ht="18.75" x14ac:dyDescent="0.4">
      <c r="A14" s="34" t="s">
        <v>273</v>
      </c>
      <c r="B14" s="34"/>
      <c r="C14" s="35"/>
      <c r="D14" s="36"/>
      <c r="E14" s="37"/>
      <c r="F14" s="37"/>
      <c r="G14" s="38"/>
      <c r="H14" s="30"/>
      <c r="I14" s="30"/>
      <c r="J14" s="26"/>
    </row>
    <row r="15" spans="1:10" s="40" customFormat="1" ht="19.5" x14ac:dyDescent="0.4">
      <c r="A15" s="39" t="s">
        <v>3</v>
      </c>
      <c r="B15" s="34"/>
      <c r="C15" s="35"/>
      <c r="D15" s="36"/>
      <c r="E15" s="127">
        <v>1179000</v>
      </c>
      <c r="F15" s="128">
        <v>9274337.2799999993</v>
      </c>
      <c r="G15" s="6">
        <f>H15+I15</f>
        <v>9274337.2799999993</v>
      </c>
      <c r="H15" s="127">
        <v>9274337.2799999993</v>
      </c>
      <c r="I15" s="127">
        <v>0</v>
      </c>
      <c r="J15" s="26"/>
    </row>
    <row r="16" spans="1:10" s="40" customFormat="1" ht="20.25" customHeight="1" x14ac:dyDescent="0.35">
      <c r="A16" s="2"/>
      <c r="B16" s="26"/>
      <c r="C16" s="26"/>
      <c r="D16" s="26"/>
      <c r="J16" s="26"/>
    </row>
    <row r="17" spans="1:10" s="40" customFormat="1" ht="19.5" x14ac:dyDescent="0.4">
      <c r="A17" s="39" t="s">
        <v>4</v>
      </c>
      <c r="B17" s="3"/>
      <c r="C17" s="3"/>
      <c r="D17" s="3"/>
      <c r="E17" s="127">
        <v>1179000</v>
      </c>
      <c r="F17" s="128">
        <v>9005104</v>
      </c>
      <c r="G17" s="6">
        <f>H17+I17</f>
        <v>9274337.2799999993</v>
      </c>
      <c r="H17" s="127">
        <v>9272237.2799999993</v>
      </c>
      <c r="I17" s="127">
        <v>2100</v>
      </c>
      <c r="J17" s="26"/>
    </row>
    <row r="18" spans="1:10" s="40" customFormat="1" ht="19.5" customHeight="1" x14ac:dyDescent="0.35">
      <c r="A18" s="2"/>
      <c r="B18" s="3"/>
      <c r="C18" s="3"/>
      <c r="D18" s="3"/>
      <c r="E18" s="6"/>
      <c r="F18" s="7"/>
      <c r="G18" s="6"/>
      <c r="H18" s="8"/>
      <c r="I18" s="8"/>
      <c r="J18" s="151"/>
    </row>
    <row r="19" spans="1:10" s="40" customFormat="1" ht="14.25" customHeight="1" x14ac:dyDescent="0.35">
      <c r="A19" s="2"/>
      <c r="B19" s="3"/>
      <c r="C19" s="3"/>
      <c r="D19" s="3"/>
      <c r="E19" s="41"/>
      <c r="F19" s="41"/>
      <c r="G19" s="42"/>
      <c r="H19" s="1"/>
      <c r="I19" s="1"/>
      <c r="J19" s="151"/>
    </row>
    <row r="20" spans="1:10" s="153" customFormat="1" ht="19.5" x14ac:dyDescent="0.4">
      <c r="A20" s="43" t="s">
        <v>14</v>
      </c>
      <c r="B20" s="41"/>
      <c r="C20" s="41"/>
      <c r="D20" s="41"/>
      <c r="E20" s="41"/>
      <c r="F20" s="41"/>
      <c r="G20" s="44"/>
      <c r="H20" s="42"/>
      <c r="I20" s="42"/>
      <c r="J20" s="42"/>
    </row>
    <row r="21" spans="1:10" s="153" customFormat="1" ht="18" x14ac:dyDescent="0.35">
      <c r="A21" s="41"/>
      <c r="B21" s="41"/>
      <c r="C21" s="159" t="s">
        <v>102</v>
      </c>
      <c r="D21" s="41"/>
      <c r="E21" s="41"/>
      <c r="F21" s="41"/>
      <c r="G21" s="160">
        <f>H21+I21</f>
        <v>0</v>
      </c>
      <c r="H21" s="161">
        <v>0</v>
      </c>
      <c r="I21" s="161">
        <v>0</v>
      </c>
      <c r="J21" s="42"/>
    </row>
    <row r="22" spans="1:10" s="153" customFormat="1" ht="18" x14ac:dyDescent="0.35">
      <c r="A22" s="41"/>
      <c r="B22" s="41"/>
      <c r="C22" s="159"/>
      <c r="D22" s="41"/>
      <c r="E22" s="41"/>
      <c r="F22" s="41"/>
      <c r="G22" s="160"/>
      <c r="H22" s="161"/>
      <c r="I22" s="161"/>
      <c r="J22" s="42"/>
    </row>
    <row r="23" spans="1:10" s="153" customFormat="1" ht="19.5" x14ac:dyDescent="0.4">
      <c r="A23" s="262" t="s">
        <v>103</v>
      </c>
      <c r="B23" s="262"/>
      <c r="C23" s="263"/>
      <c r="D23" s="262"/>
      <c r="E23" s="262"/>
      <c r="F23" s="262"/>
      <c r="G23" s="264">
        <f>G17-G15-G21</f>
        <v>0</v>
      </c>
      <c r="H23" s="264">
        <f>H17-H15-H21</f>
        <v>-2100</v>
      </c>
      <c r="I23" s="264">
        <f>I17-I15-I21</f>
        <v>2100</v>
      </c>
      <c r="J23" s="162"/>
    </row>
    <row r="24" spans="1:10" s="153" customFormat="1" ht="15" x14ac:dyDescent="0.3">
      <c r="A24" s="243" t="s">
        <v>289</v>
      </c>
      <c r="B24" s="243"/>
      <c r="C24" s="243"/>
      <c r="D24" s="243"/>
      <c r="E24" s="243"/>
      <c r="F24" s="243"/>
      <c r="G24" s="265">
        <f>G23-G25</f>
        <v>0</v>
      </c>
      <c r="H24" s="231"/>
      <c r="I24" s="231"/>
      <c r="J24" s="13"/>
    </row>
    <row r="25" spans="1:10" s="153" customFormat="1" ht="15" x14ac:dyDescent="0.3">
      <c r="A25" s="243" t="s">
        <v>274</v>
      </c>
      <c r="B25" s="243"/>
      <c r="C25" s="243"/>
      <c r="D25" s="243"/>
      <c r="E25" s="243"/>
      <c r="F25" s="243"/>
      <c r="G25" s="265">
        <v>0</v>
      </c>
      <c r="H25" s="231"/>
      <c r="I25" s="231"/>
      <c r="J25" s="13"/>
    </row>
    <row r="26" spans="1:10" s="153" customFormat="1" x14ac:dyDescent="0.2">
      <c r="A26" s="231"/>
      <c r="B26" s="231"/>
      <c r="C26" s="231"/>
      <c r="D26" s="231"/>
      <c r="E26" s="231"/>
      <c r="F26" s="231"/>
      <c r="G26" s="231"/>
      <c r="H26" s="201"/>
      <c r="I26" s="201"/>
      <c r="J26" s="13"/>
    </row>
    <row r="27" spans="1:10" s="153" customFormat="1" ht="16.5" x14ac:dyDescent="0.35">
      <c r="A27" s="266" t="s">
        <v>275</v>
      </c>
      <c r="B27" s="266" t="s">
        <v>276</v>
      </c>
      <c r="C27" s="266"/>
      <c r="D27" s="250"/>
      <c r="E27" s="250"/>
      <c r="F27" s="236"/>
      <c r="G27" s="264"/>
      <c r="H27" s="234"/>
      <c r="I27" s="267"/>
      <c r="J27" s="48"/>
    </row>
    <row r="28" spans="1:10" s="40" customFormat="1" ht="15" x14ac:dyDescent="0.3">
      <c r="A28" s="266"/>
      <c r="B28" s="266"/>
      <c r="C28" s="552" t="s">
        <v>28</v>
      </c>
      <c r="D28" s="552"/>
      <c r="E28" s="552"/>
      <c r="F28" s="236"/>
      <c r="G28" s="268">
        <f>G29+G30</f>
        <v>0</v>
      </c>
      <c r="H28" s="234"/>
      <c r="I28" s="267"/>
    </row>
    <row r="29" spans="1:10" s="40" customFormat="1" ht="18.75" x14ac:dyDescent="0.4">
      <c r="A29" s="269"/>
      <c r="B29" s="269"/>
      <c r="C29" s="270"/>
      <c r="D29" s="271"/>
      <c r="E29" s="272" t="s">
        <v>290</v>
      </c>
      <c r="F29" s="273" t="s">
        <v>6</v>
      </c>
      <c r="G29" s="274">
        <v>0</v>
      </c>
      <c r="H29" s="234"/>
      <c r="I29" s="267"/>
    </row>
    <row r="30" spans="1:10" s="40" customFormat="1" ht="18.75" x14ac:dyDescent="0.4">
      <c r="A30" s="269"/>
      <c r="B30" s="269"/>
      <c r="C30" s="275"/>
      <c r="D30" s="271"/>
      <c r="E30" s="276"/>
      <c r="F30" s="273" t="s">
        <v>7</v>
      </c>
      <c r="G30" s="274">
        <v>0</v>
      </c>
      <c r="H30" s="234"/>
      <c r="I30" s="267"/>
    </row>
    <row r="31" spans="1:10" s="40" customFormat="1" ht="20.25" customHeight="1" x14ac:dyDescent="0.4">
      <c r="A31" s="269"/>
      <c r="B31" s="277"/>
      <c r="C31" s="553" t="s">
        <v>291</v>
      </c>
      <c r="D31" s="553"/>
      <c r="E31" s="553"/>
      <c r="F31" s="553"/>
      <c r="G31" s="268">
        <f>G25</f>
        <v>0</v>
      </c>
      <c r="H31" s="234"/>
      <c r="I31" s="267"/>
    </row>
    <row r="32" spans="1:10" s="40" customFormat="1" ht="20.25" customHeight="1" x14ac:dyDescent="0.3">
      <c r="A32" s="278"/>
      <c r="B32" s="554" t="s">
        <v>292</v>
      </c>
      <c r="C32" s="554"/>
      <c r="D32" s="554"/>
      <c r="E32" s="554"/>
      <c r="F32" s="554"/>
      <c r="G32" s="279">
        <v>0</v>
      </c>
      <c r="H32" s="280"/>
      <c r="I32" s="280"/>
    </row>
    <row r="33" spans="1:10" s="40" customFormat="1" x14ac:dyDescent="0.2">
      <c r="A33" s="550"/>
      <c r="B33" s="550"/>
      <c r="C33" s="550"/>
      <c r="D33" s="550"/>
      <c r="E33" s="550"/>
      <c r="F33" s="550"/>
      <c r="G33" s="550"/>
      <c r="H33" s="550"/>
      <c r="I33" s="550"/>
    </row>
    <row r="34" spans="1:10" s="153" customFormat="1" x14ac:dyDescent="0.2">
      <c r="A34" s="550"/>
      <c r="B34" s="550"/>
      <c r="C34" s="550"/>
      <c r="D34" s="550"/>
      <c r="E34" s="550"/>
      <c r="F34" s="550"/>
      <c r="G34" s="550"/>
      <c r="H34" s="550"/>
      <c r="I34" s="550"/>
      <c r="J34" s="165"/>
    </row>
    <row r="35" spans="1:10" s="153" customFormat="1" ht="19.5" x14ac:dyDescent="0.4">
      <c r="A35" s="34" t="s">
        <v>277</v>
      </c>
      <c r="B35" s="34" t="s">
        <v>31</v>
      </c>
      <c r="C35" s="34"/>
      <c r="D35" s="56"/>
      <c r="E35" s="38"/>
      <c r="F35" s="3"/>
      <c r="G35" s="57"/>
      <c r="H35" s="50"/>
      <c r="I35" s="50"/>
      <c r="J35" s="165"/>
    </row>
    <row r="36" spans="1:10" s="153" customFormat="1" ht="18.75" x14ac:dyDescent="0.4">
      <c r="A36" s="34"/>
      <c r="B36" s="34"/>
      <c r="C36" s="34"/>
      <c r="D36" s="56"/>
      <c r="E36" s="13"/>
      <c r="F36" s="58" t="s">
        <v>106</v>
      </c>
      <c r="G36" s="156" t="s">
        <v>0</v>
      </c>
      <c r="H36" s="30"/>
      <c r="I36" s="60" t="s">
        <v>107</v>
      </c>
      <c r="J36" s="165"/>
    </row>
    <row r="37" spans="1:10" s="153" customFormat="1" ht="15" customHeight="1" x14ac:dyDescent="0.35">
      <c r="A37" s="166" t="s">
        <v>32</v>
      </c>
      <c r="B37" s="62"/>
      <c r="C37" s="2"/>
      <c r="D37" s="62"/>
      <c r="E37" s="38"/>
      <c r="F37" s="167">
        <v>0</v>
      </c>
      <c r="G37" s="167">
        <v>0</v>
      </c>
      <c r="H37" s="129"/>
      <c r="I37" s="64" t="s">
        <v>211</v>
      </c>
      <c r="J37" s="165"/>
    </row>
    <row r="38" spans="1:10" s="153" customFormat="1" ht="16.5" x14ac:dyDescent="0.35">
      <c r="A38" s="166" t="s">
        <v>108</v>
      </c>
      <c r="B38" s="62"/>
      <c r="C38" s="2"/>
      <c r="D38" s="65"/>
      <c r="E38" s="65"/>
      <c r="F38" s="167">
        <v>236304</v>
      </c>
      <c r="G38" s="167">
        <v>236304</v>
      </c>
      <c r="H38" s="129"/>
      <c r="I38" s="64">
        <f>G38/F38</f>
        <v>1</v>
      </c>
      <c r="J38" s="5"/>
    </row>
    <row r="39" spans="1:10" s="153" customFormat="1" ht="16.5" x14ac:dyDescent="0.35">
      <c r="A39" s="166" t="s">
        <v>109</v>
      </c>
      <c r="B39" s="62"/>
      <c r="C39" s="2"/>
      <c r="D39" s="65"/>
      <c r="E39" s="65"/>
      <c r="F39" s="167">
        <v>0</v>
      </c>
      <c r="G39" s="167">
        <v>0</v>
      </c>
      <c r="H39" s="129"/>
      <c r="I39" s="64" t="s">
        <v>211</v>
      </c>
      <c r="J39" s="5"/>
    </row>
    <row r="40" spans="1:10" s="153" customFormat="1" ht="16.5" x14ac:dyDescent="0.35">
      <c r="A40" s="166" t="s">
        <v>206</v>
      </c>
      <c r="B40" s="62"/>
      <c r="C40" s="2"/>
      <c r="D40" s="38"/>
      <c r="E40" s="38"/>
      <c r="F40" s="167">
        <v>177478</v>
      </c>
      <c r="G40" s="167">
        <v>177478</v>
      </c>
      <c r="H40" s="129"/>
      <c r="I40" s="64">
        <f>G40/F40</f>
        <v>1</v>
      </c>
      <c r="J40" s="5"/>
    </row>
    <row r="41" spans="1:10" s="153" customFormat="1" ht="16.5" x14ac:dyDescent="0.35">
      <c r="A41" s="166" t="s">
        <v>278</v>
      </c>
      <c r="B41" s="37"/>
      <c r="C41" s="37"/>
      <c r="D41" s="30"/>
      <c r="E41" s="30" t="s">
        <v>279</v>
      </c>
      <c r="F41" s="167">
        <v>0</v>
      </c>
      <c r="G41" s="167">
        <v>0</v>
      </c>
      <c r="H41" s="129"/>
      <c r="I41" s="168" t="s">
        <v>211</v>
      </c>
      <c r="J41" s="5"/>
    </row>
    <row r="42" spans="1:10" s="153" customFormat="1" ht="5.2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"/>
    </row>
    <row r="43" spans="1:10" s="153" customFormat="1" x14ac:dyDescent="0.2">
      <c r="A43" s="152"/>
      <c r="B43" s="152"/>
      <c r="C43" s="152"/>
      <c r="D43" s="152"/>
      <c r="E43" s="152"/>
      <c r="F43" s="152"/>
      <c r="G43" s="152"/>
      <c r="H43" s="152"/>
      <c r="I43" s="152"/>
      <c r="J43" s="5"/>
    </row>
    <row r="44" spans="1:10" s="153" customFormat="1" ht="19.5" thickBot="1" x14ac:dyDescent="0.45">
      <c r="A44" s="34" t="s">
        <v>280</v>
      </c>
      <c r="B44" s="34" t="s">
        <v>12</v>
      </c>
      <c r="C44" s="36"/>
      <c r="D44" s="38"/>
      <c r="E44" s="38"/>
      <c r="F44" s="71"/>
      <c r="G44" s="72"/>
      <c r="H44" s="546" t="s">
        <v>110</v>
      </c>
      <c r="I44" s="547"/>
      <c r="J44" s="5"/>
    </row>
    <row r="45" spans="1:10" s="153" customFormat="1" ht="18" x14ac:dyDescent="0.35">
      <c r="A45" s="169"/>
      <c r="B45" s="170"/>
      <c r="C45" s="171"/>
      <c r="D45" s="170"/>
      <c r="E45" s="172" t="s">
        <v>281</v>
      </c>
      <c r="F45" s="173" t="s">
        <v>9</v>
      </c>
      <c r="G45" s="173" t="s">
        <v>10</v>
      </c>
      <c r="H45" s="174" t="s">
        <v>13</v>
      </c>
      <c r="I45" s="175" t="s">
        <v>111</v>
      </c>
      <c r="J45" s="5"/>
    </row>
    <row r="46" spans="1:10" s="153" customFormat="1" x14ac:dyDescent="0.2">
      <c r="A46" s="176"/>
      <c r="B46" s="177"/>
      <c r="C46" s="177"/>
      <c r="D46" s="177"/>
      <c r="E46" s="548"/>
      <c r="F46" s="549"/>
      <c r="G46" s="116"/>
      <c r="H46" s="117">
        <v>41639</v>
      </c>
      <c r="I46" s="178">
        <v>41639</v>
      </c>
      <c r="J46" s="5"/>
    </row>
    <row r="47" spans="1:10" s="153" customFormat="1" x14ac:dyDescent="0.2">
      <c r="A47" s="176"/>
      <c r="B47" s="177"/>
      <c r="C47" s="177"/>
      <c r="D47" s="177"/>
      <c r="E47" s="548"/>
      <c r="F47" s="549"/>
      <c r="G47" s="119"/>
      <c r="H47" s="119"/>
      <c r="I47" s="179"/>
      <c r="J47" s="5"/>
    </row>
    <row r="48" spans="1:10" s="153" customFormat="1" ht="13.5" thickBot="1" x14ac:dyDescent="0.25">
      <c r="A48" s="180"/>
      <c r="B48" s="181"/>
      <c r="C48" s="181"/>
      <c r="D48" s="181"/>
      <c r="E48" s="182"/>
      <c r="F48" s="183"/>
      <c r="G48" s="183"/>
      <c r="H48" s="183"/>
      <c r="I48" s="184"/>
      <c r="J48" s="5"/>
    </row>
    <row r="49" spans="1:10" s="153" customFormat="1" ht="13.5" thickTop="1" x14ac:dyDescent="0.2">
      <c r="A49" s="185"/>
      <c r="B49" s="74"/>
      <c r="C49" s="74" t="s">
        <v>6</v>
      </c>
      <c r="D49" s="74"/>
      <c r="E49" s="224">
        <v>12000</v>
      </c>
      <c r="F49" s="187">
        <v>0</v>
      </c>
      <c r="G49" s="75">
        <v>2700</v>
      </c>
      <c r="H49" s="75">
        <f>E49+F49-G49</f>
        <v>9300</v>
      </c>
      <c r="I49" s="188">
        <f>H49</f>
        <v>9300</v>
      </c>
      <c r="J49" s="5"/>
    </row>
    <row r="50" spans="1:10" s="153" customFormat="1" x14ac:dyDescent="0.2">
      <c r="A50" s="189"/>
      <c r="B50" s="77"/>
      <c r="C50" s="77" t="s">
        <v>8</v>
      </c>
      <c r="D50" s="77"/>
      <c r="E50" s="225">
        <v>78012.070000000007</v>
      </c>
      <c r="F50" s="191">
        <v>57401</v>
      </c>
      <c r="G50" s="78">
        <v>59630</v>
      </c>
      <c r="H50" s="78">
        <f>E50+F50-G50</f>
        <v>75783.070000000007</v>
      </c>
      <c r="I50" s="192">
        <v>69189.25</v>
      </c>
      <c r="J50" s="5"/>
    </row>
    <row r="51" spans="1:10" s="153" customFormat="1" x14ac:dyDescent="0.2">
      <c r="A51" s="189"/>
      <c r="B51" s="77"/>
      <c r="C51" s="77" t="s">
        <v>7</v>
      </c>
      <c r="D51" s="77"/>
      <c r="E51" s="225">
        <v>505113.81</v>
      </c>
      <c r="F51" s="191">
        <v>1962.39</v>
      </c>
      <c r="G51" s="78">
        <f>19715.98+205978.5</f>
        <v>225694.48</v>
      </c>
      <c r="H51" s="78">
        <f>E51+F51-G51</f>
        <v>281381.71999999997</v>
      </c>
      <c r="I51" s="192">
        <f>H51</f>
        <v>281381.71999999997</v>
      </c>
      <c r="J51" s="5"/>
    </row>
    <row r="52" spans="1:10" s="153" customFormat="1" x14ac:dyDescent="0.2">
      <c r="A52" s="189"/>
      <c r="B52" s="77"/>
      <c r="C52" s="77" t="s">
        <v>15</v>
      </c>
      <c r="D52" s="77"/>
      <c r="E52" s="225">
        <v>166419.35999999999</v>
      </c>
      <c r="F52" s="191">
        <v>236304</v>
      </c>
      <c r="G52" s="78">
        <v>212239</v>
      </c>
      <c r="H52" s="78">
        <f>E52+F52-G52</f>
        <v>190484.36</v>
      </c>
      <c r="I52" s="192">
        <f>H52</f>
        <v>190484.36</v>
      </c>
      <c r="J52" s="5"/>
    </row>
    <row r="53" spans="1:10" s="153" customFormat="1" ht="18.75" thickBot="1" x14ac:dyDescent="0.4">
      <c r="A53" s="193" t="s">
        <v>2</v>
      </c>
      <c r="B53" s="194"/>
      <c r="C53" s="194"/>
      <c r="D53" s="194"/>
      <c r="E53" s="195">
        <f>E49+E50+E51+E52</f>
        <v>761545.24</v>
      </c>
      <c r="F53" s="196">
        <f>F49+F50+F51+F52</f>
        <v>295667.39</v>
      </c>
      <c r="G53" s="197">
        <f>G49+G50+G51+G52</f>
        <v>500263.48</v>
      </c>
      <c r="H53" s="197">
        <f>H49+H50+H51+H52</f>
        <v>556949.14999999991</v>
      </c>
      <c r="I53" s="198">
        <f>I49+I50+I51+I52</f>
        <v>550355.32999999996</v>
      </c>
      <c r="J53" s="5"/>
    </row>
    <row r="54" spans="1:10" ht="18" x14ac:dyDescent="0.35">
      <c r="A54" s="79"/>
      <c r="B54" s="68"/>
      <c r="C54" s="68"/>
      <c r="D54" s="38"/>
      <c r="E54" s="38"/>
      <c r="F54" s="71"/>
      <c r="G54" s="72"/>
      <c r="H54" s="80"/>
      <c r="I54" s="80"/>
    </row>
    <row r="55" spans="1:10" ht="18" x14ac:dyDescent="0.35">
      <c r="A55" s="79"/>
      <c r="B55" s="68"/>
      <c r="C55" s="68"/>
      <c r="D55" s="38"/>
      <c r="E55" s="38"/>
      <c r="F55" s="71"/>
      <c r="G55" s="81"/>
      <c r="H55" s="82"/>
      <c r="I55" s="82"/>
    </row>
    <row r="56" spans="1:10" ht="18" x14ac:dyDescent="0.35">
      <c r="A56" s="83"/>
      <c r="B56" s="84"/>
      <c r="C56" s="84"/>
      <c r="D56" s="85"/>
      <c r="E56" s="85"/>
      <c r="F56" s="82"/>
      <c r="G56" s="82"/>
      <c r="H56" s="82"/>
      <c r="I56" s="82"/>
    </row>
    <row r="57" spans="1:10" x14ac:dyDescent="0.2">
      <c r="A57" s="86"/>
      <c r="B57" s="86"/>
      <c r="C57" s="86"/>
      <c r="D57" s="86"/>
      <c r="E57" s="86"/>
      <c r="F57" s="86"/>
      <c r="G57" s="86"/>
      <c r="H57" s="86"/>
      <c r="I57" s="86"/>
    </row>
    <row r="58" spans="1:10" x14ac:dyDescent="0.2">
      <c r="A58" s="86"/>
      <c r="B58" s="86"/>
      <c r="C58" s="86"/>
      <c r="D58" s="86"/>
      <c r="E58" s="86"/>
      <c r="F58" s="86"/>
      <c r="G58" s="86"/>
      <c r="H58" s="86"/>
      <c r="I58" s="86"/>
    </row>
  </sheetData>
  <mergeCells count="15">
    <mergeCell ref="E46:E47"/>
    <mergeCell ref="F46:F47"/>
    <mergeCell ref="A33:I34"/>
    <mergeCell ref="A42:I42"/>
    <mergeCell ref="H44:I44"/>
    <mergeCell ref="A2:D2"/>
    <mergeCell ref="E2:I2"/>
    <mergeCell ref="E3:I3"/>
    <mergeCell ref="E4:I4"/>
    <mergeCell ref="B32:F32"/>
    <mergeCell ref="C28:E28"/>
    <mergeCell ref="C31:F31"/>
    <mergeCell ref="E5:I5"/>
    <mergeCell ref="E7:I7"/>
    <mergeCell ref="H12:I12"/>
  </mergeCells>
  <phoneticPr fontId="10" type="noConversion"/>
  <pageMargins left="0.39370078740157483" right="0" top="0.78740157480314965" bottom="0.19685039370078741" header="0.51181102362204722" footer="0.51181102362204722"/>
  <pageSetup paperSize="9" scale="85" firstPageNumber="280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44</vt:i4>
      </vt:variant>
      <vt:variant>
        <vt:lpstr>Pojmenované oblasti</vt:lpstr>
      </vt:variant>
      <vt:variant>
        <vt:i4>24</vt:i4>
      </vt:variant>
    </vt:vector>
  </HeadingPairs>
  <TitlesOfParts>
    <vt:vector size="68" baseType="lpstr">
      <vt:lpstr>Rekapitulace </vt:lpstr>
      <vt:lpstr>1000</vt:lpstr>
      <vt:lpstr>1001</vt:lpstr>
      <vt:lpstr>1010</vt:lpstr>
      <vt:lpstr>1012</vt:lpstr>
      <vt:lpstr>1013</vt:lpstr>
      <vt:lpstr>1014</vt:lpstr>
      <vt:lpstr>1015</vt:lpstr>
      <vt:lpstr>1032</vt:lpstr>
      <vt:lpstr>1033</vt:lpstr>
      <vt:lpstr>1034</vt:lpstr>
      <vt:lpstr>1100</vt:lpstr>
      <vt:lpstr>1101</vt:lpstr>
      <vt:lpstr>1102</vt:lpstr>
      <vt:lpstr>1103</vt:lpstr>
      <vt:lpstr>1104</vt:lpstr>
      <vt:lpstr>1105</vt:lpstr>
      <vt:lpstr>1120</vt:lpstr>
      <vt:lpstr>1121</vt:lpstr>
      <vt:lpstr>1122</vt:lpstr>
      <vt:lpstr>1123</vt:lpstr>
      <vt:lpstr>1124</vt:lpstr>
      <vt:lpstr>1150</vt:lpstr>
      <vt:lpstr>1160</vt:lpstr>
      <vt:lpstr>1200</vt:lpstr>
      <vt:lpstr>1201</vt:lpstr>
      <vt:lpstr>1202</vt:lpstr>
      <vt:lpstr>1204</vt:lpstr>
      <vt:lpstr>1205</vt:lpstr>
      <vt:lpstr>1206</vt:lpstr>
      <vt:lpstr>1207</vt:lpstr>
      <vt:lpstr>1208</vt:lpstr>
      <vt:lpstr>1300</vt:lpstr>
      <vt:lpstr>1301</vt:lpstr>
      <vt:lpstr>1302</vt:lpstr>
      <vt:lpstr>1303</vt:lpstr>
      <vt:lpstr>1304</vt:lpstr>
      <vt:lpstr>1350</vt:lpstr>
      <vt:lpstr>1351</vt:lpstr>
      <vt:lpstr>1352</vt:lpstr>
      <vt:lpstr>1400</vt:lpstr>
      <vt:lpstr>1420</vt:lpstr>
      <vt:lpstr>1450</vt:lpstr>
      <vt:lpstr>List5</vt:lpstr>
      <vt:lpstr>'Rekapitulace '!Názvy_tisku</vt:lpstr>
      <vt:lpstr>'1010'!Oblast_tisku</vt:lpstr>
      <vt:lpstr>'1012'!Oblast_tisku</vt:lpstr>
      <vt:lpstr>'1014'!Oblast_tisku</vt:lpstr>
      <vt:lpstr>'1100'!Oblast_tisku</vt:lpstr>
      <vt:lpstr>'1101'!Oblast_tisku</vt:lpstr>
      <vt:lpstr>'1103'!Oblast_tisku</vt:lpstr>
      <vt:lpstr>'1104'!Oblast_tisku</vt:lpstr>
      <vt:lpstr>'1121'!Oblast_tisku</vt:lpstr>
      <vt:lpstr>'1122'!Oblast_tisku</vt:lpstr>
      <vt:lpstr>'1150'!Oblast_tisku</vt:lpstr>
      <vt:lpstr>'1160'!Oblast_tisku</vt:lpstr>
      <vt:lpstr>'1202'!Oblast_tisku</vt:lpstr>
      <vt:lpstr>'1204'!Oblast_tisku</vt:lpstr>
      <vt:lpstr>'1205'!Oblast_tisku</vt:lpstr>
      <vt:lpstr>'1206'!Oblast_tisku</vt:lpstr>
      <vt:lpstr>'1207'!Oblast_tisku</vt:lpstr>
      <vt:lpstr>'1300'!Oblast_tisku</vt:lpstr>
      <vt:lpstr>'1350'!Oblast_tisku</vt:lpstr>
      <vt:lpstr>'1352'!Oblast_tisku</vt:lpstr>
      <vt:lpstr>'1400'!Oblast_tisku</vt:lpstr>
      <vt:lpstr>'1420'!Oblast_tisku</vt:lpstr>
      <vt:lpstr>'1450'!Oblast_tisku</vt:lpstr>
      <vt:lpstr>'Rekapitulace '!Oblast_tisku</vt:lpstr>
    </vt:vector>
  </TitlesOfParts>
  <Company>Krajský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Stiebnerová Monika</cp:lastModifiedBy>
  <cp:lastPrinted>2014-06-02T13:08:59Z</cp:lastPrinted>
  <dcterms:created xsi:type="dcterms:W3CDTF">2002-03-27T12:20:37Z</dcterms:created>
  <dcterms:modified xsi:type="dcterms:W3CDTF">2014-06-02T13:09:11Z</dcterms:modified>
</cp:coreProperties>
</file>