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11640"/>
  </bookViews>
  <sheets>
    <sheet name="Příloha č. 1" sheetId="1" r:id="rId1"/>
  </sheets>
  <definedNames>
    <definedName name="_xlnm.Print_Area" localSheetId="0">'Příloha č. 1'!$A$1:$H$110</definedName>
  </definedNames>
  <calcPr calcId="145621"/>
</workbook>
</file>

<file path=xl/calcChain.xml><?xml version="1.0" encoding="utf-8"?>
<calcChain xmlns="http://schemas.openxmlformats.org/spreadsheetml/2006/main">
  <c r="D90" i="1" l="1"/>
  <c r="D94" i="1"/>
  <c r="F75" i="1" l="1"/>
  <c r="F47" i="1"/>
  <c r="F48" i="1"/>
  <c r="F46" i="1"/>
  <c r="F45" i="1"/>
  <c r="F38" i="1"/>
  <c r="H11" i="1"/>
  <c r="H10" i="1"/>
  <c r="H9" i="1"/>
  <c r="H8" i="1"/>
  <c r="H7" i="1"/>
  <c r="H60" i="1"/>
  <c r="H57" i="1"/>
  <c r="H59" i="1"/>
  <c r="F60" i="1"/>
  <c r="E59" i="1"/>
  <c r="H19" i="1"/>
  <c r="F19" i="1"/>
  <c r="E92" i="1"/>
  <c r="G50" i="1"/>
  <c r="E50" i="1"/>
  <c r="E31" i="1"/>
  <c r="F52" i="1"/>
  <c r="F53" i="1"/>
  <c r="F51" i="1"/>
  <c r="J8" i="1" l="1"/>
  <c r="G94" i="1" l="1"/>
  <c r="E94" i="1"/>
  <c r="G45" i="1"/>
  <c r="E45" i="1"/>
  <c r="E10" i="1"/>
  <c r="E90" i="1" l="1"/>
  <c r="D89" i="1"/>
  <c r="D87" i="1"/>
  <c r="D118" i="1"/>
  <c r="C118" i="1"/>
  <c r="C90" i="1"/>
  <c r="C89" i="1"/>
  <c r="C87" i="1"/>
  <c r="H83" i="1"/>
  <c r="F83" i="1"/>
  <c r="G55" i="1"/>
  <c r="E39" i="1"/>
  <c r="H55" i="1"/>
  <c r="F55" i="1"/>
  <c r="E55" i="1"/>
  <c r="H54" i="1"/>
  <c r="G54" i="1"/>
  <c r="F54" i="1"/>
  <c r="E54" i="1"/>
  <c r="H53" i="1"/>
  <c r="G40" i="1" l="1"/>
  <c r="E40" i="1"/>
  <c r="G39" i="1"/>
  <c r="H30" i="1"/>
  <c r="F30" i="1"/>
  <c r="H13" i="1"/>
  <c r="H15" i="1"/>
  <c r="H17" i="1"/>
  <c r="H18" i="1"/>
  <c r="F13" i="1"/>
  <c r="F14" i="1"/>
  <c r="F15" i="1"/>
  <c r="F16" i="1"/>
  <c r="F17" i="1"/>
  <c r="F18" i="1"/>
  <c r="G13" i="1"/>
  <c r="G10" i="1"/>
  <c r="H16" i="1"/>
  <c r="G17" i="1"/>
  <c r="G18" i="1"/>
  <c r="G12" i="1"/>
  <c r="E13" i="1"/>
  <c r="E17" i="1"/>
  <c r="E18" i="1"/>
  <c r="E12" i="1"/>
  <c r="E11" i="1"/>
  <c r="G8" i="1"/>
  <c r="H14" i="1" l="1"/>
  <c r="D92" i="1"/>
  <c r="D59" i="1"/>
  <c r="C50" i="1"/>
  <c r="D39" i="1"/>
  <c r="D38" i="1" s="1"/>
  <c r="C39" i="1"/>
  <c r="D10" i="1"/>
  <c r="C14" i="1"/>
  <c r="D45" i="1"/>
  <c r="D7" i="1"/>
  <c r="J61" i="1"/>
  <c r="C59" i="1"/>
  <c r="C7" i="1"/>
  <c r="D20" i="1" l="1"/>
  <c r="D22" i="1" s="1"/>
  <c r="D31" i="1" s="1"/>
  <c r="D50" i="1"/>
  <c r="C94" i="1"/>
  <c r="C45" i="1"/>
  <c r="C38" i="1" s="1"/>
  <c r="C75" i="1" s="1"/>
  <c r="C84" i="1" s="1"/>
  <c r="C20" i="1"/>
  <c r="C11" i="1"/>
  <c r="C10" i="1" s="1"/>
  <c r="D75" i="1" l="1"/>
  <c r="D111" i="1"/>
  <c r="C22" i="1"/>
  <c r="D112" i="1" l="1"/>
  <c r="D84" i="1"/>
  <c r="C31" i="1"/>
  <c r="G92" i="1"/>
  <c r="F91" i="1" l="1"/>
  <c r="H110" i="1"/>
  <c r="H96" i="1"/>
  <c r="H95" i="1"/>
  <c r="F110" i="1"/>
  <c r="F99" i="1"/>
  <c r="F100" i="1"/>
  <c r="F101" i="1"/>
  <c r="F102" i="1"/>
  <c r="F103" i="1"/>
  <c r="F104" i="1"/>
  <c r="F105" i="1"/>
  <c r="F106" i="1"/>
  <c r="F107" i="1"/>
  <c r="F108" i="1"/>
  <c r="F109" i="1"/>
  <c r="F96" i="1"/>
  <c r="F95" i="1"/>
  <c r="F94" i="1"/>
  <c r="F39" i="1" l="1"/>
  <c r="H40" i="1"/>
  <c r="E43" i="1"/>
  <c r="G43" i="1" s="1"/>
  <c r="F42" i="1"/>
  <c r="E42" i="1"/>
  <c r="G42" i="1" s="1"/>
  <c r="F44" i="1"/>
  <c r="F50" i="1"/>
  <c r="H65" i="1"/>
  <c r="F65" i="1"/>
  <c r="F56" i="1"/>
  <c r="F58" i="1"/>
  <c r="E57" i="1"/>
  <c r="G57" i="1" s="1"/>
  <c r="E21" i="1"/>
  <c r="E20" i="1" s="1"/>
  <c r="F20" i="1" s="1"/>
  <c r="F8" i="1"/>
  <c r="F43" i="1" l="1"/>
  <c r="F40" i="1"/>
  <c r="F57" i="1"/>
  <c r="E38" i="1"/>
  <c r="H39" i="1"/>
  <c r="G38" i="1"/>
  <c r="G11" i="1"/>
  <c r="F11" i="1"/>
  <c r="F21" i="1"/>
  <c r="F9" i="1"/>
  <c r="E7" i="1"/>
  <c r="F7" i="1" s="1"/>
  <c r="F12" i="1"/>
  <c r="G21" i="1"/>
  <c r="H21" i="1" s="1"/>
  <c r="H48" i="1"/>
  <c r="H47" i="1"/>
  <c r="H46" i="1"/>
  <c r="H51" i="1" l="1"/>
  <c r="H50" i="1"/>
  <c r="G7" i="1"/>
  <c r="G59" i="1" l="1"/>
  <c r="G75" i="1" s="1"/>
  <c r="G58" i="1"/>
  <c r="H58" i="1" s="1"/>
  <c r="H99" i="1"/>
  <c r="H102" i="1"/>
  <c r="H104" i="1"/>
  <c r="H105" i="1"/>
  <c r="H107" i="1"/>
  <c r="H108" i="1"/>
  <c r="H94" i="1"/>
  <c r="H45" i="1" l="1"/>
  <c r="H12" i="1"/>
  <c r="H44" i="1" l="1"/>
  <c r="H43" i="1"/>
  <c r="H42" i="1" l="1"/>
  <c r="F76" i="1" l="1"/>
  <c r="H74" i="1"/>
  <c r="F73" i="1"/>
  <c r="C111" i="1"/>
  <c r="H72" i="1"/>
  <c r="F72" i="1"/>
  <c r="H25" i="1"/>
  <c r="H27" i="1"/>
  <c r="H28" i="1"/>
  <c r="H78" i="1"/>
  <c r="H80" i="1"/>
  <c r="H81" i="1"/>
  <c r="G78" i="1"/>
  <c r="G81" i="1"/>
  <c r="G25" i="1"/>
  <c r="G28" i="1"/>
  <c r="F81" i="1"/>
  <c r="G27" i="1"/>
  <c r="E78" i="1"/>
  <c r="E80" i="1"/>
  <c r="F80" i="1"/>
  <c r="G80" i="1"/>
  <c r="E81" i="1"/>
  <c r="F27" i="1"/>
  <c r="F28" i="1"/>
  <c r="E23" i="1"/>
  <c r="E25" i="1"/>
  <c r="E27" i="1"/>
  <c r="E28" i="1"/>
  <c r="C28" i="1"/>
  <c r="G103" i="1"/>
  <c r="H103" i="1" s="1"/>
  <c r="G109" i="1"/>
  <c r="H109" i="1" s="1"/>
  <c r="G101" i="1"/>
  <c r="H100" i="1"/>
  <c r="C81" i="1"/>
  <c r="C76" i="1"/>
  <c r="C77" i="1" s="1"/>
  <c r="C79" i="1" s="1"/>
  <c r="C82" i="1" s="1"/>
  <c r="C78" i="1"/>
  <c r="C80" i="1"/>
  <c r="C23" i="1"/>
  <c r="C24" i="1" s="1"/>
  <c r="C26" i="1" s="1"/>
  <c r="C29" i="1" s="1"/>
  <c r="C25" i="1"/>
  <c r="C27" i="1"/>
  <c r="F78" i="1"/>
  <c r="G76" i="1"/>
  <c r="H101" i="1" l="1"/>
  <c r="E76" i="1"/>
  <c r="G106" i="1"/>
  <c r="H106" i="1" s="1"/>
  <c r="F23" i="1"/>
  <c r="H76" i="1"/>
  <c r="F90" i="1" l="1"/>
  <c r="F10" i="1"/>
  <c r="E22" i="1"/>
  <c r="C112" i="1"/>
  <c r="H38" i="1"/>
  <c r="G20" i="1"/>
  <c r="H20" i="1" s="1"/>
  <c r="H52" i="1"/>
  <c r="F22" i="1" l="1"/>
  <c r="F24" i="1"/>
  <c r="F26" i="1" s="1"/>
  <c r="F29" i="1" s="1"/>
  <c r="G22" i="1"/>
  <c r="G31" i="1" s="1"/>
  <c r="E24" i="1"/>
  <c r="E26" i="1" s="1"/>
  <c r="E29" i="1" s="1"/>
  <c r="E97" i="1"/>
  <c r="F97" i="1" s="1"/>
  <c r="G87" i="1" l="1"/>
  <c r="G111" i="1"/>
  <c r="H31" i="1"/>
  <c r="E87" i="1"/>
  <c r="E111" i="1"/>
  <c r="F31" i="1"/>
  <c r="H22" i="1"/>
  <c r="G84" i="1"/>
  <c r="G112" i="1" l="1"/>
  <c r="G89" i="1"/>
  <c r="G118" i="1" s="1"/>
  <c r="H87" i="1"/>
  <c r="F87" i="1"/>
  <c r="G77" i="1"/>
  <c r="G79" i="1" s="1"/>
  <c r="G82" i="1" s="1"/>
  <c r="G88" i="1"/>
  <c r="G98" i="1"/>
  <c r="H98" i="1" s="1"/>
  <c r="E75" i="1" l="1"/>
  <c r="E84" i="1" s="1"/>
  <c r="F59" i="1"/>
  <c r="E98" i="1" l="1"/>
  <c r="F98" i="1" s="1"/>
  <c r="E89" i="1"/>
  <c r="E118" i="1" s="1"/>
  <c r="F77" i="1"/>
  <c r="F79" i="1" s="1"/>
  <c r="F82" i="1" s="1"/>
  <c r="H89" i="1"/>
  <c r="E88" i="1"/>
  <c r="F88" i="1" s="1"/>
  <c r="H75" i="1"/>
  <c r="H77" i="1" s="1"/>
  <c r="H79" i="1" s="1"/>
  <c r="H82" i="1" s="1"/>
  <c r="E77" i="1"/>
  <c r="E79" i="1" s="1"/>
  <c r="E82" i="1" s="1"/>
  <c r="F89" i="1"/>
  <c r="G90" i="1"/>
  <c r="H90" i="1" s="1"/>
  <c r="G23" i="1"/>
  <c r="G24" i="1" s="1"/>
  <c r="G26" i="1" s="1"/>
  <c r="G29" i="1" s="1"/>
  <c r="G114" i="1"/>
  <c r="H23" i="1"/>
  <c r="H24" i="1" s="1"/>
  <c r="H26" i="1" s="1"/>
  <c r="H29" i="1" s="1"/>
  <c r="G97" i="1"/>
  <c r="H97" i="1" s="1"/>
  <c r="E112" i="1" l="1"/>
  <c r="E114" i="1" s="1"/>
  <c r="H84" i="1"/>
  <c r="F84" i="1"/>
  <c r="H88" i="1"/>
</calcChain>
</file>

<file path=xl/comments1.xml><?xml version="1.0" encoding="utf-8"?>
<comments xmlns="http://schemas.openxmlformats.org/spreadsheetml/2006/main">
  <authors>
    <author>Ing. Pavel Poles</author>
  </authors>
  <commentList>
    <comment ref="E59" authorId="0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za OPŘ:
- roj.příprava+předfinancování z rozpočtu OK+ průtok financování soc. služeb
- zreálnění financování z EIB
p</t>
        </r>
      </text>
    </comment>
    <comment ref="G59" authorId="0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- proj.příprava+průtok financování soc. služeb projektu
- odhad financování připravovaných projektů z EIB</t>
        </r>
      </text>
    </comment>
  </commentList>
</comments>
</file>

<file path=xl/sharedStrings.xml><?xml version="1.0" encoding="utf-8"?>
<sst xmlns="http://schemas.openxmlformats.org/spreadsheetml/2006/main" count="85" uniqueCount="77">
  <si>
    <t>Rozpočtový výhled</t>
  </si>
  <si>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</si>
  <si>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</si>
  <si>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</si>
  <si>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</si>
  <si>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</si>
  <si>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</si>
  <si>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</si>
  <si>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</si>
  <si>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</si>
  <si>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</si>
  <si>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</si>
  <si>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</si>
  <si>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</si>
  <si>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</si>
  <si>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</si>
  <si>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</si>
  <si>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</si>
  <si>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</si>
  <si>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</si>
  <si>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</si>
  <si>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</si>
  <si>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</si>
  <si>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</si>
  <si>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</si>
  <si>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</si>
  <si>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</si>
  <si>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</si>
  <si>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</si>
  <si>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</si>
  <si>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</si>
  <si>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</si>
  <si>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</si>
  <si>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z toho: autobusová doprava</t>
  </si>
  <si>
    <t xml:space="preserve">           drážní doprava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</si>
  <si>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</si>
  <si>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</si>
  <si>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</si>
  <si>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rezerva,ostatní *</t>
  </si>
  <si>
    <t>v tis.Kč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</si>
  <si>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</si>
  <si>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</si>
  <si>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</si>
  <si>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</si>
  <si>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z toho: EIB (Modernizace silniční sítě) - iistina</t>
  </si>
  <si>
    <t>a) provozní výdaje odborů</t>
  </si>
  <si>
    <t>b) dotační tituly</t>
  </si>
  <si>
    <t>c) dopravní obslužnost</t>
  </si>
  <si>
    <t xml:space="preserve">d) nespecifikovaná rezerva </t>
  </si>
  <si>
    <t xml:space="preserve">e) úroky z úvěru 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</si>
  <si>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</si>
  <si>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</si>
  <si>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</si>
  <si>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</si>
  <si>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</si>
  <si>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Evropské programy</t>
  </si>
  <si>
    <t>Investiční výdaje</t>
  </si>
  <si>
    <t xml:space="preserve">f) oblast zdravotnictví - z nájemného </t>
  </si>
  <si>
    <t>16/15 (%)</t>
  </si>
  <si>
    <t xml:space="preserve">d) příspěvek na provoz - nájemné, ostatní </t>
  </si>
  <si>
    <t xml:space="preserve">         Česká spořitelna - revolving (předfinancování projektů)</t>
  </si>
  <si>
    <t>Schválený rozpočet 2014</t>
  </si>
  <si>
    <t>1. Rozpočtový výhled Olomouckého kraje na období 2016 - 2017</t>
  </si>
  <si>
    <t>17/16 (%)</t>
  </si>
  <si>
    <t>Návrh rozpočtu 2015</t>
  </si>
  <si>
    <t>a) rozpracované investice</t>
  </si>
  <si>
    <t>b) alokace 5 - 12 - podíl Olomouckého kraje</t>
  </si>
  <si>
    <t xml:space="preserve">c) alokace 5 - 12 - předfinancování </t>
  </si>
  <si>
    <t xml:space="preserve">d) nové investice - odbory </t>
  </si>
  <si>
    <t xml:space="preserve">e) nové investice 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</si>
  <si>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</si>
  <si>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</si>
  <si>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</si>
  <si>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</si>
  <si>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</si>
  <si>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</si>
  <si>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 xml:space="preserve">z toho:Česká spořitelna - revolvingový (předfinancování projektů)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</si>
</sst>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19"/>
      <name val="Arial"/>
      <family val="2"/>
      <charset val="238"/>
    </font>
    <font>
      <b/>
      <sz val="11.6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3" fontId="2" fillId="0" borderId="0" xfId="0" applyNumberFormat="1" applyFont="1" applyFill="1" applyAlignment="1">
      <alignment horizontal="left"/>
    </xf>
    <xf numFmtId="3" fontId="14" fillId="2" borderId="0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10" fillId="2" borderId="0" xfId="0" applyNumberFormat="1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0" fontId="18" fillId="0" borderId="0" xfId="0" applyFont="1" applyFill="1"/>
    <xf numFmtId="3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/>
    <xf numFmtId="3" fontId="5" fillId="0" borderId="10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0" fontId="14" fillId="0" borderId="0" xfId="0" applyFont="1" applyFill="1"/>
    <xf numFmtId="0" fontId="20" fillId="0" borderId="0" xfId="0" applyFont="1" applyFill="1"/>
    <xf numFmtId="0" fontId="6" fillId="4" borderId="0" xfId="0" applyFont="1" applyFill="1"/>
    <xf numFmtId="0" fontId="6" fillId="5" borderId="0" xfId="0" applyFont="1" applyFill="1"/>
    <xf numFmtId="164" fontId="21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3" fontId="22" fillId="0" borderId="4" xfId="0" applyNumberFormat="1" applyFont="1" applyFill="1" applyBorder="1" applyAlignment="1">
      <alignment vertical="center"/>
    </xf>
    <xf numFmtId="3" fontId="22" fillId="0" borderId="13" xfId="1" applyNumberFormat="1" applyFont="1" applyFill="1" applyBorder="1" applyAlignment="1">
      <alignment vertical="center"/>
    </xf>
    <xf numFmtId="3" fontId="22" fillId="0" borderId="14" xfId="1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horizontal="right" vertical="center"/>
    </xf>
    <xf numFmtId="0" fontId="23" fillId="0" borderId="0" xfId="0" applyFont="1" applyFill="1"/>
    <xf numFmtId="0" fontId="3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/>
    </xf>
    <xf numFmtId="3" fontId="7" fillId="0" borderId="22" xfId="1" applyNumberFormat="1" applyFont="1" applyFill="1" applyBorder="1" applyAlignment="1">
      <alignment vertical="center"/>
    </xf>
    <xf numFmtId="164" fontId="7" fillId="0" borderId="20" xfId="0" applyNumberFormat="1" applyFont="1" applyFill="1" applyBorder="1" applyAlignment="1">
      <alignment horizontal="right" vertical="center"/>
    </xf>
    <xf numFmtId="3" fontId="22" fillId="0" borderId="20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0" fontId="3" fillId="0" borderId="0" xfId="0" applyFont="1" applyFill="1" applyAlignment="1"/>
    <xf numFmtId="0" fontId="24" fillId="0" borderId="1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/>
    </xf>
    <xf numFmtId="3" fontId="24" fillId="0" borderId="3" xfId="0" applyNumberFormat="1" applyFont="1" applyFill="1" applyBorder="1" applyAlignment="1">
      <alignment vertical="center"/>
    </xf>
    <xf numFmtId="164" fontId="24" fillId="0" borderId="2" xfId="0" applyNumberFormat="1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vertical="center"/>
    </xf>
    <xf numFmtId="164" fontId="5" fillId="6" borderId="2" xfId="0" applyNumberFormat="1" applyFont="1" applyFill="1" applyBorder="1"/>
    <xf numFmtId="3" fontId="5" fillId="6" borderId="3" xfId="0" applyNumberFormat="1" applyFont="1" applyFill="1" applyBorder="1"/>
    <xf numFmtId="164" fontId="17" fillId="6" borderId="20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3" fontId="24" fillId="0" borderId="4" xfId="0" applyNumberFormat="1" applyFont="1" applyFill="1" applyBorder="1" applyAlignment="1">
      <alignment vertical="center"/>
    </xf>
    <xf numFmtId="0" fontId="24" fillId="6" borderId="17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 shrinkToFit="1"/>
    </xf>
    <xf numFmtId="164" fontId="5" fillId="6" borderId="16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24" fillId="6" borderId="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/>
    <xf numFmtId="0" fontId="5" fillId="6" borderId="20" xfId="0" applyFont="1" applyFill="1" applyBorder="1" applyAlignment="1">
      <alignment horizontal="left"/>
    </xf>
    <xf numFmtId="3" fontId="5" fillId="6" borderId="3" xfId="0" applyNumberFormat="1" applyFont="1" applyFill="1" applyBorder="1" applyAlignment="1"/>
    <xf numFmtId="164" fontId="5" fillId="6" borderId="2" xfId="0" applyNumberFormat="1" applyFont="1" applyFill="1" applyBorder="1" applyAlignment="1">
      <alignment horizontal="right"/>
    </xf>
    <xf numFmtId="0" fontId="5" fillId="6" borderId="0" xfId="0" applyFont="1" applyFill="1" applyAlignment="1"/>
    <xf numFmtId="0" fontId="5" fillId="6" borderId="21" xfId="0" applyFont="1" applyFill="1" applyBorder="1" applyAlignment="1">
      <alignment horizontal="left"/>
    </xf>
    <xf numFmtId="3" fontId="5" fillId="6" borderId="4" xfId="0" applyNumberFormat="1" applyFont="1" applyFill="1" applyBorder="1" applyAlignment="1"/>
    <xf numFmtId="0" fontId="5" fillId="7" borderId="18" xfId="0" applyFont="1" applyFill="1" applyBorder="1" applyAlignment="1">
      <alignment horizontal="left" vertical="center"/>
    </xf>
    <xf numFmtId="3" fontId="5" fillId="7" borderId="10" xfId="0" applyNumberFormat="1" applyFont="1" applyFill="1" applyBorder="1" applyAlignment="1">
      <alignment vertical="center"/>
    </xf>
    <xf numFmtId="164" fontId="5" fillId="7" borderId="11" xfId="0" applyNumberFormat="1" applyFont="1" applyFill="1" applyBorder="1" applyAlignment="1">
      <alignment horizontal="right" vertical="top"/>
    </xf>
    <xf numFmtId="3" fontId="25" fillId="0" borderId="0" xfId="0" applyNumberFormat="1" applyFont="1" applyFill="1"/>
    <xf numFmtId="164" fontId="25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6" fillId="0" borderId="0" xfId="0" applyFont="1" applyFill="1" applyAlignment="1"/>
    <xf numFmtId="0" fontId="26" fillId="0" borderId="0" xfId="0" applyFont="1" applyFill="1"/>
    <xf numFmtId="0" fontId="18" fillId="0" borderId="0" xfId="0" applyFont="1" applyFill="1" applyBorder="1"/>
    <xf numFmtId="3" fontId="18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0" fontId="6" fillId="5" borderId="0" xfId="0" applyFont="1" applyFill="1" applyBorder="1"/>
    <xf numFmtId="3" fontId="6" fillId="5" borderId="0" xfId="0" applyNumberFormat="1" applyFont="1" applyFill="1" applyBorder="1"/>
    <xf numFmtId="3" fontId="27" fillId="0" borderId="0" xfId="0" applyNumberFormat="1" applyFont="1" applyFill="1" applyAlignment="1"/>
    <xf numFmtId="3" fontId="27" fillId="0" borderId="0" xfId="0" applyNumberFormat="1" applyFont="1" applyFill="1"/>
    <xf numFmtId="3" fontId="26" fillId="0" borderId="0" xfId="0" applyNumberFormat="1" applyFont="1" applyFill="1"/>
    <xf numFmtId="164" fontId="5" fillId="6" borderId="2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" fontId="28" fillId="0" borderId="0" xfId="0" applyNumberFormat="1" applyFont="1" applyFill="1"/>
    <xf numFmtId="0" fontId="3" fillId="2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3" fontId="5" fillId="0" borderId="36" xfId="0" applyNumberFormat="1" applyFont="1" applyFill="1" applyBorder="1" applyAlignment="1">
      <alignment vertical="center"/>
    </xf>
    <xf numFmtId="164" fontId="5" fillId="0" borderId="37" xfId="0" applyNumberFormat="1" applyFont="1" applyFill="1" applyBorder="1" applyAlignment="1">
      <alignment horizontal="right" vertical="top"/>
    </xf>
    <xf numFmtId="164" fontId="5" fillId="0" borderId="38" xfId="0" applyNumberFormat="1" applyFont="1" applyFill="1" applyBorder="1" applyAlignment="1">
      <alignment horizontal="right" vertical="top"/>
    </xf>
    <xf numFmtId="0" fontId="24" fillId="2" borderId="39" xfId="0" applyFont="1" applyFill="1" applyBorder="1" applyAlignment="1">
      <alignment horizontal="center" vertical="center"/>
    </xf>
    <xf numFmtId="164" fontId="5" fillId="3" borderId="40" xfId="0" applyNumberFormat="1" applyFont="1" applyFill="1" applyBorder="1" applyAlignment="1">
      <alignment horizontal="right" vertical="top"/>
    </xf>
    <xf numFmtId="164" fontId="5" fillId="0" borderId="40" xfId="0" applyNumberFormat="1" applyFont="1" applyFill="1" applyBorder="1" applyAlignment="1">
      <alignment vertical="center"/>
    </xf>
    <xf numFmtId="0" fontId="24" fillId="7" borderId="39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164" fontId="5" fillId="6" borderId="42" xfId="0" applyNumberFormat="1" applyFont="1" applyFill="1" applyBorder="1" applyAlignment="1">
      <alignment horizontal="right"/>
    </xf>
    <xf numFmtId="0" fontId="24" fillId="6" borderId="43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 vertical="center"/>
    </xf>
    <xf numFmtId="164" fontId="7" fillId="0" borderId="42" xfId="0" applyNumberFormat="1" applyFont="1" applyFill="1" applyBorder="1" applyAlignment="1">
      <alignment horizontal="right"/>
    </xf>
    <xf numFmtId="0" fontId="24" fillId="0" borderId="43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 vertical="center"/>
    </xf>
    <xf numFmtId="164" fontId="7" fillId="0" borderId="42" xfId="0" applyNumberFormat="1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/>
    </xf>
    <xf numFmtId="3" fontId="7" fillId="0" borderId="46" xfId="0" applyNumberFormat="1" applyFont="1" applyFill="1" applyBorder="1" applyAlignment="1"/>
    <xf numFmtId="164" fontId="7" fillId="0" borderId="47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Alignment="1">
      <alignment horizontal="left"/>
    </xf>
    <xf numFmtId="3" fontId="29" fillId="6" borderId="50" xfId="0" applyNumberFormat="1" applyFont="1" applyFill="1" applyBorder="1" applyAlignment="1">
      <alignment horizontal="right" vertical="center"/>
    </xf>
    <xf numFmtId="3" fontId="31" fillId="0" borderId="50" xfId="0" applyNumberFormat="1" applyFont="1" applyFill="1" applyBorder="1" applyAlignment="1">
      <alignment horizontal="right" vertical="center"/>
    </xf>
    <xf numFmtId="3" fontId="29" fillId="6" borderId="12" xfId="0" applyNumberFormat="1" applyFont="1" applyFill="1" applyBorder="1" applyAlignment="1">
      <alignment horizontal="right" vertical="center"/>
    </xf>
    <xf numFmtId="3" fontId="31" fillId="0" borderId="12" xfId="0" applyNumberFormat="1" applyFont="1" applyFill="1" applyBorder="1" applyAlignment="1">
      <alignment horizontal="right" vertical="center"/>
    </xf>
    <xf numFmtId="3" fontId="31" fillId="0" borderId="12" xfId="0" applyNumberFormat="1" applyFont="1" applyFill="1" applyBorder="1" applyAlignment="1">
      <alignment vertical="center"/>
    </xf>
    <xf numFmtId="3" fontId="29" fillId="6" borderId="3" xfId="0" applyNumberFormat="1" applyFont="1" applyFill="1" applyBorder="1" applyAlignment="1">
      <alignment vertical="center"/>
    </xf>
    <xf numFmtId="3" fontId="33" fillId="0" borderId="12" xfId="0" applyNumberFormat="1" applyFont="1" applyFill="1" applyBorder="1" applyAlignment="1">
      <alignment vertical="center"/>
    </xf>
    <xf numFmtId="3" fontId="31" fillId="0" borderId="12" xfId="0" applyNumberFormat="1" applyFont="1" applyFill="1" applyBorder="1" applyAlignment="1">
      <alignment horizontal="left" vertical="center"/>
    </xf>
    <xf numFmtId="3" fontId="29" fillId="6" borderId="12" xfId="0" applyNumberFormat="1" applyFont="1" applyFill="1" applyBorder="1" applyAlignment="1">
      <alignment vertical="center"/>
    </xf>
    <xf numFmtId="3" fontId="29" fillId="6" borderId="12" xfId="0" applyNumberFormat="1" applyFont="1" applyFill="1" applyBorder="1"/>
    <xf numFmtId="3" fontId="33" fillId="0" borderId="51" xfId="0" applyNumberFormat="1" applyFont="1" applyFill="1" applyBorder="1" applyAlignment="1">
      <alignment vertical="center"/>
    </xf>
    <xf numFmtId="3" fontId="33" fillId="0" borderId="48" xfId="0" applyNumberFormat="1" applyFont="1" applyFill="1" applyBorder="1" applyAlignment="1">
      <alignment vertical="center"/>
    </xf>
    <xf numFmtId="3" fontId="31" fillId="0" borderId="51" xfId="0" applyNumberFormat="1" applyFont="1" applyFill="1" applyBorder="1" applyAlignment="1">
      <alignment vertical="center"/>
    </xf>
    <xf numFmtId="3" fontId="32" fillId="2" borderId="0" xfId="0" applyNumberFormat="1" applyFont="1" applyFill="1" applyBorder="1" applyAlignment="1">
      <alignment vertical="center"/>
    </xf>
    <xf numFmtId="3" fontId="29" fillId="3" borderId="9" xfId="0" applyNumberFormat="1" applyFont="1" applyFill="1" applyBorder="1" applyAlignment="1">
      <alignment vertical="center"/>
    </xf>
    <xf numFmtId="3" fontId="29" fillId="7" borderId="9" xfId="0" applyNumberFormat="1" applyFont="1" applyFill="1" applyBorder="1" applyAlignment="1">
      <alignment vertical="center"/>
    </xf>
    <xf numFmtId="3" fontId="29" fillId="6" borderId="50" xfId="0" applyNumberFormat="1" applyFont="1" applyFill="1" applyBorder="1" applyAlignment="1"/>
    <xf numFmtId="3" fontId="29" fillId="6" borderId="12" xfId="0" applyNumberFormat="1" applyFont="1" applyFill="1" applyBorder="1" applyAlignment="1"/>
    <xf numFmtId="3" fontId="31" fillId="0" borderId="12" xfId="0" applyNumberFormat="1" applyFont="1" applyFill="1" applyBorder="1"/>
    <xf numFmtId="3" fontId="29" fillId="6" borderId="51" xfId="0" applyNumberFormat="1" applyFont="1" applyFill="1" applyBorder="1" applyAlignment="1"/>
    <xf numFmtId="3" fontId="31" fillId="0" borderId="51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3" fontId="32" fillId="4" borderId="0" xfId="0" applyNumberFormat="1" applyFont="1" applyFill="1" applyBorder="1"/>
    <xf numFmtId="3" fontId="32" fillId="5" borderId="0" xfId="0" applyNumberFormat="1" applyFont="1" applyFill="1" applyBorder="1"/>
    <xf numFmtId="3" fontId="31" fillId="0" borderId="52" xfId="0" applyNumberFormat="1" applyFont="1" applyFill="1" applyBorder="1"/>
    <xf numFmtId="3" fontId="34" fillId="0" borderId="0" xfId="0" applyNumberFormat="1" applyFont="1" applyFill="1"/>
    <xf numFmtId="3" fontId="32" fillId="0" borderId="0" xfId="0" applyNumberFormat="1" applyFont="1" applyFill="1" applyAlignment="1"/>
    <xf numFmtId="3" fontId="32" fillId="0" borderId="0" xfId="0" applyNumberFormat="1" applyFont="1" applyFill="1"/>
    <xf numFmtId="3" fontId="33" fillId="0" borderId="5" xfId="0" applyNumberFormat="1" applyFont="1" applyFill="1" applyBorder="1" applyAlignment="1">
      <alignment vertical="center"/>
    </xf>
    <xf numFmtId="3" fontId="33" fillId="8" borderId="3" xfId="0" applyNumberFormat="1" applyFont="1" applyFill="1" applyBorder="1" applyAlignment="1">
      <alignment vertical="center"/>
    </xf>
    <xf numFmtId="3" fontId="31" fillId="8" borderId="12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/>
    <xf numFmtId="0" fontId="5" fillId="6" borderId="5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29" fillId="6" borderId="7" xfId="0" applyNumberFormat="1" applyFont="1" applyFill="1" applyBorder="1" applyAlignment="1">
      <alignment horizontal="right" vertical="center"/>
    </xf>
    <xf numFmtId="3" fontId="31" fillId="0" borderId="7" xfId="0" applyNumberFormat="1" applyFont="1" applyFill="1" applyBorder="1" applyAlignment="1">
      <alignment horizontal="right" vertical="center"/>
    </xf>
    <xf numFmtId="3" fontId="29" fillId="6" borderId="5" xfId="0" applyNumberFormat="1" applyFont="1" applyFill="1" applyBorder="1" applyAlignment="1">
      <alignment horizontal="right" vertical="center"/>
    </xf>
    <xf numFmtId="3" fontId="31" fillId="0" borderId="5" xfId="0" applyNumberFormat="1" applyFont="1" applyFill="1" applyBorder="1" applyAlignment="1">
      <alignment horizontal="right" vertical="center"/>
    </xf>
    <xf numFmtId="3" fontId="31" fillId="0" borderId="5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/>
    <xf numFmtId="3" fontId="24" fillId="0" borderId="24" xfId="0" applyNumberFormat="1" applyFont="1" applyFill="1" applyBorder="1" applyAlignment="1"/>
    <xf numFmtId="3" fontId="4" fillId="3" borderId="9" xfId="0" applyNumberFormat="1" applyFont="1" applyFill="1" applyBorder="1" applyAlignment="1"/>
    <xf numFmtId="3" fontId="10" fillId="0" borderId="48" xfId="0" applyNumberFormat="1" applyFont="1" applyFill="1" applyBorder="1" applyAlignment="1"/>
    <xf numFmtId="3" fontId="16" fillId="0" borderId="48" xfId="0" applyNumberFormat="1" applyFont="1" applyFill="1" applyBorder="1" applyAlignment="1"/>
    <xf numFmtId="3" fontId="14" fillId="0" borderId="48" xfId="0" applyNumberFormat="1" applyFont="1" applyFill="1" applyBorder="1" applyAlignment="1"/>
    <xf numFmtId="3" fontId="32" fillId="0" borderId="24" xfId="0" applyNumberFormat="1" applyFont="1" applyFill="1" applyBorder="1" applyAlignment="1"/>
    <xf numFmtId="164" fontId="10" fillId="0" borderId="54" xfId="0" applyNumberFormat="1" applyFont="1" applyFill="1" applyBorder="1" applyAlignment="1"/>
    <xf numFmtId="164" fontId="16" fillId="0" borderId="54" xfId="0" applyNumberFormat="1" applyFont="1" applyFill="1" applyBorder="1" applyAlignment="1"/>
    <xf numFmtId="3" fontId="16" fillId="0" borderId="54" xfId="0" applyNumberFormat="1" applyFont="1" applyFill="1" applyBorder="1" applyAlignment="1"/>
    <xf numFmtId="3" fontId="14" fillId="0" borderId="54" xfId="0" applyNumberFormat="1" applyFont="1" applyFill="1" applyBorder="1" applyAlignment="1"/>
    <xf numFmtId="0" fontId="24" fillId="0" borderId="23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3" fontId="4" fillId="7" borderId="26" xfId="0" applyNumberFormat="1" applyFont="1" applyFill="1" applyBorder="1" applyAlignment="1"/>
    <xf numFmtId="3" fontId="4" fillId="7" borderId="6" xfId="0" applyNumberFormat="1" applyFont="1" applyFill="1" applyBorder="1" applyAlignment="1"/>
    <xf numFmtId="164" fontId="21" fillId="3" borderId="18" xfId="0" applyNumberFormat="1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/>
    <xf numFmtId="3" fontId="16" fillId="0" borderId="28" xfId="0" applyNumberFormat="1" applyFont="1" applyFill="1" applyBorder="1" applyAlignment="1"/>
    <xf numFmtId="3" fontId="14" fillId="0" borderId="28" xfId="0" applyNumberFormat="1" applyFont="1" applyFill="1" applyBorder="1" applyAlignment="1"/>
    <xf numFmtId="3" fontId="24" fillId="0" borderId="28" xfId="0" applyNumberFormat="1" applyFont="1" applyFill="1" applyBorder="1" applyAlignment="1"/>
    <xf numFmtId="3" fontId="4" fillId="7" borderId="10" xfId="0" applyNumberFormat="1" applyFont="1" applyFill="1" applyBorder="1" applyAlignment="1"/>
    <xf numFmtId="0" fontId="1" fillId="0" borderId="2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4" fontId="24" fillId="0" borderId="20" xfId="0" applyNumberFormat="1" applyFont="1" applyFill="1" applyBorder="1" applyAlignment="1">
      <alignment horizontal="right" vertical="center"/>
    </xf>
    <xf numFmtId="164" fontId="7" fillId="0" borderId="55" xfId="0" applyNumberFormat="1" applyFont="1" applyFill="1" applyBorder="1" applyAlignment="1">
      <alignment horizontal="right" vertical="center"/>
    </xf>
    <xf numFmtId="3" fontId="24" fillId="0" borderId="4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4" fontId="24" fillId="0" borderId="33" xfId="0" applyNumberFormat="1" applyFont="1" applyFill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164" fontId="24" fillId="0" borderId="31" xfId="0" applyNumberFormat="1" applyFont="1" applyFill="1" applyBorder="1" applyAlignment="1">
      <alignment horizontal="right" vertical="center" wrapText="1"/>
    </xf>
    <xf numFmtId="164" fontId="24" fillId="0" borderId="8" xfId="0" applyNumberFormat="1" applyFont="1" applyFill="1" applyBorder="1" applyAlignment="1">
      <alignment horizontal="right" vertical="center" wrapText="1"/>
    </xf>
    <xf numFmtId="3" fontId="4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/>
    <xf numFmtId="0" fontId="0" fillId="3" borderId="18" xfId="0" applyFill="1" applyBorder="1" applyAlignment="1"/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 wrapText="1"/>
    </xf>
    <xf numFmtId="164" fontId="6" fillId="3" borderId="31" xfId="0" applyNumberFormat="1" applyFont="1" applyFill="1" applyBorder="1" applyAlignment="1">
      <alignment horizontal="center" vertical="center" wrapText="1"/>
    </xf>
    <xf numFmtId="164" fontId="6" fillId="3" borderId="32" xfId="0" applyNumberFormat="1" applyFont="1" applyFill="1" applyBorder="1" applyAlignment="1">
      <alignment horizontal="center" vertical="center" wrapText="1"/>
    </xf>
    <xf numFmtId="3" fontId="29" fillId="3" borderId="23" xfId="0" applyNumberFormat="1" applyFont="1" applyFill="1" applyBorder="1" applyAlignment="1">
      <alignment horizontal="center" vertical="center" wrapText="1"/>
    </xf>
    <xf numFmtId="3" fontId="29" fillId="3" borderId="24" xfId="0" applyNumberFormat="1" applyFont="1" applyFill="1" applyBorder="1" applyAlignment="1">
      <alignment horizontal="center" vertical="center" wrapText="1"/>
    </xf>
    <xf numFmtId="3" fontId="29" fillId="3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5" fillId="3" borderId="53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 wrapText="1"/>
    </xf>
    <xf numFmtId="3" fontId="5" fillId="3" borderId="48" xfId="0" applyNumberFormat="1" applyFont="1" applyFill="1" applyBorder="1" applyAlignment="1">
      <alignment horizontal="center" vertical="center" wrapText="1"/>
    </xf>
    <xf numFmtId="3" fontId="5" fillId="3" borderId="49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3" fontId="1" fillId="0" borderId="0" xfId="0" applyNumberFormat="1" applyFont="1" applyFill="1"/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B121"/>
  <sheetViews>
    <sheetView showGridLines="0" tabSelected="1" view="pageBreakPreview" topLeftCell="A62" zoomScaleNormal="100" zoomScaleSheetLayoutView="100" workbookViewId="0">
      <selection activeCell="C116" sqref="C116"/>
    </sheetView>
  </sheetViews>
  <sheetFormatPr defaultRowHeight="12.75" x14ac:dyDescent="0.2"/>
  <cols>
    <col min="1" max="1" width="5.28515625" style="2" customWidth="1"/>
    <col min="2" max="2" width="51.85546875" style="2" customWidth="1"/>
    <col min="3" max="3" width="20.28515625" style="14" customWidth="1"/>
    <col min="4" max="4" width="20.28515625" style="187" customWidth="1"/>
    <col min="5" max="5" width="20.28515625" style="14" customWidth="1"/>
    <col min="6" max="6" width="7.140625" style="37" customWidth="1"/>
    <col min="7" max="7" width="20.28515625" style="14" customWidth="1"/>
    <col min="8" max="8" width="7.140625" style="37" customWidth="1"/>
    <col min="9" max="16384" width="9.140625" style="2"/>
  </cols>
  <sheetData>
    <row r="1" spans="1:184" ht="25.5" customHeight="1" x14ac:dyDescent="0.25">
      <c r="A1" s="1" t="s">
        <v>62</v>
      </c>
      <c r="C1" s="17"/>
      <c r="D1" s="160"/>
      <c r="E1" s="1"/>
      <c r="F1" s="33"/>
      <c r="G1" s="1"/>
      <c r="H1" s="2"/>
    </row>
    <row r="2" spans="1:184" ht="18.75" thickBot="1" x14ac:dyDescent="0.3">
      <c r="A2" s="1"/>
      <c r="C2" s="17"/>
      <c r="D2" s="160"/>
      <c r="E2" s="1"/>
      <c r="F2" s="33"/>
      <c r="G2" s="1"/>
      <c r="H2" s="33" t="s">
        <v>39</v>
      </c>
    </row>
    <row r="3" spans="1:184" ht="17.25" customHeight="1" thickTop="1" thickBot="1" x14ac:dyDescent="0.3">
      <c r="A3" s="258" t="s">
        <v>35</v>
      </c>
      <c r="B3" s="252" t="s">
        <v>18</v>
      </c>
      <c r="C3" s="255" t="s">
        <v>61</v>
      </c>
      <c r="D3" s="248" t="s">
        <v>64</v>
      </c>
      <c r="E3" s="239" t="s">
        <v>0</v>
      </c>
      <c r="F3" s="239"/>
      <c r="G3" s="240"/>
      <c r="H3" s="241"/>
    </row>
    <row r="4" spans="1:184" s="3" customFormat="1" ht="18.75" customHeight="1" thickTop="1" x14ac:dyDescent="0.2">
      <c r="A4" s="259"/>
      <c r="B4" s="253"/>
      <c r="C4" s="256"/>
      <c r="D4" s="249"/>
      <c r="E4" s="242">
        <v>2016</v>
      </c>
      <c r="F4" s="245" t="s">
        <v>58</v>
      </c>
      <c r="G4" s="242">
        <v>2017</v>
      </c>
      <c r="H4" s="245" t="s">
        <v>63</v>
      </c>
    </row>
    <row r="5" spans="1:184" s="4" customFormat="1" ht="31.5" customHeight="1" x14ac:dyDescent="0.2">
      <c r="A5" s="259"/>
      <c r="B5" s="253"/>
      <c r="C5" s="256"/>
      <c r="D5" s="249"/>
      <c r="E5" s="243"/>
      <c r="F5" s="246"/>
      <c r="G5" s="243"/>
      <c r="H5" s="246"/>
    </row>
    <row r="6" spans="1:184" s="4" customFormat="1" ht="13.5" customHeight="1" thickBot="1" x14ac:dyDescent="0.25">
      <c r="A6" s="260"/>
      <c r="B6" s="254"/>
      <c r="C6" s="257"/>
      <c r="D6" s="250"/>
      <c r="E6" s="244"/>
      <c r="F6" s="247"/>
      <c r="G6" s="244"/>
      <c r="H6" s="247"/>
    </row>
    <row r="7" spans="1:184" s="93" customFormat="1" ht="17.100000000000001" customHeight="1" thickTop="1" x14ac:dyDescent="0.2">
      <c r="A7" s="90">
        <v>1</v>
      </c>
      <c r="B7" s="198" t="s">
        <v>1</v>
      </c>
      <c r="C7" s="161">
        <f>SUM(C8:C9)</f>
        <v>3196712</v>
      </c>
      <c r="D7" s="202">
        <f>SUM(D8:D9)</f>
        <v>3365867</v>
      </c>
      <c r="E7" s="91">
        <f>SUM(E8:E9)</f>
        <v>3565967</v>
      </c>
      <c r="F7" s="92">
        <f t="shared" ref="F7:F18" si="0">E7/D7*100</f>
        <v>105.94497643549194</v>
      </c>
      <c r="G7" s="91">
        <f>SUM(G8:G9)</f>
        <v>3637560</v>
      </c>
      <c r="H7" s="92">
        <f>G7/E7*100</f>
        <v>102.00767421571764</v>
      </c>
    </row>
    <row r="8" spans="1:184" s="5" customFormat="1" ht="17.100000000000001" customHeight="1" x14ac:dyDescent="0.2">
      <c r="A8" s="63">
        <v>2</v>
      </c>
      <c r="B8" s="199" t="s">
        <v>10</v>
      </c>
      <c r="C8" s="162">
        <v>3195000</v>
      </c>
      <c r="D8" s="203">
        <v>3365000</v>
      </c>
      <c r="E8" s="26">
        <v>3565000</v>
      </c>
      <c r="F8" s="27">
        <f t="shared" si="0"/>
        <v>105.94353640416048</v>
      </c>
      <c r="G8" s="26">
        <f>E8*1.02</f>
        <v>3636300</v>
      </c>
      <c r="H8" s="27">
        <f>G8/E8*100</f>
        <v>102</v>
      </c>
      <c r="J8" s="5">
        <f>D8/C8*100</f>
        <v>105.320813771518</v>
      </c>
    </row>
    <row r="9" spans="1:184" s="5" customFormat="1" ht="17.100000000000001" customHeight="1" x14ac:dyDescent="0.2">
      <c r="A9" s="63">
        <v>3</v>
      </c>
      <c r="B9" s="199" t="s">
        <v>11</v>
      </c>
      <c r="C9" s="162">
        <v>1712</v>
      </c>
      <c r="D9" s="203">
        <v>867</v>
      </c>
      <c r="E9" s="26">
        <v>967</v>
      </c>
      <c r="F9" s="27">
        <f t="shared" si="0"/>
        <v>111.53402537485582</v>
      </c>
      <c r="G9" s="26">
        <v>1260</v>
      </c>
      <c r="H9" s="27">
        <f>G9/E9*100</f>
        <v>130.29989658738367</v>
      </c>
    </row>
    <row r="10" spans="1:184" s="93" customFormat="1" ht="17.100000000000001" customHeight="1" x14ac:dyDescent="0.2">
      <c r="A10" s="94">
        <v>4</v>
      </c>
      <c r="B10" s="200" t="s">
        <v>2</v>
      </c>
      <c r="C10" s="163">
        <f>SUM(C11:C18)</f>
        <v>295649</v>
      </c>
      <c r="D10" s="204">
        <f>SUM(D11:D18)</f>
        <v>281825</v>
      </c>
      <c r="E10" s="95">
        <f>SUM(E11:E18)</f>
        <v>288928</v>
      </c>
      <c r="F10" s="96">
        <f t="shared" si="0"/>
        <v>102.52035837842632</v>
      </c>
      <c r="G10" s="95">
        <f>SUM(G11:G18)</f>
        <v>282611</v>
      </c>
      <c r="H10" s="96">
        <f>G10/E10*100</f>
        <v>97.813642153062347</v>
      </c>
      <c r="GB10" s="93">
        <v>761937.54647170787</v>
      </c>
    </row>
    <row r="11" spans="1:184" s="5" customFormat="1" ht="17.100000000000001" customHeight="1" x14ac:dyDescent="0.2">
      <c r="A11" s="63">
        <v>5</v>
      </c>
      <c r="B11" s="199" t="s">
        <v>13</v>
      </c>
      <c r="C11" s="164">
        <f>37958</f>
        <v>37958</v>
      </c>
      <c r="D11" s="205">
        <v>37965</v>
      </c>
      <c r="E11" s="28">
        <f>D11</f>
        <v>37965</v>
      </c>
      <c r="F11" s="27">
        <f t="shared" si="0"/>
        <v>100</v>
      </c>
      <c r="G11" s="28">
        <f>E11</f>
        <v>37965</v>
      </c>
      <c r="H11" s="27">
        <f>G11/E11*100</f>
        <v>100</v>
      </c>
    </row>
    <row r="12" spans="1:184" s="5" customFormat="1" ht="17.100000000000001" customHeight="1" x14ac:dyDescent="0.2">
      <c r="A12" s="63">
        <v>6</v>
      </c>
      <c r="B12" s="199" t="s">
        <v>14</v>
      </c>
      <c r="C12" s="164">
        <v>1830</v>
      </c>
      <c r="D12" s="205">
        <v>2030</v>
      </c>
      <c r="E12" s="28">
        <f>D12</f>
        <v>2030</v>
      </c>
      <c r="F12" s="27">
        <f t="shared" si="0"/>
        <v>100</v>
      </c>
      <c r="G12" s="28">
        <f>E12</f>
        <v>2030</v>
      </c>
      <c r="H12" s="27">
        <f t="shared" ref="H12:H18" si="1">G12/E12*100</f>
        <v>100</v>
      </c>
    </row>
    <row r="13" spans="1:184" s="5" customFormat="1" ht="17.100000000000001" customHeight="1" x14ac:dyDescent="0.2">
      <c r="A13" s="63">
        <v>7</v>
      </c>
      <c r="B13" s="199" t="s">
        <v>70</v>
      </c>
      <c r="C13" s="164">
        <v>0</v>
      </c>
      <c r="D13" s="205">
        <v>37922</v>
      </c>
      <c r="E13" s="28">
        <f t="shared" ref="E13:E18" si="2">D13</f>
        <v>37922</v>
      </c>
      <c r="F13" s="27">
        <f t="shared" si="0"/>
        <v>100</v>
      </c>
      <c r="G13" s="28">
        <f t="shared" ref="G13:G18" si="3">E13</f>
        <v>37922</v>
      </c>
      <c r="H13" s="27">
        <f t="shared" si="1"/>
        <v>100</v>
      </c>
    </row>
    <row r="14" spans="1:184" s="5" customFormat="1" ht="17.100000000000001" customHeight="1" x14ac:dyDescent="0.2">
      <c r="A14" s="63">
        <v>8</v>
      </c>
      <c r="B14" s="199" t="s">
        <v>15</v>
      </c>
      <c r="C14" s="164">
        <f>4001</f>
        <v>4001</v>
      </c>
      <c r="D14" s="205">
        <v>998</v>
      </c>
      <c r="E14" s="28">
        <v>1100</v>
      </c>
      <c r="F14" s="27">
        <f t="shared" si="0"/>
        <v>110.22044088176352</v>
      </c>
      <c r="G14" s="28">
        <v>1150</v>
      </c>
      <c r="H14" s="27">
        <f t="shared" si="1"/>
        <v>104.54545454545455</v>
      </c>
    </row>
    <row r="15" spans="1:184" s="5" customFormat="1" ht="17.100000000000001" customHeight="1" x14ac:dyDescent="0.2">
      <c r="A15" s="63">
        <v>9</v>
      </c>
      <c r="B15" s="199" t="s">
        <v>16</v>
      </c>
      <c r="C15" s="164">
        <v>195569</v>
      </c>
      <c r="D15" s="205">
        <v>150776</v>
      </c>
      <c r="E15" s="28">
        <v>153776</v>
      </c>
      <c r="F15" s="27">
        <f t="shared" si="0"/>
        <v>101.98970658460232</v>
      </c>
      <c r="G15" s="28">
        <v>156776</v>
      </c>
      <c r="H15" s="27">
        <f t="shared" si="1"/>
        <v>101.95088960566019</v>
      </c>
    </row>
    <row r="16" spans="1:184" s="5" customFormat="1" ht="17.100000000000001" customHeight="1" x14ac:dyDescent="0.2">
      <c r="A16" s="63">
        <v>10</v>
      </c>
      <c r="B16" s="199" t="s">
        <v>32</v>
      </c>
      <c r="C16" s="164">
        <v>9900</v>
      </c>
      <c r="D16" s="205">
        <v>5366</v>
      </c>
      <c r="E16" s="28">
        <v>9367</v>
      </c>
      <c r="F16" s="27">
        <f t="shared" si="0"/>
        <v>174.56205739843458</v>
      </c>
      <c r="G16" s="28">
        <v>0</v>
      </c>
      <c r="H16" s="27">
        <f t="shared" si="1"/>
        <v>0</v>
      </c>
    </row>
    <row r="17" spans="1:8" s="5" customFormat="1" ht="17.100000000000001" customHeight="1" x14ac:dyDescent="0.2">
      <c r="A17" s="63">
        <v>11</v>
      </c>
      <c r="B17" s="199" t="s">
        <v>17</v>
      </c>
      <c r="C17" s="164">
        <v>40000</v>
      </c>
      <c r="D17" s="205">
        <v>40000</v>
      </c>
      <c r="E17" s="28">
        <f t="shared" si="2"/>
        <v>40000</v>
      </c>
      <c r="F17" s="27">
        <f t="shared" si="0"/>
        <v>100</v>
      </c>
      <c r="G17" s="28">
        <f t="shared" si="3"/>
        <v>40000</v>
      </c>
      <c r="H17" s="27">
        <f t="shared" si="1"/>
        <v>100</v>
      </c>
    </row>
    <row r="18" spans="1:8" s="5" customFormat="1" ht="17.100000000000001" customHeight="1" x14ac:dyDescent="0.2">
      <c r="A18" s="63">
        <v>12</v>
      </c>
      <c r="B18" s="199" t="s">
        <v>71</v>
      </c>
      <c r="C18" s="164">
        <v>6391</v>
      </c>
      <c r="D18" s="205">
        <v>6768</v>
      </c>
      <c r="E18" s="28">
        <f t="shared" si="2"/>
        <v>6768</v>
      </c>
      <c r="F18" s="27">
        <f t="shared" si="0"/>
        <v>100</v>
      </c>
      <c r="G18" s="28">
        <f t="shared" si="3"/>
        <v>6768</v>
      </c>
      <c r="H18" s="27">
        <f t="shared" si="1"/>
        <v>100</v>
      </c>
    </row>
    <row r="19" spans="1:8" s="93" customFormat="1" ht="17.100000000000001" customHeight="1" x14ac:dyDescent="0.2">
      <c r="A19" s="94">
        <v>13</v>
      </c>
      <c r="B19" s="200" t="s">
        <v>3</v>
      </c>
      <c r="C19" s="163">
        <v>18400</v>
      </c>
      <c r="D19" s="204">
        <v>15800</v>
      </c>
      <c r="E19" s="95">
        <v>14000</v>
      </c>
      <c r="F19" s="96">
        <f>E19/D19*100</f>
        <v>88.60759493670885</v>
      </c>
      <c r="G19" s="95">
        <v>16000</v>
      </c>
      <c r="H19" s="96">
        <f>G19/E19*100</f>
        <v>114.28571428571428</v>
      </c>
    </row>
    <row r="20" spans="1:8" s="93" customFormat="1" ht="17.100000000000001" customHeight="1" x14ac:dyDescent="0.2">
      <c r="A20" s="94">
        <v>14</v>
      </c>
      <c r="B20" s="200" t="s">
        <v>4</v>
      </c>
      <c r="C20" s="163">
        <f>SUM(C21)</f>
        <v>73854</v>
      </c>
      <c r="D20" s="204">
        <f>SUM(D21)</f>
        <v>73854</v>
      </c>
      <c r="E20" s="95">
        <f>SUM(E21:E21)</f>
        <v>73854</v>
      </c>
      <c r="F20" s="97">
        <f>E20/D20*100</f>
        <v>100</v>
      </c>
      <c r="G20" s="95">
        <f>SUM(G21:G21)</f>
        <v>73854</v>
      </c>
      <c r="H20" s="223">
        <f t="shared" ref="H20:H22" si="4">G20/E20*100</f>
        <v>100</v>
      </c>
    </row>
    <row r="21" spans="1:8" s="5" customFormat="1" ht="17.100000000000001" customHeight="1" thickBot="1" x14ac:dyDescent="0.25">
      <c r="A21" s="63">
        <v>15</v>
      </c>
      <c r="B21" s="57" t="s">
        <v>12</v>
      </c>
      <c r="C21" s="165">
        <v>73854</v>
      </c>
      <c r="D21" s="206">
        <v>73854</v>
      </c>
      <c r="E21" s="29">
        <f>D21</f>
        <v>73854</v>
      </c>
      <c r="F21" s="27">
        <f>E21/D21*100</f>
        <v>100</v>
      </c>
      <c r="G21" s="29">
        <f>E21</f>
        <v>73854</v>
      </c>
      <c r="H21" s="71">
        <f t="shared" si="4"/>
        <v>100</v>
      </c>
    </row>
    <row r="22" spans="1:8" s="55" customFormat="1" ht="27" customHeight="1" thickTop="1" thickBot="1" x14ac:dyDescent="0.3">
      <c r="A22" s="65">
        <v>16</v>
      </c>
      <c r="B22" s="201" t="s">
        <v>5</v>
      </c>
      <c r="C22" s="209">
        <f t="shared" ref="C22" si="5">SUM(C19:C20,C10,C7)</f>
        <v>3584615</v>
      </c>
      <c r="D22" s="207">
        <f>SUM(D19:D20,D10,D7)</f>
        <v>3737346</v>
      </c>
      <c r="E22" s="54">
        <f>SUM(E19:E20,E10,E7)</f>
        <v>3942749</v>
      </c>
      <c r="F22" s="222">
        <f>E22/D22*100</f>
        <v>105.49595889703549</v>
      </c>
      <c r="G22" s="54">
        <f>SUM(G19:G20,G10,G7)</f>
        <v>4010025</v>
      </c>
      <c r="H22" s="222">
        <f t="shared" si="4"/>
        <v>101.70632216253178</v>
      </c>
    </row>
    <row r="23" spans="1:8" s="6" customFormat="1" ht="13.5" hidden="1" thickTop="1" x14ac:dyDescent="0.2">
      <c r="B23" s="7"/>
      <c r="C23" s="210" t="e">
        <f>SUM(#REF!)</f>
        <v>#REF!</v>
      </c>
      <c r="D23" s="213"/>
      <c r="E23" s="224">
        <f>SUM(E92)</f>
        <v>0</v>
      </c>
      <c r="F23" s="214">
        <f>SUM(F92)</f>
        <v>0</v>
      </c>
      <c r="G23" s="224">
        <f>SUM(G92)+G91</f>
        <v>0</v>
      </c>
      <c r="H23" s="214">
        <f>SUM(H92)</f>
        <v>0</v>
      </c>
    </row>
    <row r="24" spans="1:8" s="6" customFormat="1" ht="13.5" hidden="1" thickTop="1" x14ac:dyDescent="0.2">
      <c r="B24" s="7"/>
      <c r="C24" s="211" t="e">
        <f>SUM(C23:C23)</f>
        <v>#REF!</v>
      </c>
      <c r="D24" s="213"/>
      <c r="E24" s="225">
        <f>SUM(E22:E23)</f>
        <v>3942749</v>
      </c>
      <c r="F24" s="215">
        <f>SUM(F22:F23)</f>
        <v>105.49595889703549</v>
      </c>
      <c r="G24" s="225">
        <f>SUM(G22:G23)</f>
        <v>4010025</v>
      </c>
      <c r="H24" s="216">
        <f>SUM(H22:H23)</f>
        <v>101.70632216253178</v>
      </c>
    </row>
    <row r="25" spans="1:8" s="21" customFormat="1" ht="13.5" hidden="1" thickTop="1" x14ac:dyDescent="0.2">
      <c r="B25" s="20"/>
      <c r="C25" s="211" t="e">
        <f>-SUM(#REF!)</f>
        <v>#REF!</v>
      </c>
      <c r="D25" s="213"/>
      <c r="E25" s="225" t="e">
        <f>-SUM(#REF!)</f>
        <v>#REF!</v>
      </c>
      <c r="F25" s="215"/>
      <c r="G25" s="225" t="e">
        <f>-SUM(#REF!)</f>
        <v>#REF!</v>
      </c>
      <c r="H25" s="216" t="e">
        <f>-SUM(#REF!)</f>
        <v>#REF!</v>
      </c>
    </row>
    <row r="26" spans="1:8" s="21" customFormat="1" ht="13.5" hidden="1" thickTop="1" x14ac:dyDescent="0.2">
      <c r="B26" s="20"/>
      <c r="C26" s="211" t="e">
        <f t="shared" ref="C26:H26" si="6">SUM(C24:C25)</f>
        <v>#REF!</v>
      </c>
      <c r="D26" s="213"/>
      <c r="E26" s="225" t="e">
        <f t="shared" si="6"/>
        <v>#REF!</v>
      </c>
      <c r="F26" s="215">
        <f t="shared" si="6"/>
        <v>105.49595889703549</v>
      </c>
      <c r="G26" s="225" t="e">
        <f t="shared" si="6"/>
        <v>#REF!</v>
      </c>
      <c r="H26" s="216" t="e">
        <f t="shared" si="6"/>
        <v>#REF!</v>
      </c>
    </row>
    <row r="27" spans="1:8" s="21" customFormat="1" ht="13.5" hidden="1" thickTop="1" x14ac:dyDescent="0.2">
      <c r="B27" s="20"/>
      <c r="C27" s="211" t="e">
        <f>-SUM(#REF!)</f>
        <v>#REF!</v>
      </c>
      <c r="D27" s="213"/>
      <c r="E27" s="225" t="e">
        <f>-SUM(#REF!)</f>
        <v>#REF!</v>
      </c>
      <c r="F27" s="216" t="e">
        <f>-SUM(#REF!)</f>
        <v>#REF!</v>
      </c>
      <c r="G27" s="225" t="e">
        <f>-SUM(#REF!)</f>
        <v>#REF!</v>
      </c>
      <c r="H27" s="216" t="e">
        <f>-SUM(#REF!)</f>
        <v>#REF!</v>
      </c>
    </row>
    <row r="28" spans="1:8" s="21" customFormat="1" ht="13.5" hidden="1" thickTop="1" x14ac:dyDescent="0.2">
      <c r="B28" s="20"/>
      <c r="C28" s="211" t="e">
        <f>-SUM(#REF!)</f>
        <v>#REF!</v>
      </c>
      <c r="D28" s="213"/>
      <c r="E28" s="225" t="e">
        <f>-SUM(#REF!)</f>
        <v>#REF!</v>
      </c>
      <c r="F28" s="216" t="e">
        <f>-SUM(#REF!)</f>
        <v>#REF!</v>
      </c>
      <c r="G28" s="225" t="e">
        <f>-SUM(#REF!)-G91</f>
        <v>#REF!</v>
      </c>
      <c r="H28" s="216" t="e">
        <f>-SUM(#REF!)-H91</f>
        <v>#REF!</v>
      </c>
    </row>
    <row r="29" spans="1:8" s="6" customFormat="1" ht="13.5" hidden="1" thickTop="1" x14ac:dyDescent="0.2">
      <c r="B29" s="7"/>
      <c r="C29" s="212" t="e">
        <f t="shared" ref="C29:H29" si="7">SUM(C26:C28)</f>
        <v>#REF!</v>
      </c>
      <c r="D29" s="213"/>
      <c r="E29" s="226" t="e">
        <f t="shared" si="7"/>
        <v>#REF!</v>
      </c>
      <c r="F29" s="217" t="e">
        <f t="shared" si="7"/>
        <v>#REF!</v>
      </c>
      <c r="G29" s="226" t="e">
        <f t="shared" si="7"/>
        <v>#REF!</v>
      </c>
      <c r="H29" s="217" t="e">
        <f t="shared" si="7"/>
        <v>#REF!</v>
      </c>
    </row>
    <row r="30" spans="1:8" s="4" customFormat="1" ht="15.75" thickTop="1" thickBot="1" x14ac:dyDescent="0.25">
      <c r="A30" s="229">
        <v>17</v>
      </c>
      <c r="B30" s="218" t="s">
        <v>72</v>
      </c>
      <c r="C30" s="197">
        <v>-6388</v>
      </c>
      <c r="D30" s="208">
        <v>-6766</v>
      </c>
      <c r="E30" s="227">
        <v>-6766</v>
      </c>
      <c r="F30" s="231">
        <f>E30/D30*100</f>
        <v>100</v>
      </c>
      <c r="G30" s="227">
        <v>-6766</v>
      </c>
      <c r="H30" s="80">
        <f>G30/E30*100</f>
        <v>100</v>
      </c>
    </row>
    <row r="31" spans="1:8" s="4" customFormat="1" ht="24.75" customHeight="1" thickTop="1" thickBot="1" x14ac:dyDescent="0.3">
      <c r="A31" s="230">
        <v>18</v>
      </c>
      <c r="B31" s="219" t="s">
        <v>73</v>
      </c>
      <c r="C31" s="220">
        <f>C22+C30</f>
        <v>3578227</v>
      </c>
      <c r="D31" s="221">
        <f>D22+D30</f>
        <v>3730580</v>
      </c>
      <c r="E31" s="228">
        <f>E22+E30</f>
        <v>3935983</v>
      </c>
      <c r="F31" s="222">
        <f>E31/D31*100</f>
        <v>105.50592669236418</v>
      </c>
      <c r="G31" s="228">
        <f>G22+G30</f>
        <v>4003259</v>
      </c>
      <c r="H31" s="222">
        <f>G31/E31*100</f>
        <v>101.70925534993418</v>
      </c>
    </row>
    <row r="32" spans="1:8" s="4" customFormat="1" ht="13.5" thickTop="1" x14ac:dyDescent="0.2">
      <c r="B32" s="194"/>
      <c r="C32" s="195"/>
      <c r="D32" s="195"/>
      <c r="E32" s="195"/>
      <c r="F32" s="195"/>
      <c r="G32" s="195"/>
      <c r="H32" s="195"/>
    </row>
    <row r="33" spans="1:8" s="4" customFormat="1" ht="13.5" thickBot="1" x14ac:dyDescent="0.25">
      <c r="B33" s="194"/>
      <c r="C33" s="195"/>
      <c r="D33" s="195"/>
      <c r="E33" s="195"/>
      <c r="F33" s="196"/>
      <c r="G33" s="195"/>
      <c r="H33" s="196"/>
    </row>
    <row r="34" spans="1:8" ht="17.25" customHeight="1" thickTop="1" thickBot="1" x14ac:dyDescent="0.3">
      <c r="A34" s="258" t="s">
        <v>35</v>
      </c>
      <c r="B34" s="261" t="s">
        <v>19</v>
      </c>
      <c r="C34" s="255" t="s">
        <v>61</v>
      </c>
      <c r="D34" s="248" t="s">
        <v>64</v>
      </c>
      <c r="E34" s="239" t="s">
        <v>0</v>
      </c>
      <c r="F34" s="239"/>
      <c r="G34" s="240"/>
      <c r="H34" s="241"/>
    </row>
    <row r="35" spans="1:8" s="3" customFormat="1" ht="18.75" customHeight="1" thickTop="1" x14ac:dyDescent="0.2">
      <c r="A35" s="259"/>
      <c r="B35" s="262"/>
      <c r="C35" s="256"/>
      <c r="D35" s="249"/>
      <c r="E35" s="242">
        <v>2016</v>
      </c>
      <c r="F35" s="245" t="s">
        <v>58</v>
      </c>
      <c r="G35" s="242">
        <v>2017</v>
      </c>
      <c r="H35" s="245" t="s">
        <v>63</v>
      </c>
    </row>
    <row r="36" spans="1:8" s="4" customFormat="1" ht="31.5" customHeight="1" x14ac:dyDescent="0.2">
      <c r="A36" s="259"/>
      <c r="B36" s="262"/>
      <c r="C36" s="256"/>
      <c r="D36" s="249"/>
      <c r="E36" s="243"/>
      <c r="F36" s="246"/>
      <c r="G36" s="243"/>
      <c r="H36" s="246"/>
    </row>
    <row r="37" spans="1:8" s="4" customFormat="1" ht="13.5" customHeight="1" thickBot="1" x14ac:dyDescent="0.25">
      <c r="A37" s="260"/>
      <c r="B37" s="263"/>
      <c r="C37" s="257"/>
      <c r="D37" s="250"/>
      <c r="E37" s="244"/>
      <c r="F37" s="247"/>
      <c r="G37" s="244"/>
      <c r="H37" s="247"/>
    </row>
    <row r="38" spans="1:8" s="99" customFormat="1" ht="32.25" customHeight="1" thickTop="1" x14ac:dyDescent="0.25">
      <c r="A38" s="90">
        <v>16</v>
      </c>
      <c r="B38" s="81" t="s">
        <v>43</v>
      </c>
      <c r="C38" s="166">
        <f>SUM(C39,C40,C41,C44,C45)</f>
        <v>1630202</v>
      </c>
      <c r="D38" s="166">
        <f>SUM(D39,D40,D41,D44,D45)</f>
        <v>845999</v>
      </c>
      <c r="E38" s="82">
        <f>SUM(E39,E40,E41,E44,E45)</f>
        <v>826444.13</v>
      </c>
      <c r="F38" s="98">
        <f>E38/D38*100</f>
        <v>97.688546913176026</v>
      </c>
      <c r="G38" s="82">
        <f>SUM(G39:G41,G44:G45)</f>
        <v>808746.10869999998</v>
      </c>
      <c r="H38" s="96">
        <f t="shared" ref="H38:H52" si="8">G38/E38*100</f>
        <v>97.858533849106038</v>
      </c>
    </row>
    <row r="39" spans="1:8" s="31" customFormat="1" ht="16.5" customHeight="1" x14ac:dyDescent="0.25">
      <c r="A39" s="64">
        <v>17</v>
      </c>
      <c r="B39" s="77" t="s">
        <v>45</v>
      </c>
      <c r="C39" s="167">
        <f>597678-69180-40000</f>
        <v>488498</v>
      </c>
      <c r="D39" s="167">
        <f>585506-40000-47019</f>
        <v>498487</v>
      </c>
      <c r="E39" s="79">
        <f>D39*0.99</f>
        <v>493502.13</v>
      </c>
      <c r="F39" s="80">
        <f>E39/D39*100</f>
        <v>99</v>
      </c>
      <c r="G39" s="79">
        <f>E39*0.99</f>
        <v>488567.10869999998</v>
      </c>
      <c r="H39" s="80">
        <f>G39/E39*100</f>
        <v>99</v>
      </c>
    </row>
    <row r="40" spans="1:8" s="31" customFormat="1" ht="16.5" customHeight="1" x14ac:dyDescent="0.25">
      <c r="A40" s="64">
        <v>18</v>
      </c>
      <c r="B40" s="77" t="s">
        <v>46</v>
      </c>
      <c r="C40" s="167">
        <v>213059</v>
      </c>
      <c r="D40" s="167">
        <v>260493</v>
      </c>
      <c r="E40" s="79">
        <f>D40-10000</f>
        <v>250493</v>
      </c>
      <c r="F40" s="80">
        <f>E40/D40*100</f>
        <v>96.161125250966435</v>
      </c>
      <c r="G40" s="79">
        <f>E40-10000</f>
        <v>240493</v>
      </c>
      <c r="H40" s="80">
        <f>G40/E40*100</f>
        <v>96.007872475478365</v>
      </c>
    </row>
    <row r="41" spans="1:8" s="31" customFormat="1" ht="16.5" customHeight="1" x14ac:dyDescent="0.25">
      <c r="A41" s="64">
        <v>19</v>
      </c>
      <c r="B41" s="77" t="s">
        <v>47</v>
      </c>
      <c r="C41" s="167">
        <v>819465</v>
      </c>
      <c r="D41" s="167">
        <v>0</v>
      </c>
      <c r="E41" s="79">
        <v>0</v>
      </c>
      <c r="F41" s="80">
        <v>0</v>
      </c>
      <c r="G41" s="79">
        <v>0</v>
      </c>
      <c r="H41" s="80">
        <v>0</v>
      </c>
    </row>
    <row r="42" spans="1:8" s="15" customFormat="1" ht="16.5" hidden="1" customHeight="1" x14ac:dyDescent="0.2">
      <c r="A42" s="64">
        <v>20</v>
      </c>
      <c r="B42" s="56" t="s">
        <v>33</v>
      </c>
      <c r="C42" s="168">
        <v>383500</v>
      </c>
      <c r="D42" s="168">
        <v>383500</v>
      </c>
      <c r="E42" s="86">
        <f>D42</f>
        <v>383500</v>
      </c>
      <c r="F42" s="87">
        <f>E42/D42*100</f>
        <v>100</v>
      </c>
      <c r="G42" s="86">
        <f>E42</f>
        <v>383500</v>
      </c>
      <c r="H42" s="87">
        <f t="shared" si="8"/>
        <v>100</v>
      </c>
    </row>
    <row r="43" spans="1:8" s="15" customFormat="1" ht="16.5" hidden="1" customHeight="1" x14ac:dyDescent="0.2">
      <c r="A43" s="64">
        <v>21</v>
      </c>
      <c r="B43" s="56" t="s">
        <v>34</v>
      </c>
      <c r="C43" s="168">
        <v>435965</v>
      </c>
      <c r="D43" s="168">
        <v>435965</v>
      </c>
      <c r="E43" s="86">
        <f>D43</f>
        <v>435965</v>
      </c>
      <c r="F43" s="87">
        <f>E43/D43*100</f>
        <v>100</v>
      </c>
      <c r="G43" s="86">
        <f>E43</f>
        <v>435965</v>
      </c>
      <c r="H43" s="87">
        <f t="shared" si="8"/>
        <v>100</v>
      </c>
    </row>
    <row r="44" spans="1:8" s="31" customFormat="1" ht="16.5" customHeight="1" x14ac:dyDescent="0.25">
      <c r="A44" s="64">
        <v>22</v>
      </c>
      <c r="B44" s="77" t="s">
        <v>48</v>
      </c>
      <c r="C44" s="167">
        <v>40000</v>
      </c>
      <c r="D44" s="167">
        <v>40000</v>
      </c>
      <c r="E44" s="79">
        <v>40000</v>
      </c>
      <c r="F44" s="80">
        <f>E44/D44*100</f>
        <v>100</v>
      </c>
      <c r="G44" s="79">
        <v>40000</v>
      </c>
      <c r="H44" s="80">
        <f t="shared" si="8"/>
        <v>100</v>
      </c>
    </row>
    <row r="45" spans="1:8" s="31" customFormat="1" ht="16.5" customHeight="1" x14ac:dyDescent="0.25">
      <c r="A45" s="64">
        <v>23</v>
      </c>
      <c r="B45" s="77" t="s">
        <v>49</v>
      </c>
      <c r="C45" s="191">
        <f>SUM(C46:C48)</f>
        <v>69180</v>
      </c>
      <c r="D45" s="191">
        <f>SUM(D46:D49)</f>
        <v>47019</v>
      </c>
      <c r="E45" s="79">
        <f>SUM(E46:E49)</f>
        <v>42449</v>
      </c>
      <c r="F45" s="80">
        <f>E45/D45*100</f>
        <v>90.2805248941917</v>
      </c>
      <c r="G45" s="79">
        <f>SUM(G46:G49)</f>
        <v>39686</v>
      </c>
      <c r="H45" s="80">
        <f t="shared" si="8"/>
        <v>93.491012744705415</v>
      </c>
    </row>
    <row r="46" spans="1:8" s="15" customFormat="1" ht="16.5" customHeight="1" x14ac:dyDescent="0.2">
      <c r="A46" s="64">
        <v>24</v>
      </c>
      <c r="B46" s="57" t="s">
        <v>50</v>
      </c>
      <c r="C46" s="192">
        <v>11211</v>
      </c>
      <c r="D46" s="192">
        <v>7024</v>
      </c>
      <c r="E46" s="86">
        <v>6572</v>
      </c>
      <c r="F46" s="87">
        <f>E46/D46*100</f>
        <v>93.56492027334852</v>
      </c>
      <c r="G46" s="86">
        <v>6121</v>
      </c>
      <c r="H46" s="87">
        <f t="shared" si="8"/>
        <v>93.13755325623859</v>
      </c>
    </row>
    <row r="47" spans="1:8" s="15" customFormat="1" ht="16.5" customHeight="1" x14ac:dyDescent="0.2">
      <c r="A47" s="64">
        <v>25</v>
      </c>
      <c r="B47" s="57" t="s">
        <v>40</v>
      </c>
      <c r="C47" s="192">
        <v>44938</v>
      </c>
      <c r="D47" s="192">
        <v>29188</v>
      </c>
      <c r="E47" s="86">
        <v>28170</v>
      </c>
      <c r="F47" s="87">
        <f t="shared" ref="F47:F48" si="9">E47/D47*100</f>
        <v>96.512265314512817</v>
      </c>
      <c r="G47" s="86">
        <v>26891</v>
      </c>
      <c r="H47" s="87">
        <f t="shared" si="8"/>
        <v>95.459708910188141</v>
      </c>
    </row>
    <row r="48" spans="1:8" s="15" customFormat="1" ht="16.5" customHeight="1" x14ac:dyDescent="0.2">
      <c r="A48" s="64">
        <v>26</v>
      </c>
      <c r="B48" s="57" t="s">
        <v>37</v>
      </c>
      <c r="C48" s="192">
        <v>13031</v>
      </c>
      <c r="D48" s="192">
        <v>8740</v>
      </c>
      <c r="E48" s="86">
        <v>7707</v>
      </c>
      <c r="F48" s="87">
        <f t="shared" si="9"/>
        <v>88.180778032036613</v>
      </c>
      <c r="G48" s="86">
        <v>6674</v>
      </c>
      <c r="H48" s="87">
        <f t="shared" si="8"/>
        <v>86.596600493058261</v>
      </c>
    </row>
    <row r="49" spans="1:10" s="15" customFormat="1" ht="16.5" customHeight="1" x14ac:dyDescent="0.2">
      <c r="A49" s="64">
        <v>27</v>
      </c>
      <c r="B49" s="57" t="s">
        <v>60</v>
      </c>
      <c r="C49" s="192">
        <v>0</v>
      </c>
      <c r="D49" s="192">
        <v>2067</v>
      </c>
      <c r="E49" s="86">
        <v>0</v>
      </c>
      <c r="F49" s="87">
        <v>0</v>
      </c>
      <c r="G49" s="86">
        <v>0</v>
      </c>
      <c r="H49" s="87">
        <v>0</v>
      </c>
    </row>
    <row r="50" spans="1:10" s="93" customFormat="1" ht="15" customHeight="1" x14ac:dyDescent="0.2">
      <c r="A50" s="100">
        <v>28</v>
      </c>
      <c r="B50" s="101" t="s">
        <v>20</v>
      </c>
      <c r="C50" s="169">
        <f>SUM(C51:C55)</f>
        <v>1465709</v>
      </c>
      <c r="D50" s="169">
        <f>SUM(D51:D55)</f>
        <v>2290698</v>
      </c>
      <c r="E50" s="82">
        <f>SUM(E51:E55)</f>
        <v>2306698</v>
      </c>
      <c r="F50" s="96">
        <f>E50/D50*100</f>
        <v>100.69847705808448</v>
      </c>
      <c r="G50" s="82">
        <f>SUM(G51:G55)</f>
        <v>2307698</v>
      </c>
      <c r="H50" s="96">
        <f>G50/E50*100</f>
        <v>100.04335201227035</v>
      </c>
    </row>
    <row r="51" spans="1:10" s="31" customFormat="1" ht="16.5" customHeight="1" x14ac:dyDescent="0.25">
      <c r="A51" s="64">
        <v>29</v>
      </c>
      <c r="B51" s="77" t="s">
        <v>52</v>
      </c>
      <c r="C51" s="167">
        <v>1077056</v>
      </c>
      <c r="D51" s="167">
        <v>930025</v>
      </c>
      <c r="E51" s="79">
        <v>929025</v>
      </c>
      <c r="F51" s="80">
        <f>E51/D51*100</f>
        <v>99.892476008709437</v>
      </c>
      <c r="G51" s="79">
        <v>928025</v>
      </c>
      <c r="H51" s="80">
        <f>G51/E51*100</f>
        <v>99.892360270175715</v>
      </c>
    </row>
    <row r="52" spans="1:10" s="31" customFormat="1" ht="16.5" customHeight="1" x14ac:dyDescent="0.25">
      <c r="A52" s="64">
        <v>30</v>
      </c>
      <c r="B52" s="77" t="s">
        <v>53</v>
      </c>
      <c r="C52" s="167">
        <v>103588</v>
      </c>
      <c r="D52" s="167">
        <v>202984</v>
      </c>
      <c r="E52" s="79">
        <v>203984</v>
      </c>
      <c r="F52" s="80">
        <f>E52/D52*100</f>
        <v>100.49264966696883</v>
      </c>
      <c r="G52" s="79">
        <v>204984</v>
      </c>
      <c r="H52" s="80">
        <f t="shared" si="8"/>
        <v>100.4902345281983</v>
      </c>
    </row>
    <row r="53" spans="1:10" s="31" customFormat="1" ht="16.5" customHeight="1" x14ac:dyDescent="0.25">
      <c r="A53" s="64">
        <v>31</v>
      </c>
      <c r="B53" s="77" t="s">
        <v>54</v>
      </c>
      <c r="C53" s="167">
        <v>274939</v>
      </c>
      <c r="D53" s="167">
        <v>279537</v>
      </c>
      <c r="E53" s="79">
        <v>280537</v>
      </c>
      <c r="F53" s="80">
        <f>E53/D53*100</f>
        <v>100.35773439651996</v>
      </c>
      <c r="G53" s="79">
        <v>281537</v>
      </c>
      <c r="H53" s="80">
        <f>G53/E53*100</f>
        <v>100.35645921928302</v>
      </c>
    </row>
    <row r="54" spans="1:10" s="31" customFormat="1" ht="16.5" customHeight="1" x14ac:dyDescent="0.25">
      <c r="A54" s="64">
        <v>32</v>
      </c>
      <c r="B54" s="77" t="s">
        <v>59</v>
      </c>
      <c r="C54" s="167">
        <v>10126</v>
      </c>
      <c r="D54" s="167">
        <v>10598</v>
      </c>
      <c r="E54" s="79">
        <f>D54</f>
        <v>10598</v>
      </c>
      <c r="F54" s="80">
        <f t="shared" ref="F54:F59" si="10">E54/D54*100</f>
        <v>100</v>
      </c>
      <c r="G54" s="79">
        <f>E54</f>
        <v>10598</v>
      </c>
      <c r="H54" s="80">
        <f>G54/E54*100</f>
        <v>100</v>
      </c>
    </row>
    <row r="55" spans="1:10" s="31" customFormat="1" ht="16.5" customHeight="1" x14ac:dyDescent="0.25">
      <c r="A55" s="64">
        <v>33</v>
      </c>
      <c r="B55" s="77" t="s">
        <v>75</v>
      </c>
      <c r="C55" s="167">
        <v>0</v>
      </c>
      <c r="D55" s="167">
        <v>867554</v>
      </c>
      <c r="E55" s="79">
        <f>D55+15000</f>
        <v>882554</v>
      </c>
      <c r="F55" s="80">
        <f t="shared" si="10"/>
        <v>101.72899900179124</v>
      </c>
      <c r="G55" s="79">
        <f>E55</f>
        <v>882554</v>
      </c>
      <c r="H55" s="80">
        <f>G55/E55*100</f>
        <v>100</v>
      </c>
    </row>
    <row r="56" spans="1:10" s="99" customFormat="1" ht="16.5" customHeight="1" x14ac:dyDescent="0.25">
      <c r="A56" s="100">
        <v>34</v>
      </c>
      <c r="B56" s="81" t="s">
        <v>55</v>
      </c>
      <c r="C56" s="169">
        <v>30522</v>
      </c>
      <c r="D56" s="169">
        <v>24657</v>
      </c>
      <c r="E56" s="82">
        <v>0</v>
      </c>
      <c r="F56" s="83">
        <f t="shared" si="10"/>
        <v>0</v>
      </c>
      <c r="G56" s="82">
        <v>0</v>
      </c>
      <c r="H56" s="83">
        <v>0</v>
      </c>
    </row>
    <row r="57" spans="1:10" s="99" customFormat="1" ht="16.5" customHeight="1" x14ac:dyDescent="0.25">
      <c r="A57" s="100">
        <v>35</v>
      </c>
      <c r="B57" s="81" t="s">
        <v>21</v>
      </c>
      <c r="C57" s="169">
        <v>6391</v>
      </c>
      <c r="D57" s="169">
        <v>6768</v>
      </c>
      <c r="E57" s="82">
        <f>D57</f>
        <v>6768</v>
      </c>
      <c r="F57" s="83">
        <f t="shared" si="10"/>
        <v>100</v>
      </c>
      <c r="G57" s="82">
        <f>E57</f>
        <v>6768</v>
      </c>
      <c r="H57" s="83">
        <f>G57/E57*100</f>
        <v>100</v>
      </c>
    </row>
    <row r="58" spans="1:10" s="99" customFormat="1" ht="15" x14ac:dyDescent="0.25">
      <c r="A58" s="100">
        <v>36</v>
      </c>
      <c r="B58" s="81" t="s">
        <v>22</v>
      </c>
      <c r="C58" s="170">
        <v>40000</v>
      </c>
      <c r="D58" s="170">
        <v>40000</v>
      </c>
      <c r="E58" s="84">
        <v>40000</v>
      </c>
      <c r="F58" s="83">
        <f t="shared" si="10"/>
        <v>100</v>
      </c>
      <c r="G58" s="84">
        <f>E58</f>
        <v>40000</v>
      </c>
      <c r="H58" s="83">
        <f>G58/E58*100</f>
        <v>100</v>
      </c>
    </row>
    <row r="59" spans="1:10" s="93" customFormat="1" ht="27.75" customHeight="1" x14ac:dyDescent="0.2">
      <c r="A59" s="100">
        <v>37</v>
      </c>
      <c r="B59" s="81" t="s">
        <v>56</v>
      </c>
      <c r="C59" s="169">
        <f>SUM(C60:C65)</f>
        <v>492156</v>
      </c>
      <c r="D59" s="169">
        <f>SUM(D60:D65)</f>
        <v>835569</v>
      </c>
      <c r="E59" s="166">
        <f>SUM(E60:E65)</f>
        <v>538253</v>
      </c>
      <c r="F59" s="85">
        <f t="shared" si="10"/>
        <v>64.417540622019246</v>
      </c>
      <c r="G59" s="82">
        <f>SUM(G60:G65)</f>
        <v>593656</v>
      </c>
      <c r="H59" s="135">
        <f>G59/E59*100</f>
        <v>110.29311494780336</v>
      </c>
    </row>
    <row r="60" spans="1:10" s="32" customFormat="1" ht="14.25" customHeight="1" x14ac:dyDescent="0.2">
      <c r="A60" s="64">
        <v>38</v>
      </c>
      <c r="B60" s="88" t="s">
        <v>65</v>
      </c>
      <c r="C60" s="190">
        <v>105992</v>
      </c>
      <c r="D60" s="190">
        <v>81513</v>
      </c>
      <c r="E60" s="233">
        <v>510374</v>
      </c>
      <c r="F60" s="235">
        <f>E60/(D60+D61+D62+D63+D64)*100</f>
        <v>64.455892066242413</v>
      </c>
      <c r="G60" s="233">
        <v>565777</v>
      </c>
      <c r="H60" s="235">
        <f>G60/E60*100</f>
        <v>110.8553727266671</v>
      </c>
    </row>
    <row r="61" spans="1:10" s="32" customFormat="1" ht="14.25" customHeight="1" x14ac:dyDescent="0.2">
      <c r="A61" s="64">
        <v>39</v>
      </c>
      <c r="B61" s="88" t="s">
        <v>66</v>
      </c>
      <c r="C61" s="190">
        <v>328589</v>
      </c>
      <c r="D61" s="190">
        <v>325672</v>
      </c>
      <c r="E61" s="234"/>
      <c r="F61" s="236"/>
      <c r="G61" s="234"/>
      <c r="H61" s="237"/>
      <c r="J61" s="193">
        <f>SUM(C60:C61)</f>
        <v>434581</v>
      </c>
    </row>
    <row r="62" spans="1:10" s="32" customFormat="1" ht="14.25" customHeight="1" x14ac:dyDescent="0.2">
      <c r="A62" s="64">
        <v>40</v>
      </c>
      <c r="B62" s="88" t="s">
        <v>67</v>
      </c>
      <c r="C62" s="190">
        <v>0</v>
      </c>
      <c r="D62" s="190">
        <v>297642</v>
      </c>
      <c r="E62" s="234"/>
      <c r="F62" s="236"/>
      <c r="G62" s="234"/>
      <c r="H62" s="237"/>
    </row>
    <row r="63" spans="1:10" s="32" customFormat="1" ht="14.25" customHeight="1" x14ac:dyDescent="0.2">
      <c r="A63" s="64">
        <v>41</v>
      </c>
      <c r="B63" s="88" t="s">
        <v>68</v>
      </c>
      <c r="C63" s="190">
        <v>0</v>
      </c>
      <c r="D63" s="190">
        <v>1220</v>
      </c>
      <c r="E63" s="234"/>
      <c r="F63" s="236"/>
      <c r="G63" s="234"/>
      <c r="H63" s="237"/>
    </row>
    <row r="64" spans="1:10" s="32" customFormat="1" ht="14.25" customHeight="1" x14ac:dyDescent="0.2">
      <c r="A64" s="64">
        <v>42</v>
      </c>
      <c r="B64" s="88" t="s">
        <v>69</v>
      </c>
      <c r="C64" s="172">
        <v>0</v>
      </c>
      <c r="D64" s="172">
        <v>85772</v>
      </c>
      <c r="E64" s="234"/>
      <c r="F64" s="236"/>
      <c r="G64" s="234"/>
      <c r="H64" s="238"/>
    </row>
    <row r="65" spans="1:8" s="32" customFormat="1" ht="14.25" customHeight="1" thickBot="1" x14ac:dyDescent="0.25">
      <c r="A65" s="64">
        <v>43</v>
      </c>
      <c r="B65" s="88" t="s">
        <v>57</v>
      </c>
      <c r="C65" s="171">
        <v>57575</v>
      </c>
      <c r="D65" s="171">
        <v>43750</v>
      </c>
      <c r="E65" s="89">
        <v>27879</v>
      </c>
      <c r="F65" s="80">
        <f>E65/D65*100</f>
        <v>63.723428571428578</v>
      </c>
      <c r="G65" s="89">
        <v>27879</v>
      </c>
      <c r="H65" s="80">
        <f>G65/E65*100</f>
        <v>100</v>
      </c>
    </row>
    <row r="66" spans="1:8" s="8" customFormat="1" ht="14.25" hidden="1" customHeight="1" x14ac:dyDescent="0.2">
      <c r="A66" s="63">
        <v>33</v>
      </c>
      <c r="B66" s="57" t="s">
        <v>23</v>
      </c>
      <c r="C66" s="173"/>
      <c r="D66" s="173"/>
      <c r="E66" s="58"/>
      <c r="F66" s="27"/>
      <c r="G66" s="58"/>
      <c r="H66" s="27"/>
    </row>
    <row r="67" spans="1:8" s="8" customFormat="1" ht="14.25" hidden="1" customHeight="1" x14ac:dyDescent="0.2">
      <c r="A67" s="64">
        <v>34</v>
      </c>
      <c r="B67" s="57" t="s">
        <v>24</v>
      </c>
      <c r="C67" s="173"/>
      <c r="D67" s="173"/>
      <c r="E67" s="58"/>
      <c r="F67" s="71"/>
      <c r="G67" s="58"/>
      <c r="H67" s="27"/>
    </row>
    <row r="68" spans="1:8" s="8" customFormat="1" ht="14.25" hidden="1" customHeight="1" x14ac:dyDescent="0.2">
      <c r="A68" s="63">
        <v>35</v>
      </c>
      <c r="B68" s="57" t="s">
        <v>25</v>
      </c>
      <c r="C68" s="173"/>
      <c r="D68" s="173"/>
      <c r="E68" s="74"/>
      <c r="F68" s="72"/>
      <c r="G68" s="60"/>
      <c r="H68" s="61"/>
    </row>
    <row r="69" spans="1:8" s="8" customFormat="1" ht="14.25" hidden="1" customHeight="1" x14ac:dyDescent="0.2">
      <c r="A69" s="64">
        <v>36</v>
      </c>
      <c r="B69" s="57" t="s">
        <v>26</v>
      </c>
      <c r="C69" s="173"/>
      <c r="D69" s="173"/>
      <c r="E69" s="74"/>
      <c r="F69" s="72"/>
      <c r="G69" s="59"/>
      <c r="H69" s="27"/>
    </row>
    <row r="70" spans="1:8" s="8" customFormat="1" ht="14.25" hidden="1" customHeight="1" x14ac:dyDescent="0.2">
      <c r="A70" s="63">
        <v>37</v>
      </c>
      <c r="B70" s="57" t="s">
        <v>36</v>
      </c>
      <c r="C70" s="173"/>
      <c r="D70" s="173"/>
      <c r="E70" s="75">
        <v>30435</v>
      </c>
      <c r="F70" s="73"/>
      <c r="G70" s="70">
        <v>30435</v>
      </c>
      <c r="H70" s="27"/>
    </row>
    <row r="71" spans="1:8" s="8" customFormat="1" ht="14.25" hidden="1" customHeight="1" x14ac:dyDescent="0.2">
      <c r="A71" s="64">
        <v>38</v>
      </c>
      <c r="B71" s="57" t="s">
        <v>27</v>
      </c>
      <c r="C71" s="173"/>
      <c r="D71" s="173"/>
      <c r="E71" s="58"/>
      <c r="F71" s="27"/>
      <c r="G71" s="58"/>
      <c r="H71" s="27"/>
    </row>
    <row r="72" spans="1:8" s="8" customFormat="1" ht="14.25" hidden="1" customHeight="1" x14ac:dyDescent="0.2">
      <c r="A72" s="63">
        <v>39</v>
      </c>
      <c r="B72" s="57" t="s">
        <v>31</v>
      </c>
      <c r="C72" s="173"/>
      <c r="D72" s="173"/>
      <c r="E72" s="30">
        <v>26826</v>
      </c>
      <c r="F72" s="27" t="e">
        <f>E72/C72*100</f>
        <v>#DIV/0!</v>
      </c>
      <c r="G72" s="30">
        <v>26826</v>
      </c>
      <c r="H72" s="27">
        <f>G72/E72*100</f>
        <v>100</v>
      </c>
    </row>
    <row r="73" spans="1:8" s="8" customFormat="1" ht="14.25" hidden="1" customHeight="1" x14ac:dyDescent="0.2">
      <c r="A73" s="64">
        <v>40</v>
      </c>
      <c r="B73" s="57" t="s">
        <v>28</v>
      </c>
      <c r="C73" s="173"/>
      <c r="D73" s="173"/>
      <c r="E73" s="30"/>
      <c r="F73" s="27" t="e">
        <f>E73/C73*100</f>
        <v>#DIV/0!</v>
      </c>
      <c r="G73" s="30"/>
      <c r="H73" s="27"/>
    </row>
    <row r="74" spans="1:8" s="8" customFormat="1" ht="14.25" hidden="1" customHeight="1" x14ac:dyDescent="0.2">
      <c r="A74" s="63">
        <v>41</v>
      </c>
      <c r="B74" s="57" t="s">
        <v>38</v>
      </c>
      <c r="C74" s="173"/>
      <c r="D74" s="173"/>
      <c r="E74" s="30">
        <v>370556</v>
      </c>
      <c r="F74" s="27"/>
      <c r="G74" s="30">
        <v>149855</v>
      </c>
      <c r="H74" s="27">
        <f>G74/E74*100</f>
        <v>40.440581180712229</v>
      </c>
    </row>
    <row r="75" spans="1:8" s="38" customFormat="1" ht="26.25" customHeight="1" thickTop="1" thickBot="1" x14ac:dyDescent="0.25">
      <c r="A75" s="66">
        <v>44</v>
      </c>
      <c r="B75" s="39" t="s">
        <v>6</v>
      </c>
      <c r="C75" s="40">
        <f>SUM(C38,C50,C56:C59)</f>
        <v>3664980</v>
      </c>
      <c r="D75" s="40">
        <f t="shared" ref="D75" si="11">SUM(D38,D50,D56:D59)</f>
        <v>4043691</v>
      </c>
      <c r="E75" s="40">
        <f>SUM(E38,E50,E56:E59)</f>
        <v>3718163.13</v>
      </c>
      <c r="F75" s="53">
        <f>E75/D75*100</f>
        <v>91.949734289786235</v>
      </c>
      <c r="G75" s="40">
        <f>SUM(G38,G50,G56:G59)</f>
        <v>3756868.1086999997</v>
      </c>
      <c r="H75" s="53">
        <f>G75/E75*100</f>
        <v>101.04097042939586</v>
      </c>
    </row>
    <row r="76" spans="1:8" s="13" customFormat="1" ht="13.5" hidden="1" customHeight="1" thickTop="1" x14ac:dyDescent="0.2">
      <c r="B76" s="9"/>
      <c r="C76" s="11" t="e">
        <f>-SUM(#REF!)</f>
        <v>#REF!</v>
      </c>
      <c r="D76" s="174"/>
      <c r="E76" s="11">
        <f>-SUM(E94)</f>
        <v>224586</v>
      </c>
      <c r="F76" s="34">
        <f>-SUM(F94)</f>
        <v>-111.85787287451812</v>
      </c>
      <c r="G76" s="11">
        <f>-SUM(G94)</f>
        <v>253157</v>
      </c>
      <c r="H76" s="34">
        <f>-SUM(H94)</f>
        <v>-112.72163002146172</v>
      </c>
    </row>
    <row r="77" spans="1:8" s="23" customFormat="1" ht="13.5" hidden="1" customHeight="1" x14ac:dyDescent="0.2">
      <c r="B77" s="22"/>
      <c r="C77" s="19" t="e">
        <f>SUM(C76:C76)</f>
        <v>#REF!</v>
      </c>
      <c r="D77" s="174"/>
      <c r="E77" s="19">
        <f>SUM(E75:E76)</f>
        <v>3942749.13</v>
      </c>
      <c r="F77" s="35">
        <f>SUM(F75:F76)</f>
        <v>-19.908138584731887</v>
      </c>
      <c r="G77" s="19">
        <f>SUM(G75:G76)</f>
        <v>4010025.1086999997</v>
      </c>
      <c r="H77" s="35">
        <f>SUM(H75:H76)</f>
        <v>-11.680659592065865</v>
      </c>
    </row>
    <row r="78" spans="1:8" s="23" customFormat="1" ht="13.5" hidden="1" customHeight="1" x14ac:dyDescent="0.2">
      <c r="B78" s="22"/>
      <c r="C78" s="19" t="e">
        <f>-SUM(#REF!)</f>
        <v>#REF!</v>
      </c>
      <c r="D78" s="174"/>
      <c r="E78" s="19" t="e">
        <f>-SUM(#REF!)</f>
        <v>#REF!</v>
      </c>
      <c r="F78" s="35" t="e">
        <f>-SUM(#REF!)</f>
        <v>#REF!</v>
      </c>
      <c r="G78" s="19" t="e">
        <f>-SUM(#REF!)</f>
        <v>#REF!</v>
      </c>
      <c r="H78" s="19" t="e">
        <f>-SUM(#REF!)</f>
        <v>#REF!</v>
      </c>
    </row>
    <row r="79" spans="1:8" s="20" customFormat="1" ht="13.5" hidden="1" customHeight="1" x14ac:dyDescent="0.2">
      <c r="B79" s="22"/>
      <c r="C79" s="19" t="e">
        <f t="shared" ref="C79:H79" si="12">SUM(C77:C78)</f>
        <v>#REF!</v>
      </c>
      <c r="D79" s="174"/>
      <c r="E79" s="19" t="e">
        <f t="shared" si="12"/>
        <v>#REF!</v>
      </c>
      <c r="F79" s="35" t="e">
        <f t="shared" si="12"/>
        <v>#REF!</v>
      </c>
      <c r="G79" s="19" t="e">
        <f t="shared" si="12"/>
        <v>#REF!</v>
      </c>
      <c r="H79" s="19" t="e">
        <f t="shared" si="12"/>
        <v>#REF!</v>
      </c>
    </row>
    <row r="80" spans="1:8" s="20" customFormat="1" ht="13.5" hidden="1" customHeight="1" x14ac:dyDescent="0.2">
      <c r="B80" s="22"/>
      <c r="C80" s="19" t="e">
        <f>-SUM(#REF!)</f>
        <v>#REF!</v>
      </c>
      <c r="D80" s="174"/>
      <c r="E80" s="19" t="e">
        <f>-SUM(#REF!)</f>
        <v>#REF!</v>
      </c>
      <c r="F80" s="19" t="e">
        <f>-SUM(#REF!)</f>
        <v>#REF!</v>
      </c>
      <c r="G80" s="19" t="e">
        <f>-SUM(#REF!)</f>
        <v>#REF!</v>
      </c>
      <c r="H80" s="19" t="e">
        <f>-SUM(#REF!)</f>
        <v>#REF!</v>
      </c>
    </row>
    <row r="81" spans="1:11" s="20" customFormat="1" ht="13.5" hidden="1" customHeight="1" x14ac:dyDescent="0.2">
      <c r="B81" s="22"/>
      <c r="C81" s="19" t="e">
        <f>-SUM(#REF!)</f>
        <v>#REF!</v>
      </c>
      <c r="D81" s="174"/>
      <c r="E81" s="19" t="e">
        <f>-SUM(E65:E65)-#REF!</f>
        <v>#REF!</v>
      </c>
      <c r="F81" s="19" t="e">
        <f>-SUM(F65:F65)-#REF!</f>
        <v>#REF!</v>
      </c>
      <c r="G81" s="19" t="e">
        <f>-SUM(G65:G65)-#REF!</f>
        <v>#REF!</v>
      </c>
      <c r="H81" s="19" t="e">
        <f>-SUM(H65:H65)-#REF!</f>
        <v>#REF!</v>
      </c>
    </row>
    <row r="82" spans="1:11" s="25" customFormat="1" ht="13.5" hidden="1" customHeight="1" x14ac:dyDescent="0.2">
      <c r="B82" s="24"/>
      <c r="C82" s="18" t="e">
        <f>SUM(C79:C81)</f>
        <v>#REF!</v>
      </c>
      <c r="D82" s="174"/>
      <c r="E82" s="18" t="e">
        <f>SUM(E79:E81)</f>
        <v>#REF!</v>
      </c>
      <c r="F82" s="36" t="e">
        <f>SUM(F79:F80)</f>
        <v>#REF!</v>
      </c>
      <c r="G82" s="18" t="e">
        <f>SUM(G79:G81)-G96</f>
        <v>#REF!</v>
      </c>
      <c r="H82" s="18" t="e">
        <f>SUM(H79:H81)-H96</f>
        <v>#REF!</v>
      </c>
    </row>
    <row r="83" spans="1:11" s="4" customFormat="1" ht="15.75" thickTop="1" thickBot="1" x14ac:dyDescent="0.25">
      <c r="A83" s="229">
        <v>45</v>
      </c>
      <c r="B83" s="218" t="s">
        <v>72</v>
      </c>
      <c r="C83" s="197">
        <v>-6388</v>
      </c>
      <c r="D83" s="208">
        <v>-6766</v>
      </c>
      <c r="E83" s="227">
        <v>-6766</v>
      </c>
      <c r="F83" s="231">
        <f>E83/D83*100</f>
        <v>100</v>
      </c>
      <c r="G83" s="227">
        <v>-6766</v>
      </c>
      <c r="H83" s="80">
        <f>G83/E83*100</f>
        <v>100</v>
      </c>
    </row>
    <row r="84" spans="1:11" s="4" customFormat="1" ht="24.75" customHeight="1" thickTop="1" thickBot="1" x14ac:dyDescent="0.3">
      <c r="A84" s="230">
        <v>46</v>
      </c>
      <c r="B84" s="219" t="s">
        <v>74</v>
      </c>
      <c r="C84" s="221">
        <f>C75+C83</f>
        <v>3658592</v>
      </c>
      <c r="D84" s="220">
        <f>D75+D83</f>
        <v>4036925</v>
      </c>
      <c r="E84" s="228">
        <f>E75+E83</f>
        <v>3711397.13</v>
      </c>
      <c r="F84" s="222">
        <f>E84/D84*100</f>
        <v>91.936241817720159</v>
      </c>
      <c r="G84" s="228">
        <f>G75+G83</f>
        <v>3750102.1086999997</v>
      </c>
      <c r="H84" s="222">
        <f>G84/E84*100</f>
        <v>101.04286815299662</v>
      </c>
    </row>
    <row r="85" spans="1:11" s="25" customFormat="1" ht="13.5" customHeight="1" thickTop="1" x14ac:dyDescent="0.2">
      <c r="B85" s="24"/>
      <c r="C85" s="18"/>
      <c r="D85" s="174"/>
      <c r="E85" s="18"/>
      <c r="F85" s="36"/>
      <c r="G85" s="18"/>
      <c r="H85" s="18"/>
    </row>
    <row r="86" spans="1:11" s="7" customFormat="1" ht="13.5" customHeight="1" thickBot="1" x14ac:dyDescent="0.25">
      <c r="B86" s="9"/>
      <c r="C86" s="10"/>
      <c r="D86" s="174"/>
      <c r="E86" s="11"/>
      <c r="F86" s="12"/>
      <c r="G86" s="10"/>
      <c r="H86" s="12"/>
    </row>
    <row r="87" spans="1:11" s="32" customFormat="1" ht="17.100000000000001" customHeight="1" thickBot="1" x14ac:dyDescent="0.25">
      <c r="A87" s="139">
        <v>47</v>
      </c>
      <c r="B87" s="140" t="s">
        <v>8</v>
      </c>
      <c r="C87" s="141">
        <f t="shared" ref="C87" si="13">SUM(C31)</f>
        <v>3578227</v>
      </c>
      <c r="D87" s="141">
        <f>SUM(D31)</f>
        <v>3730580</v>
      </c>
      <c r="E87" s="141">
        <f>SUM(E31)</f>
        <v>3935983</v>
      </c>
      <c r="F87" s="142">
        <f>E87/D87*100</f>
        <v>105.50592669236418</v>
      </c>
      <c r="G87" s="141">
        <f>SUM(G31)</f>
        <v>4003259</v>
      </c>
      <c r="H87" s="143">
        <f>G87/E87*100</f>
        <v>101.70925534993418</v>
      </c>
    </row>
    <row r="88" spans="1:11" s="32" customFormat="1" ht="17.100000000000001" hidden="1" customHeight="1" thickTop="1" thickBot="1" x14ac:dyDescent="0.25">
      <c r="A88" s="144">
        <v>24</v>
      </c>
      <c r="B88" s="68" t="s">
        <v>7</v>
      </c>
      <c r="C88" s="175"/>
      <c r="D88" s="175"/>
      <c r="E88" s="47">
        <f>E22-E75</f>
        <v>224585.87000000011</v>
      </c>
      <c r="F88" s="48" t="e">
        <f>E88/C88*100</f>
        <v>#DIV/0!</v>
      </c>
      <c r="G88" s="47">
        <f>G22-G75</f>
        <v>253156.89130000025</v>
      </c>
      <c r="H88" s="145">
        <f>G88/E88*100</f>
        <v>112.72164686941353</v>
      </c>
    </row>
    <row r="89" spans="1:11" s="32" customFormat="1" ht="17.100000000000001" customHeight="1" thickTop="1" thickBot="1" x14ac:dyDescent="0.25">
      <c r="A89" s="144">
        <v>48</v>
      </c>
      <c r="B89" s="67" t="s">
        <v>6</v>
      </c>
      <c r="C89" s="45">
        <f t="shared" ref="C89" si="14">C84</f>
        <v>3658592</v>
      </c>
      <c r="D89" s="45">
        <f>D84</f>
        <v>4036925</v>
      </c>
      <c r="E89" s="45">
        <f>E84</f>
        <v>3711397.13</v>
      </c>
      <c r="F89" s="46">
        <f>E89/D89*100</f>
        <v>91.936241817720159</v>
      </c>
      <c r="G89" s="45">
        <f>SUM(G84)</f>
        <v>3750102.1086999997</v>
      </c>
      <c r="H89" s="146">
        <f>G89/E89*100</f>
        <v>101.04286815299662</v>
      </c>
      <c r="K89" s="193"/>
    </row>
    <row r="90" spans="1:11" s="32" customFormat="1" ht="16.5" customHeight="1" thickTop="1" thickBot="1" x14ac:dyDescent="0.25">
      <c r="A90" s="147">
        <v>49</v>
      </c>
      <c r="B90" s="110" t="s">
        <v>9</v>
      </c>
      <c r="C90" s="176">
        <f>SUM(C91,C92,C94)</f>
        <v>80365</v>
      </c>
      <c r="D90" s="176">
        <f>SUM(D91,D92,D94)</f>
        <v>306345</v>
      </c>
      <c r="E90" s="111">
        <f>SUM(E92,E94)</f>
        <v>-224586</v>
      </c>
      <c r="F90" s="112">
        <f>E90/D90*100</f>
        <v>-73.311462566713999</v>
      </c>
      <c r="G90" s="111">
        <f>SUM(G91:G92,G94)</f>
        <v>-253157</v>
      </c>
      <c r="H90" s="145">
        <f>G90/E90*100</f>
        <v>112.72163002146172</v>
      </c>
      <c r="I90" s="193"/>
    </row>
    <row r="91" spans="1:11" s="99" customFormat="1" ht="38.25" customHeight="1" thickTop="1" x14ac:dyDescent="0.25">
      <c r="A91" s="148">
        <v>50</v>
      </c>
      <c r="B91" s="102" t="s">
        <v>30</v>
      </c>
      <c r="C91" s="177">
        <v>257333</v>
      </c>
      <c r="D91" s="177">
        <v>307123</v>
      </c>
      <c r="E91" s="103">
        <v>0</v>
      </c>
      <c r="F91" s="106">
        <f>E91/D91*100</f>
        <v>0</v>
      </c>
      <c r="G91" s="103">
        <v>0</v>
      </c>
      <c r="H91" s="149">
        <v>0</v>
      </c>
    </row>
    <row r="92" spans="1:11" s="107" customFormat="1" ht="18" customHeight="1" x14ac:dyDescent="0.25">
      <c r="A92" s="150">
        <v>51</v>
      </c>
      <c r="B92" s="104" t="s">
        <v>29</v>
      </c>
      <c r="C92" s="178">
        <v>0</v>
      </c>
      <c r="D92" s="178">
        <f>SUM(D93)</f>
        <v>200000</v>
      </c>
      <c r="E92" s="105">
        <f>SUM(E93:E93)</f>
        <v>0</v>
      </c>
      <c r="F92" s="106">
        <v>0</v>
      </c>
      <c r="G92" s="105">
        <f>SUM(G93:G93)</f>
        <v>0</v>
      </c>
      <c r="H92" s="149">
        <v>0</v>
      </c>
    </row>
    <row r="93" spans="1:11" s="16" customFormat="1" ht="18" customHeight="1" x14ac:dyDescent="0.2">
      <c r="A93" s="151">
        <v>52</v>
      </c>
      <c r="B93" s="69" t="s">
        <v>76</v>
      </c>
      <c r="C93" s="179">
        <v>0</v>
      </c>
      <c r="D93" s="179">
        <v>200000</v>
      </c>
      <c r="E93" s="42">
        <v>0</v>
      </c>
      <c r="F93" s="43">
        <v>0</v>
      </c>
      <c r="G93" s="42">
        <v>0</v>
      </c>
      <c r="H93" s="152">
        <v>0</v>
      </c>
    </row>
    <row r="94" spans="1:11" s="107" customFormat="1" ht="18" customHeight="1" x14ac:dyDescent="0.25">
      <c r="A94" s="154">
        <v>53</v>
      </c>
      <c r="B94" s="108" t="s">
        <v>41</v>
      </c>
      <c r="C94" s="180">
        <f>SUM(C95:C110)</f>
        <v>-176968</v>
      </c>
      <c r="D94" s="180">
        <f>SUM(D95:D110)</f>
        <v>-200778</v>
      </c>
      <c r="E94" s="109">
        <f>SUM(E95,E96,E110)</f>
        <v>-224586</v>
      </c>
      <c r="F94" s="106">
        <f t="shared" ref="F94:F110" si="15">E94/D94*100</f>
        <v>111.85787287451812</v>
      </c>
      <c r="G94" s="109">
        <f>SUM(G95,G96,G110)</f>
        <v>-253157</v>
      </c>
      <c r="H94" s="149">
        <f>G94/E94*100</f>
        <v>112.72163002146172</v>
      </c>
    </row>
    <row r="95" spans="1:11" ht="18" customHeight="1" x14ac:dyDescent="0.2">
      <c r="A95" s="153">
        <v>54</v>
      </c>
      <c r="B95" s="69" t="s">
        <v>44</v>
      </c>
      <c r="C95" s="181">
        <v>-43634</v>
      </c>
      <c r="D95" s="181">
        <v>-43634</v>
      </c>
      <c r="E95" s="44">
        <v>-43634</v>
      </c>
      <c r="F95" s="27">
        <f t="shared" si="15"/>
        <v>100</v>
      </c>
      <c r="G95" s="44">
        <v>-43634</v>
      </c>
      <c r="H95" s="155">
        <f>G95/E95*100</f>
        <v>100</v>
      </c>
    </row>
    <row r="96" spans="1:11" ht="18" customHeight="1" x14ac:dyDescent="0.2">
      <c r="A96" s="151">
        <v>55</v>
      </c>
      <c r="B96" s="78" t="s">
        <v>42</v>
      </c>
      <c r="C96" s="179">
        <v>-66667</v>
      </c>
      <c r="D96" s="179">
        <v>-90477</v>
      </c>
      <c r="E96" s="42">
        <v>-114285</v>
      </c>
      <c r="F96" s="27">
        <f t="shared" si="15"/>
        <v>126.31386982327</v>
      </c>
      <c r="G96" s="42">
        <v>-142856</v>
      </c>
      <c r="H96" s="155">
        <f>G96/E96*100</f>
        <v>124.9997812486328</v>
      </c>
    </row>
    <row r="97" spans="1:11" s="41" customFormat="1" ht="14.25" hidden="1" x14ac:dyDescent="0.2">
      <c r="A97" s="153">
        <v>54</v>
      </c>
      <c r="B97" s="118"/>
      <c r="C97" s="182"/>
      <c r="D97" s="182"/>
      <c r="E97" s="119">
        <f>SUM(E22,E91:E92)</f>
        <v>3942749</v>
      </c>
      <c r="F97" s="27" t="e">
        <f t="shared" si="15"/>
        <v>#DIV/0!</v>
      </c>
      <c r="G97" s="119">
        <f>SUM(G22,G91:G92)</f>
        <v>4010025</v>
      </c>
      <c r="H97" s="155" t="e">
        <f t="shared" ref="H97:H109" si="16">G97/C97*100</f>
        <v>#DIV/0!</v>
      </c>
    </row>
    <row r="98" spans="1:11" s="41" customFormat="1" ht="14.25" hidden="1" x14ac:dyDescent="0.2">
      <c r="A98" s="151">
        <v>55</v>
      </c>
      <c r="B98" s="118"/>
      <c r="C98" s="182"/>
      <c r="D98" s="182"/>
      <c r="E98" s="119">
        <f>E75-E94</f>
        <v>3942749.13</v>
      </c>
      <c r="F98" s="27" t="e">
        <f t="shared" si="15"/>
        <v>#DIV/0!</v>
      </c>
      <c r="G98" s="119">
        <f>G75-G94</f>
        <v>4010025.1086999997</v>
      </c>
      <c r="H98" s="155" t="e">
        <f t="shared" si="16"/>
        <v>#DIV/0!</v>
      </c>
    </row>
    <row r="99" spans="1:11" ht="14.25" hidden="1" x14ac:dyDescent="0.2">
      <c r="A99" s="153">
        <v>56</v>
      </c>
      <c r="B99" s="120"/>
      <c r="C99" s="183"/>
      <c r="D99" s="183"/>
      <c r="E99" s="121"/>
      <c r="F99" s="27" t="e">
        <f t="shared" si="15"/>
        <v>#DIV/0!</v>
      </c>
      <c r="G99" s="121"/>
      <c r="H99" s="155" t="e">
        <f t="shared" si="16"/>
        <v>#DIV/0!</v>
      </c>
    </row>
    <row r="100" spans="1:11" s="49" customFormat="1" ht="14.25" hidden="1" x14ac:dyDescent="0.2">
      <c r="A100" s="151">
        <v>57</v>
      </c>
      <c r="B100" s="122"/>
      <c r="C100" s="182"/>
      <c r="D100" s="182"/>
      <c r="E100" s="123">
        <v>82500</v>
      </c>
      <c r="F100" s="27" t="e">
        <f t="shared" si="15"/>
        <v>#DIV/0!</v>
      </c>
      <c r="G100" s="123">
        <v>0</v>
      </c>
      <c r="H100" s="155" t="e">
        <f t="shared" si="16"/>
        <v>#DIV/0!</v>
      </c>
    </row>
    <row r="101" spans="1:11" s="50" customFormat="1" ht="14.25" hidden="1" x14ac:dyDescent="0.2">
      <c r="A101" s="153">
        <v>58</v>
      </c>
      <c r="B101" s="124"/>
      <c r="C101" s="182"/>
      <c r="D101" s="182"/>
      <c r="E101" s="125">
        <v>120042</v>
      </c>
      <c r="F101" s="27" t="e">
        <f t="shared" si="15"/>
        <v>#DIV/0!</v>
      </c>
      <c r="G101" s="125">
        <f>120828+389250</f>
        <v>510078</v>
      </c>
      <c r="H101" s="155" t="e">
        <f t="shared" si="16"/>
        <v>#DIV/0!</v>
      </c>
    </row>
    <row r="102" spans="1:11" s="4" customFormat="1" ht="14.25" hidden="1" x14ac:dyDescent="0.2">
      <c r="A102" s="151">
        <v>59</v>
      </c>
      <c r="B102" s="126"/>
      <c r="C102" s="182"/>
      <c r="D102" s="182"/>
      <c r="E102" s="127"/>
      <c r="F102" s="27" t="e">
        <f t="shared" si="15"/>
        <v>#DIV/0!</v>
      </c>
      <c r="G102" s="127"/>
      <c r="H102" s="155" t="e">
        <f t="shared" si="16"/>
        <v>#DIV/0!</v>
      </c>
    </row>
    <row r="103" spans="1:11" s="51" customFormat="1" ht="14.25" hidden="1" x14ac:dyDescent="0.2">
      <c r="A103" s="153">
        <v>60</v>
      </c>
      <c r="B103" s="128"/>
      <c r="C103" s="184"/>
      <c r="D103" s="184"/>
      <c r="E103" s="129">
        <v>0</v>
      </c>
      <c r="F103" s="27" t="e">
        <f t="shared" si="15"/>
        <v>#DIV/0!</v>
      </c>
      <c r="G103" s="129">
        <f>338283-40940</f>
        <v>297343</v>
      </c>
      <c r="H103" s="155" t="e">
        <f t="shared" si="16"/>
        <v>#DIV/0!</v>
      </c>
    </row>
    <row r="104" spans="1:11" s="4" customFormat="1" ht="14.25" hidden="1" x14ac:dyDescent="0.2">
      <c r="A104" s="151">
        <v>61</v>
      </c>
      <c r="B104" s="126"/>
      <c r="C104" s="182"/>
      <c r="D104" s="182"/>
      <c r="E104" s="127"/>
      <c r="F104" s="27" t="e">
        <f t="shared" si="15"/>
        <v>#DIV/0!</v>
      </c>
      <c r="G104" s="127"/>
      <c r="H104" s="155" t="e">
        <f t="shared" si="16"/>
        <v>#DIV/0!</v>
      </c>
    </row>
    <row r="105" spans="1:11" s="52" customFormat="1" ht="14.25" hidden="1" x14ac:dyDescent="0.2">
      <c r="A105" s="153">
        <v>62</v>
      </c>
      <c r="B105" s="130"/>
      <c r="C105" s="185"/>
      <c r="D105" s="185"/>
      <c r="E105" s="131">
        <v>0</v>
      </c>
      <c r="F105" s="27" t="e">
        <f t="shared" si="15"/>
        <v>#DIV/0!</v>
      </c>
      <c r="G105" s="131">
        <v>0</v>
      </c>
      <c r="H105" s="155" t="e">
        <f t="shared" si="16"/>
        <v>#DIV/0!</v>
      </c>
    </row>
    <row r="106" spans="1:11" s="4" customFormat="1" ht="14.25" hidden="1" x14ac:dyDescent="0.2">
      <c r="A106" s="151">
        <v>63</v>
      </c>
      <c r="B106" s="126"/>
      <c r="C106" s="182"/>
      <c r="D106" s="182"/>
      <c r="E106" s="127"/>
      <c r="F106" s="27" t="e">
        <f t="shared" si="15"/>
        <v>#DIV/0!</v>
      </c>
      <c r="G106" s="127">
        <f>SUM(G105,G103)</f>
        <v>297343</v>
      </c>
      <c r="H106" s="155" t="e">
        <f t="shared" si="16"/>
        <v>#DIV/0!</v>
      </c>
    </row>
    <row r="107" spans="1:11" s="4" customFormat="1" ht="14.25" hidden="1" x14ac:dyDescent="0.2">
      <c r="A107" s="153">
        <v>64</v>
      </c>
      <c r="B107" s="126"/>
      <c r="C107" s="182"/>
      <c r="D107" s="182"/>
      <c r="E107" s="127"/>
      <c r="F107" s="27" t="e">
        <f t="shared" si="15"/>
        <v>#DIV/0!</v>
      </c>
      <c r="G107" s="127"/>
      <c r="H107" s="155" t="e">
        <f t="shared" si="16"/>
        <v>#DIV/0!</v>
      </c>
    </row>
    <row r="108" spans="1:11" s="4" customFormat="1" ht="14.25" hidden="1" x14ac:dyDescent="0.2">
      <c r="A108" s="151">
        <v>65</v>
      </c>
      <c r="B108" s="126"/>
      <c r="C108" s="182"/>
      <c r="D108" s="182"/>
      <c r="E108" s="127"/>
      <c r="F108" s="27" t="e">
        <f t="shared" si="15"/>
        <v>#DIV/0!</v>
      </c>
      <c r="G108" s="127"/>
      <c r="H108" s="155" t="e">
        <f t="shared" si="16"/>
        <v>#DIV/0!</v>
      </c>
    </row>
    <row r="109" spans="1:11" ht="14.25" hidden="1" x14ac:dyDescent="0.2">
      <c r="A109" s="153">
        <v>66</v>
      </c>
      <c r="B109" s="120"/>
      <c r="C109" s="183"/>
      <c r="D109" s="183"/>
      <c r="E109" s="121"/>
      <c r="F109" s="27" t="e">
        <f t="shared" si="15"/>
        <v>#DIV/0!</v>
      </c>
      <c r="G109" s="127">
        <f>SUM(G96)</f>
        <v>-142856</v>
      </c>
      <c r="H109" s="155" t="e">
        <f t="shared" si="16"/>
        <v>#DIV/0!</v>
      </c>
    </row>
    <row r="110" spans="1:11" ht="18" customHeight="1" thickBot="1" x14ac:dyDescent="0.25">
      <c r="A110" s="156">
        <v>56</v>
      </c>
      <c r="B110" s="157" t="s">
        <v>51</v>
      </c>
      <c r="C110" s="186">
        <v>-66667</v>
      </c>
      <c r="D110" s="186">
        <v>-66667</v>
      </c>
      <c r="E110" s="158">
        <v>-66667</v>
      </c>
      <c r="F110" s="232">
        <f t="shared" si="15"/>
        <v>100</v>
      </c>
      <c r="G110" s="158">
        <v>-66667</v>
      </c>
      <c r="H110" s="159">
        <f>G110/E110*100</f>
        <v>100</v>
      </c>
    </row>
    <row r="111" spans="1:11" x14ac:dyDescent="0.2">
      <c r="A111" s="251"/>
      <c r="B111" s="251"/>
      <c r="C111" s="264">
        <f>C87+C91+C92</f>
        <v>3835560</v>
      </c>
      <c r="D111" s="264">
        <f>D87+D91+D92</f>
        <v>4237703</v>
      </c>
      <c r="E111" s="264">
        <f>E31+E91+E92</f>
        <v>3935983</v>
      </c>
      <c r="F111" s="264"/>
      <c r="G111" s="264">
        <f t="shared" ref="G111" si="17">G31+G91+G92</f>
        <v>4003259</v>
      </c>
      <c r="H111" s="113"/>
      <c r="I111" s="115"/>
      <c r="J111" s="115"/>
      <c r="K111" s="62"/>
    </row>
    <row r="112" spans="1:11" x14ac:dyDescent="0.2">
      <c r="A112" s="137"/>
      <c r="B112" s="137"/>
      <c r="C112" s="264">
        <f>C89-C94</f>
        <v>3835560</v>
      </c>
      <c r="D112" s="264">
        <f>D89-D94</f>
        <v>4237703</v>
      </c>
      <c r="E112" s="264">
        <f>E84-E94</f>
        <v>3935983.13</v>
      </c>
      <c r="F112" s="264"/>
      <c r="G112" s="264">
        <f t="shared" ref="G112" si="18">G84-G94</f>
        <v>4003259.1086999997</v>
      </c>
      <c r="H112" s="113"/>
      <c r="I112" s="115"/>
      <c r="J112" s="115"/>
      <c r="K112" s="62"/>
    </row>
    <row r="113" spans="1:11" x14ac:dyDescent="0.2">
      <c r="A113" s="76"/>
      <c r="B113" s="116"/>
      <c r="D113" s="188"/>
      <c r="E113" s="132"/>
      <c r="F113" s="132"/>
      <c r="H113" s="136"/>
      <c r="I113" s="115"/>
      <c r="J113" s="115"/>
      <c r="K113" s="62"/>
    </row>
    <row r="114" spans="1:11" x14ac:dyDescent="0.2">
      <c r="B114" s="117"/>
      <c r="C114" s="133"/>
      <c r="D114" s="189"/>
      <c r="E114" s="133">
        <f>E111-E112</f>
        <v>-0.12999999988824129</v>
      </c>
      <c r="F114" s="133"/>
      <c r="G114" s="132">
        <f>G111-G112</f>
        <v>-0.10869999974966049</v>
      </c>
      <c r="H114" s="136"/>
      <c r="I114" s="115"/>
      <c r="J114" s="115"/>
      <c r="K114" s="62"/>
    </row>
    <row r="115" spans="1:11" x14ac:dyDescent="0.2">
      <c r="B115" s="117"/>
      <c r="C115" s="138"/>
      <c r="D115" s="189"/>
      <c r="E115" s="138"/>
      <c r="F115" s="138"/>
      <c r="H115" s="114"/>
      <c r="I115" s="115"/>
      <c r="J115" s="115"/>
      <c r="K115" s="62"/>
    </row>
    <row r="116" spans="1:11" x14ac:dyDescent="0.2">
      <c r="B116" s="117"/>
      <c r="C116" s="134"/>
      <c r="E116" s="113"/>
      <c r="F116" s="113"/>
      <c r="G116" s="113"/>
      <c r="H116" s="114"/>
      <c r="I116" s="115"/>
      <c r="J116" s="115"/>
    </row>
    <row r="117" spans="1:11" x14ac:dyDescent="0.2">
      <c r="C117" s="134"/>
      <c r="E117" s="113"/>
      <c r="F117" s="113"/>
      <c r="G117" s="113"/>
      <c r="H117" s="114"/>
      <c r="I117" s="115"/>
      <c r="J117" s="115"/>
    </row>
    <row r="118" spans="1:11" x14ac:dyDescent="0.2">
      <c r="C118" s="132">
        <f>C89-C87</f>
        <v>80365</v>
      </c>
      <c r="D118" s="132">
        <f>D89-D87</f>
        <v>306345</v>
      </c>
      <c r="E118" s="132">
        <f t="shared" ref="E118" si="19">E89-E87</f>
        <v>-224585.87000000011</v>
      </c>
      <c r="F118" s="132"/>
      <c r="G118" s="132">
        <f>G89-G87</f>
        <v>-253156.89130000025</v>
      </c>
      <c r="H118" s="132"/>
      <c r="I118" s="132"/>
      <c r="J118" s="115"/>
    </row>
    <row r="119" spans="1:11" x14ac:dyDescent="0.2">
      <c r="C119" s="113"/>
      <c r="E119" s="113"/>
      <c r="F119" s="114"/>
      <c r="G119" s="113"/>
      <c r="H119" s="114"/>
      <c r="I119" s="115"/>
      <c r="J119" s="115"/>
    </row>
    <row r="120" spans="1:11" x14ac:dyDescent="0.2">
      <c r="E120" s="113"/>
      <c r="F120" s="114"/>
      <c r="G120" s="113"/>
      <c r="H120" s="114"/>
      <c r="I120" s="115"/>
    </row>
    <row r="121" spans="1:11" x14ac:dyDescent="0.2">
      <c r="G121" s="113"/>
    </row>
  </sheetData>
  <mergeCells count="23">
    <mergeCell ref="D3:D6"/>
    <mergeCell ref="D34:D37"/>
    <mergeCell ref="A111:B111"/>
    <mergeCell ref="B3:B6"/>
    <mergeCell ref="C3:C6"/>
    <mergeCell ref="A3:A6"/>
    <mergeCell ref="A34:A37"/>
    <mergeCell ref="B34:B37"/>
    <mergeCell ref="C34:C37"/>
    <mergeCell ref="E60:E64"/>
    <mergeCell ref="F60:F64"/>
    <mergeCell ref="G60:G64"/>
    <mergeCell ref="H60:H64"/>
    <mergeCell ref="E3:H3"/>
    <mergeCell ref="G4:G6"/>
    <mergeCell ref="H4:H6"/>
    <mergeCell ref="E4:E6"/>
    <mergeCell ref="F4:F6"/>
    <mergeCell ref="E34:H34"/>
    <mergeCell ref="G35:G37"/>
    <mergeCell ref="H35:H37"/>
    <mergeCell ref="E35:E37"/>
    <mergeCell ref="F35:F37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3" firstPageNumber="8" orientation="portrait" useFirstPageNumber="1" r:id="rId1"/>
  <headerFooter alignWithMargins="0">
    <oddFooter>&amp;L&amp;"Arial,Kurzíva"Zastupitelstvo Olomouckého kraje 20-02-2015
7. - Rozpočtový výhled Olomouckého kraje 2016 - 2017
Příloha č. 1: Rozpočtový výhled OK na období 2016-2017.&amp;R&amp;"Arial,Kurzíva"Strana &amp;P (celkem 11)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Dosedlová Zuzana</cp:lastModifiedBy>
  <cp:lastPrinted>2015-01-29T08:33:25Z</cp:lastPrinted>
  <dcterms:created xsi:type="dcterms:W3CDTF">2007-01-30T08:08:06Z</dcterms:created>
  <dcterms:modified xsi:type="dcterms:W3CDTF">2015-03-02T10:47:54Z</dcterms:modified>
</cp:coreProperties>
</file>